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28. 30 ก.ย. 66 update ผลเบิกจ่ายเงินกองทุน\"/>
    </mc:Choice>
  </mc:AlternateContent>
  <xr:revisionPtr revIDLastSave="0" documentId="13_ncr:1_{E3278042-954C-4F9C-8523-EF5BF5FF0795}" xr6:coauthVersionLast="37" xr6:coauthVersionMax="37" xr10:uidLastSave="{00000000-0000-0000-0000-000000000000}"/>
  <bookViews>
    <workbookView xWindow="0" yWindow="0" windowWidth="24000" windowHeight="9225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Area" localSheetId="1">กาฬสินธุ์!$A$1:$P$1822</definedName>
    <definedName name="_xlnm.Print_Area" localSheetId="2">ขอนแก่น!$A$1:$P$1828</definedName>
    <definedName name="_xlnm.Print_Area" localSheetId="3">ชัยภูมิ!$A$1:$P$828</definedName>
    <definedName name="_xlnm.Print_Area" localSheetId="4">นครพนม!$A$1:$P$828</definedName>
    <definedName name="_xlnm.Print_Area" localSheetId="5">นครราชสีมา!$A$1:$P$828</definedName>
    <definedName name="_xlnm.Print_Area" localSheetId="6">บึงกาฬ!$A$1:$P$828</definedName>
    <definedName name="_xlnm.Print_Area" localSheetId="7">บุรีรัมย์!$A$1:$P$828</definedName>
    <definedName name="_xlnm.Print_Area" localSheetId="8">มหาสารคาม!$A$1:$P$828</definedName>
    <definedName name="_xlnm.Print_Area" localSheetId="9">มุกดาหาร!$A$1:$P$828</definedName>
    <definedName name="_xlnm.Print_Area" localSheetId="10">ยโสธร!$A$1:$P$828</definedName>
    <definedName name="_xlnm.Print_Area" localSheetId="0">รวมตะวันออกเฉียงเหนือ!$A$1:$P$828</definedName>
    <definedName name="_xlnm.Print_Area" localSheetId="11">ร้อยเอ็ด!$A$1:$P$828</definedName>
    <definedName name="_xlnm.Print_Area" localSheetId="12">เลย!$A$1:$P$828</definedName>
    <definedName name="_xlnm.Print_Area" localSheetId="13">ศรีสะเกษ!$A$1:$P$828</definedName>
    <definedName name="_xlnm.Print_Area" localSheetId="14">สกลนคร!$A$1:$P$828</definedName>
    <definedName name="_xlnm.Print_Area" localSheetId="15">สุรินทร์!$A$1:$P$828</definedName>
    <definedName name="_xlnm.Print_Area" localSheetId="16">หนองคาย!$A$1:$P$828</definedName>
    <definedName name="_xlnm.Print_Area" localSheetId="17">หนองบัวลำภู!$A$1:$P$828</definedName>
    <definedName name="_xlnm.Print_Area" localSheetId="18">อำนาจเจริญ!$A$1:$P$828</definedName>
    <definedName name="_xlnm.Print_Area" localSheetId="19">อุดรธานี!$A$1:$P$828</definedName>
    <definedName name="_xlnm.Print_Area" localSheetId="20">อุบลราชธานี!$A$1:$P$828</definedName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79021"/>
</workbook>
</file>

<file path=xl/calcChain.xml><?xml version="1.0" encoding="utf-8"?>
<calcChain xmlns="http://schemas.openxmlformats.org/spreadsheetml/2006/main">
  <c r="J343" i="19" l="1"/>
  <c r="J342" i="19"/>
  <c r="J341" i="19"/>
  <c r="J340" i="19"/>
  <c r="J338" i="19"/>
  <c r="J828" i="21"/>
  <c r="I828" i="21"/>
  <c r="J827" i="21"/>
  <c r="I827" i="21"/>
  <c r="J826" i="21"/>
  <c r="I826" i="21"/>
  <c r="J825" i="21"/>
  <c r="I825" i="21"/>
  <c r="J824" i="21"/>
  <c r="I824" i="21"/>
  <c r="J823" i="21"/>
  <c r="I823" i="21"/>
  <c r="J822" i="21"/>
  <c r="I822" i="21"/>
  <c r="J821" i="21"/>
  <c r="I821" i="21"/>
  <c r="H820" i="21"/>
  <c r="P817" i="21"/>
  <c r="O817" i="21"/>
  <c r="P816" i="21"/>
  <c r="O816" i="21"/>
  <c r="N815" i="21"/>
  <c r="M815" i="21"/>
  <c r="P815" i="21" s="1"/>
  <c r="L815" i="21"/>
  <c r="O815" i="21" s="1"/>
  <c r="P810" i="21"/>
  <c r="O810" i="21"/>
  <c r="N810" i="21"/>
  <c r="N808" i="21" s="1"/>
  <c r="P809" i="21"/>
  <c r="O809" i="21"/>
  <c r="P808" i="21"/>
  <c r="O808" i="21"/>
  <c r="M808" i="21"/>
  <c r="L808" i="21"/>
  <c r="P807" i="21"/>
  <c r="O807" i="21"/>
  <c r="N807" i="21"/>
  <c r="N805" i="21" s="1"/>
  <c r="M807" i="21"/>
  <c r="L807" i="21"/>
  <c r="O806" i="21"/>
  <c r="N806" i="21"/>
  <c r="M806" i="21"/>
  <c r="P806" i="21" s="1"/>
  <c r="L806" i="21"/>
  <c r="L805" i="21"/>
  <c r="O805" i="21" s="1"/>
  <c r="K804" i="21"/>
  <c r="J804" i="21"/>
  <c r="J803" i="21"/>
  <c r="I803" i="21"/>
  <c r="K803" i="21" s="1"/>
  <c r="J802" i="21"/>
  <c r="J801" i="21"/>
  <c r="I801" i="21"/>
  <c r="J800" i="21"/>
  <c r="P798" i="21"/>
  <c r="O798" i="21"/>
  <c r="P797" i="21"/>
  <c r="O797" i="21"/>
  <c r="O796" i="21"/>
  <c r="N796" i="21"/>
  <c r="M796" i="21"/>
  <c r="P796" i="21" s="1"/>
  <c r="L796" i="21"/>
  <c r="N795" i="21"/>
  <c r="N791" i="21"/>
  <c r="L791" i="21"/>
  <c r="L788" i="21" s="1"/>
  <c r="O788" i="21" s="1"/>
  <c r="P790" i="21"/>
  <c r="O790" i="21"/>
  <c r="N789" i="21"/>
  <c r="N788" i="21"/>
  <c r="N787" i="21"/>
  <c r="N786" i="21" s="1"/>
  <c r="M787" i="21"/>
  <c r="P787" i="21" s="1"/>
  <c r="L787" i="21"/>
  <c r="O787" i="21" s="1"/>
  <c r="P782" i="21"/>
  <c r="O782" i="21"/>
  <c r="P781" i="21"/>
  <c r="O781" i="21"/>
  <c r="N780" i="21"/>
  <c r="M780" i="21"/>
  <c r="P780" i="21" s="1"/>
  <c r="L780" i="21"/>
  <c r="O780" i="21" s="1"/>
  <c r="P775" i="21"/>
  <c r="O775" i="21"/>
  <c r="N775" i="21"/>
  <c r="N773" i="21" s="1"/>
  <c r="P774" i="21"/>
  <c r="O774" i="21"/>
  <c r="P773" i="21"/>
  <c r="O773" i="21"/>
  <c r="M773" i="21"/>
  <c r="L773" i="21"/>
  <c r="P772" i="21"/>
  <c r="O772" i="21"/>
  <c r="N772" i="21"/>
  <c r="N770" i="21" s="1"/>
  <c r="M772" i="21"/>
  <c r="L772" i="21"/>
  <c r="O771" i="21"/>
  <c r="N771" i="21"/>
  <c r="M771" i="21"/>
  <c r="P771" i="21" s="1"/>
  <c r="L771" i="21"/>
  <c r="L770" i="21"/>
  <c r="O770" i="21" s="1"/>
  <c r="K769" i="21"/>
  <c r="J769" i="21"/>
  <c r="P766" i="21"/>
  <c r="O766" i="21"/>
  <c r="P765" i="21"/>
  <c r="O765" i="21"/>
  <c r="N764" i="21"/>
  <c r="M764" i="21"/>
  <c r="P764" i="21" s="1"/>
  <c r="L764" i="21"/>
  <c r="O764" i="21" s="1"/>
  <c r="P759" i="21"/>
  <c r="O759" i="21"/>
  <c r="N759" i="21"/>
  <c r="N757" i="21" s="1"/>
  <c r="P758" i="21"/>
  <c r="O758" i="21"/>
  <c r="P757" i="21"/>
  <c r="O757" i="21"/>
  <c r="M757" i="21"/>
  <c r="L757" i="21"/>
  <c r="P756" i="21"/>
  <c r="O756" i="21"/>
  <c r="N756" i="21"/>
  <c r="N754" i="21" s="1"/>
  <c r="M756" i="21"/>
  <c r="L756" i="21"/>
  <c r="O755" i="21"/>
  <c r="N755" i="21"/>
  <c r="M755" i="21"/>
  <c r="P755" i="21" s="1"/>
  <c r="L755" i="21"/>
  <c r="L754" i="21"/>
  <c r="O754" i="21" s="1"/>
  <c r="K753" i="21"/>
  <c r="J753" i="21"/>
  <c r="P749" i="21"/>
  <c r="O749" i="21"/>
  <c r="P748" i="21"/>
  <c r="O748" i="21"/>
  <c r="N747" i="21"/>
  <c r="M747" i="21"/>
  <c r="P747" i="21" s="1"/>
  <c r="L747" i="21"/>
  <c r="O747" i="21" s="1"/>
  <c r="P742" i="21"/>
  <c r="O742" i="21"/>
  <c r="N742" i="21"/>
  <c r="N740" i="21" s="1"/>
  <c r="P741" i="21"/>
  <c r="O741" i="21"/>
  <c r="P740" i="21"/>
  <c r="O740" i="21"/>
  <c r="M740" i="21"/>
  <c r="L740" i="21"/>
  <c r="P739" i="21"/>
  <c r="O739" i="21"/>
  <c r="N739" i="21"/>
  <c r="N737" i="21" s="1"/>
  <c r="M739" i="21"/>
  <c r="L739" i="21"/>
  <c r="O738" i="21"/>
  <c r="N738" i="21"/>
  <c r="M738" i="21"/>
  <c r="P738" i="21" s="1"/>
  <c r="L738" i="21"/>
  <c r="L737" i="21"/>
  <c r="O737" i="21" s="1"/>
  <c r="K736" i="21"/>
  <c r="J736" i="21"/>
  <c r="J729" i="21"/>
  <c r="I729" i="21"/>
  <c r="K729" i="21" s="1"/>
  <c r="J728" i="21"/>
  <c r="I728" i="21"/>
  <c r="K728" i="21" s="1"/>
  <c r="J727" i="21"/>
  <c r="J726" i="21"/>
  <c r="I726" i="21"/>
  <c r="K726" i="21" s="1"/>
  <c r="J725" i="21"/>
  <c r="I725" i="21"/>
  <c r="K725" i="21" s="1"/>
  <c r="J724" i="21"/>
  <c r="J723" i="21"/>
  <c r="I723" i="21"/>
  <c r="K723" i="21" s="1"/>
  <c r="I722" i="21"/>
  <c r="K722" i="21" s="1"/>
  <c r="I721" i="21"/>
  <c r="K721" i="21" s="1"/>
  <c r="J720" i="21"/>
  <c r="I720" i="21"/>
  <c r="K720" i="21" s="1"/>
  <c r="J719" i="21"/>
  <c r="J718" i="21"/>
  <c r="J708" i="21"/>
  <c r="I708" i="21"/>
  <c r="K708" i="21" s="1"/>
  <c r="I707" i="21"/>
  <c r="I704" i="21"/>
  <c r="J701" i="21"/>
  <c r="I701" i="21"/>
  <c r="K701" i="21" s="1"/>
  <c r="J700" i="21"/>
  <c r="I700" i="21"/>
  <c r="J699" i="21"/>
  <c r="I699" i="21"/>
  <c r="P697" i="21"/>
  <c r="O697" i="21"/>
  <c r="P696" i="21"/>
  <c r="O696" i="21"/>
  <c r="O695" i="21"/>
  <c r="N695" i="21"/>
  <c r="M695" i="21"/>
  <c r="P695" i="21" s="1"/>
  <c r="L695" i="21"/>
  <c r="N690" i="21"/>
  <c r="L690" i="21"/>
  <c r="M690" i="21" s="1"/>
  <c r="M688" i="21" s="1"/>
  <c r="P688" i="21" s="1"/>
  <c r="O686" i="21"/>
  <c r="N686" i="21"/>
  <c r="M686" i="21"/>
  <c r="P686" i="21" s="1"/>
  <c r="L686" i="21"/>
  <c r="J679" i="21"/>
  <c r="J678" i="21"/>
  <c r="I678" i="21"/>
  <c r="K678" i="21" s="1"/>
  <c r="J675" i="21"/>
  <c r="J669" i="21" s="1"/>
  <c r="J654" i="21" s="1"/>
  <c r="I671" i="21"/>
  <c r="K671" i="21" s="1"/>
  <c r="I670" i="21"/>
  <c r="K670" i="21" s="1"/>
  <c r="I669" i="21"/>
  <c r="K672" i="21" s="1"/>
  <c r="P667" i="21"/>
  <c r="O667" i="21"/>
  <c r="P666" i="21"/>
  <c r="O666" i="21"/>
  <c r="O665" i="21"/>
  <c r="N665" i="21"/>
  <c r="M665" i="21"/>
  <c r="P665" i="21" s="1"/>
  <c r="L665" i="21"/>
  <c r="N660" i="21"/>
  <c r="N658" i="21" s="1"/>
  <c r="L660" i="21"/>
  <c r="O660" i="21" s="1"/>
  <c r="P659" i="21"/>
  <c r="O659" i="21"/>
  <c r="N657" i="21"/>
  <c r="O656" i="21"/>
  <c r="N656" i="21"/>
  <c r="M656" i="21"/>
  <c r="L656" i="21"/>
  <c r="N655" i="21"/>
  <c r="K652" i="21"/>
  <c r="J652" i="21"/>
  <c r="A652" i="21"/>
  <c r="J651" i="21"/>
  <c r="J628" i="21" s="1"/>
  <c r="I651" i="21"/>
  <c r="I628" i="21" s="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O641" i="21" s="1"/>
  <c r="P640" i="21"/>
  <c r="O640" i="21"/>
  <c r="N639" i="21"/>
  <c r="M639" i="21"/>
  <c r="P639" i="21" s="1"/>
  <c r="N638" i="21"/>
  <c r="N637" i="21"/>
  <c r="N634" i="21"/>
  <c r="N632" i="21" s="1"/>
  <c r="L634" i="21"/>
  <c r="O634" i="21" s="1"/>
  <c r="P633" i="21"/>
  <c r="O633" i="21"/>
  <c r="N631" i="21"/>
  <c r="O630" i="21"/>
  <c r="N630" i="21"/>
  <c r="M630" i="21"/>
  <c r="L630" i="21"/>
  <c r="N629" i="21"/>
  <c r="J621" i="21"/>
  <c r="I621" i="21"/>
  <c r="K621" i="21" s="1"/>
  <c r="J620" i="21"/>
  <c r="I620" i="21"/>
  <c r="K620" i="21" s="1"/>
  <c r="K613" i="21"/>
  <c r="J613" i="21"/>
  <c r="K612" i="21"/>
  <c r="J612" i="21"/>
  <c r="K611" i="21"/>
  <c r="J611" i="21"/>
  <c r="J604" i="21"/>
  <c r="J603" i="21"/>
  <c r="J596" i="21"/>
  <c r="J595" i="21"/>
  <c r="I594" i="21"/>
  <c r="J593" i="21"/>
  <c r="I593" i="21"/>
  <c r="I592" i="21" s="1"/>
  <c r="J583" i="21"/>
  <c r="J582" i="21"/>
  <c r="J576" i="21" s="1"/>
  <c r="J559" i="21" s="1"/>
  <c r="J543" i="21" s="1"/>
  <c r="J577" i="21"/>
  <c r="I577" i="21"/>
  <c r="I576" i="21"/>
  <c r="I559" i="21" s="1"/>
  <c r="J569" i="21"/>
  <c r="I569" i="21"/>
  <c r="J568" i="21"/>
  <c r="I568" i="21"/>
  <c r="K568" i="21" s="1"/>
  <c r="J561" i="21"/>
  <c r="I561" i="21"/>
  <c r="J560" i="21"/>
  <c r="I560" i="21"/>
  <c r="K560" i="21" s="1"/>
  <c r="P557" i="21"/>
  <c r="L557" i="21"/>
  <c r="O557" i="21" s="1"/>
  <c r="P556" i="21"/>
  <c r="O556" i="21"/>
  <c r="N555" i="21"/>
  <c r="M555" i="21"/>
  <c r="P555" i="21" s="1"/>
  <c r="N553" i="21"/>
  <c r="N552" i="21"/>
  <c r="N549" i="21"/>
  <c r="N547" i="21" s="1"/>
  <c r="L549" i="21"/>
  <c r="O549" i="21" s="1"/>
  <c r="P548" i="21"/>
  <c r="O548" i="21"/>
  <c r="N546" i="21"/>
  <c r="O545" i="21"/>
  <c r="N545" i="21"/>
  <c r="M545" i="21"/>
  <c r="L545" i="21"/>
  <c r="N544" i="21"/>
  <c r="I542" i="21"/>
  <c r="K542" i="21" s="1"/>
  <c r="I541" i="21"/>
  <c r="K541" i="21" s="1"/>
  <c r="I540" i="21"/>
  <c r="K540" i="21" s="1"/>
  <c r="I539" i="21"/>
  <c r="K539" i="21" s="1"/>
  <c r="I538" i="21"/>
  <c r="K538" i="21" s="1"/>
  <c r="I537" i="21"/>
  <c r="P535" i="21"/>
  <c r="L535" i="21"/>
  <c r="O535" i="21" s="1"/>
  <c r="P534" i="21"/>
  <c r="O534" i="21"/>
  <c r="P533" i="21"/>
  <c r="N533" i="21"/>
  <c r="M533" i="21"/>
  <c r="L533" i="21"/>
  <c r="O533" i="21" s="1"/>
  <c r="P528" i="21"/>
  <c r="N528" i="21"/>
  <c r="L528" i="21"/>
  <c r="L526" i="21" s="1"/>
  <c r="O526" i="21" s="1"/>
  <c r="P527" i="21"/>
  <c r="O527" i="21"/>
  <c r="N526" i="21"/>
  <c r="M526" i="21"/>
  <c r="P526" i="21" s="1"/>
  <c r="P525" i="21"/>
  <c r="N525" i="21"/>
  <c r="N523" i="21" s="1"/>
  <c r="M525" i="21"/>
  <c r="O524" i="21"/>
  <c r="N524" i="21"/>
  <c r="M524" i="21"/>
  <c r="L524" i="21"/>
  <c r="K517" i="21"/>
  <c r="J517" i="21"/>
  <c r="K516" i="21"/>
  <c r="P514" i="21"/>
  <c r="O514" i="21"/>
  <c r="P513" i="21"/>
  <c r="O513" i="21"/>
  <c r="O512" i="21"/>
  <c r="N512" i="21"/>
  <c r="M512" i="21"/>
  <c r="P512" i="21" s="1"/>
  <c r="L512" i="21"/>
  <c r="P507" i="21"/>
  <c r="O507" i="21"/>
  <c r="N507" i="21"/>
  <c r="P506" i="21"/>
  <c r="O506" i="21"/>
  <c r="O505" i="21"/>
  <c r="M505" i="21"/>
  <c r="P505" i="21" s="1"/>
  <c r="L505" i="21"/>
  <c r="P504" i="21"/>
  <c r="M504" i="21"/>
  <c r="L504" i="21"/>
  <c r="O503" i="21"/>
  <c r="N503" i="21"/>
  <c r="M503" i="21"/>
  <c r="P503" i="21" s="1"/>
  <c r="L503" i="21"/>
  <c r="K501" i="21"/>
  <c r="J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L477" i="21" s="1"/>
  <c r="O477" i="21" s="1"/>
  <c r="P478" i="21"/>
  <c r="O478" i="21"/>
  <c r="P477" i="21"/>
  <c r="N477" i="21"/>
  <c r="M477" i="21"/>
  <c r="N476" i="21"/>
  <c r="N475" i="21"/>
  <c r="N472" i="21" s="1"/>
  <c r="L472" i="21"/>
  <c r="M472" i="21" s="1"/>
  <c r="M470" i="21" s="1"/>
  <c r="P471" i="21"/>
  <c r="O471" i="21"/>
  <c r="P468" i="21"/>
  <c r="N468" i="21"/>
  <c r="M468" i="21"/>
  <c r="L468" i="21"/>
  <c r="J466" i="21"/>
  <c r="I466" i="21"/>
  <c r="K466" i="21" s="1"/>
  <c r="J465" i="21"/>
  <c r="I465" i="21"/>
  <c r="I464" i="21"/>
  <c r="K464" i="21" s="1"/>
  <c r="I463" i="21"/>
  <c r="K463" i="21" s="1"/>
  <c r="I462" i="21"/>
  <c r="I443" i="21" s="1"/>
  <c r="K443" i="21" s="1"/>
  <c r="I460" i="21"/>
  <c r="K460" i="21" s="1"/>
  <c r="K458" i="21"/>
  <c r="P456" i="21"/>
  <c r="L456" i="21"/>
  <c r="P455" i="21"/>
  <c r="O455" i="21"/>
  <c r="P454" i="21"/>
  <c r="N454" i="21"/>
  <c r="M454" i="21"/>
  <c r="L454" i="21"/>
  <c r="O454" i="21" s="1"/>
  <c r="N453" i="21"/>
  <c r="N452" i="21"/>
  <c r="N449" i="21" s="1"/>
  <c r="L449" i="21"/>
  <c r="M449" i="21" s="1"/>
  <c r="P448" i="21"/>
  <c r="O448" i="21"/>
  <c r="P445" i="21"/>
  <c r="N445" i="21"/>
  <c r="M445" i="21"/>
  <c r="L445" i="21"/>
  <c r="J443" i="21"/>
  <c r="J442" i="21"/>
  <c r="I441" i="21"/>
  <c r="K441" i="21" s="1"/>
  <c r="I440" i="21"/>
  <c r="K440" i="21" s="1"/>
  <c r="I439" i="21"/>
  <c r="K439" i="21" s="1"/>
  <c r="I438" i="21"/>
  <c r="I437" i="21"/>
  <c r="K437" i="21" s="1"/>
  <c r="I435" i="21"/>
  <c r="K435" i="21" s="1"/>
  <c r="J434" i="21"/>
  <c r="P431" i="21"/>
  <c r="L431" i="21"/>
  <c r="O431" i="21" s="1"/>
  <c r="P430" i="21"/>
  <c r="O430" i="21"/>
  <c r="N429" i="21"/>
  <c r="M429" i="21"/>
  <c r="P429" i="21" s="1"/>
  <c r="N428" i="21"/>
  <c r="N424" i="21" s="1"/>
  <c r="N425" i="21"/>
  <c r="L424" i="21"/>
  <c r="P423" i="21"/>
  <c r="O423" i="21"/>
  <c r="O420" i="21"/>
  <c r="N420" i="21"/>
  <c r="M420" i="21"/>
  <c r="P420" i="21" s="1"/>
  <c r="L420" i="21"/>
  <c r="J418" i="21"/>
  <c r="K413" i="21"/>
  <c r="K412" i="21"/>
  <c r="N410" i="21"/>
  <c r="N408" i="21" s="1"/>
  <c r="M410" i="21"/>
  <c r="P410" i="21" s="1"/>
  <c r="L410" i="21"/>
  <c r="O410" i="21" s="1"/>
  <c r="P409" i="21"/>
  <c r="O409" i="21"/>
  <c r="N407" i="21"/>
  <c r="N405" i="21" s="1"/>
  <c r="M407" i="21"/>
  <c r="L407" i="21"/>
  <c r="O407" i="21" s="1"/>
  <c r="P406" i="21"/>
  <c r="O406" i="21"/>
  <c r="O403" i="21"/>
  <c r="N403" i="21"/>
  <c r="M403" i="21"/>
  <c r="L403" i="21"/>
  <c r="K401" i="21"/>
  <c r="J401" i="21"/>
  <c r="I401" i="21"/>
  <c r="K400" i="21"/>
  <c r="K399" i="21"/>
  <c r="N397" i="21"/>
  <c r="N395" i="21" s="1"/>
  <c r="M397" i="21"/>
  <c r="P397" i="21" s="1"/>
  <c r="L397" i="21"/>
  <c r="P396" i="21"/>
  <c r="O396" i="21"/>
  <c r="N394" i="21"/>
  <c r="N392" i="21" s="1"/>
  <c r="M394" i="21"/>
  <c r="L394" i="21"/>
  <c r="P393" i="21"/>
  <c r="O393" i="21"/>
  <c r="O390" i="21"/>
  <c r="N390" i="21"/>
  <c r="M390" i="21"/>
  <c r="P390" i="21" s="1"/>
  <c r="L390" i="21"/>
  <c r="J388" i="21"/>
  <c r="I388" i="21"/>
  <c r="K388" i="21" s="1"/>
  <c r="J385" i="21"/>
  <c r="I385" i="21"/>
  <c r="D384" i="21"/>
  <c r="K382" i="21"/>
  <c r="J382" i="21"/>
  <c r="A382" i="21"/>
  <c r="J381" i="2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A373" i="21"/>
  <c r="J372" i="21"/>
  <c r="J365" i="21" s="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J355" i="21" s="1"/>
  <c r="I362" i="21"/>
  <c r="K361" i="21"/>
  <c r="J361" i="21"/>
  <c r="J360" i="21"/>
  <c r="I360" i="21"/>
  <c r="J359" i="21"/>
  <c r="I359" i="21"/>
  <c r="K358" i="21"/>
  <c r="J358" i="21"/>
  <c r="I355" i="21"/>
  <c r="N353" i="21"/>
  <c r="N351" i="21" s="1"/>
  <c r="M353" i="21"/>
  <c r="M351" i="21" s="1"/>
  <c r="L353" i="21"/>
  <c r="L351" i="21" s="1"/>
  <c r="P352" i="21"/>
  <c r="O352" i="21"/>
  <c r="N350" i="21"/>
  <c r="N348" i="21" s="1"/>
  <c r="M350" i="21"/>
  <c r="M348" i="21" s="1"/>
  <c r="L350" i="21"/>
  <c r="P349" i="21"/>
  <c r="O349" i="21"/>
  <c r="P346" i="21"/>
  <c r="N346" i="21"/>
  <c r="M346" i="21"/>
  <c r="L346" i="21"/>
  <c r="J343" i="21"/>
  <c r="J342" i="21"/>
  <c r="J341" i="21"/>
  <c r="J340" i="21"/>
  <c r="I340" i="21"/>
  <c r="J338" i="21"/>
  <c r="I338" i="21"/>
  <c r="D337" i="21"/>
  <c r="N336" i="21"/>
  <c r="N334" i="21" s="1"/>
  <c r="M336" i="21"/>
  <c r="P336" i="21" s="1"/>
  <c r="L336" i="21"/>
  <c r="L334" i="21" s="1"/>
  <c r="O334" i="21" s="1"/>
  <c r="P335" i="21"/>
  <c r="O335" i="21"/>
  <c r="N333" i="21"/>
  <c r="N331" i="21" s="1"/>
  <c r="M333" i="21"/>
  <c r="M331" i="21" s="1"/>
  <c r="L333" i="21"/>
  <c r="L331" i="21" s="1"/>
  <c r="P332" i="21"/>
  <c r="O332" i="21"/>
  <c r="N329" i="21"/>
  <c r="M329" i="21"/>
  <c r="P329" i="21" s="1"/>
  <c r="L329" i="21"/>
  <c r="O329" i="21" s="1"/>
  <c r="I327" i="21"/>
  <c r="I325" i="21"/>
  <c r="I314" i="21" s="1"/>
  <c r="K314" i="21" s="1"/>
  <c r="N323" i="21"/>
  <c r="N321" i="21" s="1"/>
  <c r="M323" i="21"/>
  <c r="P323" i="21" s="1"/>
  <c r="L323" i="21"/>
  <c r="P322" i="21"/>
  <c r="O322" i="21"/>
  <c r="N320" i="21"/>
  <c r="N318" i="21" s="1"/>
  <c r="M320" i="21"/>
  <c r="L320" i="21"/>
  <c r="O320" i="21" s="1"/>
  <c r="P319" i="21"/>
  <c r="O319" i="21"/>
  <c r="O316" i="21"/>
  <c r="N316" i="21"/>
  <c r="M316" i="21"/>
  <c r="L316" i="21"/>
  <c r="J314" i="21"/>
  <c r="I312" i="21"/>
  <c r="K312" i="21" s="1"/>
  <c r="I311" i="21"/>
  <c r="K311" i="21" s="1"/>
  <c r="I310" i="21"/>
  <c r="K310" i="21" s="1"/>
  <c r="I309" i="21"/>
  <c r="K309" i="21" s="1"/>
  <c r="N306" i="21"/>
  <c r="N304" i="21" s="1"/>
  <c r="M306" i="21"/>
  <c r="L306" i="21"/>
  <c r="O306" i="21" s="1"/>
  <c r="P305" i="21"/>
  <c r="O305" i="21"/>
  <c r="N303" i="21"/>
  <c r="N301" i="21" s="1"/>
  <c r="M303" i="21"/>
  <c r="L303" i="21"/>
  <c r="L301" i="21" s="1"/>
  <c r="P302" i="21"/>
  <c r="O302" i="21"/>
  <c r="N299" i="21"/>
  <c r="M299" i="21"/>
  <c r="P299" i="21" s="1"/>
  <c r="L299" i="21"/>
  <c r="J297" i="21"/>
  <c r="I294" i="21"/>
  <c r="K294" i="21" s="1"/>
  <c r="I293" i="21"/>
  <c r="K293" i="21" s="1"/>
  <c r="I291" i="21"/>
  <c r="K291" i="21" s="1"/>
  <c r="I290" i="21"/>
  <c r="K290" i="21" s="1"/>
  <c r="I288" i="21"/>
  <c r="J288" i="21" s="1"/>
  <c r="K288" i="21" s="1"/>
  <c r="I287" i="21"/>
  <c r="K287" i="21" s="1"/>
  <c r="N285" i="21"/>
  <c r="N283" i="21" s="1"/>
  <c r="M285" i="21"/>
  <c r="P285" i="21" s="1"/>
  <c r="L285" i="21"/>
  <c r="L283" i="21" s="1"/>
  <c r="O283" i="21" s="1"/>
  <c r="P284" i="21"/>
  <c r="O284" i="21"/>
  <c r="N282" i="21"/>
  <c r="M282" i="21"/>
  <c r="M280" i="21" s="1"/>
  <c r="L282" i="21"/>
  <c r="L280" i="21" s="1"/>
  <c r="P281" i="21"/>
  <c r="O281" i="21"/>
  <c r="O278" i="21"/>
  <c r="N278" i="21"/>
  <c r="M278" i="21"/>
  <c r="P278" i="21" s="1"/>
  <c r="L278" i="21"/>
  <c r="J276" i="21"/>
  <c r="I271" i="21"/>
  <c r="K271" i="21" s="1"/>
  <c r="N269" i="21"/>
  <c r="N267" i="21" s="1"/>
  <c r="M269" i="21"/>
  <c r="L269" i="21"/>
  <c r="O269" i="21" s="1"/>
  <c r="P268" i="21"/>
  <c r="O268" i="21"/>
  <c r="N266" i="21"/>
  <c r="N264" i="21" s="1"/>
  <c r="M266" i="21"/>
  <c r="L266" i="21"/>
  <c r="L264" i="21" s="1"/>
  <c r="P265" i="21"/>
  <c r="O265" i="21"/>
  <c r="N262" i="21"/>
  <c r="M262" i="21"/>
  <c r="P262" i="21" s="1"/>
  <c r="L262" i="21"/>
  <c r="O262" i="21" s="1"/>
  <c r="J260" i="21"/>
  <c r="K258" i="21"/>
  <c r="K257" i="21"/>
  <c r="I255" i="21"/>
  <c r="K255" i="21" s="1"/>
  <c r="L253" i="21"/>
  <c r="L252" i="21"/>
  <c r="L251" i="21"/>
  <c r="L250" i="21"/>
  <c r="P249" i="21"/>
  <c r="N249" i="21"/>
  <c r="J248" i="21"/>
  <c r="K247" i="21"/>
  <c r="K246" i="21"/>
  <c r="I244" i="21"/>
  <c r="I237" i="21" s="1"/>
  <c r="K237" i="21" s="1"/>
  <c r="L242" i="21"/>
  <c r="L241" i="21"/>
  <c r="L240" i="21"/>
  <c r="L239" i="21"/>
  <c r="P238" i="21"/>
  <c r="N238" i="21"/>
  <c r="N227" i="21" s="1"/>
  <c r="J237" i="21"/>
  <c r="J236" i="21"/>
  <c r="I236" i="21"/>
  <c r="K236" i="21" s="1"/>
  <c r="K235" i="21"/>
  <c r="J235" i="21"/>
  <c r="I235" i="21"/>
  <c r="J233" i="21"/>
  <c r="N231" i="21"/>
  <c r="N230" i="21"/>
  <c r="N229" i="21"/>
  <c r="N228" i="21"/>
  <c r="J226" i="21"/>
  <c r="J180" i="21" s="1"/>
  <c r="I225" i="21"/>
  <c r="K225" i="21" s="1"/>
  <c r="I224" i="21"/>
  <c r="K224" i="21" s="1"/>
  <c r="I223" i="21"/>
  <c r="K223" i="21" s="1"/>
  <c r="L220" i="21"/>
  <c r="L219" i="21"/>
  <c r="L218" i="21"/>
  <c r="P217" i="21"/>
  <c r="N217" i="21"/>
  <c r="J216" i="21"/>
  <c r="I215" i="21"/>
  <c r="I208" i="21" s="1"/>
  <c r="K208" i="21" s="1"/>
  <c r="I214" i="21"/>
  <c r="K214" i="21" s="1"/>
  <c r="L212" i="21"/>
  <c r="L211" i="21"/>
  <c r="L210" i="21"/>
  <c r="P209" i="21"/>
  <c r="N209" i="21"/>
  <c r="J208" i="21"/>
  <c r="K207" i="21"/>
  <c r="K206" i="21"/>
  <c r="I204" i="21"/>
  <c r="L202" i="21"/>
  <c r="L201" i="21"/>
  <c r="L200" i="21"/>
  <c r="L199" i="21"/>
  <c r="P198" i="21"/>
  <c r="N198" i="21"/>
  <c r="J197" i="21"/>
  <c r="J194" i="21"/>
  <c r="I193" i="21"/>
  <c r="K193" i="21" s="1"/>
  <c r="P191" i="21"/>
  <c r="L191" i="21"/>
  <c r="O191" i="21" s="1"/>
  <c r="J190" i="21"/>
  <c r="N189" i="21"/>
  <c r="N187" i="21" s="1"/>
  <c r="M189" i="21"/>
  <c r="P189" i="21" s="1"/>
  <c r="L189" i="21"/>
  <c r="O189" i="21" s="1"/>
  <c r="P188" i="21"/>
  <c r="O188" i="21"/>
  <c r="N186" i="21"/>
  <c r="M186" i="21"/>
  <c r="M184" i="21" s="1"/>
  <c r="L186" i="21"/>
  <c r="P185" i="21"/>
  <c r="O185" i="21"/>
  <c r="P182" i="21"/>
  <c r="N182" i="21"/>
  <c r="M182" i="21"/>
  <c r="L182" i="21"/>
  <c r="J177" i="21"/>
  <c r="I176" i="21"/>
  <c r="I174" i="21" s="1"/>
  <c r="J174" i="21"/>
  <c r="N173" i="21"/>
  <c r="N171" i="21" s="1"/>
  <c r="M173" i="21"/>
  <c r="P173" i="21" s="1"/>
  <c r="L173" i="21"/>
  <c r="O173" i="21" s="1"/>
  <c r="P172" i="21"/>
  <c r="O172" i="21"/>
  <c r="N170" i="21"/>
  <c r="M170" i="21"/>
  <c r="M168" i="21" s="1"/>
  <c r="L170" i="21"/>
  <c r="L168" i="21" s="1"/>
  <c r="P169" i="21"/>
  <c r="O169" i="21"/>
  <c r="P166" i="21"/>
  <c r="N166" i="21"/>
  <c r="M166" i="21"/>
  <c r="L166" i="21"/>
  <c r="J164" i="21"/>
  <c r="I159" i="21"/>
  <c r="K159" i="21" s="1"/>
  <c r="N157" i="21"/>
  <c r="N155" i="21" s="1"/>
  <c r="M157" i="21"/>
  <c r="L157" i="21"/>
  <c r="O157" i="21" s="1"/>
  <c r="P156" i="21"/>
  <c r="O156" i="21"/>
  <c r="N154" i="21"/>
  <c r="N152" i="21" s="1"/>
  <c r="M154" i="21"/>
  <c r="L154" i="21"/>
  <c r="O154" i="21" s="1"/>
  <c r="P153" i="21"/>
  <c r="O153" i="21"/>
  <c r="P150" i="21"/>
  <c r="N150" i="21"/>
  <c r="M150" i="21"/>
  <c r="L150" i="21"/>
  <c r="O150" i="21" s="1"/>
  <c r="J148" i="21"/>
  <c r="I146" i="21"/>
  <c r="K146" i="21" s="1"/>
  <c r="I145" i="21"/>
  <c r="I144" i="21"/>
  <c r="K144" i="21" s="1"/>
  <c r="N140" i="21"/>
  <c r="N138" i="21" s="1"/>
  <c r="M140" i="21"/>
  <c r="P140" i="21" s="1"/>
  <c r="L140" i="21"/>
  <c r="O140" i="21" s="1"/>
  <c r="P139" i="21"/>
  <c r="O139" i="21"/>
  <c r="N137" i="21"/>
  <c r="N135" i="21" s="1"/>
  <c r="M137" i="21"/>
  <c r="P137" i="21" s="1"/>
  <c r="L137" i="21"/>
  <c r="O137" i="21" s="1"/>
  <c r="P136" i="21"/>
  <c r="O136" i="21"/>
  <c r="P133" i="21"/>
  <c r="O133" i="21"/>
  <c r="N133" i="21"/>
  <c r="M133" i="21"/>
  <c r="L133" i="21"/>
  <c r="J130" i="21"/>
  <c r="N127" i="21"/>
  <c r="N125" i="21" s="1"/>
  <c r="M127" i="21"/>
  <c r="L127" i="21"/>
  <c r="O127" i="21" s="1"/>
  <c r="P126" i="21"/>
  <c r="O126" i="21"/>
  <c r="N124" i="21"/>
  <c r="M124" i="21"/>
  <c r="L124" i="21"/>
  <c r="P123" i="21"/>
  <c r="O123" i="21"/>
  <c r="P120" i="21"/>
  <c r="N120" i="21"/>
  <c r="M120" i="21"/>
  <c r="L120" i="21"/>
  <c r="O120" i="21" s="1"/>
  <c r="I116" i="21"/>
  <c r="K116" i="21" s="1"/>
  <c r="I115" i="21"/>
  <c r="K115" i="21" s="1"/>
  <c r="I114" i="21"/>
  <c r="K114" i="21" s="1"/>
  <c r="I113" i="21"/>
  <c r="K113" i="21" s="1"/>
  <c r="J112" i="21"/>
  <c r="J111" i="21"/>
  <c r="I111" i="21"/>
  <c r="K111" i="21" s="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J99" i="21"/>
  <c r="I99" i="21"/>
  <c r="I87" i="21" s="1"/>
  <c r="J98" i="21"/>
  <c r="I98" i="21"/>
  <c r="I86" i="21" s="1"/>
  <c r="K86" i="21" s="1"/>
  <c r="N96" i="21"/>
  <c r="N94" i="21" s="1"/>
  <c r="M96" i="21"/>
  <c r="P96" i="21" s="1"/>
  <c r="L96" i="21"/>
  <c r="O96" i="21" s="1"/>
  <c r="P95" i="21"/>
  <c r="O95" i="21"/>
  <c r="N93" i="21"/>
  <c r="M93" i="21"/>
  <c r="M91" i="21" s="1"/>
  <c r="L93" i="21"/>
  <c r="P92" i="21"/>
  <c r="O92" i="21"/>
  <c r="P89" i="21"/>
  <c r="N89" i="21"/>
  <c r="M89" i="21"/>
  <c r="L89" i="21"/>
  <c r="J86" i="21"/>
  <c r="I84" i="21"/>
  <c r="K84" i="21" s="1"/>
  <c r="I83" i="21"/>
  <c r="K83" i="21" s="1"/>
  <c r="I82" i="21"/>
  <c r="K82" i="21" s="1"/>
  <c r="I81" i="21"/>
  <c r="I80" i="21"/>
  <c r="K80" i="21" s="1"/>
  <c r="I79" i="21"/>
  <c r="K79" i="21" s="1"/>
  <c r="I78" i="21"/>
  <c r="K78" i="21" s="1"/>
  <c r="J77" i="21"/>
  <c r="J76" i="21"/>
  <c r="J64" i="21" s="1"/>
  <c r="N74" i="21"/>
  <c r="N72" i="21" s="1"/>
  <c r="M74" i="21"/>
  <c r="P74" i="21" s="1"/>
  <c r="L74" i="21"/>
  <c r="O74" i="21" s="1"/>
  <c r="P73" i="21"/>
  <c r="O73" i="21"/>
  <c r="N71" i="21"/>
  <c r="N69" i="21" s="1"/>
  <c r="M71" i="21"/>
  <c r="M69" i="21" s="1"/>
  <c r="L71" i="21"/>
  <c r="P70" i="21"/>
  <c r="O70" i="21"/>
  <c r="O67" i="21"/>
  <c r="N67" i="21"/>
  <c r="M67" i="21"/>
  <c r="L67" i="21"/>
  <c r="J65" i="21"/>
  <c r="N61" i="21"/>
  <c r="M61" i="21"/>
  <c r="L61" i="21"/>
  <c r="L59" i="21" s="1"/>
  <c r="P60" i="21"/>
  <c r="O60" i="21"/>
  <c r="N58" i="21"/>
  <c r="M58" i="21"/>
  <c r="L58" i="21"/>
  <c r="P57" i="21"/>
  <c r="O57" i="21"/>
  <c r="P54" i="21"/>
  <c r="N54" i="21"/>
  <c r="M54" i="21"/>
  <c r="L54" i="21"/>
  <c r="O54" i="21" s="1"/>
  <c r="N49" i="21"/>
  <c r="M49" i="21"/>
  <c r="P49" i="21" s="1"/>
  <c r="L49" i="21"/>
  <c r="O49" i="21" s="1"/>
  <c r="P48" i="21"/>
  <c r="O48" i="21"/>
  <c r="N46" i="21"/>
  <c r="N44" i="21" s="1"/>
  <c r="M46" i="21"/>
  <c r="M44" i="21" s="1"/>
  <c r="L46" i="21"/>
  <c r="L44" i="21" s="1"/>
  <c r="P45" i="21"/>
  <c r="O45" i="21"/>
  <c r="O42" i="21"/>
  <c r="N42" i="21"/>
  <c r="M42" i="21"/>
  <c r="L42" i="21"/>
  <c r="P36" i="21"/>
  <c r="N36" i="21"/>
  <c r="N34" i="21" s="1"/>
  <c r="M36" i="21"/>
  <c r="N35" i="21"/>
  <c r="M35" i="21"/>
  <c r="L35" i="21"/>
  <c r="L29" i="21" s="1"/>
  <c r="N33" i="21"/>
  <c r="P32" i="21"/>
  <c r="O32" i="21"/>
  <c r="N32" i="21"/>
  <c r="N29" i="21" s="1"/>
  <c r="N28" i="21" s="1"/>
  <c r="M32" i="21"/>
  <c r="L32" i="21"/>
  <c r="N30" i="21"/>
  <c r="P25" i="21"/>
  <c r="N25" i="21"/>
  <c r="N15" i="21" s="1"/>
  <c r="M25" i="21"/>
  <c r="L25" i="21"/>
  <c r="O22" i="21"/>
  <c r="N22" i="21"/>
  <c r="M22" i="21"/>
  <c r="P22" i="21" s="1"/>
  <c r="L22" i="21"/>
  <c r="N19" i="21"/>
  <c r="L19" i="21"/>
  <c r="M15" i="21"/>
  <c r="P15" i="21" s="1"/>
  <c r="N12" i="21"/>
  <c r="L12" i="21"/>
  <c r="J828" i="20"/>
  <c r="I828" i="20"/>
  <c r="J827" i="20"/>
  <c r="I827" i="20"/>
  <c r="J826" i="20"/>
  <c r="I826" i="20"/>
  <c r="J825" i="20"/>
  <c r="I825" i="20"/>
  <c r="J824" i="20"/>
  <c r="I824" i="20"/>
  <c r="J823" i="20"/>
  <c r="I823" i="20"/>
  <c r="J822" i="20"/>
  <c r="I822" i="20"/>
  <c r="J821" i="20"/>
  <c r="I821" i="20"/>
  <c r="H820" i="20"/>
  <c r="P817" i="20"/>
  <c r="O817" i="20"/>
  <c r="P816" i="20"/>
  <c r="O816" i="20"/>
  <c r="P815" i="20"/>
  <c r="N815" i="20"/>
  <c r="M815" i="20"/>
  <c r="L815" i="20"/>
  <c r="O815" i="20" s="1"/>
  <c r="P810" i="20"/>
  <c r="O810" i="20"/>
  <c r="N810" i="20"/>
  <c r="P809" i="20"/>
  <c r="O809" i="20"/>
  <c r="P808" i="20"/>
  <c r="N808" i="20"/>
  <c r="M808" i="20"/>
  <c r="L808" i="20"/>
  <c r="O808" i="20" s="1"/>
  <c r="O807" i="20"/>
  <c r="N807" i="20"/>
  <c r="M807" i="20"/>
  <c r="P807" i="20" s="1"/>
  <c r="L807" i="20"/>
  <c r="P806" i="20"/>
  <c r="N806" i="20"/>
  <c r="N805" i="20" s="1"/>
  <c r="M806" i="20"/>
  <c r="L806" i="20"/>
  <c r="O806" i="20" s="1"/>
  <c r="K804" i="20"/>
  <c r="J804" i="20"/>
  <c r="K802" i="20"/>
  <c r="J801" i="20"/>
  <c r="J800" i="20"/>
  <c r="J785" i="20" s="1"/>
  <c r="I800" i="20"/>
  <c r="I785" i="20" s="1"/>
  <c r="K785" i="20" s="1"/>
  <c r="P798" i="20"/>
  <c r="O798" i="20"/>
  <c r="P797" i="20"/>
  <c r="O797" i="20"/>
  <c r="O796" i="20"/>
  <c r="N796" i="20"/>
  <c r="M796" i="20"/>
  <c r="P796" i="20" s="1"/>
  <c r="L796" i="20"/>
  <c r="P791" i="20"/>
  <c r="N791" i="20"/>
  <c r="N788" i="20" s="1"/>
  <c r="L791" i="20"/>
  <c r="P790" i="20"/>
  <c r="O790" i="20"/>
  <c r="P789" i="20"/>
  <c r="N789" i="20"/>
  <c r="M789" i="20"/>
  <c r="L789" i="20"/>
  <c r="O789" i="20" s="1"/>
  <c r="M788" i="20"/>
  <c r="P788" i="20" s="1"/>
  <c r="P787" i="20"/>
  <c r="N787" i="20"/>
  <c r="N786" i="20" s="1"/>
  <c r="M787" i="20"/>
  <c r="L787" i="20"/>
  <c r="O787" i="20" s="1"/>
  <c r="P782" i="20"/>
  <c r="O782" i="20"/>
  <c r="P781" i="20"/>
  <c r="O781" i="20"/>
  <c r="O780" i="20"/>
  <c r="N780" i="20"/>
  <c r="M780" i="20"/>
  <c r="P780" i="20" s="1"/>
  <c r="L780" i="20"/>
  <c r="P775" i="20"/>
  <c r="O775" i="20"/>
  <c r="N775" i="20"/>
  <c r="N773" i="20" s="1"/>
  <c r="P774" i="20"/>
  <c r="O774" i="20"/>
  <c r="O773" i="20"/>
  <c r="M773" i="20"/>
  <c r="P773" i="20" s="1"/>
  <c r="L773" i="20"/>
  <c r="P772" i="20"/>
  <c r="N772" i="20"/>
  <c r="N770" i="20" s="1"/>
  <c r="M772" i="20"/>
  <c r="L772" i="20"/>
  <c r="O772" i="20" s="1"/>
  <c r="O771" i="20"/>
  <c r="N771" i="20"/>
  <c r="M771" i="20"/>
  <c r="P771" i="20" s="1"/>
  <c r="L771" i="20"/>
  <c r="L770" i="20"/>
  <c r="O770" i="20" s="1"/>
  <c r="K769" i="20"/>
  <c r="J769" i="20"/>
  <c r="P766" i="20"/>
  <c r="O766" i="20"/>
  <c r="P765" i="20"/>
  <c r="O765" i="20"/>
  <c r="O764" i="20"/>
  <c r="N764" i="20"/>
  <c r="M764" i="20"/>
  <c r="P764" i="20" s="1"/>
  <c r="L764" i="20"/>
  <c r="P759" i="20"/>
  <c r="O759" i="20"/>
  <c r="N759" i="20"/>
  <c r="P758" i="20"/>
  <c r="O758" i="20"/>
  <c r="O757" i="20"/>
  <c r="N757" i="20"/>
  <c r="M757" i="20"/>
  <c r="P757" i="20" s="1"/>
  <c r="L757" i="20"/>
  <c r="N756" i="20"/>
  <c r="N754" i="20" s="1"/>
  <c r="M756" i="20"/>
  <c r="P756" i="20" s="1"/>
  <c r="L756" i="20"/>
  <c r="O756" i="20" s="1"/>
  <c r="N755" i="20"/>
  <c r="M755" i="20"/>
  <c r="P755" i="20" s="1"/>
  <c r="L755" i="20"/>
  <c r="O755" i="20" s="1"/>
  <c r="L754" i="20"/>
  <c r="O754" i="20" s="1"/>
  <c r="K753" i="20"/>
  <c r="J753" i="20"/>
  <c r="P749" i="20"/>
  <c r="O749" i="20"/>
  <c r="P748" i="20"/>
  <c r="O748" i="20"/>
  <c r="P747" i="20"/>
  <c r="O747" i="20"/>
  <c r="N747" i="20"/>
  <c r="M747" i="20"/>
  <c r="L747" i="20"/>
  <c r="P742" i="20"/>
  <c r="O742" i="20"/>
  <c r="N742" i="20"/>
  <c r="P741" i="20"/>
  <c r="O741" i="20"/>
  <c r="O740" i="20"/>
  <c r="N740" i="20"/>
  <c r="M740" i="20"/>
  <c r="P740" i="20" s="1"/>
  <c r="L740" i="20"/>
  <c r="N739" i="20"/>
  <c r="N737" i="20" s="1"/>
  <c r="M739" i="20"/>
  <c r="P739" i="20" s="1"/>
  <c r="L739" i="20"/>
  <c r="O739" i="20" s="1"/>
  <c r="N738" i="20"/>
  <c r="M738" i="20"/>
  <c r="P738" i="20" s="1"/>
  <c r="L738" i="20"/>
  <c r="O738" i="20" s="1"/>
  <c r="L737" i="20"/>
  <c r="O737" i="20" s="1"/>
  <c r="K736" i="20"/>
  <c r="J736" i="20"/>
  <c r="J729" i="20"/>
  <c r="I729" i="20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J719" i="20"/>
  <c r="J718" i="20"/>
  <c r="J708" i="20"/>
  <c r="I708" i="20"/>
  <c r="K708" i="20" s="1"/>
  <c r="I707" i="20"/>
  <c r="I704" i="20"/>
  <c r="J701" i="20"/>
  <c r="I701" i="20"/>
  <c r="J700" i="20"/>
  <c r="I700" i="20"/>
  <c r="J699" i="20"/>
  <c r="I699" i="20"/>
  <c r="P697" i="20"/>
  <c r="O697" i="20"/>
  <c r="P696" i="20"/>
  <c r="O696" i="20"/>
  <c r="P695" i="20"/>
  <c r="O695" i="20"/>
  <c r="N695" i="20"/>
  <c r="M695" i="20"/>
  <c r="L695" i="20"/>
  <c r="N690" i="20"/>
  <c r="L690" i="20"/>
  <c r="N688" i="20"/>
  <c r="N687" i="20"/>
  <c r="N685" i="20" s="1"/>
  <c r="N686" i="20"/>
  <c r="M686" i="20"/>
  <c r="P686" i="20" s="1"/>
  <c r="L686" i="20"/>
  <c r="O686" i="20" s="1"/>
  <c r="J679" i="20"/>
  <c r="J678" i="20" s="1"/>
  <c r="I678" i="20"/>
  <c r="K678" i="20" s="1"/>
  <c r="J675" i="20"/>
  <c r="J669" i="20" s="1"/>
  <c r="J654" i="20" s="1"/>
  <c r="I671" i="20"/>
  <c r="K671" i="20" s="1"/>
  <c r="I670" i="20"/>
  <c r="K670" i="20" s="1"/>
  <c r="I669" i="20"/>
  <c r="K672" i="20" s="1"/>
  <c r="P667" i="20"/>
  <c r="O667" i="20"/>
  <c r="P666" i="20"/>
  <c r="O666" i="20"/>
  <c r="N665" i="20"/>
  <c r="M665" i="20"/>
  <c r="P665" i="20" s="1"/>
  <c r="L665" i="20"/>
  <c r="O665" i="20" s="1"/>
  <c r="P660" i="20"/>
  <c r="N660" i="20"/>
  <c r="N657" i="20" s="1"/>
  <c r="N655" i="20" s="1"/>
  <c r="L660" i="20"/>
  <c r="O660" i="20" s="1"/>
  <c r="P659" i="20"/>
  <c r="O659" i="20"/>
  <c r="P658" i="20"/>
  <c r="N658" i="20"/>
  <c r="M658" i="20"/>
  <c r="P657" i="20"/>
  <c r="M657" i="20"/>
  <c r="P656" i="20"/>
  <c r="O656" i="20"/>
  <c r="N656" i="20"/>
  <c r="M656" i="20"/>
  <c r="L656" i="20"/>
  <c r="M655" i="20"/>
  <c r="P655" i="20" s="1"/>
  <c r="K652" i="20"/>
  <c r="J652" i="20"/>
  <c r="A652" i="20"/>
  <c r="J651" i="20"/>
  <c r="J628" i="20" s="1"/>
  <c r="I651" i="20"/>
  <c r="K650" i="20"/>
  <c r="J650" i="20"/>
  <c r="J649" i="20"/>
  <c r="I649" i="20"/>
  <c r="K648" i="20"/>
  <c r="J648" i="20"/>
  <c r="J647" i="20"/>
  <c r="I647" i="20"/>
  <c r="K646" i="20"/>
  <c r="J646" i="20"/>
  <c r="K645" i="20"/>
  <c r="J645" i="20"/>
  <c r="I644" i="20"/>
  <c r="K644" i="20" s="1"/>
  <c r="I643" i="20"/>
  <c r="K643" i="20" s="1"/>
  <c r="P641" i="20"/>
  <c r="L641" i="20"/>
  <c r="L639" i="20" s="1"/>
  <c r="O639" i="20" s="1"/>
  <c r="P640" i="20"/>
  <c r="O640" i="20"/>
  <c r="P639" i="20"/>
  <c r="N639" i="20"/>
  <c r="M639" i="20"/>
  <c r="N638" i="20"/>
  <c r="N634" i="20"/>
  <c r="N632" i="20" s="1"/>
  <c r="L634" i="20"/>
  <c r="L632" i="20" s="1"/>
  <c r="P633" i="20"/>
  <c r="O633" i="20"/>
  <c r="N631" i="20"/>
  <c r="O630" i="20"/>
  <c r="N630" i="20"/>
  <c r="M630" i="20"/>
  <c r="P630" i="20" s="1"/>
  <c r="L630" i="20"/>
  <c r="N629" i="20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603" i="20"/>
  <c r="J593" i="20" s="1"/>
  <c r="J596" i="20"/>
  <c r="J594" i="20" s="1"/>
  <c r="J595" i="20"/>
  <c r="I594" i="20"/>
  <c r="I593" i="20"/>
  <c r="I592" i="20" s="1"/>
  <c r="J583" i="20"/>
  <c r="J577" i="20" s="1"/>
  <c r="J582" i="20"/>
  <c r="I577" i="20"/>
  <c r="J576" i="20"/>
  <c r="J559" i="20" s="1"/>
  <c r="J543" i="20" s="1"/>
  <c r="I576" i="20"/>
  <c r="I559" i="20" s="1"/>
  <c r="J569" i="20"/>
  <c r="I569" i="20"/>
  <c r="K569" i="20" s="1"/>
  <c r="J568" i="20"/>
  <c r="I568" i="20"/>
  <c r="K568" i="20" s="1"/>
  <c r="J561" i="20"/>
  <c r="I561" i="20"/>
  <c r="K561" i="20" s="1"/>
  <c r="J560" i="20"/>
  <c r="I560" i="20"/>
  <c r="K560" i="20" s="1"/>
  <c r="P557" i="20"/>
  <c r="L557" i="20"/>
  <c r="P556" i="20"/>
  <c r="O556" i="20"/>
  <c r="N555" i="20"/>
  <c r="M555" i="20"/>
  <c r="P555" i="20" s="1"/>
  <c r="N553" i="20"/>
  <c r="N549" i="20"/>
  <c r="N547" i="20" s="1"/>
  <c r="L549" i="20"/>
  <c r="L547" i="20" s="1"/>
  <c r="O547" i="20" s="1"/>
  <c r="P548" i="20"/>
  <c r="O548" i="20"/>
  <c r="N546" i="20"/>
  <c r="N545" i="20"/>
  <c r="N544" i="20" s="1"/>
  <c r="M545" i="20"/>
  <c r="P545" i="20" s="1"/>
  <c r="L545" i="20"/>
  <c r="O545" i="20" s="1"/>
  <c r="I542" i="20"/>
  <c r="K542" i="20" s="1"/>
  <c r="I541" i="20"/>
  <c r="K541" i="20" s="1"/>
  <c r="I540" i="20"/>
  <c r="K540" i="20" s="1"/>
  <c r="I539" i="20"/>
  <c r="K539" i="20" s="1"/>
  <c r="I538" i="20"/>
  <c r="K538" i="20" s="1"/>
  <c r="I537" i="20"/>
  <c r="P535" i="20"/>
  <c r="L535" i="20"/>
  <c r="L533" i="20" s="1"/>
  <c r="O533" i="20" s="1"/>
  <c r="P534" i="20"/>
  <c r="O534" i="20"/>
  <c r="N533" i="20"/>
  <c r="M533" i="20"/>
  <c r="P533" i="20" s="1"/>
  <c r="P528" i="20"/>
  <c r="N528" i="20"/>
  <c r="N525" i="20" s="1"/>
  <c r="N523" i="20" s="1"/>
  <c r="L528" i="20"/>
  <c r="L526" i="20" s="1"/>
  <c r="O526" i="20" s="1"/>
  <c r="P527" i="20"/>
  <c r="O527" i="20"/>
  <c r="M526" i="20"/>
  <c r="P526" i="20" s="1"/>
  <c r="M525" i="20"/>
  <c r="P524" i="20"/>
  <c r="N524" i="20"/>
  <c r="M524" i="20"/>
  <c r="L524" i="20"/>
  <c r="K517" i="20"/>
  <c r="J517" i="20"/>
  <c r="J501" i="20" s="1"/>
  <c r="K516" i="20"/>
  <c r="P514" i="20"/>
  <c r="O514" i="20"/>
  <c r="P513" i="20"/>
  <c r="O513" i="20"/>
  <c r="N512" i="20"/>
  <c r="M512" i="20"/>
  <c r="P512" i="20" s="1"/>
  <c r="L512" i="20"/>
  <c r="O512" i="20" s="1"/>
  <c r="P507" i="20"/>
  <c r="O507" i="20"/>
  <c r="N507" i="20"/>
  <c r="P506" i="20"/>
  <c r="O506" i="20"/>
  <c r="P505" i="20"/>
  <c r="N505" i="20"/>
  <c r="M505" i="20"/>
  <c r="L505" i="20"/>
  <c r="O505" i="20" s="1"/>
  <c r="P504" i="20"/>
  <c r="O504" i="20"/>
  <c r="N504" i="20"/>
  <c r="M504" i="20"/>
  <c r="L504" i="20"/>
  <c r="P503" i="20"/>
  <c r="O503" i="20"/>
  <c r="N503" i="20"/>
  <c r="M503" i="20"/>
  <c r="L503" i="20"/>
  <c r="O502" i="20"/>
  <c r="N502" i="20"/>
  <c r="M502" i="20"/>
  <c r="P502" i="20" s="1"/>
  <c r="L502" i="20"/>
  <c r="K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P478" i="20"/>
  <c r="O478" i="20"/>
  <c r="N477" i="20"/>
  <c r="M477" i="20"/>
  <c r="P477" i="20" s="1"/>
  <c r="N476" i="20"/>
  <c r="N472" i="20" s="1"/>
  <c r="N469" i="20" s="1"/>
  <c r="N467" i="20" s="1"/>
  <c r="L472" i="20"/>
  <c r="L470" i="20" s="1"/>
  <c r="P471" i="20"/>
  <c r="O471" i="20"/>
  <c r="P468" i="20"/>
  <c r="N468" i="20"/>
  <c r="M468" i="20"/>
  <c r="L468" i="20"/>
  <c r="J466" i="20"/>
  <c r="I466" i="20"/>
  <c r="K466" i="20" s="1"/>
  <c r="J465" i="20"/>
  <c r="I465" i="20"/>
  <c r="I464" i="20"/>
  <c r="K464" i="20" s="1"/>
  <c r="I463" i="20"/>
  <c r="K463" i="20" s="1"/>
  <c r="I462" i="20"/>
  <c r="K462" i="20" s="1"/>
  <c r="I460" i="20"/>
  <c r="I442" i="20" s="1"/>
  <c r="K442" i="20" s="1"/>
  <c r="K458" i="20"/>
  <c r="P456" i="20"/>
  <c r="L456" i="20"/>
  <c r="O456" i="20" s="1"/>
  <c r="P455" i="20"/>
  <c r="O455" i="20"/>
  <c r="P454" i="20"/>
  <c r="N454" i="20"/>
  <c r="M454" i="20"/>
  <c r="L454" i="20"/>
  <c r="O454" i="20" s="1"/>
  <c r="N449" i="20"/>
  <c r="N447" i="20" s="1"/>
  <c r="L449" i="20"/>
  <c r="P448" i="20"/>
  <c r="O448" i="20"/>
  <c r="N446" i="20"/>
  <c r="P445" i="20"/>
  <c r="O445" i="20"/>
  <c r="N445" i="20"/>
  <c r="M445" i="20"/>
  <c r="L445" i="20"/>
  <c r="N444" i="20"/>
  <c r="J443" i="20"/>
  <c r="J442" i="20"/>
  <c r="I441" i="20"/>
  <c r="K441" i="20" s="1"/>
  <c r="I440" i="20"/>
  <c r="K440" i="20" s="1"/>
  <c r="I439" i="20"/>
  <c r="K439" i="20" s="1"/>
  <c r="I438" i="20"/>
  <c r="I437" i="20"/>
  <c r="K437" i="20" s="1"/>
  <c r="I435" i="20"/>
  <c r="K435" i="20" s="1"/>
  <c r="J434" i="20"/>
  <c r="P431" i="20"/>
  <c r="L431" i="20"/>
  <c r="P430" i="20"/>
  <c r="O430" i="20"/>
  <c r="N429" i="20"/>
  <c r="M429" i="20"/>
  <c r="P429" i="20" s="1"/>
  <c r="N428" i="20"/>
  <c r="N424" i="20" s="1"/>
  <c r="N421" i="20" s="1"/>
  <c r="N419" i="20" s="1"/>
  <c r="L424" i="20"/>
  <c r="L422" i="20" s="1"/>
  <c r="P423" i="20"/>
  <c r="O423" i="20"/>
  <c r="N422" i="20"/>
  <c r="P420" i="20"/>
  <c r="N420" i="20"/>
  <c r="M420" i="20"/>
  <c r="L420" i="20"/>
  <c r="J418" i="20"/>
  <c r="K413" i="20"/>
  <c r="K412" i="20"/>
  <c r="N410" i="20"/>
  <c r="N408" i="20" s="1"/>
  <c r="M410" i="20"/>
  <c r="M408" i="20" s="1"/>
  <c r="P408" i="20" s="1"/>
  <c r="L410" i="20"/>
  <c r="P409" i="20"/>
  <c r="O409" i="20"/>
  <c r="N407" i="20"/>
  <c r="M407" i="20"/>
  <c r="M405" i="20" s="1"/>
  <c r="P405" i="20" s="1"/>
  <c r="L407" i="20"/>
  <c r="O407" i="20" s="1"/>
  <c r="P406" i="20"/>
  <c r="O406" i="20"/>
  <c r="P403" i="20"/>
  <c r="O403" i="20"/>
  <c r="N403" i="20"/>
  <c r="M403" i="20"/>
  <c r="L403" i="20"/>
  <c r="J401" i="20"/>
  <c r="I401" i="20"/>
  <c r="K401" i="20" s="1"/>
  <c r="K400" i="20"/>
  <c r="K399" i="20"/>
  <c r="N397" i="20"/>
  <c r="N395" i="20" s="1"/>
  <c r="M397" i="20"/>
  <c r="L397" i="20"/>
  <c r="L395" i="20" s="1"/>
  <c r="O395" i="20" s="1"/>
  <c r="P396" i="20"/>
  <c r="O396" i="20"/>
  <c r="N394" i="20"/>
  <c r="N392" i="20" s="1"/>
  <c r="M394" i="20"/>
  <c r="L394" i="20"/>
  <c r="P393" i="20"/>
  <c r="O393" i="20"/>
  <c r="P390" i="20"/>
  <c r="N390" i="20"/>
  <c r="M390" i="20"/>
  <c r="L390" i="20"/>
  <c r="K388" i="20"/>
  <c r="J388" i="20"/>
  <c r="I388" i="20"/>
  <c r="J385" i="20"/>
  <c r="I385" i="20"/>
  <c r="D384" i="20"/>
  <c r="K382" i="20"/>
  <c r="J382" i="20"/>
  <c r="A382" i="20"/>
  <c r="J381" i="20"/>
  <c r="J374" i="20" s="1"/>
  <c r="I381" i="20"/>
  <c r="K380" i="20"/>
  <c r="J380" i="20"/>
  <c r="J379" i="20"/>
  <c r="I379" i="20"/>
  <c r="J378" i="20"/>
  <c r="I378" i="20"/>
  <c r="K377" i="20"/>
  <c r="J377" i="20"/>
  <c r="I374" i="20"/>
  <c r="K373" i="20"/>
  <c r="J373" i="20"/>
  <c r="A373" i="20"/>
  <c r="J372" i="20"/>
  <c r="J365" i="20" s="1"/>
  <c r="I372" i="20"/>
  <c r="K371" i="20"/>
  <c r="J371" i="20"/>
  <c r="J370" i="20"/>
  <c r="I370" i="20"/>
  <c r="J369" i="20"/>
  <c r="I369" i="20"/>
  <c r="K368" i="20"/>
  <c r="J368" i="20"/>
  <c r="I365" i="20"/>
  <c r="K363" i="20"/>
  <c r="J363" i="20"/>
  <c r="J362" i="20"/>
  <c r="J355" i="20" s="1"/>
  <c r="I362" i="20"/>
  <c r="K361" i="20"/>
  <c r="J361" i="20"/>
  <c r="J360" i="20"/>
  <c r="I360" i="20"/>
  <c r="J359" i="20"/>
  <c r="I359" i="20"/>
  <c r="K358" i="20"/>
  <c r="J358" i="20"/>
  <c r="I355" i="20"/>
  <c r="N353" i="20"/>
  <c r="M353" i="20"/>
  <c r="M351" i="20" s="1"/>
  <c r="L353" i="20"/>
  <c r="P352" i="20"/>
  <c r="O352" i="20"/>
  <c r="N350" i="20"/>
  <c r="M350" i="20"/>
  <c r="M348" i="20" s="1"/>
  <c r="L350" i="20"/>
  <c r="L348" i="20" s="1"/>
  <c r="P349" i="20"/>
  <c r="O349" i="20"/>
  <c r="O346" i="20"/>
  <c r="N346" i="20"/>
  <c r="M346" i="20"/>
  <c r="P346" i="20" s="1"/>
  <c r="L346" i="20"/>
  <c r="J343" i="20"/>
  <c r="J342" i="20"/>
  <c r="J341" i="20"/>
  <c r="J340" i="20"/>
  <c r="I340" i="20"/>
  <c r="J338" i="20"/>
  <c r="I338" i="20"/>
  <c r="D337" i="20"/>
  <c r="N336" i="20"/>
  <c r="N334" i="20" s="1"/>
  <c r="M336" i="20"/>
  <c r="L336" i="20"/>
  <c r="P335" i="20"/>
  <c r="O335" i="20"/>
  <c r="N333" i="20"/>
  <c r="M333" i="20"/>
  <c r="M331" i="20" s="1"/>
  <c r="L333" i="20"/>
  <c r="P332" i="20"/>
  <c r="O332" i="20"/>
  <c r="P329" i="20"/>
  <c r="O329" i="20"/>
  <c r="N329" i="20"/>
  <c r="M329" i="20"/>
  <c r="L329" i="20"/>
  <c r="I327" i="20"/>
  <c r="I325" i="20"/>
  <c r="K325" i="20" s="1"/>
  <c r="N323" i="20"/>
  <c r="N321" i="20" s="1"/>
  <c r="M323" i="20"/>
  <c r="P323" i="20" s="1"/>
  <c r="L323" i="20"/>
  <c r="P322" i="20"/>
  <c r="O322" i="20"/>
  <c r="N320" i="20"/>
  <c r="N318" i="20" s="1"/>
  <c r="M320" i="20"/>
  <c r="P320" i="20" s="1"/>
  <c r="L320" i="20"/>
  <c r="P319" i="20"/>
  <c r="O319" i="20"/>
  <c r="N316" i="20"/>
  <c r="M316" i="20"/>
  <c r="P316" i="20" s="1"/>
  <c r="L316" i="20"/>
  <c r="J314" i="20"/>
  <c r="I312" i="20"/>
  <c r="K312" i="20" s="1"/>
  <c r="I311" i="20"/>
  <c r="K311" i="20" s="1"/>
  <c r="I310" i="20"/>
  <c r="K310" i="20" s="1"/>
  <c r="I309" i="20"/>
  <c r="K309" i="20" s="1"/>
  <c r="N306" i="20"/>
  <c r="N304" i="20" s="1"/>
  <c r="M306" i="20"/>
  <c r="P306" i="20" s="1"/>
  <c r="L306" i="20"/>
  <c r="O306" i="20" s="1"/>
  <c r="P305" i="20"/>
  <c r="O305" i="20"/>
  <c r="N303" i="20"/>
  <c r="N301" i="20" s="1"/>
  <c r="M303" i="20"/>
  <c r="M301" i="20" s="1"/>
  <c r="L303" i="20"/>
  <c r="P302" i="20"/>
  <c r="O302" i="20"/>
  <c r="N299" i="20"/>
  <c r="M299" i="20"/>
  <c r="P299" i="20" s="1"/>
  <c r="L299" i="20"/>
  <c r="O299" i="20" s="1"/>
  <c r="J297" i="20"/>
  <c r="I294" i="20"/>
  <c r="K294" i="20" s="1"/>
  <c r="I293" i="20"/>
  <c r="K293" i="20" s="1"/>
  <c r="I291" i="20"/>
  <c r="K291" i="20" s="1"/>
  <c r="I290" i="20"/>
  <c r="K290" i="20" s="1"/>
  <c r="I288" i="20"/>
  <c r="I275" i="20" s="1"/>
  <c r="I287" i="20"/>
  <c r="K287" i="20" s="1"/>
  <c r="N285" i="20"/>
  <c r="N283" i="20" s="1"/>
  <c r="M285" i="20"/>
  <c r="L285" i="20"/>
  <c r="P284" i="20"/>
  <c r="O284" i="20"/>
  <c r="N282" i="20"/>
  <c r="M282" i="20"/>
  <c r="M280" i="20" s="1"/>
  <c r="L282" i="20"/>
  <c r="L280" i="20" s="1"/>
  <c r="P281" i="20"/>
  <c r="O281" i="20"/>
  <c r="O278" i="20"/>
  <c r="N278" i="20"/>
  <c r="M278" i="20"/>
  <c r="L278" i="20"/>
  <c r="J276" i="20"/>
  <c r="I271" i="20"/>
  <c r="K271" i="20" s="1"/>
  <c r="N269" i="20"/>
  <c r="N267" i="20" s="1"/>
  <c r="M269" i="20"/>
  <c r="L269" i="20"/>
  <c r="L267" i="20" s="1"/>
  <c r="O267" i="20" s="1"/>
  <c r="P268" i="20"/>
  <c r="O268" i="20"/>
  <c r="N266" i="20"/>
  <c r="N264" i="20" s="1"/>
  <c r="M266" i="20"/>
  <c r="L266" i="20"/>
  <c r="P265" i="20"/>
  <c r="O265" i="20"/>
  <c r="P262" i="20"/>
  <c r="N262" i="20"/>
  <c r="M262" i="20"/>
  <c r="L262" i="20"/>
  <c r="J260" i="20"/>
  <c r="K258" i="20"/>
  <c r="K257" i="20"/>
  <c r="I255" i="20"/>
  <c r="L253" i="20"/>
  <c r="L252" i="20"/>
  <c r="L251" i="20"/>
  <c r="L250" i="20"/>
  <c r="P249" i="20"/>
  <c r="N249" i="20"/>
  <c r="J248" i="20"/>
  <c r="K247" i="20"/>
  <c r="K246" i="20"/>
  <c r="I244" i="20"/>
  <c r="K244" i="20" s="1"/>
  <c r="L242" i="20"/>
  <c r="L241" i="20"/>
  <c r="L240" i="20"/>
  <c r="L239" i="20"/>
  <c r="P238" i="20"/>
  <c r="N238" i="20"/>
  <c r="N227" i="20" s="1"/>
  <c r="J237" i="20"/>
  <c r="J226" i="20" s="1"/>
  <c r="K236" i="20"/>
  <c r="J236" i="20"/>
  <c r="I236" i="20"/>
  <c r="K235" i="20"/>
  <c r="J235" i="20"/>
  <c r="I235" i="20"/>
  <c r="J233" i="20"/>
  <c r="N231" i="20"/>
  <c r="N230" i="20"/>
  <c r="N229" i="20"/>
  <c r="N228" i="20"/>
  <c r="I225" i="20"/>
  <c r="K225" i="20" s="1"/>
  <c r="I224" i="20"/>
  <c r="K224" i="20" s="1"/>
  <c r="I223" i="20"/>
  <c r="K223" i="20" s="1"/>
  <c r="L220" i="20"/>
  <c r="L219" i="20"/>
  <c r="L218" i="20"/>
  <c r="P217" i="20"/>
  <c r="N217" i="20"/>
  <c r="J216" i="20"/>
  <c r="I215" i="20"/>
  <c r="I214" i="20"/>
  <c r="K214" i="20" s="1"/>
  <c r="L212" i="20"/>
  <c r="L211" i="20"/>
  <c r="L210" i="20"/>
  <c r="P209" i="20"/>
  <c r="N209" i="20"/>
  <c r="J208" i="20"/>
  <c r="K207" i="20"/>
  <c r="K206" i="20"/>
  <c r="I204" i="20"/>
  <c r="K204" i="20" s="1"/>
  <c r="L202" i="20"/>
  <c r="L201" i="20"/>
  <c r="L200" i="20"/>
  <c r="L199" i="20"/>
  <c r="P198" i="20"/>
  <c r="N198" i="20"/>
  <c r="J197" i="20"/>
  <c r="J195" i="20"/>
  <c r="J194" i="20" s="1"/>
  <c r="I193" i="20"/>
  <c r="P191" i="20"/>
  <c r="L191" i="20"/>
  <c r="O191" i="20" s="1"/>
  <c r="J190" i="20"/>
  <c r="N189" i="20"/>
  <c r="N187" i="20" s="1"/>
  <c r="M189" i="20"/>
  <c r="P189" i="20" s="1"/>
  <c r="L189" i="20"/>
  <c r="P188" i="20"/>
  <c r="O188" i="20"/>
  <c r="N186" i="20"/>
  <c r="M186" i="20"/>
  <c r="M184" i="20" s="1"/>
  <c r="L186" i="20"/>
  <c r="P185" i="20"/>
  <c r="O185" i="20"/>
  <c r="O182" i="20"/>
  <c r="N182" i="20"/>
  <c r="M182" i="20"/>
  <c r="L182" i="20"/>
  <c r="J180" i="20"/>
  <c r="J177" i="20"/>
  <c r="I176" i="20"/>
  <c r="J174" i="20"/>
  <c r="J164" i="20" s="1"/>
  <c r="N173" i="20"/>
  <c r="N171" i="20" s="1"/>
  <c r="M173" i="20"/>
  <c r="P173" i="20" s="1"/>
  <c r="L173" i="20"/>
  <c r="P172" i="20"/>
  <c r="O172" i="20"/>
  <c r="N170" i="20"/>
  <c r="M170" i="20"/>
  <c r="M168" i="20" s="1"/>
  <c r="L170" i="20"/>
  <c r="P169" i="20"/>
  <c r="O169" i="20"/>
  <c r="O166" i="20"/>
  <c r="N166" i="20"/>
  <c r="M166" i="20"/>
  <c r="L166" i="20"/>
  <c r="I159" i="20"/>
  <c r="K159" i="20" s="1"/>
  <c r="N157" i="20"/>
  <c r="N155" i="20" s="1"/>
  <c r="M157" i="20"/>
  <c r="P157" i="20" s="1"/>
  <c r="L157" i="20"/>
  <c r="P156" i="20"/>
  <c r="O156" i="20"/>
  <c r="N154" i="20"/>
  <c r="N152" i="20" s="1"/>
  <c r="M154" i="20"/>
  <c r="L154" i="20"/>
  <c r="L152" i="20" s="1"/>
  <c r="P153" i="20"/>
  <c r="O153" i="20"/>
  <c r="P150" i="20"/>
  <c r="O150" i="20"/>
  <c r="N150" i="20"/>
  <c r="M150" i="20"/>
  <c r="L150" i="20"/>
  <c r="J148" i="20"/>
  <c r="I146" i="20"/>
  <c r="I130" i="20" s="1"/>
  <c r="K130" i="20" s="1"/>
  <c r="I145" i="20"/>
  <c r="I143" i="20" s="1"/>
  <c r="I144" i="20"/>
  <c r="N140" i="20"/>
  <c r="M140" i="20"/>
  <c r="L140" i="20"/>
  <c r="O140" i="20" s="1"/>
  <c r="P139" i="20"/>
  <c r="O139" i="20"/>
  <c r="N137" i="20"/>
  <c r="N135" i="20" s="1"/>
  <c r="M137" i="20"/>
  <c r="L137" i="20"/>
  <c r="P136" i="20"/>
  <c r="O136" i="20"/>
  <c r="N133" i="20"/>
  <c r="M133" i="20"/>
  <c r="P133" i="20" s="1"/>
  <c r="L133" i="20"/>
  <c r="O133" i="20" s="1"/>
  <c r="J130" i="20"/>
  <c r="N127" i="20"/>
  <c r="N125" i="20" s="1"/>
  <c r="M127" i="20"/>
  <c r="P127" i="20" s="1"/>
  <c r="L127" i="20"/>
  <c r="P126" i="20"/>
  <c r="O126" i="20"/>
  <c r="N124" i="20"/>
  <c r="M124" i="20"/>
  <c r="L124" i="20"/>
  <c r="O124" i="20" s="1"/>
  <c r="P123" i="20"/>
  <c r="O123" i="20"/>
  <c r="P120" i="20"/>
  <c r="O120" i="20"/>
  <c r="N120" i="20"/>
  <c r="M120" i="20"/>
  <c r="L120" i="20"/>
  <c r="I116" i="20"/>
  <c r="K116" i="20" s="1"/>
  <c r="I115" i="20"/>
  <c r="K115" i="20" s="1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J99" i="20"/>
  <c r="J87" i="20" s="1"/>
  <c r="I99" i="20"/>
  <c r="J98" i="20"/>
  <c r="J86" i="20" s="1"/>
  <c r="I98" i="20"/>
  <c r="I86" i="20" s="1"/>
  <c r="N96" i="20"/>
  <c r="N94" i="20" s="1"/>
  <c r="M96" i="20"/>
  <c r="L96" i="20"/>
  <c r="L94" i="20" s="1"/>
  <c r="O94" i="20" s="1"/>
  <c r="P95" i="20"/>
  <c r="O95" i="20"/>
  <c r="N93" i="20"/>
  <c r="M93" i="20"/>
  <c r="L93" i="20"/>
  <c r="L91" i="20" s="1"/>
  <c r="P92" i="20"/>
  <c r="O92" i="20"/>
  <c r="O89" i="20"/>
  <c r="N89" i="20"/>
  <c r="M89" i="20"/>
  <c r="P89" i="20" s="1"/>
  <c r="L89" i="20"/>
  <c r="I84" i="20"/>
  <c r="K84" i="20" s="1"/>
  <c r="I83" i="20"/>
  <c r="K83" i="20" s="1"/>
  <c r="I82" i="20"/>
  <c r="K82" i="20" s="1"/>
  <c r="I81" i="20"/>
  <c r="K81" i="20" s="1"/>
  <c r="I80" i="20"/>
  <c r="K80" i="20" s="1"/>
  <c r="I79" i="20"/>
  <c r="I78" i="20"/>
  <c r="K78" i="20" s="1"/>
  <c r="J77" i="20"/>
  <c r="J65" i="20" s="1"/>
  <c r="J76" i="20"/>
  <c r="N74" i="20"/>
  <c r="N72" i="20" s="1"/>
  <c r="M74" i="20"/>
  <c r="L74" i="20"/>
  <c r="P73" i="20"/>
  <c r="O73" i="20"/>
  <c r="N71" i="20"/>
  <c r="M71" i="20"/>
  <c r="L71" i="20"/>
  <c r="P70" i="20"/>
  <c r="O70" i="20"/>
  <c r="N67" i="20"/>
  <c r="M67" i="20"/>
  <c r="L67" i="20"/>
  <c r="O67" i="20" s="1"/>
  <c r="J64" i="20"/>
  <c r="N61" i="20"/>
  <c r="N59" i="20" s="1"/>
  <c r="M61" i="20"/>
  <c r="M59" i="20" s="1"/>
  <c r="L61" i="20"/>
  <c r="P60" i="20"/>
  <c r="O60" i="20"/>
  <c r="N58" i="20"/>
  <c r="N56" i="20" s="1"/>
  <c r="M58" i="20"/>
  <c r="L58" i="20"/>
  <c r="P57" i="20"/>
  <c r="O57" i="20"/>
  <c r="P54" i="20"/>
  <c r="O54" i="20"/>
  <c r="N54" i="20"/>
  <c r="M54" i="20"/>
  <c r="L54" i="20"/>
  <c r="N49" i="20"/>
  <c r="N47" i="20" s="1"/>
  <c r="M49" i="20"/>
  <c r="L49" i="20"/>
  <c r="O49" i="20" s="1"/>
  <c r="P48" i="20"/>
  <c r="O48" i="20"/>
  <c r="N46" i="20"/>
  <c r="M46" i="20"/>
  <c r="L46" i="20"/>
  <c r="P45" i="20"/>
  <c r="O45" i="20"/>
  <c r="N42" i="20"/>
  <c r="M42" i="20"/>
  <c r="P42" i="20" s="1"/>
  <c r="L42" i="20"/>
  <c r="O42" i="20" s="1"/>
  <c r="P36" i="20"/>
  <c r="N36" i="20"/>
  <c r="M36" i="20"/>
  <c r="P35" i="20"/>
  <c r="O35" i="20"/>
  <c r="N35" i="20"/>
  <c r="N34" i="20" s="1"/>
  <c r="M35" i="20"/>
  <c r="L35" i="20"/>
  <c r="M34" i="20"/>
  <c r="P34" i="20" s="1"/>
  <c r="N33" i="20"/>
  <c r="N30" i="20" s="1"/>
  <c r="O32" i="20"/>
  <c r="N32" i="20"/>
  <c r="M32" i="20"/>
  <c r="M12" i="20" s="1"/>
  <c r="L32" i="20"/>
  <c r="N31" i="20"/>
  <c r="O29" i="20"/>
  <c r="L29" i="20"/>
  <c r="N25" i="20"/>
  <c r="M25" i="20"/>
  <c r="L25" i="20"/>
  <c r="O25" i="20" s="1"/>
  <c r="P22" i="20"/>
  <c r="O22" i="20"/>
  <c r="N22" i="20"/>
  <c r="N19" i="20" s="1"/>
  <c r="M22" i="20"/>
  <c r="L22" i="20"/>
  <c r="M19" i="20"/>
  <c r="P19" i="20" s="1"/>
  <c r="N15" i="20"/>
  <c r="N12" i="20"/>
  <c r="J828" i="19"/>
  <c r="I828" i="19"/>
  <c r="J827" i="19"/>
  <c r="I827" i="19"/>
  <c r="J826" i="19"/>
  <c r="I826" i="19"/>
  <c r="K826" i="19" s="1"/>
  <c r="J825" i="19"/>
  <c r="I825" i="19"/>
  <c r="K825" i="19" s="1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P815" i="19"/>
  <c r="N815" i="19"/>
  <c r="M815" i="19"/>
  <c r="L815" i="19"/>
  <c r="O815" i="19" s="1"/>
  <c r="P810" i="19"/>
  <c r="O810" i="19"/>
  <c r="N810" i="19"/>
  <c r="N807" i="19" s="1"/>
  <c r="N805" i="19" s="1"/>
  <c r="P809" i="19"/>
  <c r="O809" i="19"/>
  <c r="P808" i="19"/>
  <c r="N808" i="19"/>
  <c r="M808" i="19"/>
  <c r="L808" i="19"/>
  <c r="O808" i="19" s="1"/>
  <c r="O807" i="19"/>
  <c r="M807" i="19"/>
  <c r="L807" i="19"/>
  <c r="P806" i="19"/>
  <c r="N806" i="19"/>
  <c r="M806" i="19"/>
  <c r="L806" i="19"/>
  <c r="K804" i="19"/>
  <c r="J804" i="19"/>
  <c r="K802" i="19"/>
  <c r="J801" i="19"/>
  <c r="J800" i="19"/>
  <c r="J785" i="19" s="1"/>
  <c r="I800" i="19"/>
  <c r="P798" i="19"/>
  <c r="O798" i="19"/>
  <c r="P797" i="19"/>
  <c r="O797" i="19"/>
  <c r="O796" i="19"/>
  <c r="N796" i="19"/>
  <c r="M796" i="19"/>
  <c r="P796" i="19" s="1"/>
  <c r="L796" i="19"/>
  <c r="P791" i="19"/>
  <c r="N791" i="19"/>
  <c r="N788" i="19" s="1"/>
  <c r="N786" i="19" s="1"/>
  <c r="L791" i="19"/>
  <c r="O791" i="19" s="1"/>
  <c r="P790" i="19"/>
  <c r="O790" i="19"/>
  <c r="P789" i="19"/>
  <c r="M789" i="19"/>
  <c r="M788" i="19"/>
  <c r="P787" i="19"/>
  <c r="N787" i="19"/>
  <c r="M787" i="19"/>
  <c r="L787" i="19"/>
  <c r="P782" i="19"/>
  <c r="O782" i="19"/>
  <c r="P781" i="19"/>
  <c r="O781" i="19"/>
  <c r="O780" i="19"/>
  <c r="N780" i="19"/>
  <c r="M780" i="19"/>
  <c r="P780" i="19" s="1"/>
  <c r="L780" i="19"/>
  <c r="P775" i="19"/>
  <c r="O775" i="19"/>
  <c r="N775" i="19"/>
  <c r="N773" i="19" s="1"/>
  <c r="P774" i="19"/>
  <c r="O774" i="19"/>
  <c r="O773" i="19"/>
  <c r="M773" i="19"/>
  <c r="P773" i="19" s="1"/>
  <c r="L773" i="19"/>
  <c r="P772" i="19"/>
  <c r="N772" i="19"/>
  <c r="N770" i="19" s="1"/>
  <c r="M772" i="19"/>
  <c r="L772" i="19"/>
  <c r="O772" i="19" s="1"/>
  <c r="O771" i="19"/>
  <c r="N771" i="19"/>
  <c r="M771" i="19"/>
  <c r="L771" i="19"/>
  <c r="L770" i="19"/>
  <c r="O770" i="19" s="1"/>
  <c r="K769" i="19"/>
  <c r="J769" i="19"/>
  <c r="P766" i="19"/>
  <c r="O766" i="19"/>
  <c r="P765" i="19"/>
  <c r="O765" i="19"/>
  <c r="O764" i="19"/>
  <c r="N764" i="19"/>
  <c r="M764" i="19"/>
  <c r="P764" i="19" s="1"/>
  <c r="L764" i="19"/>
  <c r="P759" i="19"/>
  <c r="O759" i="19"/>
  <c r="N759" i="19"/>
  <c r="N757" i="19" s="1"/>
  <c r="P758" i="19"/>
  <c r="O758" i="19"/>
  <c r="O757" i="19"/>
  <c r="M757" i="19"/>
  <c r="P757" i="19" s="1"/>
  <c r="L757" i="19"/>
  <c r="P756" i="19"/>
  <c r="N756" i="19"/>
  <c r="N754" i="19" s="1"/>
  <c r="M756" i="19"/>
  <c r="L756" i="19"/>
  <c r="O756" i="19" s="1"/>
  <c r="O755" i="19"/>
  <c r="N755" i="19"/>
  <c r="M755" i="19"/>
  <c r="L755" i="19"/>
  <c r="L754" i="19"/>
  <c r="O754" i="19" s="1"/>
  <c r="K753" i="19"/>
  <c r="J753" i="19"/>
  <c r="P749" i="19"/>
  <c r="O749" i="19"/>
  <c r="P748" i="19"/>
  <c r="O748" i="19"/>
  <c r="O747" i="19"/>
  <c r="N747" i="19"/>
  <c r="M747" i="19"/>
  <c r="P747" i="19" s="1"/>
  <c r="L747" i="19"/>
  <c r="P742" i="19"/>
  <c r="O742" i="19"/>
  <c r="N742" i="19"/>
  <c r="N740" i="19" s="1"/>
  <c r="P741" i="19"/>
  <c r="O741" i="19"/>
  <c r="O740" i="19"/>
  <c r="M740" i="19"/>
  <c r="P740" i="19" s="1"/>
  <c r="L740" i="19"/>
  <c r="P739" i="19"/>
  <c r="N739" i="19"/>
  <c r="N737" i="19" s="1"/>
  <c r="M739" i="19"/>
  <c r="L739" i="19"/>
  <c r="O739" i="19" s="1"/>
  <c r="O738" i="19"/>
  <c r="N738" i="19"/>
  <c r="M738" i="19"/>
  <c r="L738" i="19"/>
  <c r="L737" i="19"/>
  <c r="O737" i="19" s="1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K725" i="19" s="1"/>
  <c r="J724" i="19"/>
  <c r="J723" i="19"/>
  <c r="I723" i="19"/>
  <c r="K723" i="19" s="1"/>
  <c r="I722" i="19"/>
  <c r="K722" i="19" s="1"/>
  <c r="I721" i="19"/>
  <c r="K721" i="19" s="1"/>
  <c r="J720" i="19"/>
  <c r="I720" i="19"/>
  <c r="K720" i="19" s="1"/>
  <c r="J719" i="19"/>
  <c r="J718" i="19"/>
  <c r="J708" i="19"/>
  <c r="I708" i="19"/>
  <c r="K708" i="19" s="1"/>
  <c r="I707" i="19"/>
  <c r="I704" i="19"/>
  <c r="J701" i="19"/>
  <c r="I701" i="19"/>
  <c r="K701" i="19" s="1"/>
  <c r="J700" i="19"/>
  <c r="I700" i="19"/>
  <c r="K700" i="19" s="1"/>
  <c r="J699" i="19"/>
  <c r="I699" i="19"/>
  <c r="P697" i="19"/>
  <c r="O697" i="19"/>
  <c r="P696" i="19"/>
  <c r="O696" i="19"/>
  <c r="O695" i="19"/>
  <c r="N695" i="19"/>
  <c r="M695" i="19"/>
  <c r="P695" i="19" s="1"/>
  <c r="L695" i="19"/>
  <c r="N690" i="19"/>
  <c r="N688" i="19" s="1"/>
  <c r="L690" i="19"/>
  <c r="O690" i="19" s="1"/>
  <c r="N687" i="19"/>
  <c r="N685" i="19" s="1"/>
  <c r="O686" i="19"/>
  <c r="N686" i="19"/>
  <c r="M686" i="19"/>
  <c r="L686" i="19"/>
  <c r="J679" i="19"/>
  <c r="J678" i="19"/>
  <c r="I678" i="19"/>
  <c r="K678" i="19" s="1"/>
  <c r="J675" i="19"/>
  <c r="J669" i="19" s="1"/>
  <c r="I671" i="19"/>
  <c r="K671" i="19" s="1"/>
  <c r="I670" i="19"/>
  <c r="K670" i="19" s="1"/>
  <c r="I669" i="19"/>
  <c r="K674" i="19" s="1"/>
  <c r="P667" i="19"/>
  <c r="O667" i="19"/>
  <c r="P666" i="19"/>
  <c r="O666" i="19"/>
  <c r="O665" i="19"/>
  <c r="N665" i="19"/>
  <c r="M665" i="19"/>
  <c r="P665" i="19" s="1"/>
  <c r="L665" i="19"/>
  <c r="N660" i="19"/>
  <c r="N658" i="19" s="1"/>
  <c r="L660" i="19"/>
  <c r="L657" i="19" s="1"/>
  <c r="P659" i="19"/>
  <c r="O659" i="19"/>
  <c r="N657" i="19"/>
  <c r="O656" i="19"/>
  <c r="N656" i="19"/>
  <c r="M656" i="19"/>
  <c r="P656" i="19" s="1"/>
  <c r="L656" i="19"/>
  <c r="N655" i="19"/>
  <c r="K652" i="19"/>
  <c r="J652" i="19"/>
  <c r="A652" i="19"/>
  <c r="J651" i="19"/>
  <c r="J628" i="19" s="1"/>
  <c r="I651" i="19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O641" i="19" s="1"/>
  <c r="P640" i="19"/>
  <c r="O640" i="19"/>
  <c r="N639" i="19"/>
  <c r="M639" i="19"/>
  <c r="P639" i="19" s="1"/>
  <c r="N634" i="19"/>
  <c r="N632" i="19" s="1"/>
  <c r="L634" i="19"/>
  <c r="O634" i="19" s="1"/>
  <c r="P633" i="19"/>
  <c r="O633" i="19"/>
  <c r="N631" i="19"/>
  <c r="O630" i="19"/>
  <c r="N630" i="19"/>
  <c r="M630" i="19"/>
  <c r="L630" i="19"/>
  <c r="N629" i="19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6" i="19"/>
  <c r="J594" i="19" s="1"/>
  <c r="J595" i="19"/>
  <c r="I594" i="19"/>
  <c r="J593" i="19"/>
  <c r="J592" i="19" s="1"/>
  <c r="I593" i="19"/>
  <c r="K593" i="19" s="1"/>
  <c r="J583" i="19"/>
  <c r="J582" i="19"/>
  <c r="J576" i="19" s="1"/>
  <c r="J577" i="19"/>
  <c r="I577" i="19"/>
  <c r="I576" i="19"/>
  <c r="I559" i="19" s="1"/>
  <c r="J569" i="19"/>
  <c r="I569" i="19"/>
  <c r="J568" i="19"/>
  <c r="I568" i="19"/>
  <c r="K568" i="19" s="1"/>
  <c r="J561" i="19"/>
  <c r="I561" i="19"/>
  <c r="J560" i="19"/>
  <c r="I560" i="19"/>
  <c r="K560" i="19" s="1"/>
  <c r="P557" i="19"/>
  <c r="L557" i="19"/>
  <c r="P556" i="19"/>
  <c r="O556" i="19"/>
  <c r="N555" i="19"/>
  <c r="N545" i="19" s="1"/>
  <c r="M555" i="19"/>
  <c r="P555" i="19" s="1"/>
  <c r="N549" i="19"/>
  <c r="L549" i="19"/>
  <c r="P548" i="19"/>
  <c r="O548" i="19"/>
  <c r="O545" i="19"/>
  <c r="M545" i="19"/>
  <c r="L545" i="19"/>
  <c r="I542" i="19"/>
  <c r="K542" i="19" s="1"/>
  <c r="I541" i="19"/>
  <c r="K541" i="19" s="1"/>
  <c r="I540" i="19"/>
  <c r="K540" i="19" s="1"/>
  <c r="I539" i="19"/>
  <c r="K539" i="19" s="1"/>
  <c r="I538" i="19"/>
  <c r="K538" i="19" s="1"/>
  <c r="I537" i="19"/>
  <c r="K537" i="19" s="1"/>
  <c r="P535" i="19"/>
  <c r="L535" i="19"/>
  <c r="O535" i="19" s="1"/>
  <c r="P534" i="19"/>
  <c r="O534" i="19"/>
  <c r="P533" i="19"/>
  <c r="N533" i="19"/>
  <c r="M533" i="19"/>
  <c r="L533" i="19"/>
  <c r="O533" i="19" s="1"/>
  <c r="P528" i="19"/>
  <c r="N528" i="19"/>
  <c r="L528" i="19"/>
  <c r="P527" i="19"/>
  <c r="O527" i="19"/>
  <c r="N526" i="19"/>
  <c r="M526" i="19"/>
  <c r="P526" i="19" s="1"/>
  <c r="P525" i="19"/>
  <c r="N525" i="19"/>
  <c r="M525" i="19"/>
  <c r="O524" i="19"/>
  <c r="N524" i="19"/>
  <c r="N523" i="19" s="1"/>
  <c r="M524" i="19"/>
  <c r="P524" i="19" s="1"/>
  <c r="L524" i="19"/>
  <c r="M523" i="19"/>
  <c r="P523" i="19" s="1"/>
  <c r="K517" i="19"/>
  <c r="J517" i="19"/>
  <c r="K516" i="19"/>
  <c r="P514" i="19"/>
  <c r="O514" i="19"/>
  <c r="P513" i="19"/>
  <c r="O513" i="19"/>
  <c r="O512" i="19"/>
  <c r="N512" i="19"/>
  <c r="M512" i="19"/>
  <c r="P512" i="19" s="1"/>
  <c r="L512" i="19"/>
  <c r="P507" i="19"/>
  <c r="O507" i="19"/>
  <c r="N507" i="19"/>
  <c r="P506" i="19"/>
  <c r="O506" i="19"/>
  <c r="O505" i="19"/>
  <c r="N505" i="19"/>
  <c r="M505" i="19"/>
  <c r="P505" i="19" s="1"/>
  <c r="L505" i="19"/>
  <c r="N504" i="19"/>
  <c r="N502" i="19" s="1"/>
  <c r="M504" i="19"/>
  <c r="P504" i="19" s="1"/>
  <c r="L504" i="19"/>
  <c r="O504" i="19" s="1"/>
  <c r="N503" i="19"/>
  <c r="M503" i="19"/>
  <c r="L503" i="19"/>
  <c r="K501" i="19"/>
  <c r="J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L477" i="19" s="1"/>
  <c r="O477" i="19" s="1"/>
  <c r="P478" i="19"/>
  <c r="O478" i="19"/>
  <c r="P477" i="19"/>
  <c r="N477" i="19"/>
  <c r="M477" i="19"/>
  <c r="N472" i="19"/>
  <c r="L472" i="19"/>
  <c r="O472" i="19" s="1"/>
  <c r="P471" i="19"/>
  <c r="O471" i="19"/>
  <c r="N470" i="19"/>
  <c r="N469" i="19"/>
  <c r="N468" i="19"/>
  <c r="N467" i="19" s="1"/>
  <c r="M468" i="19"/>
  <c r="L468" i="19"/>
  <c r="O468" i="19" s="1"/>
  <c r="J466" i="19"/>
  <c r="I466" i="19"/>
  <c r="K466" i="19" s="1"/>
  <c r="J465" i="19"/>
  <c r="I465" i="19"/>
  <c r="I464" i="19"/>
  <c r="K464" i="19" s="1"/>
  <c r="I463" i="19"/>
  <c r="K463" i="19" s="1"/>
  <c r="I462" i="19"/>
  <c r="K462" i="19" s="1"/>
  <c r="I460" i="19"/>
  <c r="K460" i="19" s="1"/>
  <c r="K458" i="19"/>
  <c r="P456" i="19"/>
  <c r="L456" i="19"/>
  <c r="O456" i="19" s="1"/>
  <c r="P455" i="19"/>
  <c r="O455" i="19"/>
  <c r="P454" i="19"/>
  <c r="N454" i="19"/>
  <c r="M454" i="19"/>
  <c r="L454" i="19"/>
  <c r="O454" i="19" s="1"/>
  <c r="N449" i="19"/>
  <c r="N447" i="19" s="1"/>
  <c r="L449" i="19"/>
  <c r="P448" i="19"/>
  <c r="O448" i="19"/>
  <c r="N446" i="19"/>
  <c r="N445" i="19"/>
  <c r="M445" i="19"/>
  <c r="L445" i="19"/>
  <c r="J443" i="19"/>
  <c r="J442" i="19"/>
  <c r="I441" i="19"/>
  <c r="K441" i="19" s="1"/>
  <c r="I440" i="19"/>
  <c r="K440" i="19" s="1"/>
  <c r="I439" i="19"/>
  <c r="K439" i="19" s="1"/>
  <c r="I438" i="19"/>
  <c r="I437" i="19"/>
  <c r="K437" i="19" s="1"/>
  <c r="I435" i="19"/>
  <c r="K435" i="19" s="1"/>
  <c r="J434" i="19"/>
  <c r="J418" i="19" s="1"/>
  <c r="P431" i="19"/>
  <c r="L431" i="19"/>
  <c r="P430" i="19"/>
  <c r="O430" i="19"/>
  <c r="N429" i="19"/>
  <c r="M429" i="19"/>
  <c r="P429" i="19" s="1"/>
  <c r="N424" i="19"/>
  <c r="L424" i="19"/>
  <c r="L422" i="19" s="1"/>
  <c r="P423" i="19"/>
  <c r="O423" i="19"/>
  <c r="N422" i="19"/>
  <c r="N421" i="19"/>
  <c r="N420" i="19"/>
  <c r="N419" i="19" s="1"/>
  <c r="M420" i="19"/>
  <c r="L420" i="19"/>
  <c r="O420" i="19" s="1"/>
  <c r="K413" i="19"/>
  <c r="K412" i="19"/>
  <c r="N410" i="19"/>
  <c r="N408" i="19" s="1"/>
  <c r="M410" i="19"/>
  <c r="P410" i="19" s="1"/>
  <c r="L410" i="19"/>
  <c r="O410" i="19" s="1"/>
  <c r="P409" i="19"/>
  <c r="O409" i="19"/>
  <c r="N407" i="19"/>
  <c r="N405" i="19" s="1"/>
  <c r="M407" i="19"/>
  <c r="L407" i="19"/>
  <c r="L405" i="19" s="1"/>
  <c r="O405" i="19" s="1"/>
  <c r="P406" i="19"/>
  <c r="O406" i="19"/>
  <c r="P403" i="19"/>
  <c r="O403" i="19"/>
  <c r="N403" i="19"/>
  <c r="M403" i="19"/>
  <c r="L403" i="19"/>
  <c r="K401" i="19"/>
  <c r="J401" i="19"/>
  <c r="I401" i="19"/>
  <c r="K400" i="19"/>
  <c r="K399" i="19"/>
  <c r="N397" i="19"/>
  <c r="N395" i="19" s="1"/>
  <c r="M397" i="19"/>
  <c r="P397" i="19" s="1"/>
  <c r="L397" i="19"/>
  <c r="P396" i="19"/>
  <c r="O396" i="19"/>
  <c r="N394" i="19"/>
  <c r="N392" i="19" s="1"/>
  <c r="M394" i="19"/>
  <c r="M392" i="19" s="1"/>
  <c r="P392" i="19" s="1"/>
  <c r="L394" i="19"/>
  <c r="P393" i="19"/>
  <c r="O393" i="19"/>
  <c r="N390" i="19"/>
  <c r="M390" i="19"/>
  <c r="L390" i="19"/>
  <c r="K388" i="19"/>
  <c r="J388" i="19"/>
  <c r="I388" i="19"/>
  <c r="J385" i="19"/>
  <c r="I385" i="19"/>
  <c r="D384" i="19"/>
  <c r="K382" i="19"/>
  <c r="J382" i="19"/>
  <c r="A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A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M353" i="19"/>
  <c r="L353" i="19"/>
  <c r="L351" i="19" s="1"/>
  <c r="P352" i="19"/>
  <c r="O352" i="19"/>
  <c r="N350" i="19"/>
  <c r="M350" i="19"/>
  <c r="L350" i="19"/>
  <c r="L348" i="19" s="1"/>
  <c r="P349" i="19"/>
  <c r="O349" i="19"/>
  <c r="P346" i="19"/>
  <c r="N346" i="19"/>
  <c r="M346" i="19"/>
  <c r="L346" i="19"/>
  <c r="I340" i="19"/>
  <c r="I338" i="19"/>
  <c r="D337" i="19"/>
  <c r="N336" i="19"/>
  <c r="M336" i="19"/>
  <c r="L336" i="19"/>
  <c r="L334" i="19" s="1"/>
  <c r="O334" i="19" s="1"/>
  <c r="P335" i="19"/>
  <c r="O335" i="19"/>
  <c r="N333" i="19"/>
  <c r="N331" i="19" s="1"/>
  <c r="M333" i="19"/>
  <c r="M331" i="19" s="1"/>
  <c r="L333" i="19"/>
  <c r="L331" i="19" s="1"/>
  <c r="P332" i="19"/>
  <c r="O332" i="19"/>
  <c r="N329" i="19"/>
  <c r="M329" i="19"/>
  <c r="L329" i="19"/>
  <c r="I327" i="19"/>
  <c r="I325" i="19"/>
  <c r="N323" i="19"/>
  <c r="N321" i="19" s="1"/>
  <c r="M323" i="19"/>
  <c r="L323" i="19"/>
  <c r="P322" i="19"/>
  <c r="O322" i="19"/>
  <c r="N320" i="19"/>
  <c r="N318" i="19" s="1"/>
  <c r="M320" i="19"/>
  <c r="L320" i="19"/>
  <c r="L318" i="19" s="1"/>
  <c r="O318" i="19" s="1"/>
  <c r="P319" i="19"/>
  <c r="O319" i="19"/>
  <c r="N316" i="19"/>
  <c r="M316" i="19"/>
  <c r="P316" i="19" s="1"/>
  <c r="L316" i="19"/>
  <c r="J314" i="19"/>
  <c r="I312" i="19"/>
  <c r="K312" i="19" s="1"/>
  <c r="I311" i="19"/>
  <c r="K311" i="19" s="1"/>
  <c r="I310" i="19"/>
  <c r="K310" i="19" s="1"/>
  <c r="I309" i="19"/>
  <c r="K309" i="19" s="1"/>
  <c r="N306" i="19"/>
  <c r="N304" i="19" s="1"/>
  <c r="M306" i="19"/>
  <c r="L306" i="19"/>
  <c r="L304" i="19" s="1"/>
  <c r="O304" i="19" s="1"/>
  <c r="P305" i="19"/>
  <c r="O305" i="19"/>
  <c r="N303" i="19"/>
  <c r="M303" i="19"/>
  <c r="L303" i="19"/>
  <c r="L301" i="19" s="1"/>
  <c r="O301" i="19" s="1"/>
  <c r="P302" i="19"/>
  <c r="O302" i="19"/>
  <c r="N299" i="19"/>
  <c r="M299" i="19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K288" i="19" s="1"/>
  <c r="I287" i="19"/>
  <c r="I276" i="19" s="1"/>
  <c r="K276" i="19" s="1"/>
  <c r="N285" i="19"/>
  <c r="N283" i="19" s="1"/>
  <c r="M285" i="19"/>
  <c r="P285" i="19" s="1"/>
  <c r="L285" i="19"/>
  <c r="P284" i="19"/>
  <c r="O284" i="19"/>
  <c r="N282" i="19"/>
  <c r="M282" i="19"/>
  <c r="P282" i="19" s="1"/>
  <c r="L282" i="19"/>
  <c r="L280" i="19" s="1"/>
  <c r="O280" i="19" s="1"/>
  <c r="P281" i="19"/>
  <c r="O281" i="19"/>
  <c r="O278" i="19"/>
  <c r="N278" i="19"/>
  <c r="M278" i="19"/>
  <c r="P278" i="19" s="1"/>
  <c r="L278" i="19"/>
  <c r="J276" i="19"/>
  <c r="I271" i="19"/>
  <c r="K271" i="19" s="1"/>
  <c r="N269" i="19"/>
  <c r="N267" i="19" s="1"/>
  <c r="M269" i="19"/>
  <c r="L269" i="19"/>
  <c r="O269" i="19" s="1"/>
  <c r="P268" i="19"/>
  <c r="O268" i="19"/>
  <c r="N266" i="19"/>
  <c r="N264" i="19" s="1"/>
  <c r="M266" i="19"/>
  <c r="L266" i="19"/>
  <c r="L264" i="19" s="1"/>
  <c r="P265" i="19"/>
  <c r="O265" i="19"/>
  <c r="N262" i="19"/>
  <c r="M262" i="19"/>
  <c r="L262" i="19"/>
  <c r="O262" i="19" s="1"/>
  <c r="J260" i="19"/>
  <c r="K258" i="19"/>
  <c r="K257" i="19"/>
  <c r="I255" i="19"/>
  <c r="I248" i="19" s="1"/>
  <c r="K248" i="19" s="1"/>
  <c r="L253" i="19"/>
  <c r="L252" i="19"/>
  <c r="L251" i="19"/>
  <c r="L250" i="19"/>
  <c r="P249" i="19"/>
  <c r="N249" i="19"/>
  <c r="J248" i="19"/>
  <c r="K247" i="19"/>
  <c r="K246" i="19"/>
  <c r="I244" i="19"/>
  <c r="K244" i="19" s="1"/>
  <c r="L242" i="19"/>
  <c r="L241" i="19"/>
  <c r="L240" i="19"/>
  <c r="L239" i="19"/>
  <c r="P238" i="19"/>
  <c r="N238" i="19"/>
  <c r="N227" i="19" s="1"/>
  <c r="J237" i="19"/>
  <c r="J236" i="19"/>
  <c r="I236" i="19"/>
  <c r="K236" i="19" s="1"/>
  <c r="K235" i="19"/>
  <c r="J235" i="19"/>
  <c r="I235" i="19"/>
  <c r="J233" i="19"/>
  <c r="N231" i="19"/>
  <c r="N230" i="19"/>
  <c r="N229" i="19"/>
  <c r="N228" i="19"/>
  <c r="J226" i="19"/>
  <c r="J180" i="19" s="1"/>
  <c r="I225" i="19"/>
  <c r="K225" i="19" s="1"/>
  <c r="I224" i="19"/>
  <c r="I223" i="19"/>
  <c r="K223" i="19" s="1"/>
  <c r="L220" i="19"/>
  <c r="L219" i="19"/>
  <c r="L218" i="19"/>
  <c r="P217" i="19"/>
  <c r="N217" i="19"/>
  <c r="J216" i="19"/>
  <c r="I215" i="19"/>
  <c r="I208" i="19" s="1"/>
  <c r="I214" i="19"/>
  <c r="K214" i="19" s="1"/>
  <c r="L212" i="19"/>
  <c r="L211" i="19"/>
  <c r="L210" i="19"/>
  <c r="P209" i="19"/>
  <c r="N209" i="19"/>
  <c r="J208" i="19"/>
  <c r="K207" i="19"/>
  <c r="K206" i="19"/>
  <c r="I204" i="19"/>
  <c r="L202" i="19"/>
  <c r="L201" i="19"/>
  <c r="L200" i="19"/>
  <c r="L199" i="19"/>
  <c r="P198" i="19"/>
  <c r="N198" i="19"/>
  <c r="J197" i="19"/>
  <c r="J194" i="19"/>
  <c r="I193" i="19"/>
  <c r="K193" i="19" s="1"/>
  <c r="P191" i="19"/>
  <c r="L191" i="19"/>
  <c r="O191" i="19" s="1"/>
  <c r="J190" i="19"/>
  <c r="N189" i="19"/>
  <c r="N187" i="19" s="1"/>
  <c r="M189" i="19"/>
  <c r="P189" i="19" s="1"/>
  <c r="L189" i="19"/>
  <c r="O189" i="19" s="1"/>
  <c r="P188" i="19"/>
  <c r="O188" i="19"/>
  <c r="N186" i="19"/>
  <c r="N184" i="19" s="1"/>
  <c r="M186" i="19"/>
  <c r="M184" i="19" s="1"/>
  <c r="L186" i="19"/>
  <c r="P185" i="19"/>
  <c r="O185" i="19"/>
  <c r="P182" i="19"/>
  <c r="N182" i="19"/>
  <c r="M182" i="19"/>
  <c r="L182" i="19"/>
  <c r="J177" i="19"/>
  <c r="I176" i="19"/>
  <c r="K176" i="19" s="1"/>
  <c r="J174" i="19"/>
  <c r="N173" i="19"/>
  <c r="N171" i="19" s="1"/>
  <c r="M173" i="19"/>
  <c r="P173" i="19" s="1"/>
  <c r="L173" i="19"/>
  <c r="L171" i="19" s="1"/>
  <c r="O171" i="19" s="1"/>
  <c r="P172" i="19"/>
  <c r="O172" i="19"/>
  <c r="N170" i="19"/>
  <c r="N168" i="19" s="1"/>
  <c r="M170" i="19"/>
  <c r="L170" i="19"/>
  <c r="P169" i="19"/>
  <c r="O169" i="19"/>
  <c r="P166" i="19"/>
  <c r="N166" i="19"/>
  <c r="M166" i="19"/>
  <c r="L166" i="19"/>
  <c r="J164" i="19"/>
  <c r="I159" i="19"/>
  <c r="K159" i="19" s="1"/>
  <c r="N157" i="19"/>
  <c r="N155" i="19" s="1"/>
  <c r="M157" i="19"/>
  <c r="L157" i="19"/>
  <c r="L155" i="19" s="1"/>
  <c r="O155" i="19" s="1"/>
  <c r="P156" i="19"/>
  <c r="O156" i="19"/>
  <c r="N154" i="19"/>
  <c r="N152" i="19" s="1"/>
  <c r="M154" i="19"/>
  <c r="L154" i="19"/>
  <c r="O154" i="19" s="1"/>
  <c r="P153" i="19"/>
  <c r="O153" i="19"/>
  <c r="N150" i="19"/>
  <c r="M150" i="19"/>
  <c r="L150" i="19"/>
  <c r="O150" i="19" s="1"/>
  <c r="J148" i="19"/>
  <c r="I146" i="19"/>
  <c r="K146" i="19" s="1"/>
  <c r="I145" i="19"/>
  <c r="K145" i="19" s="1"/>
  <c r="I144" i="19"/>
  <c r="K144" i="19" s="1"/>
  <c r="N140" i="19"/>
  <c r="N138" i="19" s="1"/>
  <c r="M140" i="19"/>
  <c r="P140" i="19" s="1"/>
  <c r="L140" i="19"/>
  <c r="O140" i="19" s="1"/>
  <c r="P139" i="19"/>
  <c r="O139" i="19"/>
  <c r="N137" i="19"/>
  <c r="M137" i="19"/>
  <c r="P137" i="19" s="1"/>
  <c r="L137" i="19"/>
  <c r="P136" i="19"/>
  <c r="O136" i="19"/>
  <c r="P133" i="19"/>
  <c r="O133" i="19"/>
  <c r="N133" i="19"/>
  <c r="M133" i="19"/>
  <c r="L133" i="19"/>
  <c r="J130" i="19"/>
  <c r="N127" i="19"/>
  <c r="N125" i="19" s="1"/>
  <c r="M127" i="19"/>
  <c r="M125" i="19" s="1"/>
  <c r="P125" i="19" s="1"/>
  <c r="L127" i="19"/>
  <c r="L125" i="19" s="1"/>
  <c r="O125" i="19" s="1"/>
  <c r="P126" i="19"/>
  <c r="O126" i="19"/>
  <c r="N124" i="19"/>
  <c r="N122" i="19" s="1"/>
  <c r="M124" i="19"/>
  <c r="L124" i="19"/>
  <c r="O124" i="19" s="1"/>
  <c r="P123" i="19"/>
  <c r="O123" i="19"/>
  <c r="P120" i="19"/>
  <c r="O120" i="19"/>
  <c r="N120" i="19"/>
  <c r="M120" i="19"/>
  <c r="L120" i="19"/>
  <c r="I116" i="19"/>
  <c r="K116" i="19" s="1"/>
  <c r="I115" i="19"/>
  <c r="K115" i="19" s="1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J99" i="19"/>
  <c r="I99" i="19"/>
  <c r="I87" i="19" s="1"/>
  <c r="J98" i="19"/>
  <c r="I98" i="19"/>
  <c r="I86" i="19" s="1"/>
  <c r="N96" i="19"/>
  <c r="N94" i="19" s="1"/>
  <c r="M96" i="19"/>
  <c r="P96" i="19" s="1"/>
  <c r="L96" i="19"/>
  <c r="L94" i="19" s="1"/>
  <c r="O94" i="19" s="1"/>
  <c r="P95" i="19"/>
  <c r="O95" i="19"/>
  <c r="N93" i="19"/>
  <c r="M93" i="19"/>
  <c r="M91" i="19" s="1"/>
  <c r="L93" i="19"/>
  <c r="L91" i="19" s="1"/>
  <c r="P92" i="19"/>
  <c r="O92" i="19"/>
  <c r="N89" i="19"/>
  <c r="M89" i="19"/>
  <c r="P89" i="19" s="1"/>
  <c r="L89" i="19"/>
  <c r="O89" i="19" s="1"/>
  <c r="J87" i="19"/>
  <c r="I84" i="19"/>
  <c r="K84" i="19" s="1"/>
  <c r="I83" i="19"/>
  <c r="K83" i="19" s="1"/>
  <c r="I82" i="19"/>
  <c r="K82" i="19" s="1"/>
  <c r="I81" i="19"/>
  <c r="K81" i="19" s="1"/>
  <c r="I80" i="19"/>
  <c r="K80" i="19" s="1"/>
  <c r="I79" i="19"/>
  <c r="I78" i="19"/>
  <c r="K78" i="19" s="1"/>
  <c r="J77" i="19"/>
  <c r="J65" i="19" s="1"/>
  <c r="J76" i="19"/>
  <c r="J64" i="19" s="1"/>
  <c r="N74" i="19"/>
  <c r="N72" i="19" s="1"/>
  <c r="M74" i="19"/>
  <c r="P74" i="19" s="1"/>
  <c r="L74" i="19"/>
  <c r="O74" i="19" s="1"/>
  <c r="P73" i="19"/>
  <c r="O73" i="19"/>
  <c r="N71" i="19"/>
  <c r="M71" i="19"/>
  <c r="L71" i="19"/>
  <c r="L69" i="19" s="1"/>
  <c r="P70" i="19"/>
  <c r="O70" i="19"/>
  <c r="N67" i="19"/>
  <c r="M67" i="19"/>
  <c r="P67" i="19" s="1"/>
  <c r="L67" i="19"/>
  <c r="O67" i="19" s="1"/>
  <c r="N61" i="19"/>
  <c r="N59" i="19" s="1"/>
  <c r="M61" i="19"/>
  <c r="M59" i="19" s="1"/>
  <c r="P59" i="19" s="1"/>
  <c r="L61" i="19"/>
  <c r="P60" i="19"/>
  <c r="O60" i="19"/>
  <c r="N58" i="19"/>
  <c r="N56" i="19" s="1"/>
  <c r="M58" i="19"/>
  <c r="L58" i="19"/>
  <c r="L56" i="19" s="1"/>
  <c r="P57" i="19"/>
  <c r="O57" i="19"/>
  <c r="O54" i="19"/>
  <c r="N54" i="19"/>
  <c r="M54" i="19"/>
  <c r="P54" i="19" s="1"/>
  <c r="L54" i="19"/>
  <c r="N49" i="19"/>
  <c r="N47" i="19" s="1"/>
  <c r="M49" i="19"/>
  <c r="P49" i="19" s="1"/>
  <c r="L49" i="19"/>
  <c r="O49" i="19" s="1"/>
  <c r="P48" i="19"/>
  <c r="O48" i="19"/>
  <c r="N46" i="19"/>
  <c r="M46" i="19"/>
  <c r="L46" i="19"/>
  <c r="L44" i="19" s="1"/>
  <c r="P45" i="19"/>
  <c r="O45" i="19"/>
  <c r="N42" i="19"/>
  <c r="M42" i="19"/>
  <c r="P42" i="19" s="1"/>
  <c r="L42" i="19"/>
  <c r="O42" i="19" s="1"/>
  <c r="N36" i="19"/>
  <c r="M36" i="19"/>
  <c r="P36" i="19" s="1"/>
  <c r="N35" i="19"/>
  <c r="N15" i="19" s="1"/>
  <c r="M35" i="19"/>
  <c r="M34" i="19" s="1"/>
  <c r="P34" i="19" s="1"/>
  <c r="L35" i="19"/>
  <c r="O35" i="19" s="1"/>
  <c r="N33" i="19"/>
  <c r="N31" i="19" s="1"/>
  <c r="N32" i="19"/>
  <c r="M32" i="19"/>
  <c r="M29" i="19" s="1"/>
  <c r="L32" i="19"/>
  <c r="O32" i="19" s="1"/>
  <c r="N29" i="19"/>
  <c r="P25" i="19"/>
  <c r="O25" i="19"/>
  <c r="N25" i="19"/>
  <c r="M25" i="19"/>
  <c r="L25" i="19"/>
  <c r="P22" i="19"/>
  <c r="O22" i="19"/>
  <c r="N22" i="19"/>
  <c r="M22" i="19"/>
  <c r="L22" i="19"/>
  <c r="P19" i="19"/>
  <c r="M19" i="19"/>
  <c r="L19" i="19"/>
  <c r="O19" i="19" s="1"/>
  <c r="P15" i="19"/>
  <c r="M15" i="19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N815" i="18"/>
  <c r="M815" i="18"/>
  <c r="L815" i="18"/>
  <c r="O815" i="18" s="1"/>
  <c r="P810" i="18"/>
  <c r="O810" i="18"/>
  <c r="N810" i="18"/>
  <c r="P809" i="18"/>
  <c r="O809" i="18"/>
  <c r="P808" i="18"/>
  <c r="O808" i="18"/>
  <c r="N808" i="18"/>
  <c r="M808" i="18"/>
  <c r="L808" i="18"/>
  <c r="O807" i="18"/>
  <c r="N807" i="18"/>
  <c r="M807" i="18"/>
  <c r="P807" i="18" s="1"/>
  <c r="L807" i="18"/>
  <c r="N806" i="18"/>
  <c r="M806" i="18"/>
  <c r="L806" i="18"/>
  <c r="O806" i="18" s="1"/>
  <c r="L805" i="18"/>
  <c r="O805" i="18" s="1"/>
  <c r="K804" i="18"/>
  <c r="J804" i="18"/>
  <c r="J803" i="18"/>
  <c r="I803" i="18"/>
  <c r="K803" i="18" s="1"/>
  <c r="J802" i="18"/>
  <c r="J801" i="18"/>
  <c r="I801" i="18"/>
  <c r="J800" i="18"/>
  <c r="P798" i="18"/>
  <c r="O798" i="18"/>
  <c r="P797" i="18"/>
  <c r="O797" i="18"/>
  <c r="N796" i="18"/>
  <c r="M796" i="18"/>
  <c r="P796" i="18" s="1"/>
  <c r="L796" i="18"/>
  <c r="O796" i="18" s="1"/>
  <c r="N791" i="18"/>
  <c r="L791" i="18"/>
  <c r="L789" i="18" s="1"/>
  <c r="O789" i="18" s="1"/>
  <c r="P790" i="18"/>
  <c r="O790" i="18"/>
  <c r="N789" i="18"/>
  <c r="N788" i="18"/>
  <c r="P787" i="18"/>
  <c r="N787" i="18"/>
  <c r="N786" i="18" s="1"/>
  <c r="M787" i="18"/>
  <c r="L787" i="18"/>
  <c r="O787" i="18" s="1"/>
  <c r="P782" i="18"/>
  <c r="O782" i="18"/>
  <c r="P781" i="18"/>
  <c r="O781" i="18"/>
  <c r="P780" i="18"/>
  <c r="O780" i="18"/>
  <c r="N780" i="18"/>
  <c r="M780" i="18"/>
  <c r="L780" i="18"/>
  <c r="P775" i="18"/>
  <c r="O775" i="18"/>
  <c r="N775" i="18"/>
  <c r="N772" i="18" s="1"/>
  <c r="P774" i="18"/>
  <c r="O774" i="18"/>
  <c r="O773" i="18"/>
  <c r="N773" i="18"/>
  <c r="M773" i="18"/>
  <c r="P773" i="18" s="1"/>
  <c r="L773" i="18"/>
  <c r="M772" i="18"/>
  <c r="P772" i="18" s="1"/>
  <c r="L772" i="18"/>
  <c r="O772" i="18" s="1"/>
  <c r="N771" i="18"/>
  <c r="N770" i="18" s="1"/>
  <c r="M771" i="18"/>
  <c r="P771" i="18" s="1"/>
  <c r="L771" i="18"/>
  <c r="K769" i="18"/>
  <c r="J769" i="18"/>
  <c r="P766" i="18"/>
  <c r="O766" i="18"/>
  <c r="P765" i="18"/>
  <c r="O765" i="18"/>
  <c r="P764" i="18"/>
  <c r="O764" i="18"/>
  <c r="N764" i="18"/>
  <c r="M764" i="18"/>
  <c r="L764" i="18"/>
  <c r="P759" i="18"/>
  <c r="O759" i="18"/>
  <c r="N759" i="18"/>
  <c r="N756" i="18" s="1"/>
  <c r="P758" i="18"/>
  <c r="O758" i="18"/>
  <c r="O757" i="18"/>
  <c r="M757" i="18"/>
  <c r="P757" i="18" s="1"/>
  <c r="L757" i="18"/>
  <c r="M756" i="18"/>
  <c r="P756" i="18" s="1"/>
  <c r="L756" i="18"/>
  <c r="O756" i="18" s="1"/>
  <c r="N755" i="18"/>
  <c r="M755" i="18"/>
  <c r="P755" i="18" s="1"/>
  <c r="L755" i="18"/>
  <c r="K753" i="18"/>
  <c r="J753" i="18"/>
  <c r="P749" i="18"/>
  <c r="O749" i="18"/>
  <c r="P748" i="18"/>
  <c r="O748" i="18"/>
  <c r="P747" i="18"/>
  <c r="O747" i="18"/>
  <c r="N747" i="18"/>
  <c r="M747" i="18"/>
  <c r="L747" i="18"/>
  <c r="P742" i="18"/>
  <c r="O742" i="18"/>
  <c r="N742" i="18"/>
  <c r="N739" i="18" s="1"/>
  <c r="P741" i="18"/>
  <c r="O741" i="18"/>
  <c r="O740" i="18"/>
  <c r="M740" i="18"/>
  <c r="P740" i="18" s="1"/>
  <c r="L740" i="18"/>
  <c r="M739" i="18"/>
  <c r="P739" i="18" s="1"/>
  <c r="L739" i="18"/>
  <c r="O739" i="18" s="1"/>
  <c r="N738" i="18"/>
  <c r="M738" i="18"/>
  <c r="P738" i="18" s="1"/>
  <c r="L738" i="18"/>
  <c r="K736" i="18"/>
  <c r="J736" i="18"/>
  <c r="J729" i="18"/>
  <c r="I729" i="18"/>
  <c r="K729" i="18" s="1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J699" i="18"/>
  <c r="I699" i="18"/>
  <c r="K699" i="18" s="1"/>
  <c r="P697" i="18"/>
  <c r="O697" i="18"/>
  <c r="P696" i="18"/>
  <c r="O696" i="18"/>
  <c r="P695" i="18"/>
  <c r="O695" i="18"/>
  <c r="N695" i="18"/>
  <c r="M695" i="18"/>
  <c r="L695" i="18"/>
  <c r="N690" i="18"/>
  <c r="N687" i="18" s="1"/>
  <c r="L690" i="18"/>
  <c r="M690" i="18" s="1"/>
  <c r="P690" i="18" s="1"/>
  <c r="N688" i="18"/>
  <c r="N686" i="18"/>
  <c r="N685" i="18" s="1"/>
  <c r="M686" i="18"/>
  <c r="P686" i="18" s="1"/>
  <c r="L686" i="18"/>
  <c r="J679" i="18"/>
  <c r="J678" i="18" s="1"/>
  <c r="I678" i="18"/>
  <c r="K678" i="18" s="1"/>
  <c r="J675" i="18"/>
  <c r="J669" i="18" s="1"/>
  <c r="J654" i="18" s="1"/>
  <c r="I671" i="18"/>
  <c r="K671" i="18" s="1"/>
  <c r="I670" i="18"/>
  <c r="K670" i="18" s="1"/>
  <c r="I669" i="18"/>
  <c r="K672" i="18" s="1"/>
  <c r="P667" i="18"/>
  <c r="O667" i="18"/>
  <c r="P666" i="18"/>
  <c r="O666" i="18"/>
  <c r="N665" i="18"/>
  <c r="M665" i="18"/>
  <c r="P665" i="18" s="1"/>
  <c r="L665" i="18"/>
  <c r="O665" i="18" s="1"/>
  <c r="N660" i="18"/>
  <c r="L660" i="18"/>
  <c r="P659" i="18"/>
  <c r="O659" i="18"/>
  <c r="N658" i="18"/>
  <c r="N657" i="18"/>
  <c r="P656" i="18"/>
  <c r="O656" i="18"/>
  <c r="N656" i="18"/>
  <c r="M656" i="18"/>
  <c r="L656" i="18"/>
  <c r="N655" i="18"/>
  <c r="K652" i="18"/>
  <c r="J652" i="18"/>
  <c r="A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P640" i="18"/>
  <c r="O640" i="18"/>
  <c r="P639" i="18"/>
  <c r="N639" i="18"/>
  <c r="M639" i="18"/>
  <c r="N634" i="18"/>
  <c r="N632" i="18" s="1"/>
  <c r="L634" i="18"/>
  <c r="P633" i="18"/>
  <c r="O633" i="18"/>
  <c r="O630" i="18"/>
  <c r="N630" i="18"/>
  <c r="M630" i="18"/>
  <c r="P630" i="18" s="1"/>
  <c r="L630" i="18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3" i="18" s="1"/>
  <c r="J596" i="18"/>
  <c r="J594" i="18" s="1"/>
  <c r="J595" i="18"/>
  <c r="I594" i="18"/>
  <c r="K594" i="18" s="1"/>
  <c r="I593" i="18"/>
  <c r="I592" i="18" s="1"/>
  <c r="J583" i="18"/>
  <c r="J577" i="18" s="1"/>
  <c r="J582" i="18"/>
  <c r="J576" i="18" s="1"/>
  <c r="J559" i="18" s="1"/>
  <c r="J543" i="18" s="1"/>
  <c r="I577" i="18"/>
  <c r="I576" i="18"/>
  <c r="J569" i="18"/>
  <c r="I569" i="18"/>
  <c r="K569" i="18" s="1"/>
  <c r="J568" i="18"/>
  <c r="I568" i="18"/>
  <c r="J561" i="18"/>
  <c r="I561" i="18"/>
  <c r="K561" i="18" s="1"/>
  <c r="J560" i="18"/>
  <c r="I560" i="18"/>
  <c r="K560" i="18" s="1"/>
  <c r="P557" i="18"/>
  <c r="L557" i="18"/>
  <c r="L555" i="18" s="1"/>
  <c r="O555" i="18" s="1"/>
  <c r="P556" i="18"/>
  <c r="O556" i="18"/>
  <c r="N555" i="18"/>
  <c r="N545" i="18" s="1"/>
  <c r="N544" i="18" s="1"/>
  <c r="M555" i="18"/>
  <c r="N549" i="18"/>
  <c r="L549" i="18"/>
  <c r="L546" i="18" s="1"/>
  <c r="O546" i="18" s="1"/>
  <c r="P548" i="18"/>
  <c r="O548" i="18"/>
  <c r="N547" i="18"/>
  <c r="N546" i="18"/>
  <c r="L545" i="18"/>
  <c r="I542" i="18"/>
  <c r="K542" i="18" s="1"/>
  <c r="I541" i="18"/>
  <c r="K541" i="18" s="1"/>
  <c r="I540" i="18"/>
  <c r="K540" i="18" s="1"/>
  <c r="I539" i="18"/>
  <c r="K539" i="18" s="1"/>
  <c r="I538" i="18"/>
  <c r="I537" i="18"/>
  <c r="I522" i="18" s="1"/>
  <c r="K522" i="18" s="1"/>
  <c r="P535" i="18"/>
  <c r="L535" i="18"/>
  <c r="P534" i="18"/>
  <c r="O534" i="18"/>
  <c r="N533" i="18"/>
  <c r="M533" i="18"/>
  <c r="P533" i="18" s="1"/>
  <c r="P528" i="18"/>
  <c r="N528" i="18"/>
  <c r="N525" i="18" s="1"/>
  <c r="N523" i="18" s="1"/>
  <c r="L528" i="18"/>
  <c r="O528" i="18" s="1"/>
  <c r="P527" i="18"/>
  <c r="O527" i="18"/>
  <c r="N526" i="18"/>
  <c r="M526" i="18"/>
  <c r="P526" i="18" s="1"/>
  <c r="P525" i="18"/>
  <c r="M525" i="18"/>
  <c r="M523" i="18" s="1"/>
  <c r="P523" i="18" s="1"/>
  <c r="P524" i="18"/>
  <c r="O524" i="18"/>
  <c r="N524" i="18"/>
  <c r="M524" i="18"/>
  <c r="L524" i="18"/>
  <c r="K517" i="18"/>
  <c r="J517" i="18"/>
  <c r="K516" i="18"/>
  <c r="P514" i="18"/>
  <c r="O514" i="18"/>
  <c r="P513" i="18"/>
  <c r="O513" i="18"/>
  <c r="N512" i="18"/>
  <c r="M512" i="18"/>
  <c r="P512" i="18" s="1"/>
  <c r="L512" i="18"/>
  <c r="O512" i="18" s="1"/>
  <c r="P507" i="18"/>
  <c r="O507" i="18"/>
  <c r="N507" i="18"/>
  <c r="N505" i="18" s="1"/>
  <c r="P506" i="18"/>
  <c r="O506" i="18"/>
  <c r="P505" i="18"/>
  <c r="O505" i="18"/>
  <c r="M505" i="18"/>
  <c r="L505" i="18"/>
  <c r="P504" i="18"/>
  <c r="O504" i="18"/>
  <c r="N504" i="18"/>
  <c r="M504" i="18"/>
  <c r="L504" i="18"/>
  <c r="O503" i="18"/>
  <c r="N503" i="18"/>
  <c r="N502" i="18" s="1"/>
  <c r="M503" i="18"/>
  <c r="P503" i="18" s="1"/>
  <c r="L503" i="18"/>
  <c r="M502" i="18"/>
  <c r="P502" i="18" s="1"/>
  <c r="L502" i="18"/>
  <c r="O502" i="18" s="1"/>
  <c r="K501" i="18"/>
  <c r="J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L477" i="18" s="1"/>
  <c r="O477" i="18" s="1"/>
  <c r="P478" i="18"/>
  <c r="O478" i="18"/>
  <c r="P477" i="18"/>
  <c r="N477" i="18"/>
  <c r="M477" i="18"/>
  <c r="N472" i="18"/>
  <c r="N470" i="18" s="1"/>
  <c r="L472" i="18"/>
  <c r="M472" i="18" s="1"/>
  <c r="P472" i="18" s="1"/>
  <c r="P471" i="18"/>
  <c r="O471" i="18"/>
  <c r="N469" i="18"/>
  <c r="P468" i="18"/>
  <c r="O468" i="18"/>
  <c r="N468" i="18"/>
  <c r="M468" i="18"/>
  <c r="L468" i="18"/>
  <c r="N467" i="18"/>
  <c r="J466" i="18"/>
  <c r="I466" i="18"/>
  <c r="K466" i="18" s="1"/>
  <c r="J465" i="18"/>
  <c r="I465" i="18"/>
  <c r="I464" i="18"/>
  <c r="K464" i="18" s="1"/>
  <c r="I463" i="18"/>
  <c r="K463" i="18" s="1"/>
  <c r="I462" i="18"/>
  <c r="I460" i="18"/>
  <c r="K460" i="18" s="1"/>
  <c r="K458" i="18"/>
  <c r="P456" i="18"/>
  <c r="L456" i="18"/>
  <c r="L454" i="18" s="1"/>
  <c r="O454" i="18" s="1"/>
  <c r="P455" i="18"/>
  <c r="O455" i="18"/>
  <c r="P454" i="18"/>
  <c r="N454" i="18"/>
  <c r="M454" i="18"/>
  <c r="N449" i="18"/>
  <c r="L449" i="18"/>
  <c r="L447" i="18" s="1"/>
  <c r="O447" i="18" s="1"/>
  <c r="P448" i="18"/>
  <c r="O448" i="18"/>
  <c r="N447" i="18"/>
  <c r="N446" i="18"/>
  <c r="N445" i="18"/>
  <c r="M445" i="18"/>
  <c r="L445" i="18"/>
  <c r="O445" i="18" s="1"/>
  <c r="J443" i="18"/>
  <c r="J442" i="18"/>
  <c r="I441" i="18"/>
  <c r="K441" i="18" s="1"/>
  <c r="I440" i="18"/>
  <c r="K440" i="18" s="1"/>
  <c r="I439" i="18"/>
  <c r="K439" i="18" s="1"/>
  <c r="I438" i="18"/>
  <c r="K438" i="18" s="1"/>
  <c r="I437" i="18"/>
  <c r="K437" i="18" s="1"/>
  <c r="I435" i="18"/>
  <c r="I433" i="18" s="1"/>
  <c r="I417" i="18" s="1"/>
  <c r="J434" i="18"/>
  <c r="P431" i="18"/>
  <c r="L431" i="18"/>
  <c r="O431" i="18" s="1"/>
  <c r="P430" i="18"/>
  <c r="O430" i="18"/>
  <c r="P429" i="18"/>
  <c r="N429" i="18"/>
  <c r="M429" i="18"/>
  <c r="N424" i="18"/>
  <c r="N422" i="18" s="1"/>
  <c r="L424" i="18"/>
  <c r="M424" i="18" s="1"/>
  <c r="P423" i="18"/>
  <c r="O423" i="18"/>
  <c r="N421" i="18"/>
  <c r="O420" i="18"/>
  <c r="N420" i="18"/>
  <c r="M420" i="18"/>
  <c r="P420" i="18" s="1"/>
  <c r="L420" i="18"/>
  <c r="J418" i="18"/>
  <c r="K413" i="18"/>
  <c r="K412" i="18"/>
  <c r="N410" i="18"/>
  <c r="N408" i="18" s="1"/>
  <c r="M410" i="18"/>
  <c r="P410" i="18" s="1"/>
  <c r="L410" i="18"/>
  <c r="P409" i="18"/>
  <c r="O409" i="18"/>
  <c r="N407" i="18"/>
  <c r="N405" i="18" s="1"/>
  <c r="M407" i="18"/>
  <c r="P407" i="18" s="1"/>
  <c r="L407" i="18"/>
  <c r="P406" i="18"/>
  <c r="O406" i="18"/>
  <c r="N403" i="18"/>
  <c r="M403" i="18"/>
  <c r="P403" i="18" s="1"/>
  <c r="L403" i="18"/>
  <c r="K401" i="18"/>
  <c r="J401" i="18"/>
  <c r="I401" i="18"/>
  <c r="K400" i="18"/>
  <c r="K399" i="18"/>
  <c r="N397" i="18"/>
  <c r="N395" i="18" s="1"/>
  <c r="M397" i="18"/>
  <c r="P397" i="18" s="1"/>
  <c r="L397" i="18"/>
  <c r="O397" i="18" s="1"/>
  <c r="P396" i="18"/>
  <c r="O396" i="18"/>
  <c r="N394" i="18"/>
  <c r="N392" i="18" s="1"/>
  <c r="M394" i="18"/>
  <c r="M392" i="18" s="1"/>
  <c r="P392" i="18" s="1"/>
  <c r="L394" i="18"/>
  <c r="L392" i="18" s="1"/>
  <c r="O392" i="18" s="1"/>
  <c r="P393" i="18"/>
  <c r="O393" i="18"/>
  <c r="O390" i="18"/>
  <c r="N390" i="18"/>
  <c r="M390" i="18"/>
  <c r="P390" i="18" s="1"/>
  <c r="L390" i="18"/>
  <c r="J388" i="18"/>
  <c r="I388" i="18"/>
  <c r="K388" i="18" s="1"/>
  <c r="J385" i="18"/>
  <c r="I385" i="18"/>
  <c r="D384" i="18"/>
  <c r="K382" i="18"/>
  <c r="J382" i="18"/>
  <c r="A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A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N351" i="18" s="1"/>
  <c r="M353" i="18"/>
  <c r="L353" i="18"/>
  <c r="P352" i="18"/>
  <c r="O352" i="18"/>
  <c r="N350" i="18"/>
  <c r="N348" i="18" s="1"/>
  <c r="M350" i="18"/>
  <c r="M348" i="18" s="1"/>
  <c r="L350" i="18"/>
  <c r="P349" i="18"/>
  <c r="O349" i="18"/>
  <c r="P346" i="18"/>
  <c r="N346" i="18"/>
  <c r="M346" i="18"/>
  <c r="L346" i="18"/>
  <c r="O346" i="18" s="1"/>
  <c r="J343" i="18"/>
  <c r="J342" i="18"/>
  <c r="J341" i="18"/>
  <c r="J340" i="18"/>
  <c r="I340" i="18"/>
  <c r="J338" i="18"/>
  <c r="I338" i="18"/>
  <c r="D337" i="18"/>
  <c r="N336" i="18"/>
  <c r="N334" i="18" s="1"/>
  <c r="M336" i="18"/>
  <c r="M334" i="18" s="1"/>
  <c r="P334" i="18" s="1"/>
  <c r="L336" i="18"/>
  <c r="P335" i="18"/>
  <c r="O335" i="18"/>
  <c r="N333" i="18"/>
  <c r="N331" i="18" s="1"/>
  <c r="M333" i="18"/>
  <c r="M331" i="18" s="1"/>
  <c r="L333" i="18"/>
  <c r="P332" i="18"/>
  <c r="O332" i="18"/>
  <c r="N329" i="18"/>
  <c r="M329" i="18"/>
  <c r="P329" i="18" s="1"/>
  <c r="L329" i="18"/>
  <c r="I327" i="18"/>
  <c r="I325" i="18"/>
  <c r="K325" i="18" s="1"/>
  <c r="N323" i="18"/>
  <c r="N321" i="18" s="1"/>
  <c r="M323" i="18"/>
  <c r="M321" i="18" s="1"/>
  <c r="P321" i="18" s="1"/>
  <c r="L323" i="18"/>
  <c r="O323" i="18" s="1"/>
  <c r="P322" i="18"/>
  <c r="O322" i="18"/>
  <c r="N320" i="18"/>
  <c r="M320" i="18"/>
  <c r="L320" i="18"/>
  <c r="O320" i="18" s="1"/>
  <c r="P319" i="18"/>
  <c r="O319" i="18"/>
  <c r="N316" i="18"/>
  <c r="M316" i="18"/>
  <c r="P316" i="18" s="1"/>
  <c r="L316" i="18"/>
  <c r="O316" i="18" s="1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P306" i="18" s="1"/>
  <c r="L306" i="18"/>
  <c r="O306" i="18" s="1"/>
  <c r="P305" i="18"/>
  <c r="O305" i="18"/>
  <c r="N303" i="18"/>
  <c r="N301" i="18" s="1"/>
  <c r="M303" i="18"/>
  <c r="P303" i="18" s="1"/>
  <c r="L303" i="18"/>
  <c r="O303" i="18" s="1"/>
  <c r="P302" i="18"/>
  <c r="O302" i="18"/>
  <c r="P299" i="18"/>
  <c r="N299" i="18"/>
  <c r="M299" i="18"/>
  <c r="L299" i="18"/>
  <c r="O299" i="18" s="1"/>
  <c r="J297" i="18"/>
  <c r="I294" i="18"/>
  <c r="K294" i="18" s="1"/>
  <c r="I293" i="18"/>
  <c r="K293" i="18" s="1"/>
  <c r="I291" i="18"/>
  <c r="K291" i="18" s="1"/>
  <c r="I290" i="18"/>
  <c r="K290" i="18" s="1"/>
  <c r="I288" i="18"/>
  <c r="I287" i="18"/>
  <c r="N285" i="18"/>
  <c r="N283" i="18" s="1"/>
  <c r="M285" i="18"/>
  <c r="P285" i="18" s="1"/>
  <c r="L285" i="18"/>
  <c r="P284" i="18"/>
  <c r="O284" i="18"/>
  <c r="N282" i="18"/>
  <c r="M282" i="18"/>
  <c r="M280" i="18" s="1"/>
  <c r="L282" i="18"/>
  <c r="P281" i="18"/>
  <c r="O281" i="18"/>
  <c r="N278" i="18"/>
  <c r="M278" i="18"/>
  <c r="P278" i="18" s="1"/>
  <c r="L278" i="18"/>
  <c r="J276" i="18"/>
  <c r="I271" i="18"/>
  <c r="N269" i="18"/>
  <c r="N267" i="18" s="1"/>
  <c r="M269" i="18"/>
  <c r="P269" i="18" s="1"/>
  <c r="L269" i="18"/>
  <c r="O269" i="18" s="1"/>
  <c r="P268" i="18"/>
  <c r="O268" i="18"/>
  <c r="N266" i="18"/>
  <c r="N264" i="18" s="1"/>
  <c r="M266" i="18"/>
  <c r="L266" i="18"/>
  <c r="P265" i="18"/>
  <c r="O265" i="18"/>
  <c r="P262" i="18"/>
  <c r="N262" i="18"/>
  <c r="M262" i="18"/>
  <c r="L262" i="18"/>
  <c r="O262" i="18" s="1"/>
  <c r="J260" i="18"/>
  <c r="K258" i="18"/>
  <c r="K257" i="18"/>
  <c r="I255" i="18"/>
  <c r="L253" i="18"/>
  <c r="L252" i="18"/>
  <c r="L251" i="18"/>
  <c r="L250" i="18"/>
  <c r="P249" i="18"/>
  <c r="N249" i="18"/>
  <c r="J248" i="18"/>
  <c r="K247" i="18"/>
  <c r="K246" i="18"/>
  <c r="I244" i="18"/>
  <c r="K244" i="18" s="1"/>
  <c r="L242" i="18"/>
  <c r="L241" i="18"/>
  <c r="L240" i="18"/>
  <c r="L239" i="18"/>
  <c r="P238" i="18"/>
  <c r="N238" i="18"/>
  <c r="J237" i="18"/>
  <c r="J226" i="18" s="1"/>
  <c r="J180" i="18" s="1"/>
  <c r="J236" i="18"/>
  <c r="I236" i="18"/>
  <c r="K236" i="18" s="1"/>
  <c r="J235" i="18"/>
  <c r="I235" i="18"/>
  <c r="K235" i="18" s="1"/>
  <c r="J233" i="18"/>
  <c r="N231" i="18"/>
  <c r="N230" i="18"/>
  <c r="N229" i="18"/>
  <c r="N228" i="18"/>
  <c r="N227" i="18"/>
  <c r="I225" i="18"/>
  <c r="I224" i="18"/>
  <c r="K224" i="18" s="1"/>
  <c r="I223" i="18"/>
  <c r="K223" i="18" s="1"/>
  <c r="L220" i="18"/>
  <c r="L219" i="18"/>
  <c r="L218" i="18"/>
  <c r="P217" i="18"/>
  <c r="N217" i="18"/>
  <c r="J216" i="18"/>
  <c r="I215" i="18"/>
  <c r="K215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P189" i="18" s="1"/>
  <c r="L189" i="18"/>
  <c r="O189" i="18" s="1"/>
  <c r="P188" i="18"/>
  <c r="O188" i="18"/>
  <c r="N186" i="18"/>
  <c r="N184" i="18" s="1"/>
  <c r="M186" i="18"/>
  <c r="M184" i="18" s="1"/>
  <c r="L186" i="18"/>
  <c r="L184" i="18" s="1"/>
  <c r="P185" i="18"/>
  <c r="O185" i="18"/>
  <c r="P182" i="18"/>
  <c r="O182" i="18"/>
  <c r="N182" i="18"/>
  <c r="M182" i="18"/>
  <c r="L182" i="18"/>
  <c r="J177" i="18"/>
  <c r="J164" i="18" s="1"/>
  <c r="I176" i="18"/>
  <c r="K176" i="18" s="1"/>
  <c r="J174" i="18"/>
  <c r="N173" i="18"/>
  <c r="N171" i="18" s="1"/>
  <c r="M173" i="18"/>
  <c r="M171" i="18" s="1"/>
  <c r="P171" i="18" s="1"/>
  <c r="L173" i="18"/>
  <c r="O173" i="18" s="1"/>
  <c r="P172" i="18"/>
  <c r="O172" i="18"/>
  <c r="N170" i="18"/>
  <c r="M170" i="18"/>
  <c r="M168" i="18" s="1"/>
  <c r="L170" i="18"/>
  <c r="P169" i="18"/>
  <c r="O169" i="18"/>
  <c r="P166" i="18"/>
  <c r="O166" i="18"/>
  <c r="N166" i="18"/>
  <c r="M166" i="18"/>
  <c r="L166" i="18"/>
  <c r="I159" i="18"/>
  <c r="K159" i="18" s="1"/>
  <c r="N157" i="18"/>
  <c r="N155" i="18" s="1"/>
  <c r="M157" i="18"/>
  <c r="P157" i="18" s="1"/>
  <c r="L157" i="18"/>
  <c r="O157" i="18" s="1"/>
  <c r="P156" i="18"/>
  <c r="O156" i="18"/>
  <c r="N154" i="18"/>
  <c r="M154" i="18"/>
  <c r="P154" i="18" s="1"/>
  <c r="L154" i="18"/>
  <c r="O154" i="18" s="1"/>
  <c r="P153" i="18"/>
  <c r="O153" i="18"/>
  <c r="P150" i="18"/>
  <c r="N150" i="18"/>
  <c r="M150" i="18"/>
  <c r="L150" i="18"/>
  <c r="J148" i="18"/>
  <c r="I146" i="18"/>
  <c r="I130" i="18" s="1"/>
  <c r="K130" i="18" s="1"/>
  <c r="I145" i="18"/>
  <c r="I144" i="18"/>
  <c r="N140" i="18"/>
  <c r="N138" i="18" s="1"/>
  <c r="M140" i="18"/>
  <c r="P140" i="18" s="1"/>
  <c r="L140" i="18"/>
  <c r="O140" i="18" s="1"/>
  <c r="P139" i="18"/>
  <c r="O139" i="18"/>
  <c r="N137" i="18"/>
  <c r="N135" i="18" s="1"/>
  <c r="M137" i="18"/>
  <c r="P137" i="18" s="1"/>
  <c r="L137" i="18"/>
  <c r="O137" i="18" s="1"/>
  <c r="P136" i="18"/>
  <c r="O136" i="18"/>
  <c r="O133" i="18"/>
  <c r="N133" i="18"/>
  <c r="M133" i="18"/>
  <c r="P133" i="18" s="1"/>
  <c r="L133" i="18"/>
  <c r="J130" i="18"/>
  <c r="N127" i="18"/>
  <c r="M127" i="18"/>
  <c r="L127" i="18"/>
  <c r="P126" i="18"/>
  <c r="O126" i="18"/>
  <c r="N124" i="18"/>
  <c r="N122" i="18" s="1"/>
  <c r="M124" i="18"/>
  <c r="P124" i="18" s="1"/>
  <c r="L124" i="18"/>
  <c r="O124" i="18" s="1"/>
  <c r="P123" i="18"/>
  <c r="O123" i="18"/>
  <c r="P120" i="18"/>
  <c r="N120" i="18"/>
  <c r="M120" i="18"/>
  <c r="L120" i="18"/>
  <c r="K118" i="18"/>
  <c r="I116" i="18"/>
  <c r="K116" i="18" s="1"/>
  <c r="I115" i="18"/>
  <c r="K115" i="18" s="1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J99" i="18"/>
  <c r="I99" i="18"/>
  <c r="K99" i="18" s="1"/>
  <c r="J98" i="18"/>
  <c r="J86" i="18" s="1"/>
  <c r="I98" i="18"/>
  <c r="N96" i="18"/>
  <c r="N94" i="18" s="1"/>
  <c r="M96" i="18"/>
  <c r="P96" i="18" s="1"/>
  <c r="L96" i="18"/>
  <c r="O96" i="18" s="1"/>
  <c r="P95" i="18"/>
  <c r="O95" i="18"/>
  <c r="N93" i="18"/>
  <c r="M93" i="18"/>
  <c r="L93" i="18"/>
  <c r="L91" i="18" s="1"/>
  <c r="P92" i="18"/>
  <c r="O92" i="18"/>
  <c r="P89" i="18"/>
  <c r="O89" i="18"/>
  <c r="N89" i="18"/>
  <c r="M89" i="18"/>
  <c r="L89" i="18"/>
  <c r="J87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K79" i="18" s="1"/>
  <c r="I78" i="18"/>
  <c r="K78" i="18" s="1"/>
  <c r="J77" i="18"/>
  <c r="J76" i="18"/>
  <c r="N74" i="18"/>
  <c r="N72" i="18" s="1"/>
  <c r="M74" i="18"/>
  <c r="P74" i="18" s="1"/>
  <c r="L74" i="18"/>
  <c r="O74" i="18" s="1"/>
  <c r="P73" i="18"/>
  <c r="O73" i="18"/>
  <c r="N71" i="18"/>
  <c r="N69" i="18" s="1"/>
  <c r="M71" i="18"/>
  <c r="M69" i="18" s="1"/>
  <c r="L71" i="18"/>
  <c r="L69" i="18" s="1"/>
  <c r="P70" i="18"/>
  <c r="O70" i="18"/>
  <c r="P67" i="18"/>
  <c r="O67" i="18"/>
  <c r="N67" i="18"/>
  <c r="M67" i="18"/>
  <c r="L67" i="18"/>
  <c r="J65" i="18"/>
  <c r="J64" i="18"/>
  <c r="N61" i="18"/>
  <c r="M61" i="18"/>
  <c r="L61" i="18"/>
  <c r="L59" i="18" s="1"/>
  <c r="P60" i="18"/>
  <c r="O60" i="18"/>
  <c r="N58" i="18"/>
  <c r="N56" i="18" s="1"/>
  <c r="M58" i="18"/>
  <c r="L58" i="18"/>
  <c r="L56" i="18" s="1"/>
  <c r="P57" i="18"/>
  <c r="O57" i="18"/>
  <c r="N54" i="18"/>
  <c r="M54" i="18"/>
  <c r="P54" i="18" s="1"/>
  <c r="L54" i="18"/>
  <c r="O54" i="18" s="1"/>
  <c r="N49" i="18"/>
  <c r="N47" i="18" s="1"/>
  <c r="M49" i="18"/>
  <c r="L49" i="18"/>
  <c r="P48" i="18"/>
  <c r="O48" i="18"/>
  <c r="N46" i="18"/>
  <c r="N44" i="18" s="1"/>
  <c r="M46" i="18"/>
  <c r="L46" i="18"/>
  <c r="P45" i="18"/>
  <c r="O45" i="18"/>
  <c r="P42" i="18"/>
  <c r="O42" i="18"/>
  <c r="N42" i="18"/>
  <c r="M42" i="18"/>
  <c r="L42" i="18"/>
  <c r="N36" i="18"/>
  <c r="M36" i="18"/>
  <c r="P36" i="18" s="1"/>
  <c r="N35" i="18"/>
  <c r="N34" i="18" s="1"/>
  <c r="M35" i="18"/>
  <c r="P35" i="18" s="1"/>
  <c r="L35" i="18"/>
  <c r="O35" i="18" s="1"/>
  <c r="N33" i="18"/>
  <c r="P32" i="18"/>
  <c r="O32" i="18"/>
  <c r="N32" i="18"/>
  <c r="N29" i="18" s="1"/>
  <c r="N28" i="18" s="1"/>
  <c r="M32" i="18"/>
  <c r="L32" i="18"/>
  <c r="N31" i="18"/>
  <c r="N30" i="18"/>
  <c r="M29" i="18"/>
  <c r="P29" i="18" s="1"/>
  <c r="L29" i="18"/>
  <c r="O29" i="18" s="1"/>
  <c r="P25" i="18"/>
  <c r="O25" i="18"/>
  <c r="N25" i="18"/>
  <c r="N15" i="18" s="1"/>
  <c r="M25" i="18"/>
  <c r="L25" i="18"/>
  <c r="N22" i="18"/>
  <c r="M22" i="18"/>
  <c r="P22" i="18" s="1"/>
  <c r="L22" i="18"/>
  <c r="O22" i="18" s="1"/>
  <c r="N19" i="18"/>
  <c r="M15" i="18"/>
  <c r="P15" i="18" s="1"/>
  <c r="L15" i="18"/>
  <c r="O15" i="18" s="1"/>
  <c r="N12" i="18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O815" i="17"/>
  <c r="N815" i="17"/>
  <c r="M815" i="17"/>
  <c r="L815" i="17"/>
  <c r="P810" i="17"/>
  <c r="O810" i="17"/>
  <c r="N810" i="17"/>
  <c r="P809" i="17"/>
  <c r="O809" i="17"/>
  <c r="O808" i="17"/>
  <c r="N808" i="17"/>
  <c r="M808" i="17"/>
  <c r="P808" i="17" s="1"/>
  <c r="L808" i="17"/>
  <c r="N807" i="17"/>
  <c r="N805" i="17" s="1"/>
  <c r="M807" i="17"/>
  <c r="P807" i="17" s="1"/>
  <c r="L807" i="17"/>
  <c r="O807" i="17" s="1"/>
  <c r="N806" i="17"/>
  <c r="M806" i="17"/>
  <c r="L806" i="17"/>
  <c r="O806" i="17" s="1"/>
  <c r="L805" i="17"/>
  <c r="O805" i="17" s="1"/>
  <c r="K804" i="17"/>
  <c r="J804" i="17"/>
  <c r="K802" i="17"/>
  <c r="J801" i="17"/>
  <c r="J800" i="17"/>
  <c r="J785" i="17" s="1"/>
  <c r="I800" i="17"/>
  <c r="P798" i="17"/>
  <c r="O798" i="17"/>
  <c r="P797" i="17"/>
  <c r="O797" i="17"/>
  <c r="P796" i="17"/>
  <c r="O796" i="17"/>
  <c r="N796" i="17"/>
  <c r="M796" i="17"/>
  <c r="L796" i="17"/>
  <c r="P791" i="17"/>
  <c r="N791" i="17"/>
  <c r="N789" i="17" s="1"/>
  <c r="L791" i="17"/>
  <c r="O791" i="17" s="1"/>
  <c r="P790" i="17"/>
  <c r="O790" i="17"/>
  <c r="M789" i="17"/>
  <c r="P789" i="17" s="1"/>
  <c r="M788" i="17"/>
  <c r="P788" i="17" s="1"/>
  <c r="N787" i="17"/>
  <c r="M787" i="17"/>
  <c r="L787" i="17"/>
  <c r="O787" i="17" s="1"/>
  <c r="P782" i="17"/>
  <c r="O782" i="17"/>
  <c r="P781" i="17"/>
  <c r="O781" i="17"/>
  <c r="P780" i="17"/>
  <c r="N780" i="17"/>
  <c r="M780" i="17"/>
  <c r="L780" i="17"/>
  <c r="O780" i="17" s="1"/>
  <c r="P775" i="17"/>
  <c r="O775" i="17"/>
  <c r="N775" i="17"/>
  <c r="P774" i="17"/>
  <c r="O774" i="17"/>
  <c r="P773" i="17"/>
  <c r="O773" i="17"/>
  <c r="N773" i="17"/>
  <c r="M773" i="17"/>
  <c r="L773" i="17"/>
  <c r="O772" i="17"/>
  <c r="N772" i="17"/>
  <c r="M772" i="17"/>
  <c r="P772" i="17" s="1"/>
  <c r="L772" i="17"/>
  <c r="N771" i="17"/>
  <c r="N770" i="17" s="1"/>
  <c r="M771" i="17"/>
  <c r="P771" i="17" s="1"/>
  <c r="L771" i="17"/>
  <c r="O771" i="17" s="1"/>
  <c r="M770" i="17"/>
  <c r="P770" i="17" s="1"/>
  <c r="L770" i="17"/>
  <c r="O770" i="17" s="1"/>
  <c r="K769" i="17"/>
  <c r="J769" i="17"/>
  <c r="P766" i="17"/>
  <c r="O766" i="17"/>
  <c r="P765" i="17"/>
  <c r="O765" i="17"/>
  <c r="P764" i="17"/>
  <c r="N764" i="17"/>
  <c r="M764" i="17"/>
  <c r="L764" i="17"/>
  <c r="O764" i="17" s="1"/>
  <c r="P759" i="17"/>
  <c r="O759" i="17"/>
  <c r="N759" i="17"/>
  <c r="P758" i="17"/>
  <c r="O758" i="17"/>
  <c r="P757" i="17"/>
  <c r="O757" i="17"/>
  <c r="N757" i="17"/>
  <c r="M757" i="17"/>
  <c r="L757" i="17"/>
  <c r="O756" i="17"/>
  <c r="N756" i="17"/>
  <c r="M756" i="17"/>
  <c r="P756" i="17" s="1"/>
  <c r="L756" i="17"/>
  <c r="N755" i="17"/>
  <c r="N754" i="17" s="1"/>
  <c r="M755" i="17"/>
  <c r="P755" i="17" s="1"/>
  <c r="L755" i="17"/>
  <c r="O755" i="17" s="1"/>
  <c r="L754" i="17"/>
  <c r="O754" i="17" s="1"/>
  <c r="K753" i="17"/>
  <c r="J753" i="17"/>
  <c r="P749" i="17"/>
  <c r="O749" i="17"/>
  <c r="P748" i="17"/>
  <c r="O748" i="17"/>
  <c r="P747" i="17"/>
  <c r="N747" i="17"/>
  <c r="M747" i="17"/>
  <c r="L747" i="17"/>
  <c r="O747" i="17" s="1"/>
  <c r="P742" i="17"/>
  <c r="O742" i="17"/>
  <c r="N742" i="17"/>
  <c r="P741" i="17"/>
  <c r="O741" i="17"/>
  <c r="P740" i="17"/>
  <c r="O740" i="17"/>
  <c r="N740" i="17"/>
  <c r="M740" i="17"/>
  <c r="L740" i="17"/>
  <c r="O739" i="17"/>
  <c r="N739" i="17"/>
  <c r="M739" i="17"/>
  <c r="P739" i="17" s="1"/>
  <c r="L739" i="17"/>
  <c r="N738" i="17"/>
  <c r="N737" i="17" s="1"/>
  <c r="M738" i="17"/>
  <c r="P738" i="17" s="1"/>
  <c r="L738" i="17"/>
  <c r="O738" i="17" s="1"/>
  <c r="L737" i="17"/>
  <c r="O737" i="17" s="1"/>
  <c r="K736" i="17"/>
  <c r="J736" i="17"/>
  <c r="J729" i="17"/>
  <c r="I729" i="17"/>
  <c r="K729" i="17" s="1"/>
  <c r="J728" i="17"/>
  <c r="I728" i="17"/>
  <c r="J727" i="17"/>
  <c r="J726" i="17"/>
  <c r="I726" i="17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K708" i="17" s="1"/>
  <c r="I707" i="17"/>
  <c r="I704" i="17"/>
  <c r="J701" i="17"/>
  <c r="I701" i="17"/>
  <c r="J700" i="17"/>
  <c r="I700" i="17"/>
  <c r="K700" i="17" s="1"/>
  <c r="J699" i="17"/>
  <c r="I699" i="17"/>
  <c r="K699" i="17" s="1"/>
  <c r="P697" i="17"/>
  <c r="O697" i="17"/>
  <c r="P696" i="17"/>
  <c r="O696" i="17"/>
  <c r="P695" i="17"/>
  <c r="N695" i="17"/>
  <c r="M695" i="17"/>
  <c r="L695" i="17"/>
  <c r="O695" i="17" s="1"/>
  <c r="N690" i="17"/>
  <c r="L690" i="17"/>
  <c r="M690" i="17" s="1"/>
  <c r="P690" i="17" s="1"/>
  <c r="N688" i="17"/>
  <c r="N687" i="17"/>
  <c r="N686" i="17"/>
  <c r="N685" i="17" s="1"/>
  <c r="M686" i="17"/>
  <c r="P686" i="17" s="1"/>
  <c r="L686" i="17"/>
  <c r="O686" i="17" s="1"/>
  <c r="J679" i="17"/>
  <c r="J678" i="17" s="1"/>
  <c r="I678" i="17"/>
  <c r="K678" i="17" s="1"/>
  <c r="J675" i="17"/>
  <c r="J669" i="17" s="1"/>
  <c r="I671" i="17"/>
  <c r="K671" i="17" s="1"/>
  <c r="I670" i="17"/>
  <c r="K670" i="17" s="1"/>
  <c r="I669" i="17"/>
  <c r="K673" i="17" s="1"/>
  <c r="P667" i="17"/>
  <c r="O667" i="17"/>
  <c r="P666" i="17"/>
  <c r="O666" i="17"/>
  <c r="N665" i="17"/>
  <c r="M665" i="17"/>
  <c r="P665" i="17" s="1"/>
  <c r="L665" i="17"/>
  <c r="O665" i="17" s="1"/>
  <c r="N660" i="17"/>
  <c r="L660" i="17"/>
  <c r="L657" i="17" s="1"/>
  <c r="O657" i="17" s="1"/>
  <c r="P659" i="17"/>
  <c r="O659" i="17"/>
  <c r="N658" i="17"/>
  <c r="N657" i="17"/>
  <c r="P656" i="17"/>
  <c r="N656" i="17"/>
  <c r="M656" i="17"/>
  <c r="L656" i="17"/>
  <c r="N655" i="17"/>
  <c r="J654" i="17"/>
  <c r="K652" i="17"/>
  <c r="J652" i="17"/>
  <c r="A652" i="17"/>
  <c r="J651" i="17"/>
  <c r="J628" i="17" s="1"/>
  <c r="I651" i="17"/>
  <c r="I628" i="17" s="1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O641" i="17" s="1"/>
  <c r="P640" i="17"/>
  <c r="O640" i="17"/>
  <c r="P639" i="17"/>
  <c r="N639" i="17"/>
  <c r="M639" i="17"/>
  <c r="L639" i="17"/>
  <c r="O639" i="17" s="1"/>
  <c r="N634" i="17"/>
  <c r="N632" i="17" s="1"/>
  <c r="L634" i="17"/>
  <c r="O634" i="17" s="1"/>
  <c r="P633" i="17"/>
  <c r="O633" i="17"/>
  <c r="N631" i="17"/>
  <c r="P630" i="17"/>
  <c r="O630" i="17"/>
  <c r="N630" i="17"/>
  <c r="M630" i="17"/>
  <c r="L630" i="17"/>
  <c r="N629" i="17"/>
  <c r="J621" i="17"/>
  <c r="I621" i="17"/>
  <c r="K621" i="17" s="1"/>
  <c r="J620" i="17"/>
  <c r="I620" i="17"/>
  <c r="K620" i="17" s="1"/>
  <c r="K613" i="17"/>
  <c r="J613" i="17"/>
  <c r="K612" i="17"/>
  <c r="J612" i="17"/>
  <c r="K611" i="17"/>
  <c r="J611" i="17"/>
  <c r="J604" i="17"/>
  <c r="J594" i="17" s="1"/>
  <c r="J603" i="17"/>
  <c r="J593" i="17" s="1"/>
  <c r="J596" i="17"/>
  <c r="J595" i="17"/>
  <c r="I594" i="17"/>
  <c r="I593" i="17"/>
  <c r="I592" i="17" s="1"/>
  <c r="J583" i="17"/>
  <c r="J577" i="17" s="1"/>
  <c r="J582" i="17"/>
  <c r="I577" i="17"/>
  <c r="K577" i="17" s="1"/>
  <c r="J576" i="17"/>
  <c r="I576" i="17"/>
  <c r="K576" i="17" s="1"/>
  <c r="J569" i="17"/>
  <c r="I569" i="17"/>
  <c r="K569" i="17" s="1"/>
  <c r="J568" i="17"/>
  <c r="I568" i="17"/>
  <c r="K568" i="17" s="1"/>
  <c r="J561" i="17"/>
  <c r="I561" i="17"/>
  <c r="K561" i="17" s="1"/>
  <c r="J560" i="17"/>
  <c r="I560" i="17"/>
  <c r="K560" i="17" s="1"/>
  <c r="J559" i="17"/>
  <c r="J543" i="17" s="1"/>
  <c r="P557" i="17"/>
  <c r="L557" i="17"/>
  <c r="O557" i="17" s="1"/>
  <c r="P556" i="17"/>
  <c r="O556" i="17"/>
  <c r="P555" i="17"/>
  <c r="N555" i="17"/>
  <c r="M555" i="17"/>
  <c r="N549" i="17"/>
  <c r="N547" i="17" s="1"/>
  <c r="L549" i="17"/>
  <c r="L547" i="17" s="1"/>
  <c r="O547" i="17" s="1"/>
  <c r="P548" i="17"/>
  <c r="O548" i="17"/>
  <c r="N545" i="17"/>
  <c r="M545" i="17"/>
  <c r="P545" i="17" s="1"/>
  <c r="L545" i="17"/>
  <c r="O545" i="17" s="1"/>
  <c r="I542" i="17"/>
  <c r="K542" i="17" s="1"/>
  <c r="I541" i="17"/>
  <c r="K541" i="17" s="1"/>
  <c r="I540" i="17"/>
  <c r="K540" i="17" s="1"/>
  <c r="I539" i="17"/>
  <c r="K539" i="17" s="1"/>
  <c r="I538" i="17"/>
  <c r="K538" i="17" s="1"/>
  <c r="I537" i="17"/>
  <c r="K537" i="17" s="1"/>
  <c r="P535" i="17"/>
  <c r="L535" i="17"/>
  <c r="L533" i="17" s="1"/>
  <c r="O533" i="17" s="1"/>
  <c r="P534" i="17"/>
  <c r="O534" i="17"/>
  <c r="N533" i="17"/>
  <c r="M533" i="17"/>
  <c r="P533" i="17" s="1"/>
  <c r="P528" i="17"/>
  <c r="N528" i="17"/>
  <c r="L528" i="17"/>
  <c r="P527" i="17"/>
  <c r="O527" i="17"/>
  <c r="M526" i="17"/>
  <c r="P526" i="17" s="1"/>
  <c r="M525" i="17"/>
  <c r="P525" i="17" s="1"/>
  <c r="P524" i="17"/>
  <c r="N524" i="17"/>
  <c r="M524" i="17"/>
  <c r="L524" i="17"/>
  <c r="K517" i="17"/>
  <c r="J517" i="17"/>
  <c r="K516" i="17"/>
  <c r="P514" i="17"/>
  <c r="O514" i="17"/>
  <c r="P513" i="17"/>
  <c r="O513" i="17"/>
  <c r="N512" i="17"/>
  <c r="M512" i="17"/>
  <c r="P512" i="17" s="1"/>
  <c r="L512" i="17"/>
  <c r="O512" i="17" s="1"/>
  <c r="P507" i="17"/>
  <c r="O507" i="17"/>
  <c r="N507" i="17"/>
  <c r="N504" i="17" s="1"/>
  <c r="P506" i="17"/>
  <c r="O506" i="17"/>
  <c r="M505" i="17"/>
  <c r="P505" i="17" s="1"/>
  <c r="L505" i="17"/>
  <c r="O505" i="17" s="1"/>
  <c r="P504" i="17"/>
  <c r="O504" i="17"/>
  <c r="M504" i="17"/>
  <c r="L504" i="17"/>
  <c r="L502" i="17" s="1"/>
  <c r="P503" i="17"/>
  <c r="O503" i="17"/>
  <c r="N503" i="17"/>
  <c r="M503" i="17"/>
  <c r="L503" i="17"/>
  <c r="O502" i="17"/>
  <c r="N502" i="17"/>
  <c r="M502" i="17"/>
  <c r="P502" i="17" s="1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P478" i="17"/>
  <c r="O478" i="17"/>
  <c r="N477" i="17"/>
  <c r="M477" i="17"/>
  <c r="P477" i="17" s="1"/>
  <c r="N472" i="17"/>
  <c r="N470" i="17" s="1"/>
  <c r="L472" i="17"/>
  <c r="L470" i="17" s="1"/>
  <c r="O470" i="17" s="1"/>
  <c r="P471" i="17"/>
  <c r="O471" i="17"/>
  <c r="N469" i="17"/>
  <c r="P468" i="17"/>
  <c r="O468" i="17"/>
  <c r="N468" i="17"/>
  <c r="M468" i="17"/>
  <c r="L468" i="17"/>
  <c r="N467" i="17"/>
  <c r="J466" i="17"/>
  <c r="I466" i="17"/>
  <c r="K466" i="17" s="1"/>
  <c r="J465" i="17"/>
  <c r="I465" i="17"/>
  <c r="K465" i="17" s="1"/>
  <c r="I464" i="17"/>
  <c r="K464" i="17" s="1"/>
  <c r="I463" i="17"/>
  <c r="K463" i="17" s="1"/>
  <c r="I462" i="17"/>
  <c r="I443" i="17" s="1"/>
  <c r="K443" i="17" s="1"/>
  <c r="I460" i="17"/>
  <c r="K458" i="17"/>
  <c r="P456" i="17"/>
  <c r="L456" i="17"/>
  <c r="L454" i="17" s="1"/>
  <c r="O454" i="17" s="1"/>
  <c r="P455" i="17"/>
  <c r="O455" i="17"/>
  <c r="P454" i="17"/>
  <c r="N454" i="17"/>
  <c r="M454" i="17"/>
  <c r="N449" i="17"/>
  <c r="L449" i="17"/>
  <c r="M449" i="17" s="1"/>
  <c r="P449" i="17" s="1"/>
  <c r="P448" i="17"/>
  <c r="O448" i="17"/>
  <c r="N447" i="17"/>
  <c r="N446" i="17"/>
  <c r="N445" i="17"/>
  <c r="N444" i="17" s="1"/>
  <c r="M445" i="17"/>
  <c r="P445" i="17" s="1"/>
  <c r="L445" i="17"/>
  <c r="J443" i="17"/>
  <c r="J442" i="17"/>
  <c r="I441" i="17"/>
  <c r="K441" i="17" s="1"/>
  <c r="I440" i="17"/>
  <c r="I439" i="17"/>
  <c r="K439" i="17" s="1"/>
  <c r="I438" i="17"/>
  <c r="K438" i="17" s="1"/>
  <c r="I437" i="17"/>
  <c r="K437" i="17" s="1"/>
  <c r="I435" i="17"/>
  <c r="K435" i="17" s="1"/>
  <c r="J434" i="17"/>
  <c r="P431" i="17"/>
  <c r="L431" i="17"/>
  <c r="O431" i="17" s="1"/>
  <c r="P430" i="17"/>
  <c r="O430" i="17"/>
  <c r="N429" i="17"/>
  <c r="M429" i="17"/>
  <c r="P429" i="17" s="1"/>
  <c r="N424" i="17"/>
  <c r="N422" i="17" s="1"/>
  <c r="L424" i="17"/>
  <c r="P423" i="17"/>
  <c r="O423" i="17"/>
  <c r="P420" i="17"/>
  <c r="O420" i="17"/>
  <c r="N420" i="17"/>
  <c r="M420" i="17"/>
  <c r="L420" i="17"/>
  <c r="J418" i="17"/>
  <c r="K413" i="17"/>
  <c r="K412" i="17"/>
  <c r="N410" i="17"/>
  <c r="N408" i="17" s="1"/>
  <c r="M410" i="17"/>
  <c r="P410" i="17" s="1"/>
  <c r="L410" i="17"/>
  <c r="P409" i="17"/>
  <c r="O409" i="17"/>
  <c r="N407" i="17"/>
  <c r="M407" i="17"/>
  <c r="P407" i="17" s="1"/>
  <c r="L407" i="17"/>
  <c r="P406" i="17"/>
  <c r="O406" i="17"/>
  <c r="O403" i="17"/>
  <c r="N403" i="17"/>
  <c r="M403" i="17"/>
  <c r="P403" i="17" s="1"/>
  <c r="L403" i="17"/>
  <c r="K401" i="17"/>
  <c r="J401" i="17"/>
  <c r="I401" i="17"/>
  <c r="K400" i="17"/>
  <c r="K399" i="17"/>
  <c r="N397" i="17"/>
  <c r="N395" i="17" s="1"/>
  <c r="M397" i="17"/>
  <c r="L397" i="17"/>
  <c r="P396" i="17"/>
  <c r="O396" i="17"/>
  <c r="N394" i="17"/>
  <c r="N392" i="17" s="1"/>
  <c r="M394" i="17"/>
  <c r="P394" i="17" s="1"/>
  <c r="L394" i="17"/>
  <c r="P393" i="17"/>
  <c r="O393" i="17"/>
  <c r="O390" i="17"/>
  <c r="N390" i="17"/>
  <c r="M390" i="17"/>
  <c r="L390" i="17"/>
  <c r="J388" i="17"/>
  <c r="I388" i="17"/>
  <c r="K388" i="17" s="1"/>
  <c r="J385" i="17"/>
  <c r="I385" i="17"/>
  <c r="D384" i="17"/>
  <c r="K382" i="17"/>
  <c r="J382" i="17"/>
  <c r="A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A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L353" i="17"/>
  <c r="P352" i="17"/>
  <c r="O352" i="17"/>
  <c r="N350" i="17"/>
  <c r="M350" i="17"/>
  <c r="L350" i="17"/>
  <c r="L348" i="17" s="1"/>
  <c r="P349" i="17"/>
  <c r="O349" i="17"/>
  <c r="N346" i="17"/>
  <c r="M346" i="17"/>
  <c r="L346" i="17"/>
  <c r="O346" i="17" s="1"/>
  <c r="J343" i="17"/>
  <c r="J342" i="17"/>
  <c r="J341" i="17"/>
  <c r="J340" i="17"/>
  <c r="I340" i="17"/>
  <c r="J338" i="17"/>
  <c r="I338" i="17"/>
  <c r="D337" i="17"/>
  <c r="N336" i="17"/>
  <c r="N334" i="17" s="1"/>
  <c r="M336" i="17"/>
  <c r="P336" i="17" s="1"/>
  <c r="L336" i="17"/>
  <c r="P335" i="17"/>
  <c r="O335" i="17"/>
  <c r="N333" i="17"/>
  <c r="M333" i="17"/>
  <c r="L333" i="17"/>
  <c r="L331" i="17" s="1"/>
  <c r="P332" i="17"/>
  <c r="O332" i="17"/>
  <c r="N329" i="17"/>
  <c r="M329" i="17"/>
  <c r="P329" i="17" s="1"/>
  <c r="L329" i="17"/>
  <c r="O329" i="17" s="1"/>
  <c r="I327" i="17"/>
  <c r="I325" i="17"/>
  <c r="K325" i="17" s="1"/>
  <c r="N323" i="17"/>
  <c r="N321" i="17" s="1"/>
  <c r="M323" i="17"/>
  <c r="P323" i="17" s="1"/>
  <c r="L323" i="17"/>
  <c r="O323" i="17" s="1"/>
  <c r="P322" i="17"/>
  <c r="O322" i="17"/>
  <c r="N320" i="17"/>
  <c r="N318" i="17" s="1"/>
  <c r="M320" i="17"/>
  <c r="P320" i="17" s="1"/>
  <c r="L320" i="17"/>
  <c r="O320" i="17" s="1"/>
  <c r="P319" i="17"/>
  <c r="O319" i="17"/>
  <c r="O316" i="17"/>
  <c r="N316" i="17"/>
  <c r="M316" i="17"/>
  <c r="L316" i="17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P306" i="17" s="1"/>
  <c r="L306" i="17"/>
  <c r="P305" i="17"/>
  <c r="O305" i="17"/>
  <c r="N303" i="17"/>
  <c r="N301" i="17" s="1"/>
  <c r="M303" i="17"/>
  <c r="P303" i="17" s="1"/>
  <c r="L303" i="17"/>
  <c r="O303" i="17" s="1"/>
  <c r="P302" i="17"/>
  <c r="O302" i="17"/>
  <c r="N299" i="17"/>
  <c r="M299" i="17"/>
  <c r="L299" i="17"/>
  <c r="O299" i="17" s="1"/>
  <c r="J297" i="17"/>
  <c r="I294" i="17"/>
  <c r="K294" i="17" s="1"/>
  <c r="I293" i="17"/>
  <c r="K293" i="17" s="1"/>
  <c r="I291" i="17"/>
  <c r="K291" i="17" s="1"/>
  <c r="I290" i="17"/>
  <c r="K290" i="17" s="1"/>
  <c r="I288" i="17"/>
  <c r="I275" i="17" s="1"/>
  <c r="I287" i="17"/>
  <c r="K287" i="17" s="1"/>
  <c r="N285" i="17"/>
  <c r="N283" i="17" s="1"/>
  <c r="M285" i="17"/>
  <c r="L285" i="17"/>
  <c r="P284" i="17"/>
  <c r="O284" i="17"/>
  <c r="N282" i="17"/>
  <c r="N280" i="17" s="1"/>
  <c r="M282" i="17"/>
  <c r="L282" i="17"/>
  <c r="P281" i="17"/>
  <c r="O281" i="17"/>
  <c r="N278" i="17"/>
  <c r="M278" i="17"/>
  <c r="P278" i="17" s="1"/>
  <c r="L278" i="17"/>
  <c r="J276" i="17"/>
  <c r="I271" i="17"/>
  <c r="I260" i="17" s="1"/>
  <c r="K260" i="17" s="1"/>
  <c r="N269" i="17"/>
  <c r="N267" i="17" s="1"/>
  <c r="M269" i="17"/>
  <c r="L269" i="17"/>
  <c r="O269" i="17" s="1"/>
  <c r="P268" i="17"/>
  <c r="O268" i="17"/>
  <c r="N266" i="17"/>
  <c r="N264" i="17" s="1"/>
  <c r="M266" i="17"/>
  <c r="M264" i="17" s="1"/>
  <c r="L266" i="17"/>
  <c r="P265" i="17"/>
  <c r="O265" i="17"/>
  <c r="P262" i="17"/>
  <c r="N262" i="17"/>
  <c r="M262" i="17"/>
  <c r="L262" i="17"/>
  <c r="O262" i="17" s="1"/>
  <c r="J260" i="17"/>
  <c r="K258" i="17"/>
  <c r="K257" i="17"/>
  <c r="I255" i="17"/>
  <c r="K255" i="17" s="1"/>
  <c r="L253" i="17"/>
  <c r="L252" i="17"/>
  <c r="L251" i="17"/>
  <c r="L250" i="17"/>
  <c r="P249" i="17"/>
  <c r="N249" i="17"/>
  <c r="J248" i="17"/>
  <c r="K247" i="17"/>
  <c r="K246" i="17"/>
  <c r="I244" i="17"/>
  <c r="I237" i="17" s="1"/>
  <c r="L242" i="17"/>
  <c r="L241" i="17"/>
  <c r="L240" i="17"/>
  <c r="L239" i="17"/>
  <c r="P238" i="17"/>
  <c r="N238" i="17"/>
  <c r="N227" i="17" s="1"/>
  <c r="J237" i="17"/>
  <c r="J226" i="17" s="1"/>
  <c r="J180" i="17" s="1"/>
  <c r="J236" i="17"/>
  <c r="I236" i="17"/>
  <c r="K236" i="17" s="1"/>
  <c r="J235" i="17"/>
  <c r="I235" i="17"/>
  <c r="K235" i="17" s="1"/>
  <c r="J233" i="17"/>
  <c r="N231" i="17"/>
  <c r="N230" i="17"/>
  <c r="N229" i="17"/>
  <c r="N228" i="17"/>
  <c r="I225" i="17"/>
  <c r="K225" i="17" s="1"/>
  <c r="I224" i="17"/>
  <c r="K224" i="17" s="1"/>
  <c r="I223" i="17"/>
  <c r="K223" i="17" s="1"/>
  <c r="L220" i="17"/>
  <c r="L219" i="17"/>
  <c r="L218" i="17"/>
  <c r="P217" i="17"/>
  <c r="N217" i="17"/>
  <c r="J216" i="17"/>
  <c r="I215" i="17"/>
  <c r="I208" i="17" s="1"/>
  <c r="K208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N187" i="17" s="1"/>
  <c r="M189" i="17"/>
  <c r="P189" i="17" s="1"/>
  <c r="L189" i="17"/>
  <c r="O189" i="17" s="1"/>
  <c r="P188" i="17"/>
  <c r="O188" i="17"/>
  <c r="N186" i="17"/>
  <c r="M186" i="17"/>
  <c r="L186" i="17"/>
  <c r="P185" i="17"/>
  <c r="O185" i="17"/>
  <c r="P182" i="17"/>
  <c r="N182" i="17"/>
  <c r="M182" i="17"/>
  <c r="L182" i="17"/>
  <c r="J177" i="17"/>
  <c r="J164" i="17" s="1"/>
  <c r="I176" i="17"/>
  <c r="I174" i="17" s="1"/>
  <c r="J174" i="17"/>
  <c r="N173" i="17"/>
  <c r="N171" i="17" s="1"/>
  <c r="M173" i="17"/>
  <c r="P173" i="17" s="1"/>
  <c r="L173" i="17"/>
  <c r="O173" i="17" s="1"/>
  <c r="P172" i="17"/>
  <c r="O172" i="17"/>
  <c r="N170" i="17"/>
  <c r="N168" i="17" s="1"/>
  <c r="M170" i="17"/>
  <c r="L170" i="17"/>
  <c r="O170" i="17" s="1"/>
  <c r="P169" i="17"/>
  <c r="O169" i="17"/>
  <c r="P166" i="17"/>
  <c r="N166" i="17"/>
  <c r="M166" i="17"/>
  <c r="L166" i="17"/>
  <c r="I159" i="17"/>
  <c r="K159" i="17" s="1"/>
  <c r="N157" i="17"/>
  <c r="N155" i="17" s="1"/>
  <c r="M157" i="17"/>
  <c r="L157" i="17"/>
  <c r="L155" i="17" s="1"/>
  <c r="O155" i="17" s="1"/>
  <c r="P156" i="17"/>
  <c r="O156" i="17"/>
  <c r="N154" i="17"/>
  <c r="N152" i="17" s="1"/>
  <c r="M154" i="17"/>
  <c r="P154" i="17" s="1"/>
  <c r="L154" i="17"/>
  <c r="L152" i="17" s="1"/>
  <c r="O152" i="17" s="1"/>
  <c r="P153" i="17"/>
  <c r="O153" i="17"/>
  <c r="P150" i="17"/>
  <c r="N150" i="17"/>
  <c r="M150" i="17"/>
  <c r="L150" i="17"/>
  <c r="J148" i="17"/>
  <c r="I146" i="17"/>
  <c r="K146" i="17" s="1"/>
  <c r="I145" i="17"/>
  <c r="K145" i="17" s="1"/>
  <c r="I144" i="17"/>
  <c r="K144" i="17" s="1"/>
  <c r="N140" i="17"/>
  <c r="N138" i="17" s="1"/>
  <c r="M140" i="17"/>
  <c r="L140" i="17"/>
  <c r="L138" i="17" s="1"/>
  <c r="P139" i="17"/>
  <c r="O139" i="17"/>
  <c r="N137" i="17"/>
  <c r="N135" i="17" s="1"/>
  <c r="M137" i="17"/>
  <c r="M135" i="17" s="1"/>
  <c r="L137" i="17"/>
  <c r="P136" i="17"/>
  <c r="O136" i="17"/>
  <c r="P133" i="17"/>
  <c r="O133" i="17"/>
  <c r="N133" i="17"/>
  <c r="M133" i="17"/>
  <c r="L133" i="17"/>
  <c r="J130" i="17"/>
  <c r="N127" i="17"/>
  <c r="N125" i="17" s="1"/>
  <c r="M127" i="17"/>
  <c r="P127" i="17" s="1"/>
  <c r="L127" i="17"/>
  <c r="P126" i="17"/>
  <c r="O126" i="17"/>
  <c r="N124" i="17"/>
  <c r="N122" i="17" s="1"/>
  <c r="M124" i="17"/>
  <c r="P124" i="17" s="1"/>
  <c r="L124" i="17"/>
  <c r="O124" i="17" s="1"/>
  <c r="P123" i="17"/>
  <c r="O123" i="17"/>
  <c r="N120" i="17"/>
  <c r="M120" i="17"/>
  <c r="L120" i="17"/>
  <c r="O120" i="17" s="1"/>
  <c r="I116" i="17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I99" i="17"/>
  <c r="I87" i="17" s="1"/>
  <c r="K87" i="17" s="1"/>
  <c r="J98" i="17"/>
  <c r="I98" i="17"/>
  <c r="N96" i="17"/>
  <c r="N94" i="17" s="1"/>
  <c r="M96" i="17"/>
  <c r="P96" i="17" s="1"/>
  <c r="L96" i="17"/>
  <c r="L94" i="17" s="1"/>
  <c r="O94" i="17" s="1"/>
  <c r="P95" i="17"/>
  <c r="O95" i="17"/>
  <c r="N93" i="17"/>
  <c r="M93" i="17"/>
  <c r="M91" i="17" s="1"/>
  <c r="L93" i="17"/>
  <c r="P92" i="17"/>
  <c r="O92" i="17"/>
  <c r="P89" i="17"/>
  <c r="O89" i="17"/>
  <c r="N89" i="17"/>
  <c r="M89" i="17"/>
  <c r="L89" i="17"/>
  <c r="J87" i="17"/>
  <c r="J86" i="17"/>
  <c r="I84" i="17"/>
  <c r="K84" i="17" s="1"/>
  <c r="I83" i="17"/>
  <c r="K83" i="17" s="1"/>
  <c r="I82" i="17"/>
  <c r="K82" i="17" s="1"/>
  <c r="I81" i="17"/>
  <c r="I80" i="17"/>
  <c r="K80" i="17" s="1"/>
  <c r="I79" i="17"/>
  <c r="K79" i="17" s="1"/>
  <c r="I78" i="17"/>
  <c r="K78" i="17" s="1"/>
  <c r="J77" i="17"/>
  <c r="J76" i="17"/>
  <c r="N74" i="17"/>
  <c r="N72" i="17" s="1"/>
  <c r="M74" i="17"/>
  <c r="P74" i="17" s="1"/>
  <c r="L74" i="17"/>
  <c r="L72" i="17" s="1"/>
  <c r="O72" i="17" s="1"/>
  <c r="P73" i="17"/>
  <c r="O73" i="17"/>
  <c r="N71" i="17"/>
  <c r="N69" i="17" s="1"/>
  <c r="M71" i="17"/>
  <c r="L71" i="17"/>
  <c r="L69" i="17" s="1"/>
  <c r="P70" i="17"/>
  <c r="O70" i="17"/>
  <c r="O67" i="17"/>
  <c r="N67" i="17"/>
  <c r="M67" i="17"/>
  <c r="P67" i="17" s="1"/>
  <c r="L67" i="17"/>
  <c r="J65" i="17"/>
  <c r="J64" i="17"/>
  <c r="N61" i="17"/>
  <c r="N59" i="17" s="1"/>
  <c r="M61" i="17"/>
  <c r="P61" i="17" s="1"/>
  <c r="L61" i="17"/>
  <c r="O61" i="17" s="1"/>
  <c r="P60" i="17"/>
  <c r="O60" i="17"/>
  <c r="N58" i="17"/>
  <c r="N56" i="17" s="1"/>
  <c r="M58" i="17"/>
  <c r="L58" i="17"/>
  <c r="L56" i="17" s="1"/>
  <c r="P57" i="17"/>
  <c r="O57" i="17"/>
  <c r="N54" i="17"/>
  <c r="M54" i="17"/>
  <c r="L54" i="17"/>
  <c r="N49" i="17"/>
  <c r="N47" i="17" s="1"/>
  <c r="M49" i="17"/>
  <c r="L49" i="17"/>
  <c r="P48" i="17"/>
  <c r="O48" i="17"/>
  <c r="N46" i="17"/>
  <c r="N44" i="17" s="1"/>
  <c r="M46" i="17"/>
  <c r="M44" i="17" s="1"/>
  <c r="L46" i="17"/>
  <c r="L44" i="17" s="1"/>
  <c r="P45" i="17"/>
  <c r="O45" i="17"/>
  <c r="N42" i="17"/>
  <c r="M42" i="17"/>
  <c r="P42" i="17" s="1"/>
  <c r="L42" i="17"/>
  <c r="O42" i="17" s="1"/>
  <c r="P36" i="17"/>
  <c r="N36" i="17"/>
  <c r="N34" i="17" s="1"/>
  <c r="M36" i="17"/>
  <c r="O35" i="17"/>
  <c r="N35" i="17"/>
  <c r="N29" i="17" s="1"/>
  <c r="N28" i="17" s="1"/>
  <c r="M35" i="17"/>
  <c r="M29" i="17" s="1"/>
  <c r="L35" i="17"/>
  <c r="N33" i="17"/>
  <c r="N31" i="17" s="1"/>
  <c r="P32" i="17"/>
  <c r="N32" i="17"/>
  <c r="M32" i="17"/>
  <c r="L32" i="17"/>
  <c r="O32" i="17" s="1"/>
  <c r="N30" i="17"/>
  <c r="L29" i="17"/>
  <c r="O29" i="17" s="1"/>
  <c r="N25" i="17"/>
  <c r="M25" i="17"/>
  <c r="P25" i="17" s="1"/>
  <c r="L25" i="17"/>
  <c r="O25" i="17" s="1"/>
  <c r="P22" i="17"/>
  <c r="O22" i="17"/>
  <c r="N22" i="17"/>
  <c r="M22" i="17"/>
  <c r="L22" i="17"/>
  <c r="N19" i="17"/>
  <c r="M19" i="17"/>
  <c r="P19" i="17" s="1"/>
  <c r="L19" i="17"/>
  <c r="O19" i="17" s="1"/>
  <c r="N12" i="17"/>
  <c r="M12" i="17"/>
  <c r="P12" i="17" s="1"/>
  <c r="J828" i="16"/>
  <c r="I828" i="16"/>
  <c r="J827" i="16"/>
  <c r="I827" i="16"/>
  <c r="J826" i="16"/>
  <c r="I826" i="16"/>
  <c r="K826" i="16" s="1"/>
  <c r="J825" i="16"/>
  <c r="I825" i="16"/>
  <c r="K825" i="16" s="1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N815" i="16"/>
  <c r="M815" i="16"/>
  <c r="L815" i="16"/>
  <c r="O815" i="16" s="1"/>
  <c r="P810" i="16"/>
  <c r="O810" i="16"/>
  <c r="N810" i="16"/>
  <c r="N807" i="16" s="1"/>
  <c r="N805" i="16" s="1"/>
  <c r="P809" i="16"/>
  <c r="O809" i="16"/>
  <c r="P808" i="16"/>
  <c r="N808" i="16"/>
  <c r="M808" i="16"/>
  <c r="L808" i="16"/>
  <c r="O808" i="16" s="1"/>
  <c r="O807" i="16"/>
  <c r="M807" i="16"/>
  <c r="L807" i="16"/>
  <c r="P806" i="16"/>
  <c r="N806" i="16"/>
  <c r="M806" i="16"/>
  <c r="L806" i="16"/>
  <c r="K804" i="16"/>
  <c r="J804" i="16"/>
  <c r="J803" i="16"/>
  <c r="I803" i="16"/>
  <c r="K803" i="16" s="1"/>
  <c r="J802" i="16"/>
  <c r="J801" i="16"/>
  <c r="I801" i="16"/>
  <c r="J800" i="16"/>
  <c r="P798" i="16"/>
  <c r="O798" i="16"/>
  <c r="P797" i="16"/>
  <c r="O797" i="16"/>
  <c r="P796" i="16"/>
  <c r="N796" i="16"/>
  <c r="M796" i="16"/>
  <c r="L796" i="16"/>
  <c r="O796" i="16" s="1"/>
  <c r="N791" i="16"/>
  <c r="L791" i="16"/>
  <c r="L789" i="16" s="1"/>
  <c r="O789" i="16" s="1"/>
  <c r="P790" i="16"/>
  <c r="O790" i="16"/>
  <c r="N789" i="16"/>
  <c r="N788" i="16"/>
  <c r="P787" i="16"/>
  <c r="N787" i="16"/>
  <c r="N786" i="16" s="1"/>
  <c r="M787" i="16"/>
  <c r="L787" i="16"/>
  <c r="O787" i="16" s="1"/>
  <c r="P782" i="16"/>
  <c r="O782" i="16"/>
  <c r="P781" i="16"/>
  <c r="O781" i="16"/>
  <c r="O780" i="16"/>
  <c r="N780" i="16"/>
  <c r="M780" i="16"/>
  <c r="P780" i="16" s="1"/>
  <c r="L780" i="16"/>
  <c r="P775" i="16"/>
  <c r="O775" i="16"/>
  <c r="N775" i="16"/>
  <c r="P774" i="16"/>
  <c r="O774" i="16"/>
  <c r="O773" i="16"/>
  <c r="M773" i="16"/>
  <c r="P773" i="16" s="1"/>
  <c r="L773" i="16"/>
  <c r="P772" i="16"/>
  <c r="M772" i="16"/>
  <c r="L772" i="16"/>
  <c r="O771" i="16"/>
  <c r="N771" i="16"/>
  <c r="M771" i="16"/>
  <c r="P771" i="16" s="1"/>
  <c r="L771" i="16"/>
  <c r="K769" i="16"/>
  <c r="J769" i="16"/>
  <c r="P766" i="16"/>
  <c r="O766" i="16"/>
  <c r="P765" i="16"/>
  <c r="O765" i="16"/>
  <c r="O764" i="16"/>
  <c r="N764" i="16"/>
  <c r="M764" i="16"/>
  <c r="P764" i="16" s="1"/>
  <c r="L764" i="16"/>
  <c r="P759" i="16"/>
  <c r="O759" i="16"/>
  <c r="N759" i="16"/>
  <c r="P758" i="16"/>
  <c r="O758" i="16"/>
  <c r="O757" i="16"/>
  <c r="M757" i="16"/>
  <c r="P757" i="16" s="1"/>
  <c r="L757" i="16"/>
  <c r="P756" i="16"/>
  <c r="M756" i="16"/>
  <c r="L756" i="16"/>
  <c r="O755" i="16"/>
  <c r="N755" i="16"/>
  <c r="M755" i="16"/>
  <c r="P755" i="16" s="1"/>
  <c r="L755" i="16"/>
  <c r="P754" i="16"/>
  <c r="M754" i="16"/>
  <c r="K753" i="16"/>
  <c r="J753" i="16"/>
  <c r="P749" i="16"/>
  <c r="O749" i="16"/>
  <c r="P748" i="16"/>
  <c r="O748" i="16"/>
  <c r="O747" i="16"/>
  <c r="N747" i="16"/>
  <c r="M747" i="16"/>
  <c r="P747" i="16" s="1"/>
  <c r="L747" i="16"/>
  <c r="P742" i="16"/>
  <c r="O742" i="16"/>
  <c r="N742" i="16"/>
  <c r="P741" i="16"/>
  <c r="O741" i="16"/>
  <c r="O740" i="16"/>
  <c r="M740" i="16"/>
  <c r="P740" i="16" s="1"/>
  <c r="L740" i="16"/>
  <c r="P739" i="16"/>
  <c r="M739" i="16"/>
  <c r="L739" i="16"/>
  <c r="O738" i="16"/>
  <c r="N738" i="16"/>
  <c r="M738" i="16"/>
  <c r="P738" i="16" s="1"/>
  <c r="L738" i="16"/>
  <c r="P737" i="16"/>
  <c r="M737" i="16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K725" i="16" s="1"/>
  <c r="J724" i="16"/>
  <c r="J723" i="16"/>
  <c r="I723" i="16"/>
  <c r="K723" i="16" s="1"/>
  <c r="I722" i="16"/>
  <c r="K722" i="16" s="1"/>
  <c r="I721" i="16"/>
  <c r="K721" i="16" s="1"/>
  <c r="J720" i="16"/>
  <c r="I720" i="16"/>
  <c r="J719" i="16"/>
  <c r="J718" i="16"/>
  <c r="J708" i="16"/>
  <c r="I708" i="16"/>
  <c r="I707" i="16"/>
  <c r="I704" i="16"/>
  <c r="J701" i="16"/>
  <c r="I701" i="16"/>
  <c r="K701" i="16" s="1"/>
  <c r="J700" i="16"/>
  <c r="I700" i="16"/>
  <c r="J699" i="16"/>
  <c r="I699" i="16"/>
  <c r="K699" i="16" s="1"/>
  <c r="P697" i="16"/>
  <c r="O697" i="16"/>
  <c r="P696" i="16"/>
  <c r="O696" i="16"/>
  <c r="O695" i="16"/>
  <c r="N695" i="16"/>
  <c r="M695" i="16"/>
  <c r="P695" i="16" s="1"/>
  <c r="L695" i="16"/>
  <c r="N690" i="16"/>
  <c r="L690" i="16"/>
  <c r="M690" i="16" s="1"/>
  <c r="O686" i="16"/>
  <c r="N686" i="16"/>
  <c r="M686" i="16"/>
  <c r="P686" i="16" s="1"/>
  <c r="L686" i="16"/>
  <c r="J679" i="16"/>
  <c r="J678" i="16"/>
  <c r="I678" i="16"/>
  <c r="K678" i="16" s="1"/>
  <c r="J675" i="16"/>
  <c r="J669" i="16" s="1"/>
  <c r="J654" i="16" s="1"/>
  <c r="I671" i="16"/>
  <c r="K671" i="16" s="1"/>
  <c r="I670" i="16"/>
  <c r="K670" i="16" s="1"/>
  <c r="I669" i="16"/>
  <c r="K672" i="16" s="1"/>
  <c r="P667" i="16"/>
  <c r="O667" i="16"/>
  <c r="P666" i="16"/>
  <c r="O666" i="16"/>
  <c r="O665" i="16"/>
  <c r="N665" i="16"/>
  <c r="M665" i="16"/>
  <c r="P665" i="16" s="1"/>
  <c r="L665" i="16"/>
  <c r="N660" i="16"/>
  <c r="N658" i="16" s="1"/>
  <c r="L660" i="16"/>
  <c r="O660" i="16" s="1"/>
  <c r="P659" i="16"/>
  <c r="O659" i="16"/>
  <c r="N657" i="16"/>
  <c r="O656" i="16"/>
  <c r="N656" i="16"/>
  <c r="M656" i="16"/>
  <c r="L656" i="16"/>
  <c r="N655" i="16"/>
  <c r="K652" i="16"/>
  <c r="J652" i="16"/>
  <c r="A652" i="16"/>
  <c r="J651" i="16"/>
  <c r="J628" i="16" s="1"/>
  <c r="I651" i="16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O641" i="16" s="1"/>
  <c r="P640" i="16"/>
  <c r="O640" i="16"/>
  <c r="N639" i="16"/>
  <c r="M639" i="16"/>
  <c r="P639" i="16" s="1"/>
  <c r="N634" i="16"/>
  <c r="N632" i="16" s="1"/>
  <c r="L634" i="16"/>
  <c r="M634" i="16" s="1"/>
  <c r="P633" i="16"/>
  <c r="O633" i="16"/>
  <c r="N631" i="16"/>
  <c r="N629" i="16" s="1"/>
  <c r="O630" i="16"/>
  <c r="N630" i="16"/>
  <c r="M630" i="16"/>
  <c r="L630" i="16"/>
  <c r="I628" i="16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6" i="16"/>
  <c r="J594" i="16" s="1"/>
  <c r="J595" i="16"/>
  <c r="I594" i="16"/>
  <c r="J593" i="16"/>
  <c r="J592" i="16" s="1"/>
  <c r="I593" i="16"/>
  <c r="I592" i="16" s="1"/>
  <c r="J583" i="16"/>
  <c r="J582" i="16"/>
  <c r="J576" i="16" s="1"/>
  <c r="J559" i="16" s="1"/>
  <c r="J577" i="16"/>
  <c r="I577" i="16"/>
  <c r="K577" i="16" s="1"/>
  <c r="I576" i="16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P557" i="16"/>
  <c r="L557" i="16"/>
  <c r="P556" i="16"/>
  <c r="O556" i="16"/>
  <c r="N555" i="16"/>
  <c r="M555" i="16"/>
  <c r="N549" i="16"/>
  <c r="N547" i="16" s="1"/>
  <c r="L549" i="16"/>
  <c r="L546" i="16" s="1"/>
  <c r="P548" i="16"/>
  <c r="O548" i="16"/>
  <c r="N546" i="16"/>
  <c r="O545" i="16"/>
  <c r="N545" i="16"/>
  <c r="L545" i="16"/>
  <c r="N544" i="16"/>
  <c r="J543" i="16"/>
  <c r="I542" i="16"/>
  <c r="K542" i="16" s="1"/>
  <c r="I541" i="16"/>
  <c r="K541" i="16" s="1"/>
  <c r="I540" i="16"/>
  <c r="K540" i="16" s="1"/>
  <c r="I539" i="16"/>
  <c r="I538" i="16"/>
  <c r="K538" i="16" s="1"/>
  <c r="I537" i="16"/>
  <c r="I522" i="16" s="1"/>
  <c r="K522" i="16" s="1"/>
  <c r="P535" i="16"/>
  <c r="L535" i="16"/>
  <c r="O535" i="16" s="1"/>
  <c r="P534" i="16"/>
  <c r="O534" i="16"/>
  <c r="P533" i="16"/>
  <c r="N533" i="16"/>
  <c r="M533" i="16"/>
  <c r="L533" i="16"/>
  <c r="O533" i="16" s="1"/>
  <c r="P528" i="16"/>
  <c r="N528" i="16"/>
  <c r="L528" i="16"/>
  <c r="L526" i="16" s="1"/>
  <c r="O526" i="16" s="1"/>
  <c r="P527" i="16"/>
  <c r="O527" i="16"/>
  <c r="N526" i="16"/>
  <c r="M526" i="16"/>
  <c r="P526" i="16" s="1"/>
  <c r="P525" i="16"/>
  <c r="N525" i="16"/>
  <c r="M525" i="16"/>
  <c r="O524" i="16"/>
  <c r="N524" i="16"/>
  <c r="M524" i="16"/>
  <c r="M523" i="16" s="1"/>
  <c r="P523" i="16" s="1"/>
  <c r="L524" i="16"/>
  <c r="N523" i="16"/>
  <c r="K517" i="16"/>
  <c r="J517" i="16"/>
  <c r="K516" i="16"/>
  <c r="P514" i="16"/>
  <c r="O514" i="16"/>
  <c r="P513" i="16"/>
  <c r="O513" i="16"/>
  <c r="O512" i="16"/>
  <c r="N512" i="16"/>
  <c r="M512" i="16"/>
  <c r="P512" i="16" s="1"/>
  <c r="L512" i="16"/>
  <c r="P507" i="16"/>
  <c r="O507" i="16"/>
  <c r="N507" i="16"/>
  <c r="N505" i="16" s="1"/>
  <c r="P506" i="16"/>
  <c r="O506" i="16"/>
  <c r="O505" i="16"/>
  <c r="M505" i="16"/>
  <c r="P505" i="16" s="1"/>
  <c r="L505" i="16"/>
  <c r="P504" i="16"/>
  <c r="N504" i="16"/>
  <c r="N502" i="16" s="1"/>
  <c r="M504" i="16"/>
  <c r="L504" i="16"/>
  <c r="O504" i="16" s="1"/>
  <c r="O503" i="16"/>
  <c r="N503" i="16"/>
  <c r="M503" i="16"/>
  <c r="L503" i="16"/>
  <c r="L502" i="16"/>
  <c r="O502" i="16" s="1"/>
  <c r="K501" i="16"/>
  <c r="J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L477" i="16" s="1"/>
  <c r="O477" i="16" s="1"/>
  <c r="P478" i="16"/>
  <c r="O478" i="16"/>
  <c r="P477" i="16"/>
  <c r="N477" i="16"/>
  <c r="M477" i="16"/>
  <c r="N472" i="16"/>
  <c r="L472" i="16"/>
  <c r="L470" i="16" s="1"/>
  <c r="O470" i="16" s="1"/>
  <c r="P471" i="16"/>
  <c r="O471" i="16"/>
  <c r="N470" i="16"/>
  <c r="N469" i="16"/>
  <c r="P468" i="16"/>
  <c r="N468" i="16"/>
  <c r="N467" i="16" s="1"/>
  <c r="M468" i="16"/>
  <c r="L468" i="16"/>
  <c r="J466" i="16"/>
  <c r="I466" i="16"/>
  <c r="K466" i="16" s="1"/>
  <c r="J465" i="16"/>
  <c r="I465" i="16"/>
  <c r="K465" i="16" s="1"/>
  <c r="I464" i="16"/>
  <c r="K464" i="16" s="1"/>
  <c r="I463" i="16"/>
  <c r="K463" i="16" s="1"/>
  <c r="I462" i="16"/>
  <c r="K462" i="16" s="1"/>
  <c r="I460" i="16"/>
  <c r="I442" i="16" s="1"/>
  <c r="K442" i="16" s="1"/>
  <c r="K458" i="16"/>
  <c r="P456" i="16"/>
  <c r="L456" i="16"/>
  <c r="O456" i="16" s="1"/>
  <c r="P455" i="16"/>
  <c r="O455" i="16"/>
  <c r="P454" i="16"/>
  <c r="N454" i="16"/>
  <c r="M454" i="16"/>
  <c r="N449" i="16"/>
  <c r="L449" i="16"/>
  <c r="P448" i="16"/>
  <c r="O448" i="16"/>
  <c r="N447" i="16"/>
  <c r="N446" i="16"/>
  <c r="P445" i="16"/>
  <c r="N445" i="16"/>
  <c r="M445" i="16"/>
  <c r="L445" i="16"/>
  <c r="N444" i="16"/>
  <c r="J443" i="16"/>
  <c r="J442" i="16"/>
  <c r="I441" i="16"/>
  <c r="K441" i="16" s="1"/>
  <c r="I440" i="16"/>
  <c r="K440" i="16" s="1"/>
  <c r="I439" i="16"/>
  <c r="K439" i="16" s="1"/>
  <c r="I438" i="16"/>
  <c r="I437" i="16"/>
  <c r="K437" i="16" s="1"/>
  <c r="I435" i="16"/>
  <c r="J434" i="16"/>
  <c r="P431" i="16"/>
  <c r="L431" i="16"/>
  <c r="P430" i="16"/>
  <c r="O430" i="16"/>
  <c r="N429" i="16"/>
  <c r="M429" i="16"/>
  <c r="P429" i="16" s="1"/>
  <c r="N424" i="16"/>
  <c r="N422" i="16" s="1"/>
  <c r="L424" i="16"/>
  <c r="L421" i="16" s="1"/>
  <c r="O421" i="16" s="1"/>
  <c r="P423" i="16"/>
  <c r="O423" i="16"/>
  <c r="N421" i="16"/>
  <c r="O420" i="16"/>
  <c r="N420" i="16"/>
  <c r="M420" i="16"/>
  <c r="L420" i="16"/>
  <c r="N419" i="16"/>
  <c r="J418" i="16"/>
  <c r="K413" i="16"/>
  <c r="K412" i="16"/>
  <c r="N410" i="16"/>
  <c r="N408" i="16" s="1"/>
  <c r="M410" i="16"/>
  <c r="P410" i="16" s="1"/>
  <c r="L410" i="16"/>
  <c r="P409" i="16"/>
  <c r="O409" i="16"/>
  <c r="N407" i="16"/>
  <c r="N405" i="16" s="1"/>
  <c r="M407" i="16"/>
  <c r="P407" i="16" s="1"/>
  <c r="L407" i="16"/>
  <c r="P406" i="16"/>
  <c r="O406" i="16"/>
  <c r="O403" i="16"/>
  <c r="N403" i="16"/>
  <c r="M403" i="16"/>
  <c r="P403" i="16" s="1"/>
  <c r="L403" i="16"/>
  <c r="J401" i="16"/>
  <c r="I401" i="16"/>
  <c r="K401" i="16" s="1"/>
  <c r="K400" i="16"/>
  <c r="K399" i="16"/>
  <c r="N397" i="16"/>
  <c r="N395" i="16" s="1"/>
  <c r="M397" i="16"/>
  <c r="P397" i="16" s="1"/>
  <c r="L397" i="16"/>
  <c r="P396" i="16"/>
  <c r="O396" i="16"/>
  <c r="N394" i="16"/>
  <c r="N392" i="16" s="1"/>
  <c r="M394" i="16"/>
  <c r="P394" i="16" s="1"/>
  <c r="L394" i="16"/>
  <c r="O394" i="16" s="1"/>
  <c r="P393" i="16"/>
  <c r="O393" i="16"/>
  <c r="O390" i="16"/>
  <c r="N390" i="16"/>
  <c r="M390" i="16"/>
  <c r="L390" i="16"/>
  <c r="J388" i="16"/>
  <c r="I388" i="16"/>
  <c r="K388" i="16" s="1"/>
  <c r="J385" i="16"/>
  <c r="I385" i="16"/>
  <c r="D384" i="16"/>
  <c r="K382" i="16"/>
  <c r="J382" i="16"/>
  <c r="A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A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I362" i="16"/>
  <c r="K361" i="16"/>
  <c r="J361" i="16"/>
  <c r="J360" i="16"/>
  <c r="I360" i="16"/>
  <c r="J359" i="16"/>
  <c r="I359" i="16"/>
  <c r="K358" i="16"/>
  <c r="J358" i="16"/>
  <c r="I355" i="16"/>
  <c r="N353" i="16"/>
  <c r="M353" i="16"/>
  <c r="L353" i="16"/>
  <c r="L351" i="16" s="1"/>
  <c r="P352" i="16"/>
  <c r="O352" i="16"/>
  <c r="N350" i="16"/>
  <c r="M350" i="16"/>
  <c r="L350" i="16"/>
  <c r="L348" i="16" s="1"/>
  <c r="P349" i="16"/>
  <c r="O349" i="16"/>
  <c r="N346" i="16"/>
  <c r="M346" i="16"/>
  <c r="P346" i="16" s="1"/>
  <c r="L346" i="16"/>
  <c r="O346" i="16" s="1"/>
  <c r="J343" i="16"/>
  <c r="J342" i="16"/>
  <c r="J341" i="16"/>
  <c r="J340" i="16"/>
  <c r="I340" i="16"/>
  <c r="J338" i="16"/>
  <c r="I338" i="16"/>
  <c r="D337" i="16"/>
  <c r="N336" i="16"/>
  <c r="N334" i="16" s="1"/>
  <c r="M336" i="16"/>
  <c r="P336" i="16" s="1"/>
  <c r="L336" i="16"/>
  <c r="L334" i="16" s="1"/>
  <c r="O334" i="16" s="1"/>
  <c r="P335" i="16"/>
  <c r="O335" i="16"/>
  <c r="N333" i="16"/>
  <c r="M333" i="16"/>
  <c r="M331" i="16" s="1"/>
  <c r="L333" i="16"/>
  <c r="L331" i="16" s="1"/>
  <c r="P332" i="16"/>
  <c r="O332" i="16"/>
  <c r="P329" i="16"/>
  <c r="O329" i="16"/>
  <c r="N329" i="16"/>
  <c r="M329" i="16"/>
  <c r="L329" i="16"/>
  <c r="I327" i="16"/>
  <c r="I325" i="16"/>
  <c r="K325" i="16" s="1"/>
  <c r="N323" i="16"/>
  <c r="N321" i="16" s="1"/>
  <c r="M323" i="16"/>
  <c r="P323" i="16" s="1"/>
  <c r="L323" i="16"/>
  <c r="O323" i="16" s="1"/>
  <c r="P322" i="16"/>
  <c r="O322" i="16"/>
  <c r="N320" i="16"/>
  <c r="N318" i="16" s="1"/>
  <c r="M320" i="16"/>
  <c r="M318" i="16" s="1"/>
  <c r="P318" i="16" s="1"/>
  <c r="L320" i="16"/>
  <c r="O320" i="16" s="1"/>
  <c r="P319" i="16"/>
  <c r="O319" i="16"/>
  <c r="O316" i="16"/>
  <c r="N316" i="16"/>
  <c r="M316" i="16"/>
  <c r="P316" i="16" s="1"/>
  <c r="L316" i="16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P306" i="16" s="1"/>
  <c r="L306" i="16"/>
  <c r="L304" i="16" s="1"/>
  <c r="O304" i="16" s="1"/>
  <c r="P305" i="16"/>
  <c r="O305" i="16"/>
  <c r="N303" i="16"/>
  <c r="M303" i="16"/>
  <c r="L303" i="16"/>
  <c r="L301" i="16" s="1"/>
  <c r="P302" i="16"/>
  <c r="O302" i="16"/>
  <c r="O299" i="16"/>
  <c r="N299" i="16"/>
  <c r="M299" i="16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J288" i="16" s="1"/>
  <c r="K288" i="16" s="1"/>
  <c r="I287" i="16"/>
  <c r="K287" i="16" s="1"/>
  <c r="N285" i="16"/>
  <c r="M285" i="16"/>
  <c r="M283" i="16" s="1"/>
  <c r="P283" i="16" s="1"/>
  <c r="L285" i="16"/>
  <c r="O285" i="16" s="1"/>
  <c r="P284" i="16"/>
  <c r="O284" i="16"/>
  <c r="N282" i="16"/>
  <c r="N280" i="16" s="1"/>
  <c r="M282" i="16"/>
  <c r="M280" i="16" s="1"/>
  <c r="L282" i="16"/>
  <c r="P281" i="16"/>
  <c r="O281" i="16"/>
  <c r="P278" i="16"/>
  <c r="N278" i="16"/>
  <c r="M278" i="16"/>
  <c r="L278" i="16"/>
  <c r="J276" i="16"/>
  <c r="I271" i="16"/>
  <c r="K271" i="16" s="1"/>
  <c r="N269" i="16"/>
  <c r="N267" i="16" s="1"/>
  <c r="M269" i="16"/>
  <c r="P269" i="16" s="1"/>
  <c r="L269" i="16"/>
  <c r="L267" i="16" s="1"/>
  <c r="O267" i="16" s="1"/>
  <c r="P268" i="16"/>
  <c r="O268" i="16"/>
  <c r="N266" i="16"/>
  <c r="M266" i="16"/>
  <c r="M264" i="16" s="1"/>
  <c r="L266" i="16"/>
  <c r="P265" i="16"/>
  <c r="O265" i="16"/>
  <c r="O262" i="16"/>
  <c r="N262" i="16"/>
  <c r="M262" i="16"/>
  <c r="L262" i="16"/>
  <c r="J260" i="16"/>
  <c r="K258" i="16"/>
  <c r="K257" i="16"/>
  <c r="I255" i="16"/>
  <c r="K255" i="16" s="1"/>
  <c r="L253" i="16"/>
  <c r="L252" i="16"/>
  <c r="L251" i="16"/>
  <c r="L250" i="16"/>
  <c r="P249" i="16"/>
  <c r="N249" i="16"/>
  <c r="N227" i="16" s="1"/>
  <c r="J248" i="16"/>
  <c r="K247" i="16"/>
  <c r="K246" i="16"/>
  <c r="I244" i="16"/>
  <c r="K244" i="16" s="1"/>
  <c r="L242" i="16"/>
  <c r="L241" i="16"/>
  <c r="L240" i="16"/>
  <c r="L239" i="16"/>
  <c r="P238" i="16"/>
  <c r="N238" i="16"/>
  <c r="J237" i="16"/>
  <c r="J236" i="16"/>
  <c r="I236" i="16"/>
  <c r="K236" i="16" s="1"/>
  <c r="J235" i="16"/>
  <c r="I235" i="16"/>
  <c r="K235" i="16" s="1"/>
  <c r="J233" i="16"/>
  <c r="N231" i="16"/>
  <c r="N230" i="16"/>
  <c r="N229" i="16"/>
  <c r="N228" i="16"/>
  <c r="J226" i="16"/>
  <c r="I225" i="16"/>
  <c r="K225" i="16" s="1"/>
  <c r="I224" i="16"/>
  <c r="I216" i="16" s="1"/>
  <c r="I223" i="16"/>
  <c r="K223" i="16" s="1"/>
  <c r="L220" i="16"/>
  <c r="L219" i="16"/>
  <c r="L218" i="16"/>
  <c r="P217" i="16"/>
  <c r="N217" i="16"/>
  <c r="J216" i="16"/>
  <c r="I215" i="16"/>
  <c r="I208" i="16" s="1"/>
  <c r="K208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K204" i="16" s="1"/>
  <c r="L202" i="16"/>
  <c r="L201" i="16"/>
  <c r="L200" i="16"/>
  <c r="L199" i="16"/>
  <c r="P198" i="16"/>
  <c r="N198" i="16"/>
  <c r="J197" i="16"/>
  <c r="J194" i="16"/>
  <c r="I193" i="16"/>
  <c r="I190" i="16" s="1"/>
  <c r="K190" i="16" s="1"/>
  <c r="P191" i="16"/>
  <c r="L191" i="16"/>
  <c r="O191" i="16" s="1"/>
  <c r="J190" i="16"/>
  <c r="N189" i="16"/>
  <c r="N187" i="16" s="1"/>
  <c r="M189" i="16"/>
  <c r="P189" i="16" s="1"/>
  <c r="L189" i="16"/>
  <c r="P188" i="16"/>
  <c r="O188" i="16"/>
  <c r="N186" i="16"/>
  <c r="N184" i="16" s="1"/>
  <c r="M186" i="16"/>
  <c r="M184" i="16" s="1"/>
  <c r="L186" i="16"/>
  <c r="P185" i="16"/>
  <c r="O185" i="16"/>
  <c r="O182" i="16"/>
  <c r="N182" i="16"/>
  <c r="M182" i="16"/>
  <c r="P182" i="16" s="1"/>
  <c r="L182" i="16"/>
  <c r="J180" i="16"/>
  <c r="J177" i="16"/>
  <c r="I176" i="16"/>
  <c r="I174" i="16" s="1"/>
  <c r="J174" i="16"/>
  <c r="J164" i="16" s="1"/>
  <c r="N173" i="16"/>
  <c r="N171" i="16" s="1"/>
  <c r="M173" i="16"/>
  <c r="P173" i="16" s="1"/>
  <c r="L173" i="16"/>
  <c r="P172" i="16"/>
  <c r="O172" i="16"/>
  <c r="N170" i="16"/>
  <c r="N168" i="16" s="1"/>
  <c r="M170" i="16"/>
  <c r="L170" i="16"/>
  <c r="P169" i="16"/>
  <c r="O169" i="16"/>
  <c r="O166" i="16"/>
  <c r="N166" i="16"/>
  <c r="M166" i="16"/>
  <c r="P166" i="16" s="1"/>
  <c r="L166" i="16"/>
  <c r="I159" i="16"/>
  <c r="N157" i="16"/>
  <c r="N155" i="16" s="1"/>
  <c r="M157" i="16"/>
  <c r="L157" i="16"/>
  <c r="L155" i="16" s="1"/>
  <c r="O155" i="16" s="1"/>
  <c r="P156" i="16"/>
  <c r="O156" i="16"/>
  <c r="N154" i="16"/>
  <c r="N152" i="16" s="1"/>
  <c r="M154" i="16"/>
  <c r="P154" i="16" s="1"/>
  <c r="L154" i="16"/>
  <c r="L152" i="16" s="1"/>
  <c r="O152" i="16" s="1"/>
  <c r="P153" i="16"/>
  <c r="O153" i="16"/>
  <c r="O150" i="16"/>
  <c r="N150" i="16"/>
  <c r="M150" i="16"/>
  <c r="L150" i="16"/>
  <c r="J148" i="16"/>
  <c r="I146" i="16"/>
  <c r="K146" i="16" s="1"/>
  <c r="I145" i="16"/>
  <c r="K145" i="16" s="1"/>
  <c r="I144" i="16"/>
  <c r="N140" i="16"/>
  <c r="N138" i="16" s="1"/>
  <c r="M140" i="16"/>
  <c r="P140" i="16" s="1"/>
  <c r="L140" i="16"/>
  <c r="O140" i="16" s="1"/>
  <c r="P139" i="16"/>
  <c r="O139" i="16"/>
  <c r="N137" i="16"/>
  <c r="N135" i="16" s="1"/>
  <c r="M137" i="16"/>
  <c r="P137" i="16" s="1"/>
  <c r="L137" i="16"/>
  <c r="O137" i="16" s="1"/>
  <c r="P136" i="16"/>
  <c r="O136" i="16"/>
  <c r="P133" i="16"/>
  <c r="N133" i="16"/>
  <c r="M133" i="16"/>
  <c r="L133" i="16"/>
  <c r="O133" i="16" s="1"/>
  <c r="J130" i="16"/>
  <c r="N127" i="16"/>
  <c r="N125" i="16" s="1"/>
  <c r="M127" i="16"/>
  <c r="P127" i="16" s="1"/>
  <c r="L127" i="16"/>
  <c r="L125" i="16" s="1"/>
  <c r="O125" i="16" s="1"/>
  <c r="P126" i="16"/>
  <c r="O126" i="16"/>
  <c r="N124" i="16"/>
  <c r="N122" i="16" s="1"/>
  <c r="M124" i="16"/>
  <c r="P124" i="16" s="1"/>
  <c r="L124" i="16"/>
  <c r="P123" i="16"/>
  <c r="O123" i="16"/>
  <c r="O120" i="16"/>
  <c r="N120" i="16"/>
  <c r="M120" i="16"/>
  <c r="L120" i="16"/>
  <c r="K118" i="16"/>
  <c r="I116" i="16"/>
  <c r="K116" i="16" s="1"/>
  <c r="I115" i="16"/>
  <c r="K115" i="16" s="1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I99" i="16"/>
  <c r="I87" i="16" s="1"/>
  <c r="J98" i="16"/>
  <c r="I98" i="16"/>
  <c r="I86" i="16" s="1"/>
  <c r="K86" i="16" s="1"/>
  <c r="N96" i="16"/>
  <c r="N94" i="16" s="1"/>
  <c r="M96" i="16"/>
  <c r="L96" i="16"/>
  <c r="O96" i="16" s="1"/>
  <c r="P95" i="16"/>
  <c r="O95" i="16"/>
  <c r="N93" i="16"/>
  <c r="N91" i="16" s="1"/>
  <c r="M93" i="16"/>
  <c r="L93" i="16"/>
  <c r="P92" i="16"/>
  <c r="O92" i="16"/>
  <c r="P89" i="16"/>
  <c r="N89" i="16"/>
  <c r="M89" i="16"/>
  <c r="L89" i="16"/>
  <c r="J86" i="16"/>
  <c r="I84" i="16"/>
  <c r="K84" i="16" s="1"/>
  <c r="I83" i="16"/>
  <c r="K83" i="16" s="1"/>
  <c r="I82" i="16"/>
  <c r="K82" i="16" s="1"/>
  <c r="I81" i="16"/>
  <c r="K81" i="16" s="1"/>
  <c r="I80" i="16"/>
  <c r="I79" i="16"/>
  <c r="I78" i="16"/>
  <c r="K78" i="16" s="1"/>
  <c r="J77" i="16"/>
  <c r="J76" i="16"/>
  <c r="N74" i="16"/>
  <c r="N72" i="16" s="1"/>
  <c r="M74" i="16"/>
  <c r="P74" i="16" s="1"/>
  <c r="L74" i="16"/>
  <c r="P73" i="16"/>
  <c r="O73" i="16"/>
  <c r="N71" i="16"/>
  <c r="N69" i="16" s="1"/>
  <c r="M71" i="16"/>
  <c r="P71" i="16" s="1"/>
  <c r="L71" i="16"/>
  <c r="P70" i="16"/>
  <c r="O70" i="16"/>
  <c r="O67" i="16"/>
  <c r="N67" i="16"/>
  <c r="M67" i="16"/>
  <c r="P67" i="16" s="1"/>
  <c r="L67" i="16"/>
  <c r="J65" i="16"/>
  <c r="J64" i="16"/>
  <c r="N61" i="16"/>
  <c r="N59" i="16" s="1"/>
  <c r="M61" i="16"/>
  <c r="M59" i="16" s="1"/>
  <c r="L61" i="16"/>
  <c r="L59" i="16" s="1"/>
  <c r="P60" i="16"/>
  <c r="O60" i="16"/>
  <c r="N58" i="16"/>
  <c r="M58" i="16"/>
  <c r="L58" i="16"/>
  <c r="L56" i="16" s="1"/>
  <c r="P57" i="16"/>
  <c r="O57" i="16"/>
  <c r="P54" i="16"/>
  <c r="N54" i="16"/>
  <c r="M54" i="16"/>
  <c r="L54" i="16"/>
  <c r="N49" i="16"/>
  <c r="N47" i="16" s="1"/>
  <c r="M49" i="16"/>
  <c r="P49" i="16" s="1"/>
  <c r="L49" i="16"/>
  <c r="O49" i="16" s="1"/>
  <c r="P48" i="16"/>
  <c r="O48" i="16"/>
  <c r="N46" i="16"/>
  <c r="N44" i="16" s="1"/>
  <c r="M46" i="16"/>
  <c r="M44" i="16" s="1"/>
  <c r="L46" i="16"/>
  <c r="L44" i="16" s="1"/>
  <c r="P45" i="16"/>
  <c r="O45" i="16"/>
  <c r="O42" i="16"/>
  <c r="N42" i="16"/>
  <c r="M42" i="16"/>
  <c r="P42" i="16" s="1"/>
  <c r="L42" i="16"/>
  <c r="P36" i="16"/>
  <c r="N36" i="16"/>
  <c r="N34" i="16" s="1"/>
  <c r="M36" i="16"/>
  <c r="O35" i="16"/>
  <c r="N35" i="16"/>
  <c r="M35" i="16"/>
  <c r="M34" i="16" s="1"/>
  <c r="P34" i="16" s="1"/>
  <c r="L35" i="16"/>
  <c r="N33" i="16"/>
  <c r="N32" i="16"/>
  <c r="M32" i="16"/>
  <c r="L32" i="16"/>
  <c r="O32" i="16" s="1"/>
  <c r="N30" i="16"/>
  <c r="L29" i="16"/>
  <c r="O29" i="16" s="1"/>
  <c r="N25" i="16"/>
  <c r="N15" i="16" s="1"/>
  <c r="M25" i="16"/>
  <c r="M15" i="16" s="1"/>
  <c r="L25" i="16"/>
  <c r="L19" i="16" s="1"/>
  <c r="N22" i="16"/>
  <c r="M22" i="16"/>
  <c r="M19" i="16" s="1"/>
  <c r="L22" i="16"/>
  <c r="O22" i="16" s="1"/>
  <c r="N19" i="16"/>
  <c r="O12" i="16"/>
  <c r="L12" i="16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N815" i="15"/>
  <c r="M815" i="15"/>
  <c r="P815" i="15" s="1"/>
  <c r="L815" i="15"/>
  <c r="O815" i="15" s="1"/>
  <c r="P810" i="15"/>
  <c r="O810" i="15"/>
  <c r="N810" i="15"/>
  <c r="P809" i="15"/>
  <c r="O809" i="15"/>
  <c r="P808" i="15"/>
  <c r="N808" i="15"/>
  <c r="M808" i="15"/>
  <c r="L808" i="15"/>
  <c r="O808" i="15" s="1"/>
  <c r="O807" i="15"/>
  <c r="N807" i="15"/>
  <c r="M807" i="15"/>
  <c r="L807" i="15"/>
  <c r="P806" i="15"/>
  <c r="N806" i="15"/>
  <c r="N805" i="15" s="1"/>
  <c r="M806" i="15"/>
  <c r="L806" i="15"/>
  <c r="K804" i="15"/>
  <c r="J804" i="15"/>
  <c r="J803" i="15"/>
  <c r="I803" i="15"/>
  <c r="K803" i="15" s="1"/>
  <c r="J802" i="15"/>
  <c r="J801" i="15"/>
  <c r="I801" i="15"/>
  <c r="J800" i="15"/>
  <c r="P798" i="15"/>
  <c r="O798" i="15"/>
  <c r="P797" i="15"/>
  <c r="O797" i="15"/>
  <c r="P796" i="15"/>
  <c r="O796" i="15"/>
  <c r="N796" i="15"/>
  <c r="M796" i="15"/>
  <c r="L796" i="15"/>
  <c r="N791" i="15"/>
  <c r="L791" i="15"/>
  <c r="L788" i="15" s="1"/>
  <c r="O788" i="15" s="1"/>
  <c r="P790" i="15"/>
  <c r="O790" i="15"/>
  <c r="N789" i="15"/>
  <c r="N788" i="15"/>
  <c r="N787" i="15"/>
  <c r="M787" i="15"/>
  <c r="P787" i="15" s="1"/>
  <c r="L787" i="15"/>
  <c r="P782" i="15"/>
  <c r="O782" i="15"/>
  <c r="P781" i="15"/>
  <c r="O781" i="15"/>
  <c r="O780" i="15"/>
  <c r="N780" i="15"/>
  <c r="M780" i="15"/>
  <c r="P780" i="15" s="1"/>
  <c r="L780" i="15"/>
  <c r="P775" i="15"/>
  <c r="O775" i="15"/>
  <c r="N775" i="15"/>
  <c r="N773" i="15" s="1"/>
  <c r="P774" i="15"/>
  <c r="O774" i="15"/>
  <c r="O773" i="15"/>
  <c r="M773" i="15"/>
  <c r="P773" i="15" s="1"/>
  <c r="L773" i="15"/>
  <c r="P772" i="15"/>
  <c r="M772" i="15"/>
  <c r="L772" i="15"/>
  <c r="O772" i="15" s="1"/>
  <c r="O771" i="15"/>
  <c r="N771" i="15"/>
  <c r="M771" i="15"/>
  <c r="L771" i="15"/>
  <c r="L770" i="15"/>
  <c r="O770" i="15" s="1"/>
  <c r="K769" i="15"/>
  <c r="J769" i="15"/>
  <c r="P766" i="15"/>
  <c r="O766" i="15"/>
  <c r="P765" i="15"/>
  <c r="O765" i="15"/>
  <c r="O764" i="15"/>
  <c r="N764" i="15"/>
  <c r="M764" i="15"/>
  <c r="P764" i="15" s="1"/>
  <c r="L764" i="15"/>
  <c r="P759" i="15"/>
  <c r="O759" i="15"/>
  <c r="N759" i="15"/>
  <c r="N757" i="15" s="1"/>
  <c r="P758" i="15"/>
  <c r="O758" i="15"/>
  <c r="O757" i="15"/>
  <c r="M757" i="15"/>
  <c r="P757" i="15" s="1"/>
  <c r="L757" i="15"/>
  <c r="P756" i="15"/>
  <c r="M756" i="15"/>
  <c r="L756" i="15"/>
  <c r="O755" i="15"/>
  <c r="N755" i="15"/>
  <c r="M755" i="15"/>
  <c r="P755" i="15" s="1"/>
  <c r="L755" i="15"/>
  <c r="M754" i="15"/>
  <c r="P754" i="15" s="1"/>
  <c r="K753" i="15"/>
  <c r="J753" i="15"/>
  <c r="P749" i="15"/>
  <c r="O749" i="15"/>
  <c r="P748" i="15"/>
  <c r="O748" i="15"/>
  <c r="O747" i="15"/>
  <c r="N747" i="15"/>
  <c r="M747" i="15"/>
  <c r="P747" i="15" s="1"/>
  <c r="L747" i="15"/>
  <c r="P742" i="15"/>
  <c r="O742" i="15"/>
  <c r="N742" i="15"/>
  <c r="N740" i="15" s="1"/>
  <c r="P741" i="15"/>
  <c r="O741" i="15"/>
  <c r="P740" i="15"/>
  <c r="O740" i="15"/>
  <c r="M740" i="15"/>
  <c r="L740" i="15"/>
  <c r="P739" i="15"/>
  <c r="O739" i="15"/>
  <c r="M739" i="15"/>
  <c r="L739" i="15"/>
  <c r="O738" i="15"/>
  <c r="N738" i="15"/>
  <c r="M738" i="15"/>
  <c r="P738" i="15" s="1"/>
  <c r="L738" i="15"/>
  <c r="M737" i="15"/>
  <c r="P737" i="15" s="1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J700" i="15"/>
  <c r="I700" i="15"/>
  <c r="K700" i="15" s="1"/>
  <c r="J699" i="15"/>
  <c r="I699" i="15"/>
  <c r="K699" i="15" s="1"/>
  <c r="P697" i="15"/>
  <c r="O697" i="15"/>
  <c r="P696" i="15"/>
  <c r="O696" i="15"/>
  <c r="N695" i="15"/>
  <c r="M695" i="15"/>
  <c r="P695" i="15" s="1"/>
  <c r="L695" i="15"/>
  <c r="O695" i="15" s="1"/>
  <c r="N690" i="15"/>
  <c r="N688" i="15" s="1"/>
  <c r="L690" i="15"/>
  <c r="N687" i="15"/>
  <c r="O686" i="15"/>
  <c r="N686" i="15"/>
  <c r="M686" i="15"/>
  <c r="P686" i="15" s="1"/>
  <c r="L686" i="15"/>
  <c r="J679" i="15"/>
  <c r="J678" i="15" s="1"/>
  <c r="I678" i="15"/>
  <c r="K678" i="15" s="1"/>
  <c r="J675" i="15"/>
  <c r="J669" i="15" s="1"/>
  <c r="J654" i="15" s="1"/>
  <c r="I671" i="15"/>
  <c r="K671" i="15" s="1"/>
  <c r="I670" i="15"/>
  <c r="K670" i="15" s="1"/>
  <c r="I669" i="15"/>
  <c r="P667" i="15"/>
  <c r="O667" i="15"/>
  <c r="P666" i="15"/>
  <c r="O666" i="15"/>
  <c r="O665" i="15"/>
  <c r="N665" i="15"/>
  <c r="M665" i="15"/>
  <c r="P665" i="15" s="1"/>
  <c r="L665" i="15"/>
  <c r="P660" i="15"/>
  <c r="N660" i="15"/>
  <c r="N657" i="15" s="1"/>
  <c r="L660" i="15"/>
  <c r="O660" i="15" s="1"/>
  <c r="P659" i="15"/>
  <c r="O659" i="15"/>
  <c r="P658" i="15"/>
  <c r="N658" i="15"/>
  <c r="M658" i="15"/>
  <c r="L658" i="15"/>
  <c r="O658" i="15" s="1"/>
  <c r="M657" i="15"/>
  <c r="P657" i="15" s="1"/>
  <c r="P656" i="15"/>
  <c r="N656" i="15"/>
  <c r="N655" i="15" s="1"/>
  <c r="M656" i="15"/>
  <c r="L656" i="15"/>
  <c r="M655" i="15"/>
  <c r="P655" i="15" s="1"/>
  <c r="K652" i="15"/>
  <c r="J652" i="15"/>
  <c r="A652" i="15"/>
  <c r="J651" i="15"/>
  <c r="J628" i="15" s="1"/>
  <c r="I651" i="15"/>
  <c r="I628" i="15" s="1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P639" i="15"/>
  <c r="N639" i="15"/>
  <c r="M639" i="15"/>
  <c r="N634" i="15"/>
  <c r="L634" i="15"/>
  <c r="M634" i="15" s="1"/>
  <c r="P633" i="15"/>
  <c r="O633" i="15"/>
  <c r="N632" i="15"/>
  <c r="N631" i="15"/>
  <c r="P630" i="15"/>
  <c r="O630" i="15"/>
  <c r="N630" i="15"/>
  <c r="M630" i="15"/>
  <c r="L630" i="15"/>
  <c r="N629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594" i="15" s="1"/>
  <c r="J603" i="15"/>
  <c r="J596" i="15"/>
  <c r="J595" i="15"/>
  <c r="J593" i="15" s="1"/>
  <c r="J592" i="15" s="1"/>
  <c r="I594" i="15"/>
  <c r="K594" i="15" s="1"/>
  <c r="I593" i="15"/>
  <c r="I592" i="15" s="1"/>
  <c r="J583" i="15"/>
  <c r="J577" i="15" s="1"/>
  <c r="J582" i="15"/>
  <c r="I577" i="15"/>
  <c r="K577" i="15" s="1"/>
  <c r="J576" i="15"/>
  <c r="J559" i="15" s="1"/>
  <c r="J543" i="15" s="1"/>
  <c r="I576" i="15"/>
  <c r="I559" i="15" s="1"/>
  <c r="K559" i="15" s="1"/>
  <c r="J569" i="15"/>
  <c r="I569" i="15"/>
  <c r="K569" i="15" s="1"/>
  <c r="J568" i="15"/>
  <c r="I568" i="15"/>
  <c r="J561" i="15"/>
  <c r="I561" i="15"/>
  <c r="K561" i="15" s="1"/>
  <c r="J560" i="15"/>
  <c r="I560" i="15"/>
  <c r="P557" i="15"/>
  <c r="L557" i="15"/>
  <c r="O557" i="15" s="1"/>
  <c r="P556" i="15"/>
  <c r="O556" i="15"/>
  <c r="P555" i="15"/>
  <c r="N555" i="15"/>
  <c r="M555" i="15"/>
  <c r="L555" i="15"/>
  <c r="O555" i="15" s="1"/>
  <c r="N549" i="15"/>
  <c r="L549" i="15"/>
  <c r="M549" i="15" s="1"/>
  <c r="M546" i="15" s="1"/>
  <c r="P548" i="15"/>
  <c r="O548" i="15"/>
  <c r="N545" i="15"/>
  <c r="M545" i="15"/>
  <c r="L545" i="15"/>
  <c r="O545" i="15" s="1"/>
  <c r="I542" i="15"/>
  <c r="K542" i="15" s="1"/>
  <c r="I541" i="15"/>
  <c r="K541" i="15" s="1"/>
  <c r="I540" i="15"/>
  <c r="K540" i="15" s="1"/>
  <c r="I539" i="15"/>
  <c r="K539" i="15" s="1"/>
  <c r="I538" i="15"/>
  <c r="I537" i="15"/>
  <c r="K537" i="15" s="1"/>
  <c r="P535" i="15"/>
  <c r="L535" i="15"/>
  <c r="P534" i="15"/>
  <c r="O534" i="15"/>
  <c r="N533" i="15"/>
  <c r="M533" i="15"/>
  <c r="P533" i="15" s="1"/>
  <c r="P528" i="15"/>
  <c r="N528" i="15"/>
  <c r="N525" i="15" s="1"/>
  <c r="L528" i="15"/>
  <c r="L526" i="15" s="1"/>
  <c r="O526" i="15" s="1"/>
  <c r="P527" i="15"/>
  <c r="O527" i="15"/>
  <c r="P526" i="15"/>
  <c r="N526" i="15"/>
  <c r="M526" i="15"/>
  <c r="M525" i="15"/>
  <c r="P525" i="15" s="1"/>
  <c r="P524" i="15"/>
  <c r="N524" i="15"/>
  <c r="N523" i="15" s="1"/>
  <c r="M524" i="15"/>
  <c r="L524" i="15"/>
  <c r="M523" i="15"/>
  <c r="P523" i="15" s="1"/>
  <c r="K517" i="15"/>
  <c r="J517" i="15"/>
  <c r="J501" i="15" s="1"/>
  <c r="K516" i="15"/>
  <c r="P514" i="15"/>
  <c r="O514" i="15"/>
  <c r="P513" i="15"/>
  <c r="O513" i="15"/>
  <c r="P512" i="15"/>
  <c r="N512" i="15"/>
  <c r="M512" i="15"/>
  <c r="L512" i="15"/>
  <c r="O512" i="15" s="1"/>
  <c r="P507" i="15"/>
  <c r="O507" i="15"/>
  <c r="N507" i="15"/>
  <c r="N504" i="15" s="1"/>
  <c r="P506" i="15"/>
  <c r="O506" i="15"/>
  <c r="P505" i="15"/>
  <c r="N505" i="15"/>
  <c r="M505" i="15"/>
  <c r="L505" i="15"/>
  <c r="O505" i="15" s="1"/>
  <c r="O504" i="15"/>
  <c r="M504" i="15"/>
  <c r="P504" i="15" s="1"/>
  <c r="L504" i="15"/>
  <c r="P503" i="15"/>
  <c r="N503" i="15"/>
  <c r="N502" i="15" s="1"/>
  <c r="M503" i="15"/>
  <c r="L503" i="15"/>
  <c r="M502" i="15"/>
  <c r="P502" i="15" s="1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L477" i="15" s="1"/>
  <c r="O477" i="15" s="1"/>
  <c r="P478" i="15"/>
  <c r="O478" i="15"/>
  <c r="N477" i="15"/>
  <c r="M477" i="15"/>
  <c r="P477" i="15" s="1"/>
  <c r="N472" i="15"/>
  <c r="L472" i="15"/>
  <c r="L470" i="15" s="1"/>
  <c r="P471" i="15"/>
  <c r="O471" i="15"/>
  <c r="O468" i="15"/>
  <c r="N468" i="15"/>
  <c r="M468" i="15"/>
  <c r="L468" i="15"/>
  <c r="J466" i="15"/>
  <c r="I466" i="15"/>
  <c r="J465" i="15"/>
  <c r="I465" i="15"/>
  <c r="K465" i="15" s="1"/>
  <c r="I464" i="15"/>
  <c r="K464" i="15" s="1"/>
  <c r="I463" i="15"/>
  <c r="K463" i="15" s="1"/>
  <c r="I462" i="15"/>
  <c r="I460" i="15"/>
  <c r="K458" i="15"/>
  <c r="P456" i="15"/>
  <c r="L456" i="15"/>
  <c r="P455" i="15"/>
  <c r="O455" i="15"/>
  <c r="N454" i="15"/>
  <c r="M454" i="15"/>
  <c r="P454" i="15" s="1"/>
  <c r="N449" i="15"/>
  <c r="N447" i="15" s="1"/>
  <c r="L449" i="15"/>
  <c r="P448" i="15"/>
  <c r="O448" i="15"/>
  <c r="N446" i="15"/>
  <c r="O445" i="15"/>
  <c r="N445" i="15"/>
  <c r="M445" i="15"/>
  <c r="P445" i="15" s="1"/>
  <c r="L445" i="15"/>
  <c r="J443" i="15"/>
  <c r="J442" i="15"/>
  <c r="I441" i="15"/>
  <c r="K441" i="15" s="1"/>
  <c r="I440" i="15"/>
  <c r="K440" i="15" s="1"/>
  <c r="I439" i="15"/>
  <c r="K439" i="15" s="1"/>
  <c r="I438" i="15"/>
  <c r="I437" i="15"/>
  <c r="K437" i="15" s="1"/>
  <c r="I435" i="15"/>
  <c r="K435" i="15" s="1"/>
  <c r="J434" i="15"/>
  <c r="J418" i="15" s="1"/>
  <c r="P431" i="15"/>
  <c r="L431" i="15"/>
  <c r="P430" i="15"/>
  <c r="O430" i="15"/>
  <c r="P429" i="15"/>
  <c r="N429" i="15"/>
  <c r="M429" i="15"/>
  <c r="L429" i="15"/>
  <c r="O429" i="15" s="1"/>
  <c r="N424" i="15"/>
  <c r="L424" i="15"/>
  <c r="M424" i="15" s="1"/>
  <c r="P423" i="15"/>
  <c r="O423" i="15"/>
  <c r="N422" i="15"/>
  <c r="N421" i="15"/>
  <c r="P420" i="15"/>
  <c r="O420" i="15"/>
  <c r="N420" i="15"/>
  <c r="N419" i="15" s="1"/>
  <c r="M420" i="15"/>
  <c r="L420" i="15"/>
  <c r="K413" i="15"/>
  <c r="K412" i="15"/>
  <c r="N410" i="15"/>
  <c r="N408" i="15" s="1"/>
  <c r="M410" i="15"/>
  <c r="L410" i="15"/>
  <c r="P409" i="15"/>
  <c r="O409" i="15"/>
  <c r="N407" i="15"/>
  <c r="N405" i="15" s="1"/>
  <c r="M407" i="15"/>
  <c r="L407" i="15"/>
  <c r="O407" i="15" s="1"/>
  <c r="P406" i="15"/>
  <c r="O406" i="15"/>
  <c r="P403" i="15"/>
  <c r="N403" i="15"/>
  <c r="M403" i="15"/>
  <c r="L403" i="15"/>
  <c r="O403" i="15" s="1"/>
  <c r="K401" i="15"/>
  <c r="J401" i="15"/>
  <c r="I401" i="15"/>
  <c r="K400" i="15"/>
  <c r="K399" i="15"/>
  <c r="N397" i="15"/>
  <c r="N395" i="15" s="1"/>
  <c r="M397" i="15"/>
  <c r="M395" i="15" s="1"/>
  <c r="P395" i="15" s="1"/>
  <c r="L397" i="15"/>
  <c r="O397" i="15" s="1"/>
  <c r="P396" i="15"/>
  <c r="O396" i="15"/>
  <c r="N394" i="15"/>
  <c r="N392" i="15" s="1"/>
  <c r="M394" i="15"/>
  <c r="L394" i="15"/>
  <c r="L392" i="15" s="1"/>
  <c r="O392" i="15" s="1"/>
  <c r="P393" i="15"/>
  <c r="O393" i="15"/>
  <c r="P390" i="15"/>
  <c r="O390" i="15"/>
  <c r="N390" i="15"/>
  <c r="M390" i="15"/>
  <c r="L390" i="15"/>
  <c r="K388" i="15"/>
  <c r="J388" i="15"/>
  <c r="I388" i="15"/>
  <c r="J385" i="15"/>
  <c r="I385" i="15"/>
  <c r="D384" i="15"/>
  <c r="K382" i="15"/>
  <c r="J382" i="15"/>
  <c r="A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A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P352" i="15"/>
  <c r="O352" i="15"/>
  <c r="N350" i="15"/>
  <c r="M350" i="15"/>
  <c r="M348" i="15" s="1"/>
  <c r="L350" i="15"/>
  <c r="L348" i="15" s="1"/>
  <c r="P349" i="15"/>
  <c r="O349" i="15"/>
  <c r="O346" i="15"/>
  <c r="N346" i="15"/>
  <c r="M346" i="15"/>
  <c r="L346" i="15"/>
  <c r="J343" i="15"/>
  <c r="J342" i="15"/>
  <c r="J341" i="15"/>
  <c r="J340" i="15"/>
  <c r="I340" i="15"/>
  <c r="J338" i="15"/>
  <c r="I338" i="15"/>
  <c r="D337" i="15"/>
  <c r="N336" i="15"/>
  <c r="N334" i="15" s="1"/>
  <c r="M336" i="15"/>
  <c r="P336" i="15" s="1"/>
  <c r="L336" i="15"/>
  <c r="O336" i="15" s="1"/>
  <c r="P335" i="15"/>
  <c r="O335" i="15"/>
  <c r="N333" i="15"/>
  <c r="N331" i="15" s="1"/>
  <c r="M333" i="15"/>
  <c r="M331" i="15" s="1"/>
  <c r="L333" i="15"/>
  <c r="P332" i="15"/>
  <c r="O332" i="15"/>
  <c r="P329" i="15"/>
  <c r="O329" i="15"/>
  <c r="N329" i="15"/>
  <c r="M329" i="15"/>
  <c r="L329" i="15"/>
  <c r="I327" i="15"/>
  <c r="I325" i="15"/>
  <c r="I314" i="15" s="1"/>
  <c r="K314" i="15" s="1"/>
  <c r="N323" i="15"/>
  <c r="N321" i="15" s="1"/>
  <c r="M323" i="15"/>
  <c r="P323" i="15" s="1"/>
  <c r="L323" i="15"/>
  <c r="O323" i="15" s="1"/>
  <c r="P322" i="15"/>
  <c r="O322" i="15"/>
  <c r="N320" i="15"/>
  <c r="M320" i="15"/>
  <c r="P320" i="15" s="1"/>
  <c r="L320" i="15"/>
  <c r="O320" i="15" s="1"/>
  <c r="P319" i="15"/>
  <c r="O319" i="15"/>
  <c r="N316" i="15"/>
  <c r="M316" i="15"/>
  <c r="L316" i="15"/>
  <c r="O316" i="15" s="1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L306" i="15"/>
  <c r="O306" i="15" s="1"/>
  <c r="P305" i="15"/>
  <c r="O305" i="15"/>
  <c r="N303" i="15"/>
  <c r="N301" i="15" s="1"/>
  <c r="M303" i="15"/>
  <c r="L303" i="15"/>
  <c r="L301" i="15" s="1"/>
  <c r="P302" i="15"/>
  <c r="O302" i="15"/>
  <c r="P299" i="15"/>
  <c r="O299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J288" i="15" s="1"/>
  <c r="I287" i="15"/>
  <c r="N285" i="15"/>
  <c r="N283" i="15" s="1"/>
  <c r="M285" i="15"/>
  <c r="P285" i="15" s="1"/>
  <c r="L285" i="15"/>
  <c r="O285" i="15" s="1"/>
  <c r="P284" i="15"/>
  <c r="O284" i="15"/>
  <c r="N282" i="15"/>
  <c r="N280" i="15" s="1"/>
  <c r="M282" i="15"/>
  <c r="L282" i="15"/>
  <c r="L280" i="15" s="1"/>
  <c r="P281" i="15"/>
  <c r="O281" i="15"/>
  <c r="O278" i="15"/>
  <c r="N278" i="15"/>
  <c r="M278" i="15"/>
  <c r="P278" i="15" s="1"/>
  <c r="L278" i="15"/>
  <c r="J276" i="15"/>
  <c r="I271" i="15"/>
  <c r="N269" i="15"/>
  <c r="M269" i="15"/>
  <c r="M267" i="15" s="1"/>
  <c r="P267" i="15" s="1"/>
  <c r="L269" i="15"/>
  <c r="O269" i="15" s="1"/>
  <c r="P268" i="15"/>
  <c r="O268" i="15"/>
  <c r="N266" i="15"/>
  <c r="N264" i="15" s="1"/>
  <c r="M266" i="15"/>
  <c r="M264" i="15" s="1"/>
  <c r="L266" i="15"/>
  <c r="P265" i="15"/>
  <c r="O265" i="15"/>
  <c r="O262" i="15"/>
  <c r="N262" i="15"/>
  <c r="M262" i="15"/>
  <c r="P262" i="15" s="1"/>
  <c r="L262" i="15"/>
  <c r="J260" i="15"/>
  <c r="K258" i="15"/>
  <c r="K257" i="15"/>
  <c r="I255" i="15"/>
  <c r="I248" i="15" s="1"/>
  <c r="K248" i="15" s="1"/>
  <c r="L253" i="15"/>
  <c r="L252" i="15"/>
  <c r="L251" i="15"/>
  <c r="L250" i="15"/>
  <c r="P249" i="15"/>
  <c r="N249" i="15"/>
  <c r="J248" i="15"/>
  <c r="K247" i="15"/>
  <c r="K246" i="15"/>
  <c r="I244" i="15"/>
  <c r="L242" i="15"/>
  <c r="L241" i="15"/>
  <c r="L240" i="15"/>
  <c r="L239" i="15"/>
  <c r="P238" i="15"/>
  <c r="N238" i="15"/>
  <c r="J237" i="15"/>
  <c r="J236" i="15"/>
  <c r="K236" i="15" s="1"/>
  <c r="I236" i="15"/>
  <c r="K235" i="15"/>
  <c r="J235" i="15"/>
  <c r="I235" i="15"/>
  <c r="J233" i="15"/>
  <c r="N231" i="15"/>
  <c r="N230" i="15"/>
  <c r="N229" i="15"/>
  <c r="N228" i="15"/>
  <c r="N227" i="15"/>
  <c r="J226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I197" i="15" s="1"/>
  <c r="K197" i="15" s="1"/>
  <c r="L202" i="15"/>
  <c r="L201" i="15"/>
  <c r="L200" i="15"/>
  <c r="L199" i="15"/>
  <c r="P198" i="15"/>
  <c r="N198" i="15"/>
  <c r="J197" i="15"/>
  <c r="J194" i="15"/>
  <c r="I193" i="15"/>
  <c r="I190" i="15" s="1"/>
  <c r="K190" i="15" s="1"/>
  <c r="P191" i="15"/>
  <c r="L191" i="15"/>
  <c r="O191" i="15" s="1"/>
  <c r="J190" i="15"/>
  <c r="N189" i="15"/>
  <c r="N187" i="15" s="1"/>
  <c r="M189" i="15"/>
  <c r="P189" i="15" s="1"/>
  <c r="L189" i="15"/>
  <c r="P188" i="15"/>
  <c r="O188" i="15"/>
  <c r="N186" i="15"/>
  <c r="N184" i="15" s="1"/>
  <c r="M186" i="15"/>
  <c r="L186" i="15"/>
  <c r="L184" i="15" s="1"/>
  <c r="P185" i="15"/>
  <c r="O185" i="15"/>
  <c r="N182" i="15"/>
  <c r="M182" i="15"/>
  <c r="L182" i="15"/>
  <c r="O182" i="15" s="1"/>
  <c r="J180" i="15"/>
  <c r="J177" i="15"/>
  <c r="I176" i="15"/>
  <c r="K176" i="15" s="1"/>
  <c r="J174" i="15"/>
  <c r="N173" i="15"/>
  <c r="N171" i="15" s="1"/>
  <c r="M173" i="15"/>
  <c r="P173" i="15" s="1"/>
  <c r="L173" i="15"/>
  <c r="O173" i="15" s="1"/>
  <c r="P172" i="15"/>
  <c r="O172" i="15"/>
  <c r="N170" i="15"/>
  <c r="M170" i="15"/>
  <c r="M168" i="15" s="1"/>
  <c r="L170" i="15"/>
  <c r="P169" i="15"/>
  <c r="O169" i="15"/>
  <c r="P166" i="15"/>
  <c r="N166" i="15"/>
  <c r="M166" i="15"/>
  <c r="L166" i="15"/>
  <c r="O166" i="15" s="1"/>
  <c r="J164" i="15"/>
  <c r="I159" i="15"/>
  <c r="K159" i="15" s="1"/>
  <c r="N157" i="15"/>
  <c r="N155" i="15" s="1"/>
  <c r="M157" i="15"/>
  <c r="M155" i="15" s="1"/>
  <c r="P155" i="15" s="1"/>
  <c r="L157" i="15"/>
  <c r="L155" i="15" s="1"/>
  <c r="O155" i="15" s="1"/>
  <c r="P156" i="15"/>
  <c r="O156" i="15"/>
  <c r="N154" i="15"/>
  <c r="N152" i="15" s="1"/>
  <c r="M154" i="15"/>
  <c r="L154" i="15"/>
  <c r="L152" i="15" s="1"/>
  <c r="P153" i="15"/>
  <c r="O153" i="15"/>
  <c r="P150" i="15"/>
  <c r="N150" i="15"/>
  <c r="M150" i="15"/>
  <c r="L150" i="15"/>
  <c r="J148" i="15"/>
  <c r="I146" i="15"/>
  <c r="K146" i="15" s="1"/>
  <c r="I145" i="15"/>
  <c r="I144" i="15"/>
  <c r="K144" i="15" s="1"/>
  <c r="N140" i="15"/>
  <c r="N138" i="15" s="1"/>
  <c r="M140" i="15"/>
  <c r="L140" i="15"/>
  <c r="L138" i="15" s="1"/>
  <c r="P139" i="15"/>
  <c r="O139" i="15"/>
  <c r="N137" i="15"/>
  <c r="M137" i="15"/>
  <c r="M135" i="15" s="1"/>
  <c r="L137" i="15"/>
  <c r="P136" i="15"/>
  <c r="O136" i="15"/>
  <c r="P133" i="15"/>
  <c r="N133" i="15"/>
  <c r="M133" i="15"/>
  <c r="L133" i="15"/>
  <c r="O133" i="15" s="1"/>
  <c r="J130" i="15"/>
  <c r="N127" i="15"/>
  <c r="N125" i="15" s="1"/>
  <c r="M127" i="15"/>
  <c r="M125" i="15" s="1"/>
  <c r="P125" i="15" s="1"/>
  <c r="L127" i="15"/>
  <c r="O127" i="15" s="1"/>
  <c r="P126" i="15"/>
  <c r="O126" i="15"/>
  <c r="N124" i="15"/>
  <c r="N122" i="15" s="1"/>
  <c r="M124" i="15"/>
  <c r="P124" i="15" s="1"/>
  <c r="L124" i="15"/>
  <c r="O124" i="15" s="1"/>
  <c r="P123" i="15"/>
  <c r="O123" i="15"/>
  <c r="O120" i="15"/>
  <c r="N120" i="15"/>
  <c r="M120" i="15"/>
  <c r="P120" i="15" s="1"/>
  <c r="L120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J87" i="15" s="1"/>
  <c r="I99" i="15"/>
  <c r="J98" i="15"/>
  <c r="J86" i="15" s="1"/>
  <c r="I98" i="15"/>
  <c r="I86" i="15" s="1"/>
  <c r="N96" i="15"/>
  <c r="N94" i="15" s="1"/>
  <c r="M96" i="15"/>
  <c r="P96" i="15" s="1"/>
  <c r="L96" i="15"/>
  <c r="L94" i="15" s="1"/>
  <c r="O94" i="15" s="1"/>
  <c r="P95" i="15"/>
  <c r="O95" i="15"/>
  <c r="N93" i="15"/>
  <c r="M93" i="15"/>
  <c r="M91" i="15" s="1"/>
  <c r="L93" i="15"/>
  <c r="L91" i="15" s="1"/>
  <c r="P92" i="15"/>
  <c r="O92" i="15"/>
  <c r="O89" i="15"/>
  <c r="N89" i="15"/>
  <c r="M89" i="15"/>
  <c r="P89" i="15" s="1"/>
  <c r="L89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K79" i="15" s="1"/>
  <c r="I78" i="15"/>
  <c r="K78" i="15" s="1"/>
  <c r="J77" i="15"/>
  <c r="J76" i="15"/>
  <c r="J64" i="15" s="1"/>
  <c r="N74" i="15"/>
  <c r="N72" i="15" s="1"/>
  <c r="M74" i="15"/>
  <c r="P74" i="15" s="1"/>
  <c r="L74" i="15"/>
  <c r="L72" i="15" s="1"/>
  <c r="O72" i="15" s="1"/>
  <c r="P73" i="15"/>
  <c r="O73" i="15"/>
  <c r="N71" i="15"/>
  <c r="N69" i="15" s="1"/>
  <c r="M71" i="15"/>
  <c r="M69" i="15" s="1"/>
  <c r="L71" i="15"/>
  <c r="L69" i="15" s="1"/>
  <c r="P70" i="15"/>
  <c r="O70" i="15"/>
  <c r="O67" i="15"/>
  <c r="N67" i="15"/>
  <c r="M67" i="15"/>
  <c r="P67" i="15" s="1"/>
  <c r="L67" i="15"/>
  <c r="J65" i="15"/>
  <c r="N61" i="15"/>
  <c r="N59" i="15" s="1"/>
  <c r="M61" i="15"/>
  <c r="P61" i="15" s="1"/>
  <c r="L61" i="15"/>
  <c r="O61" i="15" s="1"/>
  <c r="P60" i="15"/>
  <c r="O60" i="15"/>
  <c r="N58" i="15"/>
  <c r="M58" i="15"/>
  <c r="L58" i="15"/>
  <c r="L56" i="15" s="1"/>
  <c r="P57" i="15"/>
  <c r="O57" i="15"/>
  <c r="P54" i="15"/>
  <c r="N54" i="15"/>
  <c r="M54" i="15"/>
  <c r="L54" i="15"/>
  <c r="O54" i="15" s="1"/>
  <c r="N49" i="15"/>
  <c r="N47" i="15" s="1"/>
  <c r="M49" i="15"/>
  <c r="P49" i="15" s="1"/>
  <c r="L49" i="15"/>
  <c r="L47" i="15" s="1"/>
  <c r="O47" i="15" s="1"/>
  <c r="P48" i="15"/>
  <c r="O48" i="15"/>
  <c r="N46" i="15"/>
  <c r="N44" i="15" s="1"/>
  <c r="M46" i="15"/>
  <c r="M44" i="15" s="1"/>
  <c r="L46" i="15"/>
  <c r="L44" i="15" s="1"/>
  <c r="P45" i="15"/>
  <c r="O45" i="15"/>
  <c r="O42" i="15"/>
  <c r="N42" i="15"/>
  <c r="M42" i="15"/>
  <c r="P42" i="15" s="1"/>
  <c r="L42" i="15"/>
  <c r="P36" i="15"/>
  <c r="N36" i="15"/>
  <c r="M36" i="15"/>
  <c r="O35" i="15"/>
  <c r="N35" i="15"/>
  <c r="M35" i="15"/>
  <c r="M34" i="15" s="1"/>
  <c r="P34" i="15" s="1"/>
  <c r="L35" i="15"/>
  <c r="N34" i="15"/>
  <c r="P32" i="15"/>
  <c r="N32" i="15"/>
  <c r="M32" i="15"/>
  <c r="L32" i="15"/>
  <c r="O32" i="15" s="1"/>
  <c r="N29" i="15"/>
  <c r="M29" i="15"/>
  <c r="P29" i="15" s="1"/>
  <c r="P25" i="15"/>
  <c r="N25" i="15"/>
  <c r="M25" i="15"/>
  <c r="L25" i="15"/>
  <c r="O25" i="15" s="1"/>
  <c r="O22" i="15"/>
  <c r="N22" i="15"/>
  <c r="N19" i="15" s="1"/>
  <c r="M22" i="15"/>
  <c r="P22" i="15" s="1"/>
  <c r="L22" i="15"/>
  <c r="L19" i="15"/>
  <c r="O19" i="15" s="1"/>
  <c r="N15" i="15"/>
  <c r="M15" i="15"/>
  <c r="P15" i="15" s="1"/>
  <c r="L12" i="15"/>
  <c r="O12" i="15" s="1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N807" i="14" s="1"/>
  <c r="N805" i="14" s="1"/>
  <c r="P809" i="14"/>
  <c r="O809" i="14"/>
  <c r="P808" i="14"/>
  <c r="N808" i="14"/>
  <c r="M808" i="14"/>
  <c r="L808" i="14"/>
  <c r="O808" i="14" s="1"/>
  <c r="O807" i="14"/>
  <c r="M807" i="14"/>
  <c r="L807" i="14"/>
  <c r="P806" i="14"/>
  <c r="N806" i="14"/>
  <c r="M806" i="14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N786" i="14" s="1"/>
  <c r="L791" i="14"/>
  <c r="O791" i="14" s="1"/>
  <c r="P790" i="14"/>
  <c r="O790" i="14"/>
  <c r="P789" i="14"/>
  <c r="N789" i="14"/>
  <c r="M789" i="14"/>
  <c r="L789" i="14"/>
  <c r="O789" i="14" s="1"/>
  <c r="M788" i="14"/>
  <c r="P787" i="14"/>
  <c r="N787" i="14"/>
  <c r="M787" i="14"/>
  <c r="L787" i="14"/>
  <c r="P782" i="14"/>
  <c r="O782" i="14"/>
  <c r="P781" i="14"/>
  <c r="O781" i="14"/>
  <c r="O780" i="14"/>
  <c r="N780" i="14"/>
  <c r="M780" i="14"/>
  <c r="P780" i="14" s="1"/>
  <c r="L780" i="14"/>
  <c r="P775" i="14"/>
  <c r="O775" i="14"/>
  <c r="N775" i="14"/>
  <c r="N773" i="14" s="1"/>
  <c r="P774" i="14"/>
  <c r="O774" i="14"/>
  <c r="O773" i="14"/>
  <c r="M773" i="14"/>
  <c r="P773" i="14" s="1"/>
  <c r="L773" i="14"/>
  <c r="P772" i="14"/>
  <c r="N772" i="14"/>
  <c r="N770" i="14" s="1"/>
  <c r="M772" i="14"/>
  <c r="L772" i="14"/>
  <c r="O772" i="14" s="1"/>
  <c r="O771" i="14"/>
  <c r="N771" i="14"/>
  <c r="M771" i="14"/>
  <c r="L771" i="14"/>
  <c r="L770" i="14"/>
  <c r="O770" i="14" s="1"/>
  <c r="K769" i="14"/>
  <c r="J769" i="14"/>
  <c r="P766" i="14"/>
  <c r="O766" i="14"/>
  <c r="P765" i="14"/>
  <c r="O765" i="14"/>
  <c r="O764" i="14"/>
  <c r="N764" i="14"/>
  <c r="M764" i="14"/>
  <c r="P764" i="14" s="1"/>
  <c r="L764" i="14"/>
  <c r="P759" i="14"/>
  <c r="O759" i="14"/>
  <c r="N759" i="14"/>
  <c r="N757" i="14" s="1"/>
  <c r="P758" i="14"/>
  <c r="O758" i="14"/>
  <c r="O757" i="14"/>
  <c r="M757" i="14"/>
  <c r="P757" i="14" s="1"/>
  <c r="L757" i="14"/>
  <c r="P756" i="14"/>
  <c r="N756" i="14"/>
  <c r="N754" i="14" s="1"/>
  <c r="M756" i="14"/>
  <c r="L756" i="14"/>
  <c r="O756" i="14" s="1"/>
  <c r="O755" i="14"/>
  <c r="N755" i="14"/>
  <c r="M755" i="14"/>
  <c r="L755" i="14"/>
  <c r="L754" i="14"/>
  <c r="O754" i="14" s="1"/>
  <c r="K753" i="14"/>
  <c r="J753" i="14"/>
  <c r="P749" i="14"/>
  <c r="O749" i="14"/>
  <c r="P748" i="14"/>
  <c r="O748" i="14"/>
  <c r="O747" i="14"/>
  <c r="N747" i="14"/>
  <c r="M747" i="14"/>
  <c r="P747" i="14" s="1"/>
  <c r="L747" i="14"/>
  <c r="P742" i="14"/>
  <c r="O742" i="14"/>
  <c r="N742" i="14"/>
  <c r="N740" i="14" s="1"/>
  <c r="P741" i="14"/>
  <c r="O741" i="14"/>
  <c r="O740" i="14"/>
  <c r="M740" i="14"/>
  <c r="P740" i="14" s="1"/>
  <c r="L740" i="14"/>
  <c r="P739" i="14"/>
  <c r="N739" i="14"/>
  <c r="N737" i="14" s="1"/>
  <c r="M739" i="14"/>
  <c r="L739" i="14"/>
  <c r="O739" i="14" s="1"/>
  <c r="O738" i="14"/>
  <c r="N738" i="14"/>
  <c r="M738" i="14"/>
  <c r="L738" i="14"/>
  <c r="L737" i="14"/>
  <c r="O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O695" i="14"/>
  <c r="N695" i="14"/>
  <c r="M695" i="14"/>
  <c r="P695" i="14" s="1"/>
  <c r="L695" i="14"/>
  <c r="P690" i="14"/>
  <c r="N690" i="14"/>
  <c r="N687" i="14" s="1"/>
  <c r="L690" i="14"/>
  <c r="O690" i="14" s="1"/>
  <c r="P688" i="14"/>
  <c r="N688" i="14"/>
  <c r="M688" i="14"/>
  <c r="M687" i="14"/>
  <c r="P686" i="14"/>
  <c r="N686" i="14"/>
  <c r="N685" i="14" s="1"/>
  <c r="M686" i="14"/>
  <c r="L686" i="14"/>
  <c r="J679" i="14"/>
  <c r="J678" i="14" s="1"/>
  <c r="I678" i="14"/>
  <c r="K678" i="14" s="1"/>
  <c r="J675" i="14"/>
  <c r="I671" i="14"/>
  <c r="K671" i="14" s="1"/>
  <c r="I670" i="14"/>
  <c r="K670" i="14" s="1"/>
  <c r="J669" i="14"/>
  <c r="J654" i="14" s="1"/>
  <c r="I669" i="14"/>
  <c r="K673" i="14" s="1"/>
  <c r="P667" i="14"/>
  <c r="O667" i="14"/>
  <c r="P666" i="14"/>
  <c r="O666" i="14"/>
  <c r="P665" i="14"/>
  <c r="N665" i="14"/>
  <c r="M665" i="14"/>
  <c r="L665" i="14"/>
  <c r="O665" i="14" s="1"/>
  <c r="N660" i="14"/>
  <c r="L660" i="14"/>
  <c r="M660" i="14" s="1"/>
  <c r="P660" i="14" s="1"/>
  <c r="P659" i="14"/>
  <c r="O659" i="14"/>
  <c r="N658" i="14"/>
  <c r="N657" i="14"/>
  <c r="P656" i="14"/>
  <c r="N656" i="14"/>
  <c r="N655" i="14" s="1"/>
  <c r="M656" i="14"/>
  <c r="L656" i="14"/>
  <c r="O656" i="14" s="1"/>
  <c r="K652" i="14"/>
  <c r="J652" i="14"/>
  <c r="A652" i="14"/>
  <c r="J651" i="14"/>
  <c r="J628" i="14" s="1"/>
  <c r="I651" i="14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P640" i="14"/>
  <c r="O640" i="14"/>
  <c r="P639" i="14"/>
  <c r="N639" i="14"/>
  <c r="M639" i="14"/>
  <c r="N634" i="14"/>
  <c r="L634" i="14"/>
  <c r="M634" i="14" s="1"/>
  <c r="P633" i="14"/>
  <c r="O633" i="14"/>
  <c r="N632" i="14"/>
  <c r="N631" i="14"/>
  <c r="P630" i="14"/>
  <c r="N630" i="14"/>
  <c r="N629" i="14" s="1"/>
  <c r="M630" i="14"/>
  <c r="L630" i="14"/>
  <c r="J621" i="14"/>
  <c r="I621" i="14"/>
  <c r="K621" i="14" s="1"/>
  <c r="J620" i="14"/>
  <c r="I620" i="14"/>
  <c r="K613" i="14"/>
  <c r="J613" i="14"/>
  <c r="K612" i="14"/>
  <c r="J612" i="14"/>
  <c r="K611" i="14"/>
  <c r="J611" i="14"/>
  <c r="J604" i="14"/>
  <c r="J603" i="14"/>
  <c r="J596" i="14"/>
  <c r="J595" i="14"/>
  <c r="J593" i="14" s="1"/>
  <c r="J594" i="14"/>
  <c r="I594" i="14"/>
  <c r="K594" i="14" s="1"/>
  <c r="I593" i="14"/>
  <c r="I592" i="14" s="1"/>
  <c r="J592" i="14"/>
  <c r="J583" i="14"/>
  <c r="J582" i="14"/>
  <c r="J577" i="14"/>
  <c r="I577" i="14"/>
  <c r="K577" i="14" s="1"/>
  <c r="J576" i="14"/>
  <c r="J559" i="14" s="1"/>
  <c r="I576" i="14"/>
  <c r="I559" i="14" s="1"/>
  <c r="I543" i="14" s="1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O557" i="14" s="1"/>
  <c r="P556" i="14"/>
  <c r="O556" i="14"/>
  <c r="P555" i="14"/>
  <c r="N555" i="14"/>
  <c r="M555" i="14"/>
  <c r="M545" i="14" s="1"/>
  <c r="P545" i="14" s="1"/>
  <c r="N549" i="14"/>
  <c r="L549" i="14"/>
  <c r="O549" i="14" s="1"/>
  <c r="P548" i="14"/>
  <c r="O548" i="14"/>
  <c r="N547" i="14"/>
  <c r="N546" i="14"/>
  <c r="N545" i="14"/>
  <c r="N544" i="14" s="1"/>
  <c r="L545" i="14"/>
  <c r="I542" i="14"/>
  <c r="K542" i="14" s="1"/>
  <c r="I541" i="14"/>
  <c r="K541" i="14" s="1"/>
  <c r="I540" i="14"/>
  <c r="K540" i="14" s="1"/>
  <c r="I539" i="14"/>
  <c r="K539" i="14" s="1"/>
  <c r="I538" i="14"/>
  <c r="K538" i="14" s="1"/>
  <c r="I537" i="14"/>
  <c r="K537" i="14" s="1"/>
  <c r="P535" i="14"/>
  <c r="L535" i="14"/>
  <c r="P534" i="14"/>
  <c r="O534" i="14"/>
  <c r="N533" i="14"/>
  <c r="M533" i="14"/>
  <c r="P533" i="14" s="1"/>
  <c r="P528" i="14"/>
  <c r="N528" i="14"/>
  <c r="L528" i="14"/>
  <c r="L526" i="14" s="1"/>
  <c r="O526" i="14" s="1"/>
  <c r="P527" i="14"/>
  <c r="O527" i="14"/>
  <c r="P526" i="14"/>
  <c r="N526" i="14"/>
  <c r="M526" i="14"/>
  <c r="N525" i="14"/>
  <c r="M525" i="14"/>
  <c r="P525" i="14" s="1"/>
  <c r="N524" i="14"/>
  <c r="M524" i="14"/>
  <c r="P524" i="14" s="1"/>
  <c r="L524" i="14"/>
  <c r="O524" i="14" s="1"/>
  <c r="M523" i="14"/>
  <c r="P523" i="14" s="1"/>
  <c r="K517" i="14"/>
  <c r="J517" i="14"/>
  <c r="K516" i="14"/>
  <c r="P514" i="14"/>
  <c r="O514" i="14"/>
  <c r="P513" i="14"/>
  <c r="O513" i="14"/>
  <c r="P512" i="14"/>
  <c r="O512" i="14"/>
  <c r="N512" i="14"/>
  <c r="M512" i="14"/>
  <c r="L512" i="14"/>
  <c r="P507" i="14"/>
  <c r="O507" i="14"/>
  <c r="N507" i="14"/>
  <c r="N504" i="14" s="1"/>
  <c r="P506" i="14"/>
  <c r="O506" i="14"/>
  <c r="M505" i="14"/>
  <c r="P505" i="14" s="1"/>
  <c r="L505" i="14"/>
  <c r="O505" i="14" s="1"/>
  <c r="M504" i="14"/>
  <c r="P504" i="14" s="1"/>
  <c r="L504" i="14"/>
  <c r="O504" i="14" s="1"/>
  <c r="P503" i="14"/>
  <c r="N503" i="14"/>
  <c r="M503" i="14"/>
  <c r="L503" i="14"/>
  <c r="M502" i="14"/>
  <c r="P502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P478" i="14"/>
  <c r="O478" i="14"/>
  <c r="N477" i="14"/>
  <c r="M477" i="14"/>
  <c r="P477" i="14" s="1"/>
  <c r="N472" i="14"/>
  <c r="N469" i="14" s="1"/>
  <c r="L472" i="14"/>
  <c r="P471" i="14"/>
  <c r="O471" i="14"/>
  <c r="N470" i="14"/>
  <c r="O468" i="14"/>
  <c r="N468" i="14"/>
  <c r="N467" i="14" s="1"/>
  <c r="M468" i="14"/>
  <c r="P468" i="14" s="1"/>
  <c r="L468" i="14"/>
  <c r="J466" i="14"/>
  <c r="I466" i="14"/>
  <c r="K466" i="14" s="1"/>
  <c r="J465" i="14"/>
  <c r="I465" i="14"/>
  <c r="K465" i="14" s="1"/>
  <c r="I464" i="14"/>
  <c r="K464" i="14" s="1"/>
  <c r="I463" i="14"/>
  <c r="K463" i="14" s="1"/>
  <c r="I462" i="14"/>
  <c r="K462" i="14" s="1"/>
  <c r="I460" i="14"/>
  <c r="I442" i="14" s="1"/>
  <c r="K442" i="14" s="1"/>
  <c r="K458" i="14"/>
  <c r="P456" i="14"/>
  <c r="L456" i="14"/>
  <c r="P455" i="14"/>
  <c r="O455" i="14"/>
  <c r="N454" i="14"/>
  <c r="M454" i="14"/>
  <c r="P454" i="14" s="1"/>
  <c r="N449" i="14"/>
  <c r="N446" i="14" s="1"/>
  <c r="N444" i="14" s="1"/>
  <c r="L449" i="14"/>
  <c r="L447" i="14" s="1"/>
  <c r="P448" i="14"/>
  <c r="O448" i="14"/>
  <c r="N447" i="14"/>
  <c r="N445" i="14"/>
  <c r="M445" i="14"/>
  <c r="P445" i="14" s="1"/>
  <c r="L445" i="14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I433" i="14" s="1"/>
  <c r="J434" i="14"/>
  <c r="P431" i="14"/>
  <c r="L431" i="14"/>
  <c r="O431" i="14" s="1"/>
  <c r="P430" i="14"/>
  <c r="O430" i="14"/>
  <c r="P429" i="14"/>
  <c r="N429" i="14"/>
  <c r="M429" i="14"/>
  <c r="N424" i="14"/>
  <c r="L424" i="14"/>
  <c r="M424" i="14" s="1"/>
  <c r="P423" i="14"/>
  <c r="O423" i="14"/>
  <c r="N420" i="14"/>
  <c r="M420" i="14"/>
  <c r="P420" i="14" s="1"/>
  <c r="L420" i="14"/>
  <c r="O420" i="14" s="1"/>
  <c r="J418" i="14"/>
  <c r="K413" i="14"/>
  <c r="K412" i="14"/>
  <c r="N410" i="14"/>
  <c r="N408" i="14" s="1"/>
  <c r="M410" i="14"/>
  <c r="L410" i="14"/>
  <c r="O410" i="14" s="1"/>
  <c r="P409" i="14"/>
  <c r="O409" i="14"/>
  <c r="N407" i="14"/>
  <c r="N405" i="14" s="1"/>
  <c r="M407" i="14"/>
  <c r="L407" i="14"/>
  <c r="L405" i="14" s="1"/>
  <c r="O405" i="14" s="1"/>
  <c r="P406" i="14"/>
  <c r="O406" i="14"/>
  <c r="P403" i="14"/>
  <c r="N403" i="14"/>
  <c r="M403" i="14"/>
  <c r="L403" i="14"/>
  <c r="O403" i="14" s="1"/>
  <c r="J401" i="14"/>
  <c r="I401" i="14"/>
  <c r="K401" i="14" s="1"/>
  <c r="K400" i="14"/>
  <c r="K399" i="14"/>
  <c r="N397" i="14"/>
  <c r="N395" i="14" s="1"/>
  <c r="M397" i="14"/>
  <c r="P397" i="14" s="1"/>
  <c r="L397" i="14"/>
  <c r="O397" i="14" s="1"/>
  <c r="P396" i="14"/>
  <c r="O396" i="14"/>
  <c r="N394" i="14"/>
  <c r="M394" i="14"/>
  <c r="L394" i="14"/>
  <c r="P393" i="14"/>
  <c r="O393" i="14"/>
  <c r="N390" i="14"/>
  <c r="M390" i="14"/>
  <c r="L390" i="14"/>
  <c r="O390" i="14" s="1"/>
  <c r="K388" i="14"/>
  <c r="J388" i="14"/>
  <c r="I388" i="14"/>
  <c r="J385" i="14"/>
  <c r="I385" i="14"/>
  <c r="D384" i="14"/>
  <c r="K382" i="14"/>
  <c r="J382" i="14"/>
  <c r="A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A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M353" i="14"/>
  <c r="M351" i="14" s="1"/>
  <c r="L353" i="14"/>
  <c r="P352" i="14"/>
  <c r="O352" i="14"/>
  <c r="N350" i="14"/>
  <c r="N348" i="14" s="1"/>
  <c r="M350" i="14"/>
  <c r="M348" i="14" s="1"/>
  <c r="L350" i="14"/>
  <c r="L348" i="14" s="1"/>
  <c r="P349" i="14"/>
  <c r="O349" i="14"/>
  <c r="P346" i="14"/>
  <c r="O346" i="14"/>
  <c r="N346" i="14"/>
  <c r="M346" i="14"/>
  <c r="L346" i="14"/>
  <c r="J343" i="14"/>
  <c r="J342" i="14"/>
  <c r="J341" i="14"/>
  <c r="J340" i="14"/>
  <c r="I340" i="14"/>
  <c r="J338" i="14"/>
  <c r="I338" i="14"/>
  <c r="D337" i="14"/>
  <c r="N336" i="14"/>
  <c r="N334" i="14" s="1"/>
  <c r="M336" i="14"/>
  <c r="L336" i="14"/>
  <c r="O336" i="14" s="1"/>
  <c r="P335" i="14"/>
  <c r="O335" i="14"/>
  <c r="N333" i="14"/>
  <c r="N331" i="14" s="1"/>
  <c r="M333" i="14"/>
  <c r="L333" i="14"/>
  <c r="P332" i="14"/>
  <c r="O332" i="14"/>
  <c r="O329" i="14"/>
  <c r="N329" i="14"/>
  <c r="M329" i="14"/>
  <c r="P329" i="14" s="1"/>
  <c r="L329" i="14"/>
  <c r="I327" i="14"/>
  <c r="I325" i="14"/>
  <c r="K325" i="14" s="1"/>
  <c r="N323" i="14"/>
  <c r="N321" i="14" s="1"/>
  <c r="M323" i="14"/>
  <c r="P323" i="14" s="1"/>
  <c r="L323" i="14"/>
  <c r="O323" i="14" s="1"/>
  <c r="P322" i="14"/>
  <c r="O322" i="14"/>
  <c r="N320" i="14"/>
  <c r="M320" i="14"/>
  <c r="L320" i="14"/>
  <c r="O320" i="14" s="1"/>
  <c r="P319" i="14"/>
  <c r="O319" i="14"/>
  <c r="P316" i="14"/>
  <c r="O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I297" i="14" s="1"/>
  <c r="K297" i="14" s="1"/>
  <c r="N306" i="14"/>
  <c r="N304" i="14" s="1"/>
  <c r="M306" i="14"/>
  <c r="L306" i="14"/>
  <c r="P305" i="14"/>
  <c r="O305" i="14"/>
  <c r="N303" i="14"/>
  <c r="M303" i="14"/>
  <c r="M301" i="14" s="1"/>
  <c r="L303" i="14"/>
  <c r="P302" i="14"/>
  <c r="O302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87" i="14"/>
  <c r="K287" i="14" s="1"/>
  <c r="N285" i="14"/>
  <c r="N283" i="14" s="1"/>
  <c r="M285" i="14"/>
  <c r="L285" i="14"/>
  <c r="O285" i="14" s="1"/>
  <c r="P284" i="14"/>
  <c r="O284" i="14"/>
  <c r="N282" i="14"/>
  <c r="N280" i="14" s="1"/>
  <c r="M282" i="14"/>
  <c r="L282" i="14"/>
  <c r="P281" i="14"/>
  <c r="O281" i="14"/>
  <c r="N278" i="14"/>
  <c r="M278" i="14"/>
  <c r="P278" i="14" s="1"/>
  <c r="L278" i="14"/>
  <c r="J276" i="14"/>
  <c r="I271" i="14"/>
  <c r="K271" i="14" s="1"/>
  <c r="N269" i="14"/>
  <c r="N267" i="14" s="1"/>
  <c r="M269" i="14"/>
  <c r="L269" i="14"/>
  <c r="P268" i="14"/>
  <c r="O268" i="14"/>
  <c r="N266" i="14"/>
  <c r="M266" i="14"/>
  <c r="M264" i="14" s="1"/>
  <c r="L266" i="14"/>
  <c r="P265" i="14"/>
  <c r="O265" i="14"/>
  <c r="N262" i="14"/>
  <c r="M262" i="14"/>
  <c r="L262" i="14"/>
  <c r="J260" i="14"/>
  <c r="K258" i="14"/>
  <c r="K257" i="14"/>
  <c r="I255" i="14"/>
  <c r="L253" i="14"/>
  <c r="L252" i="14"/>
  <c r="L251" i="14"/>
  <c r="L250" i="14"/>
  <c r="P249" i="14"/>
  <c r="N249" i="14"/>
  <c r="J248" i="14"/>
  <c r="K247" i="14"/>
  <c r="K246" i="14"/>
  <c r="I244" i="14"/>
  <c r="K244" i="14" s="1"/>
  <c r="L242" i="14"/>
  <c r="L241" i="14"/>
  <c r="L240" i="14"/>
  <c r="L239" i="14"/>
  <c r="P238" i="14"/>
  <c r="N238" i="14"/>
  <c r="J237" i="14"/>
  <c r="J226" i="14" s="1"/>
  <c r="J180" i="14" s="1"/>
  <c r="J236" i="14"/>
  <c r="I236" i="14"/>
  <c r="K236" i="14" s="1"/>
  <c r="K235" i="14"/>
  <c r="J235" i="14"/>
  <c r="I235" i="14"/>
  <c r="J233" i="14"/>
  <c r="N231" i="14"/>
  <c r="N230" i="14"/>
  <c r="N229" i="14"/>
  <c r="N228" i="14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5" i="14"/>
  <c r="J194" i="14" s="1"/>
  <c r="I193" i="14"/>
  <c r="I190" i="14" s="1"/>
  <c r="K190" i="14" s="1"/>
  <c r="P191" i="14"/>
  <c r="L191" i="14"/>
  <c r="O191" i="14" s="1"/>
  <c r="J190" i="14"/>
  <c r="N189" i="14"/>
  <c r="N187" i="14" s="1"/>
  <c r="M189" i="14"/>
  <c r="P189" i="14" s="1"/>
  <c r="L189" i="14"/>
  <c r="O189" i="14" s="1"/>
  <c r="P188" i="14"/>
  <c r="O188" i="14"/>
  <c r="N186" i="14"/>
  <c r="M186" i="14"/>
  <c r="M184" i="14" s="1"/>
  <c r="L186" i="14"/>
  <c r="P185" i="14"/>
  <c r="O185" i="14"/>
  <c r="P182" i="14"/>
  <c r="N182" i="14"/>
  <c r="M182" i="14"/>
  <c r="L182" i="14"/>
  <c r="O182" i="14" s="1"/>
  <c r="J177" i="14"/>
  <c r="I176" i="14"/>
  <c r="K176" i="14" s="1"/>
  <c r="J174" i="14"/>
  <c r="J164" i="14" s="1"/>
  <c r="N173" i="14"/>
  <c r="N171" i="14" s="1"/>
  <c r="M173" i="14"/>
  <c r="P173" i="14" s="1"/>
  <c r="L173" i="14"/>
  <c r="O173" i="14" s="1"/>
  <c r="P172" i="14"/>
  <c r="O172" i="14"/>
  <c r="N170" i="14"/>
  <c r="N168" i="14" s="1"/>
  <c r="M170" i="14"/>
  <c r="M168" i="14" s="1"/>
  <c r="L170" i="14"/>
  <c r="L168" i="14" s="1"/>
  <c r="P169" i="14"/>
  <c r="O169" i="14"/>
  <c r="N166" i="14"/>
  <c r="M166" i="14"/>
  <c r="L166" i="14"/>
  <c r="O166" i="14" s="1"/>
  <c r="I159" i="14"/>
  <c r="K159" i="14" s="1"/>
  <c r="N157" i="14"/>
  <c r="N155" i="14" s="1"/>
  <c r="M157" i="14"/>
  <c r="L157" i="14"/>
  <c r="O157" i="14" s="1"/>
  <c r="P156" i="14"/>
  <c r="O156" i="14"/>
  <c r="N154" i="14"/>
  <c r="M154" i="14"/>
  <c r="L154" i="14"/>
  <c r="P153" i="14"/>
  <c r="O153" i="14"/>
  <c r="O150" i="14"/>
  <c r="N150" i="14"/>
  <c r="M150" i="14"/>
  <c r="P150" i="14" s="1"/>
  <c r="L150" i="14"/>
  <c r="J148" i="14"/>
  <c r="I146" i="14"/>
  <c r="I130" i="14" s="1"/>
  <c r="K130" i="14" s="1"/>
  <c r="I145" i="14"/>
  <c r="K145" i="14" s="1"/>
  <c r="I144" i="14"/>
  <c r="K144" i="14" s="1"/>
  <c r="N140" i="14"/>
  <c r="N138" i="14" s="1"/>
  <c r="M140" i="14"/>
  <c r="L140" i="14"/>
  <c r="O140" i="14" s="1"/>
  <c r="P139" i="14"/>
  <c r="O139" i="14"/>
  <c r="N137" i="14"/>
  <c r="M137" i="14"/>
  <c r="M135" i="14" s="1"/>
  <c r="P135" i="14" s="1"/>
  <c r="L137" i="14"/>
  <c r="O137" i="14" s="1"/>
  <c r="P136" i="14"/>
  <c r="O136" i="14"/>
  <c r="P133" i="14"/>
  <c r="O133" i="14"/>
  <c r="N133" i="14"/>
  <c r="M133" i="14"/>
  <c r="L133" i="14"/>
  <c r="J130" i="14"/>
  <c r="N127" i="14"/>
  <c r="M127" i="14"/>
  <c r="L127" i="14"/>
  <c r="P126" i="14"/>
  <c r="O126" i="14"/>
  <c r="N124" i="14"/>
  <c r="N122" i="14" s="1"/>
  <c r="M124" i="14"/>
  <c r="L124" i="14"/>
  <c r="O124" i="14" s="1"/>
  <c r="P123" i="14"/>
  <c r="O123" i="14"/>
  <c r="P120" i="14"/>
  <c r="O120" i="14"/>
  <c r="N120" i="14"/>
  <c r="M120" i="14"/>
  <c r="L120" i="14"/>
  <c r="I116" i="14"/>
  <c r="K116" i="14" s="1"/>
  <c r="I115" i="14"/>
  <c r="I114" i="14"/>
  <c r="K114" i="14" s="1"/>
  <c r="I113" i="14"/>
  <c r="K113" i="14" s="1"/>
  <c r="J112" i="14"/>
  <c r="J111" i="14"/>
  <c r="I111" i="14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J87" i="14" s="1"/>
  <c r="I99" i="14"/>
  <c r="K99" i="14" s="1"/>
  <c r="J98" i="14"/>
  <c r="J86" i="14" s="1"/>
  <c r="I98" i="14"/>
  <c r="K98" i="14" s="1"/>
  <c r="N96" i="14"/>
  <c r="N94" i="14" s="1"/>
  <c r="M96" i="14"/>
  <c r="P96" i="14" s="1"/>
  <c r="L96" i="14"/>
  <c r="O96" i="14" s="1"/>
  <c r="P95" i="14"/>
  <c r="O95" i="14"/>
  <c r="N93" i="14"/>
  <c r="M93" i="14"/>
  <c r="M91" i="14" s="1"/>
  <c r="L93" i="14"/>
  <c r="L91" i="14" s="1"/>
  <c r="P92" i="14"/>
  <c r="O92" i="14"/>
  <c r="P89" i="14"/>
  <c r="N89" i="14"/>
  <c r="M89" i="14"/>
  <c r="L89" i="14"/>
  <c r="O89" i="14" s="1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I78" i="14"/>
  <c r="K78" i="14" s="1"/>
  <c r="J77" i="14"/>
  <c r="J76" i="14"/>
  <c r="J64" i="14" s="1"/>
  <c r="N74" i="14"/>
  <c r="N72" i="14" s="1"/>
  <c r="M74" i="14"/>
  <c r="P74" i="14" s="1"/>
  <c r="L74" i="14"/>
  <c r="O74" i="14" s="1"/>
  <c r="P73" i="14"/>
  <c r="O73" i="14"/>
  <c r="N71" i="14"/>
  <c r="M71" i="14"/>
  <c r="M69" i="14" s="1"/>
  <c r="L71" i="14"/>
  <c r="P70" i="14"/>
  <c r="O70" i="14"/>
  <c r="O67" i="14"/>
  <c r="N67" i="14"/>
  <c r="M67" i="14"/>
  <c r="L67" i="14"/>
  <c r="J65" i="14"/>
  <c r="N61" i="14"/>
  <c r="M61" i="14"/>
  <c r="L61" i="14"/>
  <c r="L59" i="14" s="1"/>
  <c r="P60" i="14"/>
  <c r="O60" i="14"/>
  <c r="N58" i="14"/>
  <c r="N56" i="14" s="1"/>
  <c r="M58" i="14"/>
  <c r="M56" i="14" s="1"/>
  <c r="L58" i="14"/>
  <c r="L56" i="14" s="1"/>
  <c r="P57" i="14"/>
  <c r="O57" i="14"/>
  <c r="P54" i="14"/>
  <c r="N54" i="14"/>
  <c r="M54" i="14"/>
  <c r="L54" i="14"/>
  <c r="O54" i="14" s="1"/>
  <c r="N49" i="14"/>
  <c r="M49" i="14"/>
  <c r="M47" i="14" s="1"/>
  <c r="P47" i="14" s="1"/>
  <c r="L49" i="14"/>
  <c r="O49" i="14" s="1"/>
  <c r="P48" i="14"/>
  <c r="O48" i="14"/>
  <c r="N46" i="14"/>
  <c r="N44" i="14" s="1"/>
  <c r="M46" i="14"/>
  <c r="M44" i="14" s="1"/>
  <c r="L46" i="14"/>
  <c r="P45" i="14"/>
  <c r="O45" i="14"/>
  <c r="P42" i="14"/>
  <c r="N42" i="14"/>
  <c r="M42" i="14"/>
  <c r="L42" i="14"/>
  <c r="N36" i="14"/>
  <c r="N30" i="14" s="1"/>
  <c r="M36" i="14"/>
  <c r="P36" i="14" s="1"/>
  <c r="P35" i="14"/>
  <c r="N35" i="14"/>
  <c r="M35" i="14"/>
  <c r="L35" i="14"/>
  <c r="O35" i="14" s="1"/>
  <c r="M34" i="14"/>
  <c r="P34" i="14" s="1"/>
  <c r="N33" i="14"/>
  <c r="O32" i="14"/>
  <c r="N32" i="14"/>
  <c r="M32" i="14"/>
  <c r="P32" i="14" s="1"/>
  <c r="L32" i="14"/>
  <c r="N31" i="14"/>
  <c r="N29" i="14"/>
  <c r="O25" i="14"/>
  <c r="N25" i="14"/>
  <c r="M25" i="14"/>
  <c r="M15" i="14" s="1"/>
  <c r="L25" i="14"/>
  <c r="N22" i="14"/>
  <c r="M22" i="14"/>
  <c r="P22" i="14" s="1"/>
  <c r="L22" i="14"/>
  <c r="N15" i="14"/>
  <c r="L15" i="14"/>
  <c r="O15" i="14" s="1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N807" i="13" s="1"/>
  <c r="N805" i="13" s="1"/>
  <c r="P809" i="13"/>
  <c r="O809" i="13"/>
  <c r="N808" i="13"/>
  <c r="M808" i="13"/>
  <c r="P808" i="13" s="1"/>
  <c r="L808" i="13"/>
  <c r="O808" i="13" s="1"/>
  <c r="M807" i="13"/>
  <c r="P807" i="13" s="1"/>
  <c r="L807" i="13"/>
  <c r="O807" i="13" s="1"/>
  <c r="P806" i="13"/>
  <c r="N806" i="13"/>
  <c r="M806" i="13"/>
  <c r="M805" i="13" s="1"/>
  <c r="P805" i="13" s="1"/>
  <c r="L806" i="13"/>
  <c r="K804" i="13"/>
  <c r="J804" i="13"/>
  <c r="J803" i="13"/>
  <c r="I803" i="13"/>
  <c r="K803" i="13" s="1"/>
  <c r="J802" i="13"/>
  <c r="J801" i="13"/>
  <c r="I801" i="13"/>
  <c r="J800" i="13"/>
  <c r="P798" i="13"/>
  <c r="O798" i="13"/>
  <c r="P797" i="13"/>
  <c r="O797" i="13"/>
  <c r="P796" i="13"/>
  <c r="N796" i="13"/>
  <c r="M796" i="13"/>
  <c r="L796" i="13"/>
  <c r="O796" i="13" s="1"/>
  <c r="N795" i="13"/>
  <c r="N791" i="13" s="1"/>
  <c r="L791" i="13"/>
  <c r="P790" i="13"/>
  <c r="O790" i="13"/>
  <c r="P787" i="13"/>
  <c r="O787" i="13"/>
  <c r="N787" i="13"/>
  <c r="M787" i="13"/>
  <c r="L787" i="13"/>
  <c r="P782" i="13"/>
  <c r="O782" i="13"/>
  <c r="P781" i="13"/>
  <c r="O781" i="13"/>
  <c r="P780" i="13"/>
  <c r="O780" i="13"/>
  <c r="N780" i="13"/>
  <c r="M780" i="13"/>
  <c r="L780" i="13"/>
  <c r="P775" i="13"/>
  <c r="O775" i="13"/>
  <c r="N775" i="13"/>
  <c r="N772" i="13" s="1"/>
  <c r="N770" i="13" s="1"/>
  <c r="P774" i="13"/>
  <c r="O774" i="13"/>
  <c r="N773" i="13"/>
  <c r="M773" i="13"/>
  <c r="P773" i="13" s="1"/>
  <c r="L773" i="13"/>
  <c r="O773" i="13" s="1"/>
  <c r="M772" i="13"/>
  <c r="L772" i="13"/>
  <c r="O772" i="13" s="1"/>
  <c r="P771" i="13"/>
  <c r="N771" i="13"/>
  <c r="M771" i="13"/>
  <c r="L771" i="13"/>
  <c r="K769" i="13"/>
  <c r="J769" i="13"/>
  <c r="P766" i="13"/>
  <c r="O766" i="13"/>
  <c r="P765" i="13"/>
  <c r="O765" i="13"/>
  <c r="P764" i="13"/>
  <c r="O764" i="13"/>
  <c r="N764" i="13"/>
  <c r="M764" i="13"/>
  <c r="L764" i="13"/>
  <c r="P759" i="13"/>
  <c r="O759" i="13"/>
  <c r="N759" i="13"/>
  <c r="N756" i="13" s="1"/>
  <c r="N754" i="13" s="1"/>
  <c r="P758" i="13"/>
  <c r="O758" i="13"/>
  <c r="N757" i="13"/>
  <c r="M757" i="13"/>
  <c r="P757" i="13" s="1"/>
  <c r="L757" i="13"/>
  <c r="O757" i="13" s="1"/>
  <c r="M756" i="13"/>
  <c r="L756" i="13"/>
  <c r="O756" i="13" s="1"/>
  <c r="P755" i="13"/>
  <c r="N755" i="13"/>
  <c r="M755" i="13"/>
  <c r="L755" i="13"/>
  <c r="K753" i="13"/>
  <c r="J753" i="13"/>
  <c r="P749" i="13"/>
  <c r="O749" i="13"/>
  <c r="P748" i="13"/>
  <c r="O748" i="13"/>
  <c r="P747" i="13"/>
  <c r="O747" i="13"/>
  <c r="N747" i="13"/>
  <c r="M747" i="13"/>
  <c r="L747" i="13"/>
  <c r="P742" i="13"/>
  <c r="O742" i="13"/>
  <c r="N742" i="13"/>
  <c r="N739" i="13" s="1"/>
  <c r="N737" i="13" s="1"/>
  <c r="P741" i="13"/>
  <c r="O741" i="13"/>
  <c r="N740" i="13"/>
  <c r="M740" i="13"/>
  <c r="P740" i="13" s="1"/>
  <c r="L740" i="13"/>
  <c r="O740" i="13" s="1"/>
  <c r="M739" i="13"/>
  <c r="L739" i="13"/>
  <c r="O739" i="13" s="1"/>
  <c r="P738" i="13"/>
  <c r="N738" i="13"/>
  <c r="M738" i="13"/>
  <c r="L738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K720" i="13" s="1"/>
  <c r="J719" i="13"/>
  <c r="J718" i="13"/>
  <c r="J708" i="13"/>
  <c r="I708" i="13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N690" i="13"/>
  <c r="L690" i="13"/>
  <c r="L687" i="13" s="1"/>
  <c r="O687" i="13" s="1"/>
  <c r="N688" i="13"/>
  <c r="N687" i="13"/>
  <c r="P686" i="13"/>
  <c r="N686" i="13"/>
  <c r="M686" i="13"/>
  <c r="L686" i="13"/>
  <c r="N685" i="13"/>
  <c r="J679" i="13"/>
  <c r="J678" i="13" s="1"/>
  <c r="I678" i="13"/>
  <c r="K678" i="13" s="1"/>
  <c r="J675" i="13"/>
  <c r="I671" i="13"/>
  <c r="K671" i="13" s="1"/>
  <c r="I670" i="13"/>
  <c r="K670" i="13" s="1"/>
  <c r="J669" i="13"/>
  <c r="J654" i="13" s="1"/>
  <c r="I669" i="13"/>
  <c r="K673" i="13" s="1"/>
  <c r="P667" i="13"/>
  <c r="O667" i="13"/>
  <c r="P666" i="13"/>
  <c r="O666" i="13"/>
  <c r="P665" i="13"/>
  <c r="N665" i="13"/>
  <c r="M665" i="13"/>
  <c r="L665" i="13"/>
  <c r="O665" i="13" s="1"/>
  <c r="N660" i="13"/>
  <c r="L660" i="13"/>
  <c r="M660" i="13" s="1"/>
  <c r="P659" i="13"/>
  <c r="O659" i="13"/>
  <c r="N657" i="13"/>
  <c r="P656" i="13"/>
  <c r="N656" i="13"/>
  <c r="N655" i="13" s="1"/>
  <c r="M656" i="13"/>
  <c r="L656" i="13"/>
  <c r="O656" i="13" s="1"/>
  <c r="K652" i="13"/>
  <c r="J652" i="13"/>
  <c r="A652" i="13"/>
  <c r="J651" i="13"/>
  <c r="J628" i="13" s="1"/>
  <c r="I651" i="13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O641" i="13" s="1"/>
  <c r="P640" i="13"/>
  <c r="O640" i="13"/>
  <c r="P639" i="13"/>
  <c r="N639" i="13"/>
  <c r="M639" i="13"/>
  <c r="N638" i="13"/>
  <c r="N634" i="13"/>
  <c r="L634" i="13"/>
  <c r="O634" i="13" s="1"/>
  <c r="P633" i="13"/>
  <c r="O633" i="13"/>
  <c r="N632" i="13"/>
  <c r="N631" i="13"/>
  <c r="O630" i="13"/>
  <c r="N630" i="13"/>
  <c r="M630" i="13"/>
  <c r="L630" i="13"/>
  <c r="N629" i="13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5" i="13"/>
  <c r="J593" i="13" s="1"/>
  <c r="J592" i="13" s="1"/>
  <c r="I594" i="13"/>
  <c r="I593" i="13"/>
  <c r="I592" i="13" s="1"/>
  <c r="J583" i="13"/>
  <c r="J582" i="13"/>
  <c r="J576" i="13" s="1"/>
  <c r="J559" i="13" s="1"/>
  <c r="J543" i="13" s="1"/>
  <c r="J577" i="13"/>
  <c r="I577" i="13"/>
  <c r="K577" i="13" s="1"/>
  <c r="I576" i="13"/>
  <c r="I559" i="13" s="1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O557" i="13" s="1"/>
  <c r="P556" i="13"/>
  <c r="O556" i="13"/>
  <c r="N555" i="13"/>
  <c r="M555" i="13"/>
  <c r="M545" i="13" s="1"/>
  <c r="P545" i="13" s="1"/>
  <c r="N553" i="13"/>
  <c r="N549" i="13" s="1"/>
  <c r="L549" i="13"/>
  <c r="M549" i="13" s="1"/>
  <c r="P548" i="13"/>
  <c r="O548" i="13"/>
  <c r="N545" i="13"/>
  <c r="L545" i="13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K537" i="13" s="1"/>
  <c r="P535" i="13"/>
  <c r="L535" i="13"/>
  <c r="O535" i="13" s="1"/>
  <c r="P534" i="13"/>
  <c r="O534" i="13"/>
  <c r="N533" i="13"/>
  <c r="M533" i="13"/>
  <c r="P533" i="13" s="1"/>
  <c r="P528" i="13"/>
  <c r="N528" i="13"/>
  <c r="L528" i="13"/>
  <c r="O528" i="13" s="1"/>
  <c r="P527" i="13"/>
  <c r="O527" i="13"/>
  <c r="P526" i="13"/>
  <c r="M526" i="13"/>
  <c r="M525" i="13"/>
  <c r="P524" i="13"/>
  <c r="N524" i="13"/>
  <c r="M524" i="13"/>
  <c r="L524" i="13"/>
  <c r="K517" i="13"/>
  <c r="J517" i="13"/>
  <c r="K516" i="13"/>
  <c r="P514" i="13"/>
  <c r="O514" i="13"/>
  <c r="P513" i="13"/>
  <c r="O513" i="13"/>
  <c r="P512" i="13"/>
  <c r="N512" i="13"/>
  <c r="M512" i="13"/>
  <c r="L512" i="13"/>
  <c r="O512" i="13" s="1"/>
  <c r="P507" i="13"/>
  <c r="O507" i="13"/>
  <c r="N507" i="13"/>
  <c r="N505" i="13" s="1"/>
  <c r="P506" i="13"/>
  <c r="O506" i="13"/>
  <c r="P505" i="13"/>
  <c r="M505" i="13"/>
  <c r="L505" i="13"/>
  <c r="O505" i="13" s="1"/>
  <c r="O504" i="13"/>
  <c r="N504" i="13"/>
  <c r="M504" i="13"/>
  <c r="P504" i="13" s="1"/>
  <c r="L504" i="13"/>
  <c r="P503" i="13"/>
  <c r="N503" i="13"/>
  <c r="N502" i="13" s="1"/>
  <c r="M503" i="13"/>
  <c r="M502" i="13" s="1"/>
  <c r="P502" i="13" s="1"/>
  <c r="L503" i="13"/>
  <c r="O503" i="13" s="1"/>
  <c r="O502" i="13"/>
  <c r="L502" i="13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N477" i="13"/>
  <c r="M477" i="13"/>
  <c r="P477" i="13" s="1"/>
  <c r="N476" i="13"/>
  <c r="N472" i="13" s="1"/>
  <c r="L472" i="13"/>
  <c r="M472" i="13" s="1"/>
  <c r="P471" i="13"/>
  <c r="O471" i="13"/>
  <c r="P468" i="13"/>
  <c r="N468" i="13"/>
  <c r="M468" i="13"/>
  <c r="L468" i="13"/>
  <c r="J466" i="13"/>
  <c r="I466" i="13"/>
  <c r="K466" i="13" s="1"/>
  <c r="J465" i="13"/>
  <c r="I465" i="13"/>
  <c r="K465" i="13" s="1"/>
  <c r="I464" i="13"/>
  <c r="K464" i="13" s="1"/>
  <c r="I463" i="13"/>
  <c r="K463" i="13" s="1"/>
  <c r="I462" i="13"/>
  <c r="K462" i="13" s="1"/>
  <c r="I460" i="13"/>
  <c r="K460" i="13" s="1"/>
  <c r="K458" i="13"/>
  <c r="P456" i="13"/>
  <c r="L456" i="13"/>
  <c r="O456" i="13" s="1"/>
  <c r="P455" i="13"/>
  <c r="O455" i="13"/>
  <c r="P454" i="13"/>
  <c r="N454" i="13"/>
  <c r="M454" i="13"/>
  <c r="L454" i="13"/>
  <c r="O454" i="13" s="1"/>
  <c r="N453" i="13"/>
  <c r="N449" i="13"/>
  <c r="N447" i="13" s="1"/>
  <c r="L449" i="13"/>
  <c r="P448" i="13"/>
  <c r="O448" i="13"/>
  <c r="N446" i="13"/>
  <c r="O445" i="13"/>
  <c r="N445" i="13"/>
  <c r="N444" i="13" s="1"/>
  <c r="M445" i="13"/>
  <c r="P445" i="13" s="1"/>
  <c r="L445" i="13"/>
  <c r="J443" i="13"/>
  <c r="J442" i="13"/>
  <c r="I441" i="13"/>
  <c r="K441" i="13" s="1"/>
  <c r="I440" i="13"/>
  <c r="K440" i="13" s="1"/>
  <c r="I439" i="13"/>
  <c r="K439" i="13" s="1"/>
  <c r="I438" i="13"/>
  <c r="I437" i="13"/>
  <c r="K437" i="13" s="1"/>
  <c r="I435" i="13"/>
  <c r="J434" i="13"/>
  <c r="J418" i="13" s="1"/>
  <c r="P431" i="13"/>
  <c r="L431" i="13"/>
  <c r="L429" i="13" s="1"/>
  <c r="O429" i="13" s="1"/>
  <c r="P430" i="13"/>
  <c r="O430" i="13"/>
  <c r="P429" i="13"/>
  <c r="N429" i="13"/>
  <c r="M429" i="13"/>
  <c r="N428" i="13"/>
  <c r="N424" i="13"/>
  <c r="L424" i="13"/>
  <c r="M424" i="13" s="1"/>
  <c r="P423" i="13"/>
  <c r="O423" i="13"/>
  <c r="N421" i="13"/>
  <c r="N419" i="13" s="1"/>
  <c r="O420" i="13"/>
  <c r="N420" i="13"/>
  <c r="M420" i="13"/>
  <c r="L420" i="13"/>
  <c r="K413" i="13"/>
  <c r="K412" i="13"/>
  <c r="N410" i="13"/>
  <c r="N408" i="13" s="1"/>
  <c r="M410" i="13"/>
  <c r="P410" i="13" s="1"/>
  <c r="L410" i="13"/>
  <c r="P409" i="13"/>
  <c r="O409" i="13"/>
  <c r="N407" i="13"/>
  <c r="N405" i="13" s="1"/>
  <c r="M407" i="13"/>
  <c r="L407" i="13"/>
  <c r="P406" i="13"/>
  <c r="O406" i="13"/>
  <c r="O403" i="13"/>
  <c r="N403" i="13"/>
  <c r="M403" i="13"/>
  <c r="P403" i="13" s="1"/>
  <c r="L403" i="13"/>
  <c r="J401" i="13"/>
  <c r="I401" i="13"/>
  <c r="K401" i="13" s="1"/>
  <c r="K400" i="13"/>
  <c r="K399" i="13"/>
  <c r="N397" i="13"/>
  <c r="N395" i="13" s="1"/>
  <c r="M397" i="13"/>
  <c r="P397" i="13" s="1"/>
  <c r="L397" i="13"/>
  <c r="O397" i="13" s="1"/>
  <c r="P396" i="13"/>
  <c r="O396" i="13"/>
  <c r="N394" i="13"/>
  <c r="M394" i="13"/>
  <c r="P394" i="13" s="1"/>
  <c r="L394" i="13"/>
  <c r="O394" i="13" s="1"/>
  <c r="P393" i="13"/>
  <c r="O393" i="13"/>
  <c r="O390" i="13"/>
  <c r="N390" i="13"/>
  <c r="M390" i="13"/>
  <c r="L390" i="13"/>
  <c r="J388" i="13"/>
  <c r="I388" i="13"/>
  <c r="K388" i="13" s="1"/>
  <c r="J385" i="13"/>
  <c r="I385" i="13"/>
  <c r="D384" i="13"/>
  <c r="K382" i="13"/>
  <c r="J382" i="13"/>
  <c r="A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A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M353" i="13"/>
  <c r="M351" i="13" s="1"/>
  <c r="L353" i="13"/>
  <c r="L351" i="13" s="1"/>
  <c r="P352" i="13"/>
  <c r="O352" i="13"/>
  <c r="N350" i="13"/>
  <c r="M350" i="13"/>
  <c r="M348" i="13" s="1"/>
  <c r="L350" i="13"/>
  <c r="P349" i="13"/>
  <c r="O349" i="13"/>
  <c r="P346" i="13"/>
  <c r="O346" i="13"/>
  <c r="N346" i="13"/>
  <c r="M346" i="13"/>
  <c r="L346" i="13"/>
  <c r="J343" i="13"/>
  <c r="J342" i="13"/>
  <c r="J341" i="13"/>
  <c r="J340" i="13"/>
  <c r="I340" i="13"/>
  <c r="J338" i="13"/>
  <c r="I338" i="13"/>
  <c r="D337" i="13"/>
  <c r="N336" i="13"/>
  <c r="M336" i="13"/>
  <c r="P336" i="13" s="1"/>
  <c r="L336" i="13"/>
  <c r="P335" i="13"/>
  <c r="O335" i="13"/>
  <c r="N333" i="13"/>
  <c r="N331" i="13" s="1"/>
  <c r="M333" i="13"/>
  <c r="L333" i="13"/>
  <c r="P332" i="13"/>
  <c r="O332" i="13"/>
  <c r="P329" i="13"/>
  <c r="N329" i="13"/>
  <c r="M329" i="13"/>
  <c r="L329" i="13"/>
  <c r="O329" i="13" s="1"/>
  <c r="I327" i="13"/>
  <c r="I325" i="13"/>
  <c r="K325" i="13" s="1"/>
  <c r="N323" i="13"/>
  <c r="N321" i="13" s="1"/>
  <c r="M323" i="13"/>
  <c r="M321" i="13" s="1"/>
  <c r="P321" i="13" s="1"/>
  <c r="L323" i="13"/>
  <c r="O323" i="13" s="1"/>
  <c r="P322" i="13"/>
  <c r="O322" i="13"/>
  <c r="N320" i="13"/>
  <c r="N318" i="13" s="1"/>
  <c r="M320" i="13"/>
  <c r="M318" i="13" s="1"/>
  <c r="P318" i="13" s="1"/>
  <c r="L320" i="13"/>
  <c r="P319" i="13"/>
  <c r="O319" i="13"/>
  <c r="N316" i="13"/>
  <c r="M316" i="13"/>
  <c r="L316" i="13"/>
  <c r="O316" i="13" s="1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M304" i="13" s="1"/>
  <c r="P304" i="13" s="1"/>
  <c r="L306" i="13"/>
  <c r="L304" i="13" s="1"/>
  <c r="O304" i="13" s="1"/>
  <c r="P305" i="13"/>
  <c r="O305" i="13"/>
  <c r="N303" i="13"/>
  <c r="M303" i="13"/>
  <c r="M301" i="13" s="1"/>
  <c r="P301" i="13" s="1"/>
  <c r="L303" i="13"/>
  <c r="P302" i="13"/>
  <c r="O302" i="13"/>
  <c r="P299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I275" i="13" s="1"/>
  <c r="I287" i="13"/>
  <c r="K287" i="13" s="1"/>
  <c r="N285" i="13"/>
  <c r="N283" i="13" s="1"/>
  <c r="M285" i="13"/>
  <c r="P285" i="13" s="1"/>
  <c r="L285" i="13"/>
  <c r="O285" i="13" s="1"/>
  <c r="P284" i="13"/>
  <c r="O284" i="13"/>
  <c r="N282" i="13"/>
  <c r="N280" i="13" s="1"/>
  <c r="M282" i="13"/>
  <c r="M280" i="13" s="1"/>
  <c r="L282" i="13"/>
  <c r="P281" i="13"/>
  <c r="O281" i="13"/>
  <c r="O278" i="13"/>
  <c r="N278" i="13"/>
  <c r="M278" i="13"/>
  <c r="P278" i="13" s="1"/>
  <c r="L278" i="13"/>
  <c r="J276" i="13"/>
  <c r="I271" i="13"/>
  <c r="K271" i="13" s="1"/>
  <c r="N269" i="13"/>
  <c r="N267" i="13" s="1"/>
  <c r="M269" i="13"/>
  <c r="P269" i="13" s="1"/>
  <c r="L269" i="13"/>
  <c r="L267" i="13" s="1"/>
  <c r="O267" i="13" s="1"/>
  <c r="P268" i="13"/>
  <c r="O268" i="13"/>
  <c r="N266" i="13"/>
  <c r="N264" i="13" s="1"/>
  <c r="M266" i="13"/>
  <c r="L266" i="13"/>
  <c r="L264" i="13" s="1"/>
  <c r="P265" i="13"/>
  <c r="O265" i="13"/>
  <c r="P262" i="13"/>
  <c r="N262" i="13"/>
  <c r="M262" i="13"/>
  <c r="L262" i="13"/>
  <c r="O262" i="13" s="1"/>
  <c r="J260" i="13"/>
  <c r="K258" i="13"/>
  <c r="K257" i="13"/>
  <c r="I255" i="13"/>
  <c r="K255" i="13" s="1"/>
  <c r="L253" i="13"/>
  <c r="L252" i="13"/>
  <c r="L251" i="13"/>
  <c r="L250" i="13"/>
  <c r="P249" i="13"/>
  <c r="N249" i="13"/>
  <c r="J248" i="13"/>
  <c r="J226" i="13" s="1"/>
  <c r="J180" i="13" s="1"/>
  <c r="K247" i="13"/>
  <c r="K246" i="13"/>
  <c r="I244" i="13"/>
  <c r="K244" i="13" s="1"/>
  <c r="L242" i="13"/>
  <c r="L241" i="13"/>
  <c r="L240" i="13"/>
  <c r="L239" i="13"/>
  <c r="P238" i="13"/>
  <c r="N238" i="13"/>
  <c r="J237" i="13"/>
  <c r="J236" i="13"/>
  <c r="I236" i="13"/>
  <c r="K236" i="13" s="1"/>
  <c r="J235" i="13"/>
  <c r="I235" i="13"/>
  <c r="K235" i="13" s="1"/>
  <c r="J233" i="13"/>
  <c r="N231" i="13"/>
  <c r="N230" i="13"/>
  <c r="N229" i="13"/>
  <c r="N228" i="13"/>
  <c r="N227" i="13"/>
  <c r="I225" i="13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K204" i="13" s="1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M187" i="13" s="1"/>
  <c r="P187" i="13" s="1"/>
  <c r="L189" i="13"/>
  <c r="L187" i="13" s="1"/>
  <c r="O187" i="13" s="1"/>
  <c r="P188" i="13"/>
  <c r="O188" i="13"/>
  <c r="N186" i="13"/>
  <c r="N184" i="13" s="1"/>
  <c r="M186" i="13"/>
  <c r="M184" i="13" s="1"/>
  <c r="L186" i="13"/>
  <c r="L184" i="13" s="1"/>
  <c r="P185" i="13"/>
  <c r="O185" i="13"/>
  <c r="P182" i="13"/>
  <c r="N182" i="13"/>
  <c r="M182" i="13"/>
  <c r="L182" i="13"/>
  <c r="J177" i="13"/>
  <c r="I176" i="13"/>
  <c r="K176" i="13" s="1"/>
  <c r="J174" i="13"/>
  <c r="N173" i="13"/>
  <c r="N171" i="13" s="1"/>
  <c r="M173" i="13"/>
  <c r="M171" i="13" s="1"/>
  <c r="P171" i="13" s="1"/>
  <c r="L173" i="13"/>
  <c r="L171" i="13" s="1"/>
  <c r="O171" i="13" s="1"/>
  <c r="P172" i="13"/>
  <c r="O172" i="13"/>
  <c r="N170" i="13"/>
  <c r="N168" i="13" s="1"/>
  <c r="M170" i="13"/>
  <c r="M168" i="13" s="1"/>
  <c r="L170" i="13"/>
  <c r="L168" i="13" s="1"/>
  <c r="P169" i="13"/>
  <c r="O169" i="13"/>
  <c r="P166" i="13"/>
  <c r="N166" i="13"/>
  <c r="M166" i="13"/>
  <c r="L166" i="13"/>
  <c r="J164" i="13"/>
  <c r="I159" i="13"/>
  <c r="K159" i="13" s="1"/>
  <c r="N157" i="13"/>
  <c r="N155" i="13" s="1"/>
  <c r="M157" i="13"/>
  <c r="P157" i="13" s="1"/>
  <c r="L157" i="13"/>
  <c r="L155" i="13" s="1"/>
  <c r="O155" i="13" s="1"/>
  <c r="P156" i="13"/>
  <c r="O156" i="13"/>
  <c r="N154" i="13"/>
  <c r="N152" i="13" s="1"/>
  <c r="M154" i="13"/>
  <c r="L154" i="13"/>
  <c r="O154" i="13" s="1"/>
  <c r="P153" i="13"/>
  <c r="O153" i="13"/>
  <c r="P150" i="13"/>
  <c r="N150" i="13"/>
  <c r="M150" i="13"/>
  <c r="L150" i="13"/>
  <c r="O150" i="13" s="1"/>
  <c r="J148" i="13"/>
  <c r="I146" i="13"/>
  <c r="K146" i="13" s="1"/>
  <c r="I145" i="13"/>
  <c r="K145" i="13" s="1"/>
  <c r="I144" i="13"/>
  <c r="N140" i="13"/>
  <c r="M140" i="13"/>
  <c r="M138" i="13" s="1"/>
  <c r="L140" i="13"/>
  <c r="L138" i="13" s="1"/>
  <c r="P139" i="13"/>
  <c r="O139" i="13"/>
  <c r="N137" i="13"/>
  <c r="M137" i="13"/>
  <c r="M135" i="13" s="1"/>
  <c r="L137" i="13"/>
  <c r="L135" i="13" s="1"/>
  <c r="P136" i="13"/>
  <c r="O136" i="13"/>
  <c r="O133" i="13"/>
  <c r="N133" i="13"/>
  <c r="M133" i="13"/>
  <c r="L133" i="13"/>
  <c r="J130" i="13"/>
  <c r="N127" i="13"/>
  <c r="N125" i="13" s="1"/>
  <c r="M127" i="13"/>
  <c r="P127" i="13" s="1"/>
  <c r="L127" i="13"/>
  <c r="O127" i="13" s="1"/>
  <c r="P126" i="13"/>
  <c r="O126" i="13"/>
  <c r="N124" i="13"/>
  <c r="N122" i="13" s="1"/>
  <c r="M124" i="13"/>
  <c r="P124" i="13" s="1"/>
  <c r="L124" i="13"/>
  <c r="L122" i="13" s="1"/>
  <c r="O122" i="13" s="1"/>
  <c r="P123" i="13"/>
  <c r="O123" i="13"/>
  <c r="P120" i="13"/>
  <c r="N120" i="13"/>
  <c r="M120" i="13"/>
  <c r="L120" i="13"/>
  <c r="O120" i="13" s="1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I87" i="13" s="1"/>
  <c r="J98" i="13"/>
  <c r="I98" i="13"/>
  <c r="I86" i="13" s="1"/>
  <c r="N96" i="13"/>
  <c r="N94" i="13" s="1"/>
  <c r="M96" i="13"/>
  <c r="L96" i="13"/>
  <c r="L94" i="13" s="1"/>
  <c r="O94" i="13" s="1"/>
  <c r="P95" i="13"/>
  <c r="O95" i="13"/>
  <c r="N93" i="13"/>
  <c r="N91" i="13" s="1"/>
  <c r="M93" i="13"/>
  <c r="L93" i="13"/>
  <c r="L91" i="13" s="1"/>
  <c r="P92" i="13"/>
  <c r="O92" i="13"/>
  <c r="P89" i="13"/>
  <c r="N89" i="13"/>
  <c r="M89" i="13"/>
  <c r="L89" i="13"/>
  <c r="J87" i="13"/>
  <c r="J86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I78" i="13"/>
  <c r="K78" i="13" s="1"/>
  <c r="J77" i="13"/>
  <c r="J76" i="13"/>
  <c r="J64" i="13" s="1"/>
  <c r="N74" i="13"/>
  <c r="N72" i="13" s="1"/>
  <c r="M74" i="13"/>
  <c r="P74" i="13" s="1"/>
  <c r="L74" i="13"/>
  <c r="O74" i="13" s="1"/>
  <c r="P73" i="13"/>
  <c r="O73" i="13"/>
  <c r="N71" i="13"/>
  <c r="N69" i="13" s="1"/>
  <c r="M71" i="13"/>
  <c r="P71" i="13" s="1"/>
  <c r="L71" i="13"/>
  <c r="O71" i="13" s="1"/>
  <c r="P70" i="13"/>
  <c r="O70" i="13"/>
  <c r="N67" i="13"/>
  <c r="M67" i="13"/>
  <c r="L67" i="13"/>
  <c r="O67" i="13" s="1"/>
  <c r="J65" i="13"/>
  <c r="N61" i="13"/>
  <c r="N59" i="13" s="1"/>
  <c r="M61" i="13"/>
  <c r="P61" i="13" s="1"/>
  <c r="L61" i="13"/>
  <c r="O61" i="13" s="1"/>
  <c r="P60" i="13"/>
  <c r="O60" i="13"/>
  <c r="N58" i="13"/>
  <c r="N56" i="13" s="1"/>
  <c r="M58" i="13"/>
  <c r="M56" i="13" s="1"/>
  <c r="L58" i="13"/>
  <c r="L56" i="13" s="1"/>
  <c r="P57" i="13"/>
  <c r="O57" i="13"/>
  <c r="P54" i="13"/>
  <c r="N54" i="13"/>
  <c r="M54" i="13"/>
  <c r="L54" i="13"/>
  <c r="O54" i="13" s="1"/>
  <c r="N49" i="13"/>
  <c r="M49" i="13"/>
  <c r="P49" i="13" s="1"/>
  <c r="L49" i="13"/>
  <c r="P48" i="13"/>
  <c r="O48" i="13"/>
  <c r="N46" i="13"/>
  <c r="M46" i="13"/>
  <c r="L46" i="13"/>
  <c r="P45" i="13"/>
  <c r="O45" i="13"/>
  <c r="O42" i="13"/>
  <c r="N42" i="13"/>
  <c r="M42" i="13"/>
  <c r="L42" i="13"/>
  <c r="P36" i="13"/>
  <c r="N36" i="13"/>
  <c r="M36" i="13"/>
  <c r="N35" i="13"/>
  <c r="M35" i="13"/>
  <c r="M15" i="13" s="1"/>
  <c r="L35" i="13"/>
  <c r="N34" i="13"/>
  <c r="P32" i="13"/>
  <c r="O32" i="13"/>
  <c r="N32" i="13"/>
  <c r="M32" i="13"/>
  <c r="L32" i="13"/>
  <c r="N29" i="13"/>
  <c r="M29" i="13"/>
  <c r="L29" i="13"/>
  <c r="P25" i="13"/>
  <c r="O25" i="13"/>
  <c r="N25" i="13"/>
  <c r="M25" i="13"/>
  <c r="L25" i="13"/>
  <c r="N22" i="13"/>
  <c r="M22" i="13"/>
  <c r="M12" i="13" s="1"/>
  <c r="L22" i="13"/>
  <c r="L19" i="13" s="1"/>
  <c r="N19" i="13"/>
  <c r="M19" i="13"/>
  <c r="N15" i="13"/>
  <c r="L15" i="13"/>
  <c r="O15" i="13" s="1"/>
  <c r="N12" i="13"/>
  <c r="N9" i="13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O815" i="12"/>
  <c r="N815" i="12"/>
  <c r="M815" i="12"/>
  <c r="L815" i="12"/>
  <c r="P810" i="12"/>
  <c r="O810" i="12"/>
  <c r="N810" i="12"/>
  <c r="P809" i="12"/>
  <c r="O809" i="12"/>
  <c r="O808" i="12"/>
  <c r="N808" i="12"/>
  <c r="M808" i="12"/>
  <c r="P808" i="12" s="1"/>
  <c r="L808" i="12"/>
  <c r="N807" i="12"/>
  <c r="N805" i="12" s="1"/>
  <c r="M807" i="12"/>
  <c r="P807" i="12" s="1"/>
  <c r="L807" i="12"/>
  <c r="O807" i="12" s="1"/>
  <c r="N806" i="12"/>
  <c r="M806" i="12"/>
  <c r="P806" i="12" s="1"/>
  <c r="L806" i="12"/>
  <c r="K804" i="12"/>
  <c r="J804" i="12"/>
  <c r="J803" i="12"/>
  <c r="I803" i="12"/>
  <c r="J802" i="12"/>
  <c r="J801" i="12"/>
  <c r="I801" i="12"/>
  <c r="J800" i="12"/>
  <c r="P798" i="12"/>
  <c r="O798" i="12"/>
  <c r="P797" i="12"/>
  <c r="O797" i="12"/>
  <c r="N796" i="12"/>
  <c r="M796" i="12"/>
  <c r="P796" i="12" s="1"/>
  <c r="L796" i="12"/>
  <c r="O796" i="12" s="1"/>
  <c r="N791" i="12"/>
  <c r="N789" i="12" s="1"/>
  <c r="L791" i="12"/>
  <c r="O791" i="12" s="1"/>
  <c r="P790" i="12"/>
  <c r="O790" i="12"/>
  <c r="N788" i="12"/>
  <c r="P787" i="12"/>
  <c r="O787" i="12"/>
  <c r="N787" i="12"/>
  <c r="N786" i="12" s="1"/>
  <c r="M787" i="12"/>
  <c r="L787" i="12"/>
  <c r="P782" i="12"/>
  <c r="O782" i="12"/>
  <c r="P781" i="12"/>
  <c r="O781" i="12"/>
  <c r="P780" i="12"/>
  <c r="O780" i="12"/>
  <c r="N780" i="12"/>
  <c r="M780" i="12"/>
  <c r="L780" i="12"/>
  <c r="P775" i="12"/>
  <c r="O775" i="12"/>
  <c r="N775" i="12"/>
  <c r="P774" i="12"/>
  <c r="O774" i="12"/>
  <c r="M773" i="12"/>
  <c r="P773" i="12" s="1"/>
  <c r="L773" i="12"/>
  <c r="O773" i="12" s="1"/>
  <c r="M772" i="12"/>
  <c r="P772" i="12" s="1"/>
  <c r="L772" i="12"/>
  <c r="O772" i="12" s="1"/>
  <c r="P771" i="12"/>
  <c r="N771" i="12"/>
  <c r="M771" i="12"/>
  <c r="L771" i="12"/>
  <c r="O771" i="12" s="1"/>
  <c r="K769" i="12"/>
  <c r="J769" i="12"/>
  <c r="P766" i="12"/>
  <c r="O766" i="12"/>
  <c r="P765" i="12"/>
  <c r="O765" i="12"/>
  <c r="P764" i="12"/>
  <c r="O764" i="12"/>
  <c r="N764" i="12"/>
  <c r="M764" i="12"/>
  <c r="L764" i="12"/>
  <c r="P759" i="12"/>
  <c r="O759" i="12"/>
  <c r="N759" i="12"/>
  <c r="N756" i="12" s="1"/>
  <c r="P758" i="12"/>
  <c r="O758" i="12"/>
  <c r="N757" i="12"/>
  <c r="M757" i="12"/>
  <c r="P757" i="12" s="1"/>
  <c r="L757" i="12"/>
  <c r="O757" i="12" s="1"/>
  <c r="M756" i="12"/>
  <c r="L756" i="12"/>
  <c r="O756" i="12" s="1"/>
  <c r="P755" i="12"/>
  <c r="N755" i="12"/>
  <c r="N754" i="12" s="1"/>
  <c r="M755" i="12"/>
  <c r="L755" i="12"/>
  <c r="K753" i="12"/>
  <c r="J753" i="12"/>
  <c r="P749" i="12"/>
  <c r="O749" i="12"/>
  <c r="P748" i="12"/>
  <c r="O748" i="12"/>
  <c r="P747" i="12"/>
  <c r="O747" i="12"/>
  <c r="N747" i="12"/>
  <c r="M747" i="12"/>
  <c r="L747" i="12"/>
  <c r="P742" i="12"/>
  <c r="O742" i="12"/>
  <c r="N742" i="12"/>
  <c r="N739" i="12" s="1"/>
  <c r="P741" i="12"/>
  <c r="O741" i="12"/>
  <c r="N740" i="12"/>
  <c r="M740" i="12"/>
  <c r="P740" i="12" s="1"/>
  <c r="L740" i="12"/>
  <c r="O740" i="12" s="1"/>
  <c r="M739" i="12"/>
  <c r="L739" i="12"/>
  <c r="O739" i="12" s="1"/>
  <c r="P738" i="12"/>
  <c r="N738" i="12"/>
  <c r="N737" i="12" s="1"/>
  <c r="M738" i="12"/>
  <c r="L738" i="12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J719" i="12"/>
  <c r="J718" i="12"/>
  <c r="J708" i="12"/>
  <c r="I708" i="12"/>
  <c r="I707" i="12"/>
  <c r="I704" i="12"/>
  <c r="J701" i="12"/>
  <c r="I701" i="12"/>
  <c r="J700" i="12"/>
  <c r="I700" i="12"/>
  <c r="K700" i="12" s="1"/>
  <c r="J699" i="12"/>
  <c r="I699" i="12"/>
  <c r="K699" i="12" s="1"/>
  <c r="P697" i="12"/>
  <c r="O697" i="12"/>
  <c r="P696" i="12"/>
  <c r="O696" i="12"/>
  <c r="P695" i="12"/>
  <c r="O695" i="12"/>
  <c r="N695" i="12"/>
  <c r="M695" i="12"/>
  <c r="L695" i="12"/>
  <c r="N690" i="12"/>
  <c r="N687" i="12" s="1"/>
  <c r="L690" i="12"/>
  <c r="O690" i="12" s="1"/>
  <c r="N688" i="12"/>
  <c r="P686" i="12"/>
  <c r="N686" i="12"/>
  <c r="N685" i="12" s="1"/>
  <c r="M686" i="12"/>
  <c r="L686" i="12"/>
  <c r="J679" i="12"/>
  <c r="J678" i="12" s="1"/>
  <c r="I678" i="12"/>
  <c r="K678" i="12" s="1"/>
  <c r="J675" i="12"/>
  <c r="I671" i="12"/>
  <c r="K671" i="12" s="1"/>
  <c r="I670" i="12"/>
  <c r="K670" i="12" s="1"/>
  <c r="J669" i="12"/>
  <c r="J654" i="12" s="1"/>
  <c r="I669" i="12"/>
  <c r="K675" i="12" s="1"/>
  <c r="P667" i="12"/>
  <c r="O667" i="12"/>
  <c r="P666" i="12"/>
  <c r="O666" i="12"/>
  <c r="P665" i="12"/>
  <c r="N665" i="12"/>
  <c r="M665" i="12"/>
  <c r="L665" i="12"/>
  <c r="O665" i="12" s="1"/>
  <c r="N660" i="12"/>
  <c r="L660" i="12"/>
  <c r="O660" i="12" s="1"/>
  <c r="P659" i="12"/>
  <c r="O659" i="12"/>
  <c r="N658" i="12"/>
  <c r="N657" i="12"/>
  <c r="P656" i="12"/>
  <c r="O656" i="12"/>
  <c r="N656" i="12"/>
  <c r="M656" i="12"/>
  <c r="L656" i="12"/>
  <c r="N655" i="12"/>
  <c r="K652" i="12"/>
  <c r="J652" i="12"/>
  <c r="A652" i="12"/>
  <c r="J651" i="12"/>
  <c r="J628" i="12" s="1"/>
  <c r="I651" i="12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P639" i="12"/>
  <c r="N639" i="12"/>
  <c r="M639" i="12"/>
  <c r="N634" i="12"/>
  <c r="N632" i="12" s="1"/>
  <c r="L634" i="12"/>
  <c r="O634" i="12" s="1"/>
  <c r="P633" i="12"/>
  <c r="O633" i="12"/>
  <c r="N631" i="12"/>
  <c r="N630" i="12"/>
  <c r="M630" i="12"/>
  <c r="P630" i="12" s="1"/>
  <c r="L630" i="12"/>
  <c r="O630" i="12" s="1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I594" i="12"/>
  <c r="J593" i="12"/>
  <c r="J592" i="12" s="1"/>
  <c r="I593" i="12"/>
  <c r="I592" i="12" s="1"/>
  <c r="J583" i="12"/>
  <c r="J577" i="12" s="1"/>
  <c r="J582" i="12"/>
  <c r="I577" i="12"/>
  <c r="J576" i="12"/>
  <c r="J559" i="12" s="1"/>
  <c r="J543" i="12" s="1"/>
  <c r="I576" i="12"/>
  <c r="J569" i="12"/>
  <c r="I569" i="12"/>
  <c r="K569" i="12" s="1"/>
  <c r="J568" i="12"/>
  <c r="I568" i="12"/>
  <c r="J561" i="12"/>
  <c r="I561" i="12"/>
  <c r="K561" i="12" s="1"/>
  <c r="J560" i="12"/>
  <c r="I560" i="12"/>
  <c r="K560" i="12" s="1"/>
  <c r="P557" i="12"/>
  <c r="L557" i="12"/>
  <c r="L555" i="12" s="1"/>
  <c r="O555" i="12" s="1"/>
  <c r="P556" i="12"/>
  <c r="O556" i="12"/>
  <c r="N555" i="12"/>
  <c r="N545" i="12" s="1"/>
  <c r="N544" i="12" s="1"/>
  <c r="M555" i="12"/>
  <c r="N549" i="12"/>
  <c r="L549" i="12"/>
  <c r="L546" i="12" s="1"/>
  <c r="O546" i="12" s="1"/>
  <c r="P548" i="12"/>
  <c r="O548" i="12"/>
  <c r="N547" i="12"/>
  <c r="N546" i="12"/>
  <c r="L545" i="12"/>
  <c r="I542" i="12"/>
  <c r="K542" i="12" s="1"/>
  <c r="I541" i="12"/>
  <c r="K541" i="12" s="1"/>
  <c r="I540" i="12"/>
  <c r="K540" i="12" s="1"/>
  <c r="I539" i="12"/>
  <c r="K539" i="12" s="1"/>
  <c r="I538" i="12"/>
  <c r="I537" i="12"/>
  <c r="I522" i="12" s="1"/>
  <c r="K522" i="12" s="1"/>
  <c r="P535" i="12"/>
  <c r="L535" i="12"/>
  <c r="L533" i="12" s="1"/>
  <c r="O533" i="12" s="1"/>
  <c r="P534" i="12"/>
  <c r="O534" i="12"/>
  <c r="N533" i="12"/>
  <c r="M533" i="12"/>
  <c r="P533" i="12" s="1"/>
  <c r="P528" i="12"/>
  <c r="N528" i="12"/>
  <c r="N525" i="12" s="1"/>
  <c r="L528" i="12"/>
  <c r="O528" i="12" s="1"/>
  <c r="P527" i="12"/>
  <c r="O527" i="12"/>
  <c r="P526" i="12"/>
  <c r="N526" i="12"/>
  <c r="M526" i="12"/>
  <c r="L526" i="12"/>
  <c r="O526" i="12" s="1"/>
  <c r="P525" i="12"/>
  <c r="M525" i="12"/>
  <c r="P524" i="12"/>
  <c r="O524" i="12"/>
  <c r="N524" i="12"/>
  <c r="M524" i="12"/>
  <c r="L524" i="12"/>
  <c r="N523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N512" i="12"/>
  <c r="M512" i="12"/>
  <c r="L512" i="12"/>
  <c r="O512" i="12" s="1"/>
  <c r="P507" i="12"/>
  <c r="O507" i="12"/>
  <c r="N507" i="12"/>
  <c r="P506" i="12"/>
  <c r="O506" i="12"/>
  <c r="P505" i="12"/>
  <c r="O505" i="12"/>
  <c r="N505" i="12"/>
  <c r="M505" i="12"/>
  <c r="L505" i="12"/>
  <c r="O504" i="12"/>
  <c r="N504" i="12"/>
  <c r="M504" i="12"/>
  <c r="P504" i="12" s="1"/>
  <c r="L504" i="12"/>
  <c r="N503" i="12"/>
  <c r="M503" i="12"/>
  <c r="P503" i="12" s="1"/>
  <c r="L503" i="12"/>
  <c r="O503" i="12" s="1"/>
  <c r="M502" i="12"/>
  <c r="P502" i="12" s="1"/>
  <c r="L502" i="12"/>
  <c r="O502" i="12" s="1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P477" i="12"/>
  <c r="N477" i="12"/>
  <c r="M477" i="12"/>
  <c r="N472" i="12"/>
  <c r="L472" i="12"/>
  <c r="M472" i="12" s="1"/>
  <c r="P471" i="12"/>
  <c r="O471" i="12"/>
  <c r="O468" i="12"/>
  <c r="N468" i="12"/>
  <c r="M468" i="12"/>
  <c r="L468" i="12"/>
  <c r="J466" i="12"/>
  <c r="I466" i="12"/>
  <c r="J465" i="12"/>
  <c r="I465" i="12"/>
  <c r="K465" i="12" s="1"/>
  <c r="I464" i="12"/>
  <c r="K464" i="12" s="1"/>
  <c r="I463" i="12"/>
  <c r="K463" i="12" s="1"/>
  <c r="I462" i="12"/>
  <c r="I443" i="12" s="1"/>
  <c r="K443" i="12" s="1"/>
  <c r="I460" i="12"/>
  <c r="K460" i="12" s="1"/>
  <c r="K458" i="12"/>
  <c r="P456" i="12"/>
  <c r="L456" i="12"/>
  <c r="P455" i="12"/>
  <c r="O455" i="12"/>
  <c r="N454" i="12"/>
  <c r="M454" i="12"/>
  <c r="P454" i="12" s="1"/>
  <c r="N453" i="12"/>
  <c r="N449" i="12"/>
  <c r="L449" i="12"/>
  <c r="L447" i="12" s="1"/>
  <c r="P448" i="12"/>
  <c r="O448" i="12"/>
  <c r="N447" i="12"/>
  <c r="N446" i="12"/>
  <c r="N445" i="12"/>
  <c r="M445" i="12"/>
  <c r="P445" i="12" s="1"/>
  <c r="L445" i="12"/>
  <c r="O445" i="12" s="1"/>
  <c r="J443" i="12"/>
  <c r="J442" i="12"/>
  <c r="I441" i="12"/>
  <c r="K441" i="12" s="1"/>
  <c r="I440" i="12"/>
  <c r="K440" i="12" s="1"/>
  <c r="I439" i="12"/>
  <c r="K439" i="12" s="1"/>
  <c r="I438" i="12"/>
  <c r="I437" i="12"/>
  <c r="K437" i="12" s="1"/>
  <c r="I435" i="12"/>
  <c r="K435" i="12" s="1"/>
  <c r="J434" i="12"/>
  <c r="P431" i="12"/>
  <c r="L431" i="12"/>
  <c r="O431" i="12" s="1"/>
  <c r="P430" i="12"/>
  <c r="O430" i="12"/>
  <c r="P429" i="12"/>
  <c r="N429" i="12"/>
  <c r="M429" i="12"/>
  <c r="N424" i="12"/>
  <c r="N422" i="12" s="1"/>
  <c r="L424" i="12"/>
  <c r="M424" i="12" s="1"/>
  <c r="P424" i="12" s="1"/>
  <c r="P423" i="12"/>
  <c r="O423" i="12"/>
  <c r="N421" i="12"/>
  <c r="O420" i="12"/>
  <c r="N420" i="12"/>
  <c r="N419" i="12" s="1"/>
  <c r="M420" i="12"/>
  <c r="P420" i="12" s="1"/>
  <c r="L420" i="12"/>
  <c r="J418" i="12"/>
  <c r="K413" i="12"/>
  <c r="K412" i="12"/>
  <c r="N410" i="12"/>
  <c r="N408" i="12" s="1"/>
  <c r="M410" i="12"/>
  <c r="P410" i="12" s="1"/>
  <c r="L410" i="12"/>
  <c r="P409" i="12"/>
  <c r="O409" i="12"/>
  <c r="N407" i="12"/>
  <c r="N405" i="12" s="1"/>
  <c r="M407" i="12"/>
  <c r="L407" i="12"/>
  <c r="P406" i="12"/>
  <c r="O406" i="12"/>
  <c r="N403" i="12"/>
  <c r="M403" i="12"/>
  <c r="L403" i="12"/>
  <c r="K401" i="12"/>
  <c r="J401" i="12"/>
  <c r="I401" i="12"/>
  <c r="K400" i="12"/>
  <c r="K399" i="12"/>
  <c r="N397" i="12"/>
  <c r="N395" i="12" s="1"/>
  <c r="M397" i="12"/>
  <c r="M395" i="12" s="1"/>
  <c r="P395" i="12" s="1"/>
  <c r="L397" i="12"/>
  <c r="L395" i="12" s="1"/>
  <c r="O395" i="12" s="1"/>
  <c r="P396" i="12"/>
  <c r="O396" i="12"/>
  <c r="N394" i="12"/>
  <c r="N392" i="12" s="1"/>
  <c r="M394" i="12"/>
  <c r="L394" i="12"/>
  <c r="L392" i="12" s="1"/>
  <c r="O392" i="12" s="1"/>
  <c r="P393" i="12"/>
  <c r="O393" i="12"/>
  <c r="O390" i="12"/>
  <c r="N390" i="12"/>
  <c r="M390" i="12"/>
  <c r="L390" i="12"/>
  <c r="K388" i="12"/>
  <c r="J388" i="12"/>
  <c r="I388" i="12"/>
  <c r="J385" i="12"/>
  <c r="I385" i="12"/>
  <c r="D384" i="12"/>
  <c r="K382" i="12"/>
  <c r="J382" i="12"/>
  <c r="A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A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L353" i="12"/>
  <c r="P352" i="12"/>
  <c r="O352" i="12"/>
  <c r="N350" i="12"/>
  <c r="N348" i="12" s="1"/>
  <c r="M350" i="12"/>
  <c r="L350" i="12"/>
  <c r="P349" i="12"/>
  <c r="O349" i="12"/>
  <c r="N346" i="12"/>
  <c r="M346" i="12"/>
  <c r="L346" i="12"/>
  <c r="O346" i="12" s="1"/>
  <c r="J343" i="12"/>
  <c r="J342" i="12"/>
  <c r="J341" i="12"/>
  <c r="J340" i="12"/>
  <c r="I340" i="12"/>
  <c r="J338" i="12"/>
  <c r="I338" i="12"/>
  <c r="D337" i="12"/>
  <c r="N336" i="12"/>
  <c r="N334" i="12" s="1"/>
  <c r="M336" i="12"/>
  <c r="L336" i="12"/>
  <c r="O336" i="12" s="1"/>
  <c r="P335" i="12"/>
  <c r="O335" i="12"/>
  <c r="N333" i="12"/>
  <c r="M333" i="12"/>
  <c r="L333" i="12"/>
  <c r="P332" i="12"/>
  <c r="O332" i="12"/>
  <c r="N329" i="12"/>
  <c r="M329" i="12"/>
  <c r="P329" i="12" s="1"/>
  <c r="L329" i="12"/>
  <c r="O329" i="12" s="1"/>
  <c r="I327" i="12"/>
  <c r="I325" i="12"/>
  <c r="K325" i="12" s="1"/>
  <c r="N323" i="12"/>
  <c r="N321" i="12" s="1"/>
  <c r="M323" i="12"/>
  <c r="M321" i="12" s="1"/>
  <c r="P321" i="12" s="1"/>
  <c r="L323" i="12"/>
  <c r="O323" i="12" s="1"/>
  <c r="P322" i="12"/>
  <c r="O322" i="12"/>
  <c r="N320" i="12"/>
  <c r="M320" i="12"/>
  <c r="M318" i="12" s="1"/>
  <c r="P318" i="12" s="1"/>
  <c r="L320" i="12"/>
  <c r="O320" i="12" s="1"/>
  <c r="P319" i="12"/>
  <c r="O319" i="12"/>
  <c r="P316" i="12"/>
  <c r="O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I297" i="12" s="1"/>
  <c r="K297" i="12" s="1"/>
  <c r="N306" i="12"/>
  <c r="N304" i="12" s="1"/>
  <c r="M306" i="12"/>
  <c r="P306" i="12" s="1"/>
  <c r="L306" i="12"/>
  <c r="O306" i="12" s="1"/>
  <c r="P305" i="12"/>
  <c r="O305" i="12"/>
  <c r="N303" i="12"/>
  <c r="N301" i="12" s="1"/>
  <c r="M303" i="12"/>
  <c r="L303" i="12"/>
  <c r="P302" i="12"/>
  <c r="O302" i="12"/>
  <c r="P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I275" i="12" s="1"/>
  <c r="I287" i="12"/>
  <c r="K287" i="12" s="1"/>
  <c r="N285" i="12"/>
  <c r="M285" i="12"/>
  <c r="P285" i="12" s="1"/>
  <c r="L285" i="12"/>
  <c r="P284" i="12"/>
  <c r="O284" i="12"/>
  <c r="N282" i="12"/>
  <c r="N280" i="12" s="1"/>
  <c r="M282" i="12"/>
  <c r="L282" i="12"/>
  <c r="P281" i="12"/>
  <c r="O281" i="12"/>
  <c r="N278" i="12"/>
  <c r="M278" i="12"/>
  <c r="L278" i="12"/>
  <c r="O278" i="12" s="1"/>
  <c r="J276" i="12"/>
  <c r="I271" i="12"/>
  <c r="I260" i="12" s="1"/>
  <c r="K260" i="12" s="1"/>
  <c r="N269" i="12"/>
  <c r="M269" i="12"/>
  <c r="P269" i="12" s="1"/>
  <c r="L269" i="12"/>
  <c r="O269" i="12" s="1"/>
  <c r="P268" i="12"/>
  <c r="O268" i="12"/>
  <c r="N266" i="12"/>
  <c r="N264" i="12" s="1"/>
  <c r="M266" i="12"/>
  <c r="L266" i="12"/>
  <c r="P265" i="12"/>
  <c r="O265" i="12"/>
  <c r="P262" i="12"/>
  <c r="N262" i="12"/>
  <c r="M262" i="12"/>
  <c r="L262" i="12"/>
  <c r="J260" i="12"/>
  <c r="K258" i="12"/>
  <c r="K257" i="12"/>
  <c r="I255" i="12"/>
  <c r="L253" i="12"/>
  <c r="L252" i="12"/>
  <c r="L251" i="12"/>
  <c r="L250" i="12"/>
  <c r="P249" i="12"/>
  <c r="N249" i="12"/>
  <c r="J248" i="12"/>
  <c r="K247" i="12"/>
  <c r="K246" i="12"/>
  <c r="I244" i="12"/>
  <c r="I237" i="12" s="1"/>
  <c r="K237" i="12" s="1"/>
  <c r="L242" i="12"/>
  <c r="L241" i="12"/>
  <c r="L240" i="12"/>
  <c r="L239" i="12"/>
  <c r="P238" i="12"/>
  <c r="N238" i="12"/>
  <c r="J237" i="12"/>
  <c r="J226" i="12" s="1"/>
  <c r="J180" i="12" s="1"/>
  <c r="J236" i="12"/>
  <c r="I236" i="12"/>
  <c r="K236" i="12" s="1"/>
  <c r="J235" i="12"/>
  <c r="I235" i="12"/>
  <c r="K235" i="12" s="1"/>
  <c r="J233" i="12"/>
  <c r="N231" i="12"/>
  <c r="N230" i="12"/>
  <c r="N229" i="12"/>
  <c r="N228" i="12"/>
  <c r="N227" i="12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M187" i="12" s="1"/>
  <c r="P187" i="12" s="1"/>
  <c r="L189" i="12"/>
  <c r="O189" i="12" s="1"/>
  <c r="P188" i="12"/>
  <c r="O188" i="12"/>
  <c r="N186" i="12"/>
  <c r="M186" i="12"/>
  <c r="M184" i="12" s="1"/>
  <c r="L186" i="12"/>
  <c r="L184" i="12" s="1"/>
  <c r="P185" i="12"/>
  <c r="O185" i="12"/>
  <c r="P182" i="12"/>
  <c r="O182" i="12"/>
  <c r="N182" i="12"/>
  <c r="M182" i="12"/>
  <c r="L182" i="12"/>
  <c r="J177" i="12"/>
  <c r="J164" i="12" s="1"/>
  <c r="I176" i="12"/>
  <c r="I174" i="12" s="1"/>
  <c r="K174" i="12" s="1"/>
  <c r="J174" i="12"/>
  <c r="N173" i="12"/>
  <c r="N171" i="12" s="1"/>
  <c r="M173" i="12"/>
  <c r="M171" i="12" s="1"/>
  <c r="P171" i="12" s="1"/>
  <c r="L173" i="12"/>
  <c r="O173" i="12" s="1"/>
  <c r="P172" i="12"/>
  <c r="O172" i="12"/>
  <c r="N170" i="12"/>
  <c r="M170" i="12"/>
  <c r="M168" i="12" s="1"/>
  <c r="L170" i="12"/>
  <c r="L168" i="12" s="1"/>
  <c r="P169" i="12"/>
  <c r="O169" i="12"/>
  <c r="P166" i="12"/>
  <c r="O166" i="12"/>
  <c r="N166" i="12"/>
  <c r="M166" i="12"/>
  <c r="L166" i="12"/>
  <c r="I159" i="12"/>
  <c r="K159" i="12" s="1"/>
  <c r="N157" i="12"/>
  <c r="N155" i="12" s="1"/>
  <c r="M157" i="12"/>
  <c r="P157" i="12" s="1"/>
  <c r="L157" i="12"/>
  <c r="O157" i="12" s="1"/>
  <c r="P156" i="12"/>
  <c r="O156" i="12"/>
  <c r="N154" i="12"/>
  <c r="N152" i="12" s="1"/>
  <c r="M154" i="12"/>
  <c r="L154" i="12"/>
  <c r="P153" i="12"/>
  <c r="O153" i="12"/>
  <c r="P150" i="12"/>
  <c r="N150" i="12"/>
  <c r="M150" i="12"/>
  <c r="L150" i="12"/>
  <c r="J148" i="12"/>
  <c r="I146" i="12"/>
  <c r="K146" i="12" s="1"/>
  <c r="I145" i="12"/>
  <c r="I144" i="12"/>
  <c r="K144" i="12" s="1"/>
  <c r="N140" i="12"/>
  <c r="N138" i="12" s="1"/>
  <c r="M140" i="12"/>
  <c r="P140" i="12" s="1"/>
  <c r="L140" i="12"/>
  <c r="L138" i="12" s="1"/>
  <c r="O138" i="12" s="1"/>
  <c r="P139" i="12"/>
  <c r="O139" i="12"/>
  <c r="N137" i="12"/>
  <c r="N135" i="12" s="1"/>
  <c r="M137" i="12"/>
  <c r="P137" i="12" s="1"/>
  <c r="L137" i="12"/>
  <c r="L135" i="12" s="1"/>
  <c r="O135" i="12" s="1"/>
  <c r="P136" i="12"/>
  <c r="O136" i="12"/>
  <c r="O133" i="12"/>
  <c r="N133" i="12"/>
  <c r="M133" i="12"/>
  <c r="P133" i="12" s="1"/>
  <c r="L133" i="12"/>
  <c r="J130" i="12"/>
  <c r="N127" i="12"/>
  <c r="N125" i="12" s="1"/>
  <c r="M127" i="12"/>
  <c r="P127" i="12" s="1"/>
  <c r="L127" i="12"/>
  <c r="O127" i="12" s="1"/>
  <c r="P126" i="12"/>
  <c r="O126" i="12"/>
  <c r="N124" i="12"/>
  <c r="N122" i="12" s="1"/>
  <c r="M124" i="12"/>
  <c r="P124" i="12" s="1"/>
  <c r="L124" i="12"/>
  <c r="O124" i="12" s="1"/>
  <c r="P123" i="12"/>
  <c r="O123" i="12"/>
  <c r="P120" i="12"/>
  <c r="N120" i="12"/>
  <c r="M120" i="12"/>
  <c r="L120" i="12"/>
  <c r="I116" i="12"/>
  <c r="I115" i="12"/>
  <c r="K115" i="12" s="1"/>
  <c r="I114" i="12"/>
  <c r="K114" i="12" s="1"/>
  <c r="I113" i="12"/>
  <c r="K113" i="12" s="1"/>
  <c r="J112" i="12"/>
  <c r="J111" i="12"/>
  <c r="I111" i="12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K99" i="12" s="1"/>
  <c r="J98" i="12"/>
  <c r="I98" i="12"/>
  <c r="K98" i="12" s="1"/>
  <c r="N96" i="12"/>
  <c r="N94" i="12" s="1"/>
  <c r="M96" i="12"/>
  <c r="P96" i="12" s="1"/>
  <c r="L96" i="12"/>
  <c r="L94" i="12" s="1"/>
  <c r="O94" i="12" s="1"/>
  <c r="P95" i="12"/>
  <c r="O95" i="12"/>
  <c r="N93" i="12"/>
  <c r="N91" i="12" s="1"/>
  <c r="M93" i="12"/>
  <c r="L93" i="12"/>
  <c r="L91" i="12" s="1"/>
  <c r="P92" i="12"/>
  <c r="O92" i="12"/>
  <c r="N89" i="12"/>
  <c r="M89" i="12"/>
  <c r="P89" i="12" s="1"/>
  <c r="L89" i="12"/>
  <c r="O89" i="12" s="1"/>
  <c r="J87" i="12"/>
  <c r="J86" i="12"/>
  <c r="I84" i="12"/>
  <c r="K84" i="12" s="1"/>
  <c r="I83" i="12"/>
  <c r="K83" i="12" s="1"/>
  <c r="I82" i="12"/>
  <c r="I81" i="12"/>
  <c r="K81" i="12" s="1"/>
  <c r="I80" i="12"/>
  <c r="K80" i="12" s="1"/>
  <c r="I79" i="12"/>
  <c r="K79" i="12" s="1"/>
  <c r="I78" i="12"/>
  <c r="K78" i="12" s="1"/>
  <c r="J77" i="12"/>
  <c r="J76" i="12"/>
  <c r="J64" i="12" s="1"/>
  <c r="N74" i="12"/>
  <c r="N72" i="12" s="1"/>
  <c r="M74" i="12"/>
  <c r="P74" i="12" s="1"/>
  <c r="L74" i="12"/>
  <c r="L72" i="12" s="1"/>
  <c r="O72" i="12" s="1"/>
  <c r="P73" i="12"/>
  <c r="O73" i="12"/>
  <c r="N71" i="12"/>
  <c r="N69" i="12" s="1"/>
  <c r="M71" i="12"/>
  <c r="L71" i="12"/>
  <c r="L69" i="12" s="1"/>
  <c r="P70" i="12"/>
  <c r="O70" i="12"/>
  <c r="P67" i="12"/>
  <c r="N67" i="12"/>
  <c r="M67" i="12"/>
  <c r="L67" i="12"/>
  <c r="O67" i="12" s="1"/>
  <c r="J65" i="12"/>
  <c r="N61" i="12"/>
  <c r="N59" i="12" s="1"/>
  <c r="M61" i="12"/>
  <c r="L61" i="12"/>
  <c r="P60" i="12"/>
  <c r="O60" i="12"/>
  <c r="N58" i="12"/>
  <c r="N56" i="12" s="1"/>
  <c r="M58" i="12"/>
  <c r="L58" i="12"/>
  <c r="L56" i="12" s="1"/>
  <c r="P57" i="12"/>
  <c r="O57" i="12"/>
  <c r="O54" i="12"/>
  <c r="N54" i="12"/>
  <c r="M54" i="12"/>
  <c r="P54" i="12" s="1"/>
  <c r="L54" i="12"/>
  <c r="N49" i="12"/>
  <c r="N47" i="12" s="1"/>
  <c r="M49" i="12"/>
  <c r="P49" i="12" s="1"/>
  <c r="L49" i="12"/>
  <c r="L47" i="12" s="1"/>
  <c r="O47" i="12" s="1"/>
  <c r="P48" i="12"/>
  <c r="O48" i="12"/>
  <c r="N46" i="12"/>
  <c r="N44" i="12" s="1"/>
  <c r="M46" i="12"/>
  <c r="L46" i="12"/>
  <c r="L44" i="12" s="1"/>
  <c r="P45" i="12"/>
  <c r="O45" i="12"/>
  <c r="P42" i="12"/>
  <c r="N42" i="12"/>
  <c r="M42" i="12"/>
  <c r="L42" i="12"/>
  <c r="O42" i="12" s="1"/>
  <c r="N36" i="12"/>
  <c r="M36" i="12"/>
  <c r="P36" i="12" s="1"/>
  <c r="N35" i="12"/>
  <c r="N34" i="12" s="1"/>
  <c r="M35" i="12"/>
  <c r="P35" i="12" s="1"/>
  <c r="L35" i="12"/>
  <c r="O35" i="12" s="1"/>
  <c r="N33" i="12"/>
  <c r="P32" i="12"/>
  <c r="O32" i="12"/>
  <c r="N32" i="12"/>
  <c r="M32" i="12"/>
  <c r="L32" i="12"/>
  <c r="N31" i="12"/>
  <c r="N30" i="12"/>
  <c r="N29" i="12"/>
  <c r="N28" i="12" s="1"/>
  <c r="M29" i="12"/>
  <c r="P29" i="12" s="1"/>
  <c r="L29" i="12"/>
  <c r="O29" i="12" s="1"/>
  <c r="P25" i="12"/>
  <c r="O25" i="12"/>
  <c r="N25" i="12"/>
  <c r="M25" i="12"/>
  <c r="L25" i="12"/>
  <c r="N22" i="12"/>
  <c r="N19" i="12" s="1"/>
  <c r="M22" i="12"/>
  <c r="P22" i="12" s="1"/>
  <c r="L22" i="12"/>
  <c r="O22" i="12" s="1"/>
  <c r="N15" i="12"/>
  <c r="M15" i="12"/>
  <c r="P15" i="12" s="1"/>
  <c r="L15" i="12"/>
  <c r="O15" i="12" s="1"/>
  <c r="J828" i="11"/>
  <c r="I828" i="11"/>
  <c r="J827" i="11"/>
  <c r="I827" i="11"/>
  <c r="J826" i="11"/>
  <c r="I826" i="11"/>
  <c r="K826" i="11" s="1"/>
  <c r="J825" i="11"/>
  <c r="I825" i="11"/>
  <c r="K825" i="11" s="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N807" i="11" s="1"/>
  <c r="P809" i="11"/>
  <c r="O809" i="11"/>
  <c r="N808" i="11"/>
  <c r="M808" i="11"/>
  <c r="P808" i="11" s="1"/>
  <c r="L808" i="11"/>
  <c r="O808" i="11" s="1"/>
  <c r="M807" i="11"/>
  <c r="L807" i="11"/>
  <c r="O807" i="11" s="1"/>
  <c r="P806" i="11"/>
  <c r="N806" i="11"/>
  <c r="N805" i="11" s="1"/>
  <c r="M806" i="11"/>
  <c r="L806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L791" i="11"/>
  <c r="P790" i="11"/>
  <c r="O790" i="11"/>
  <c r="N789" i="11"/>
  <c r="M789" i="11"/>
  <c r="P789" i="11" s="1"/>
  <c r="M788" i="11"/>
  <c r="L788" i="11"/>
  <c r="O788" i="11" s="1"/>
  <c r="P787" i="11"/>
  <c r="N787" i="11"/>
  <c r="M787" i="11"/>
  <c r="L787" i="11"/>
  <c r="P782" i="11"/>
  <c r="O782" i="11"/>
  <c r="P781" i="11"/>
  <c r="O781" i="11"/>
  <c r="P780" i="11"/>
  <c r="O780" i="11"/>
  <c r="N780" i="11"/>
  <c r="M780" i="11"/>
  <c r="L780" i="11"/>
  <c r="P775" i="11"/>
  <c r="O775" i="11"/>
  <c r="N775" i="11"/>
  <c r="P774" i="11"/>
  <c r="O774" i="11"/>
  <c r="O773" i="11"/>
  <c r="N773" i="11"/>
  <c r="M773" i="11"/>
  <c r="P773" i="11" s="1"/>
  <c r="L773" i="11"/>
  <c r="N772" i="11"/>
  <c r="N770" i="11" s="1"/>
  <c r="M772" i="11"/>
  <c r="P772" i="11" s="1"/>
  <c r="L772" i="11"/>
  <c r="O772" i="11" s="1"/>
  <c r="N771" i="11"/>
  <c r="M771" i="11"/>
  <c r="L771" i="11"/>
  <c r="O771" i="11" s="1"/>
  <c r="K769" i="11"/>
  <c r="J769" i="11"/>
  <c r="P766" i="11"/>
  <c r="O766" i="11"/>
  <c r="P765" i="11"/>
  <c r="O765" i="11"/>
  <c r="P764" i="11"/>
  <c r="O764" i="11"/>
  <c r="N764" i="11"/>
  <c r="M764" i="11"/>
  <c r="L764" i="11"/>
  <c r="P759" i="11"/>
  <c r="O759" i="11"/>
  <c r="N759" i="11"/>
  <c r="P758" i="11"/>
  <c r="O758" i="11"/>
  <c r="O757" i="11"/>
  <c r="N757" i="11"/>
  <c r="M757" i="11"/>
  <c r="P757" i="11" s="1"/>
  <c r="L757" i="11"/>
  <c r="N756" i="11"/>
  <c r="N754" i="11" s="1"/>
  <c r="M756" i="11"/>
  <c r="P756" i="11" s="1"/>
  <c r="L756" i="11"/>
  <c r="O756" i="11" s="1"/>
  <c r="N755" i="11"/>
  <c r="M755" i="11"/>
  <c r="L755" i="11"/>
  <c r="K753" i="11"/>
  <c r="J753" i="11"/>
  <c r="P749" i="11"/>
  <c r="O749" i="11"/>
  <c r="P748" i="11"/>
  <c r="O748" i="11"/>
  <c r="P747" i="11"/>
  <c r="O747" i="11"/>
  <c r="N747" i="11"/>
  <c r="M747" i="11"/>
  <c r="L747" i="11"/>
  <c r="P742" i="11"/>
  <c r="O742" i="11"/>
  <c r="N742" i="11"/>
  <c r="P741" i="11"/>
  <c r="O741" i="11"/>
  <c r="O740" i="11"/>
  <c r="N740" i="11"/>
  <c r="M740" i="11"/>
  <c r="P740" i="11" s="1"/>
  <c r="L740" i="11"/>
  <c r="N739" i="11"/>
  <c r="N737" i="11" s="1"/>
  <c r="M739" i="11"/>
  <c r="P739" i="11" s="1"/>
  <c r="L739" i="11"/>
  <c r="O739" i="11" s="1"/>
  <c r="N738" i="11"/>
  <c r="M738" i="11"/>
  <c r="L738" i="11"/>
  <c r="O738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P695" i="11"/>
  <c r="O695" i="11"/>
  <c r="N695" i="11"/>
  <c r="M695" i="11"/>
  <c r="L695" i="11"/>
  <c r="P690" i="11"/>
  <c r="N690" i="11"/>
  <c r="N687" i="11" s="1"/>
  <c r="L690" i="11"/>
  <c r="O690" i="11" s="1"/>
  <c r="N688" i="11"/>
  <c r="M688" i="11"/>
  <c r="P688" i="11" s="1"/>
  <c r="M687" i="11"/>
  <c r="P686" i="11"/>
  <c r="N686" i="11"/>
  <c r="M686" i="1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I669" i="11"/>
  <c r="I654" i="11" s="1"/>
  <c r="K654" i="11" s="1"/>
  <c r="P667" i="11"/>
  <c r="O667" i="11"/>
  <c r="P666" i="11"/>
  <c r="O666" i="11"/>
  <c r="P665" i="11"/>
  <c r="N665" i="11"/>
  <c r="M665" i="11"/>
  <c r="L665" i="11"/>
  <c r="O665" i="11" s="1"/>
  <c r="P660" i="11"/>
  <c r="N660" i="11"/>
  <c r="L660" i="11"/>
  <c r="L658" i="11" s="1"/>
  <c r="O658" i="11" s="1"/>
  <c r="P659" i="11"/>
  <c r="O659" i="11"/>
  <c r="P658" i="11"/>
  <c r="N658" i="11"/>
  <c r="M658" i="11"/>
  <c r="P657" i="11"/>
  <c r="N657" i="11"/>
  <c r="M657" i="11"/>
  <c r="O656" i="11"/>
  <c r="N656" i="11"/>
  <c r="M656" i="11"/>
  <c r="P656" i="11" s="1"/>
  <c r="L656" i="11"/>
  <c r="N655" i="11"/>
  <c r="M655" i="11"/>
  <c r="P655" i="11" s="1"/>
  <c r="J654" i="11"/>
  <c r="K652" i="11"/>
  <c r="J652" i="11"/>
  <c r="A652" i="11"/>
  <c r="J651" i="1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P640" i="11"/>
  <c r="O640" i="11"/>
  <c r="N639" i="11"/>
  <c r="M639" i="11"/>
  <c r="P639" i="11" s="1"/>
  <c r="N638" i="11"/>
  <c r="N637" i="11"/>
  <c r="N634" i="11"/>
  <c r="N632" i="11" s="1"/>
  <c r="L634" i="11"/>
  <c r="P633" i="11"/>
  <c r="O633" i="11"/>
  <c r="N631" i="11"/>
  <c r="O630" i="11"/>
  <c r="N630" i="11"/>
  <c r="N629" i="11" s="1"/>
  <c r="M630" i="11"/>
  <c r="P630" i="11" s="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3" i="11" s="1"/>
  <c r="J592" i="11" s="1"/>
  <c r="J596" i="11"/>
  <c r="J594" i="11" s="1"/>
  <c r="J595" i="11"/>
  <c r="I594" i="11"/>
  <c r="K594" i="11" s="1"/>
  <c r="I593" i="11"/>
  <c r="J583" i="11"/>
  <c r="J577" i="11" s="1"/>
  <c r="J582" i="11"/>
  <c r="I577" i="11"/>
  <c r="J576" i="11"/>
  <c r="J559" i="11" s="1"/>
  <c r="J543" i="11" s="1"/>
  <c r="I576" i="11"/>
  <c r="I559" i="11" s="1"/>
  <c r="J569" i="11"/>
  <c r="I569" i="11"/>
  <c r="J568" i="11"/>
  <c r="I568" i="11"/>
  <c r="J561" i="11"/>
  <c r="I561" i="11"/>
  <c r="J560" i="11"/>
  <c r="I560" i="11"/>
  <c r="P557" i="11"/>
  <c r="L557" i="11"/>
  <c r="P556" i="11"/>
  <c r="O556" i="11"/>
  <c r="N555" i="11"/>
  <c r="N545" i="11" s="1"/>
  <c r="N544" i="11" s="1"/>
  <c r="M555" i="11"/>
  <c r="P555" i="11" s="1"/>
  <c r="N553" i="11"/>
  <c r="N552" i="11"/>
  <c r="N549" i="11"/>
  <c r="N547" i="11" s="1"/>
  <c r="L549" i="11"/>
  <c r="M549" i="11" s="1"/>
  <c r="P549" i="11" s="1"/>
  <c r="P548" i="11"/>
  <c r="O548" i="11"/>
  <c r="N546" i="11"/>
  <c r="O545" i="11"/>
  <c r="M545" i="11"/>
  <c r="P545" i="11" s="1"/>
  <c r="L545" i="1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P535" i="11"/>
  <c r="L535" i="11"/>
  <c r="L533" i="11" s="1"/>
  <c r="O533" i="11" s="1"/>
  <c r="P534" i="11"/>
  <c r="O534" i="11"/>
  <c r="P533" i="11"/>
  <c r="N533" i="11"/>
  <c r="M533" i="11"/>
  <c r="P528" i="11"/>
  <c r="N528" i="11"/>
  <c r="N526" i="11" s="1"/>
  <c r="L528" i="11"/>
  <c r="P527" i="11"/>
  <c r="O527" i="11"/>
  <c r="M526" i="11"/>
  <c r="P526" i="11" s="1"/>
  <c r="N525" i="11"/>
  <c r="N523" i="11" s="1"/>
  <c r="M525" i="11"/>
  <c r="P525" i="11" s="1"/>
  <c r="N524" i="11"/>
  <c r="M524" i="11"/>
  <c r="L524" i="11"/>
  <c r="O524" i="11" s="1"/>
  <c r="K517" i="11"/>
  <c r="J517" i="11"/>
  <c r="K516" i="11"/>
  <c r="P514" i="11"/>
  <c r="O514" i="11"/>
  <c r="P513" i="11"/>
  <c r="O513" i="11"/>
  <c r="O512" i="11"/>
  <c r="N512" i="11"/>
  <c r="M512" i="11"/>
  <c r="P512" i="11" s="1"/>
  <c r="L512" i="11"/>
  <c r="P507" i="11"/>
  <c r="O507" i="11"/>
  <c r="N507" i="11"/>
  <c r="P506" i="11"/>
  <c r="O506" i="11"/>
  <c r="M505" i="11"/>
  <c r="P505" i="11" s="1"/>
  <c r="L505" i="11"/>
  <c r="O505" i="11" s="1"/>
  <c r="P504" i="11"/>
  <c r="M504" i="11"/>
  <c r="L504" i="11"/>
  <c r="P503" i="11"/>
  <c r="O503" i="11"/>
  <c r="N503" i="11"/>
  <c r="M503" i="11"/>
  <c r="M502" i="11" s="1"/>
  <c r="L503" i="11"/>
  <c r="P502" i="1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N477" i="11"/>
  <c r="M477" i="11"/>
  <c r="P477" i="11" s="1"/>
  <c r="N476" i="11"/>
  <c r="N474" i="11"/>
  <c r="N473" i="11"/>
  <c r="N472" i="11"/>
  <c r="N470" i="11" s="1"/>
  <c r="L472" i="11"/>
  <c r="M472" i="11" s="1"/>
  <c r="P472" i="11" s="1"/>
  <c r="P471" i="11"/>
  <c r="O471" i="11"/>
  <c r="O468" i="11"/>
  <c r="N468" i="11"/>
  <c r="M468" i="11"/>
  <c r="P468" i="11" s="1"/>
  <c r="L468" i="11"/>
  <c r="J466" i="11"/>
  <c r="I466" i="11"/>
  <c r="J465" i="11"/>
  <c r="I465" i="11"/>
  <c r="I464" i="11"/>
  <c r="K464" i="11" s="1"/>
  <c r="I463" i="11"/>
  <c r="K463" i="11" s="1"/>
  <c r="I462" i="11"/>
  <c r="K462" i="11" s="1"/>
  <c r="I460" i="11"/>
  <c r="K460" i="11" s="1"/>
  <c r="K458" i="11"/>
  <c r="P456" i="11"/>
  <c r="L456" i="11"/>
  <c r="L454" i="11" s="1"/>
  <c r="O454" i="11" s="1"/>
  <c r="P455" i="11"/>
  <c r="O455" i="11"/>
  <c r="N454" i="11"/>
  <c r="M454" i="11"/>
  <c r="P454" i="11" s="1"/>
  <c r="N453" i="11"/>
  <c r="N452" i="11"/>
  <c r="N451" i="11"/>
  <c r="N450" i="11"/>
  <c r="L449" i="11"/>
  <c r="P448" i="11"/>
  <c r="O448" i="11"/>
  <c r="O445" i="11"/>
  <c r="N445" i="11"/>
  <c r="M445" i="11"/>
  <c r="L445" i="11"/>
  <c r="J443" i="11"/>
  <c r="J442" i="11"/>
  <c r="I441" i="11"/>
  <c r="K441" i="11" s="1"/>
  <c r="I440" i="11"/>
  <c r="K440" i="11" s="1"/>
  <c r="I439" i="11"/>
  <c r="K439" i="11" s="1"/>
  <c r="I438" i="11"/>
  <c r="K438" i="11" s="1"/>
  <c r="I437" i="11"/>
  <c r="K437" i="11" s="1"/>
  <c r="I435" i="11"/>
  <c r="J434" i="11"/>
  <c r="J418" i="11" s="1"/>
  <c r="P431" i="11"/>
  <c r="L431" i="11"/>
  <c r="P430" i="11"/>
  <c r="O430" i="11"/>
  <c r="N429" i="11"/>
  <c r="M429" i="11"/>
  <c r="P429" i="11" s="1"/>
  <c r="N428" i="11"/>
  <c r="N425" i="11"/>
  <c r="N424" i="11" s="1"/>
  <c r="L424" i="11"/>
  <c r="P423" i="11"/>
  <c r="O423" i="11"/>
  <c r="N422" i="11"/>
  <c r="N420" i="11"/>
  <c r="M420" i="11"/>
  <c r="L420" i="11"/>
  <c r="O420" i="11" s="1"/>
  <c r="K413" i="11"/>
  <c r="K412" i="11"/>
  <c r="N410" i="11"/>
  <c r="N408" i="11" s="1"/>
  <c r="M410" i="11"/>
  <c r="P410" i="11" s="1"/>
  <c r="L410" i="11"/>
  <c r="O410" i="11" s="1"/>
  <c r="P409" i="11"/>
  <c r="O409" i="11"/>
  <c r="N407" i="11"/>
  <c r="M407" i="11"/>
  <c r="P407" i="11" s="1"/>
  <c r="L407" i="11"/>
  <c r="O407" i="11" s="1"/>
  <c r="P406" i="11"/>
  <c r="O406" i="11"/>
  <c r="P403" i="11"/>
  <c r="N403" i="11"/>
  <c r="M403" i="11"/>
  <c r="L403" i="11"/>
  <c r="J401" i="11"/>
  <c r="I401" i="11"/>
  <c r="K401" i="11" s="1"/>
  <c r="K400" i="11"/>
  <c r="K399" i="11"/>
  <c r="N397" i="11"/>
  <c r="N395" i="11" s="1"/>
  <c r="M397" i="11"/>
  <c r="L397" i="11"/>
  <c r="O397" i="11" s="1"/>
  <c r="P396" i="11"/>
  <c r="O396" i="11"/>
  <c r="N394" i="11"/>
  <c r="M394" i="11"/>
  <c r="L394" i="11"/>
  <c r="P393" i="11"/>
  <c r="O393" i="11"/>
  <c r="P390" i="11"/>
  <c r="N390" i="11"/>
  <c r="M390" i="11"/>
  <c r="L390" i="11"/>
  <c r="J388" i="11"/>
  <c r="I388" i="11"/>
  <c r="K388" i="11" s="1"/>
  <c r="J385" i="11"/>
  <c r="I385" i="11"/>
  <c r="D384" i="11"/>
  <c r="K382" i="11"/>
  <c r="J382" i="11"/>
  <c r="A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A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M351" i="11" s="1"/>
  <c r="L353" i="11"/>
  <c r="P352" i="11"/>
  <c r="O352" i="11"/>
  <c r="N350" i="11"/>
  <c r="M350" i="11"/>
  <c r="L350" i="11"/>
  <c r="P349" i="11"/>
  <c r="O349" i="11"/>
  <c r="P346" i="11"/>
  <c r="O346" i="11"/>
  <c r="N346" i="11"/>
  <c r="M346" i="11"/>
  <c r="L346" i="11"/>
  <c r="J343" i="11"/>
  <c r="J342" i="11"/>
  <c r="J341" i="11"/>
  <c r="J340" i="11"/>
  <c r="I340" i="11"/>
  <c r="J338" i="11"/>
  <c r="I338" i="11"/>
  <c r="D337" i="11"/>
  <c r="N336" i="11"/>
  <c r="N334" i="11" s="1"/>
  <c r="M336" i="11"/>
  <c r="L336" i="11"/>
  <c r="O336" i="11" s="1"/>
  <c r="P335" i="11"/>
  <c r="O335" i="11"/>
  <c r="N333" i="11"/>
  <c r="M333" i="11"/>
  <c r="L333" i="11"/>
  <c r="L331" i="11" s="1"/>
  <c r="P332" i="11"/>
  <c r="O332" i="11"/>
  <c r="N329" i="11"/>
  <c r="M329" i="11"/>
  <c r="P329" i="11" s="1"/>
  <c r="L329" i="11"/>
  <c r="O329" i="11" s="1"/>
  <c r="I327" i="11"/>
  <c r="I325" i="11"/>
  <c r="K325" i="11" s="1"/>
  <c r="N323" i="11"/>
  <c r="N321" i="11" s="1"/>
  <c r="M323" i="11"/>
  <c r="L323" i="11"/>
  <c r="P322" i="11"/>
  <c r="O322" i="11"/>
  <c r="N320" i="11"/>
  <c r="N318" i="11" s="1"/>
  <c r="M320" i="11"/>
  <c r="L320" i="11"/>
  <c r="P319" i="11"/>
  <c r="O319" i="11"/>
  <c r="P316" i="11"/>
  <c r="N316" i="11"/>
  <c r="M316" i="11"/>
  <c r="L316" i="11"/>
  <c r="J314" i="11"/>
  <c r="I312" i="11"/>
  <c r="K312" i="11" s="1"/>
  <c r="I311" i="11"/>
  <c r="K311" i="11" s="1"/>
  <c r="I310" i="11"/>
  <c r="K310" i="11" s="1"/>
  <c r="I309" i="11"/>
  <c r="K309" i="11" s="1"/>
  <c r="N306" i="11"/>
  <c r="M306" i="11"/>
  <c r="P306" i="11" s="1"/>
  <c r="L306" i="11"/>
  <c r="L304" i="11" s="1"/>
  <c r="O304" i="11" s="1"/>
  <c r="P305" i="11"/>
  <c r="O305" i="11"/>
  <c r="N303" i="11"/>
  <c r="N301" i="11" s="1"/>
  <c r="M303" i="11"/>
  <c r="L303" i="11"/>
  <c r="L301" i="11" s="1"/>
  <c r="P302" i="11"/>
  <c r="O302" i="11"/>
  <c r="N299" i="11"/>
  <c r="M299" i="11"/>
  <c r="L299" i="11"/>
  <c r="O299" i="11" s="1"/>
  <c r="J297" i="11"/>
  <c r="I294" i="11"/>
  <c r="K294" i="11" s="1"/>
  <c r="I293" i="11"/>
  <c r="K293" i="11" s="1"/>
  <c r="I291" i="11"/>
  <c r="K291" i="11" s="1"/>
  <c r="I290" i="11"/>
  <c r="K290" i="11" s="1"/>
  <c r="I288" i="11"/>
  <c r="J288" i="11" s="1"/>
  <c r="J275" i="11" s="1"/>
  <c r="I287" i="11"/>
  <c r="I276" i="11" s="1"/>
  <c r="K276" i="11" s="1"/>
  <c r="N285" i="11"/>
  <c r="N283" i="11" s="1"/>
  <c r="M285" i="11"/>
  <c r="M283" i="11" s="1"/>
  <c r="P283" i="11" s="1"/>
  <c r="L285" i="11"/>
  <c r="L283" i="11" s="1"/>
  <c r="O283" i="11" s="1"/>
  <c r="P284" i="11"/>
  <c r="O284" i="11"/>
  <c r="N282" i="11"/>
  <c r="M282" i="11"/>
  <c r="M280" i="11" s="1"/>
  <c r="L282" i="11"/>
  <c r="L280" i="11" s="1"/>
  <c r="P281" i="11"/>
  <c r="O281" i="11"/>
  <c r="O278" i="11"/>
  <c r="N278" i="11"/>
  <c r="M278" i="11"/>
  <c r="P278" i="11" s="1"/>
  <c r="L278" i="11"/>
  <c r="J276" i="11"/>
  <c r="I271" i="11"/>
  <c r="I260" i="11" s="1"/>
  <c r="K260" i="11" s="1"/>
  <c r="N269" i="11"/>
  <c r="N267" i="11" s="1"/>
  <c r="M269" i="11"/>
  <c r="P269" i="11" s="1"/>
  <c r="L269" i="11"/>
  <c r="L267" i="11" s="1"/>
  <c r="O267" i="11" s="1"/>
  <c r="P268" i="11"/>
  <c r="O268" i="11"/>
  <c r="N266" i="11"/>
  <c r="N264" i="11" s="1"/>
  <c r="M266" i="11"/>
  <c r="M264" i="11" s="1"/>
  <c r="L266" i="11"/>
  <c r="P265" i="11"/>
  <c r="O265" i="11"/>
  <c r="N262" i="11"/>
  <c r="M262" i="11"/>
  <c r="P262" i="11" s="1"/>
  <c r="L262" i="11"/>
  <c r="O262" i="11" s="1"/>
  <c r="J260" i="11"/>
  <c r="K258" i="11"/>
  <c r="K257" i="11"/>
  <c r="I255" i="11"/>
  <c r="K255" i="11" s="1"/>
  <c r="L253" i="11"/>
  <c r="L252" i="11"/>
  <c r="L251" i="11"/>
  <c r="L250" i="11"/>
  <c r="P249" i="11"/>
  <c r="N249" i="11"/>
  <c r="J248" i="11"/>
  <c r="J226" i="11" s="1"/>
  <c r="J180" i="11" s="1"/>
  <c r="K247" i="11"/>
  <c r="K246" i="11"/>
  <c r="I244" i="11"/>
  <c r="K244" i="11" s="1"/>
  <c r="L242" i="11"/>
  <c r="L241" i="11"/>
  <c r="L240" i="11"/>
  <c r="L239" i="11"/>
  <c r="P238" i="11"/>
  <c r="N238" i="11"/>
  <c r="N227" i="11" s="1"/>
  <c r="J237" i="11"/>
  <c r="J236" i="11"/>
  <c r="I236" i="11"/>
  <c r="K236" i="11" s="1"/>
  <c r="J235" i="11"/>
  <c r="I235" i="11"/>
  <c r="K235" i="11" s="1"/>
  <c r="J233" i="11"/>
  <c r="N231" i="11"/>
  <c r="N230" i="11"/>
  <c r="N229" i="11"/>
  <c r="N228" i="11"/>
  <c r="I225" i="11"/>
  <c r="K225" i="11" s="1"/>
  <c r="I224" i="11"/>
  <c r="K224" i="11" s="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L202" i="11"/>
  <c r="L201" i="11"/>
  <c r="L200" i="11"/>
  <c r="L199" i="11"/>
  <c r="P198" i="11"/>
  <c r="N198" i="11"/>
  <c r="J197" i="11"/>
  <c r="J195" i="11"/>
  <c r="J194" i="11"/>
  <c r="I193" i="11"/>
  <c r="P191" i="11"/>
  <c r="L191" i="11"/>
  <c r="O191" i="11" s="1"/>
  <c r="J190" i="11"/>
  <c r="N189" i="11"/>
  <c r="N187" i="11" s="1"/>
  <c r="M189" i="11"/>
  <c r="L189" i="11"/>
  <c r="O189" i="11" s="1"/>
  <c r="P188" i="11"/>
  <c r="O188" i="11"/>
  <c r="N186" i="11"/>
  <c r="N184" i="11" s="1"/>
  <c r="M186" i="11"/>
  <c r="L186" i="11"/>
  <c r="L184" i="11" s="1"/>
  <c r="P185" i="11"/>
  <c r="O185" i="11"/>
  <c r="N182" i="11"/>
  <c r="M182" i="11"/>
  <c r="L182" i="11"/>
  <c r="O182" i="11" s="1"/>
  <c r="J177" i="11"/>
  <c r="J164" i="11" s="1"/>
  <c r="I176" i="11"/>
  <c r="J174" i="11"/>
  <c r="N173" i="11"/>
  <c r="N171" i="11" s="1"/>
  <c r="M173" i="11"/>
  <c r="L173" i="11"/>
  <c r="O173" i="11" s="1"/>
  <c r="P172" i="11"/>
  <c r="O172" i="11"/>
  <c r="N170" i="11"/>
  <c r="N168" i="11" s="1"/>
  <c r="M170" i="11"/>
  <c r="L170" i="11"/>
  <c r="P169" i="11"/>
  <c r="O169" i="11"/>
  <c r="N166" i="11"/>
  <c r="M166" i="11"/>
  <c r="L166" i="11"/>
  <c r="O166" i="11" s="1"/>
  <c r="I159" i="11"/>
  <c r="I148" i="11" s="1"/>
  <c r="K148" i="11" s="1"/>
  <c r="N157" i="11"/>
  <c r="N155" i="11" s="1"/>
  <c r="M157" i="11"/>
  <c r="M155" i="11" s="1"/>
  <c r="P155" i="11" s="1"/>
  <c r="L157" i="11"/>
  <c r="L155" i="11" s="1"/>
  <c r="O155" i="11" s="1"/>
  <c r="P156" i="11"/>
  <c r="O156" i="11"/>
  <c r="N154" i="11"/>
  <c r="N152" i="11" s="1"/>
  <c r="M154" i="11"/>
  <c r="M152" i="11" s="1"/>
  <c r="L154" i="11"/>
  <c r="L152" i="11" s="1"/>
  <c r="O152" i="11" s="1"/>
  <c r="P153" i="11"/>
  <c r="O153" i="11"/>
  <c r="O150" i="11"/>
  <c r="N150" i="11"/>
  <c r="M150" i="11"/>
  <c r="P150" i="11" s="1"/>
  <c r="L150" i="11"/>
  <c r="J148" i="11"/>
  <c r="I146" i="11"/>
  <c r="I130" i="11" s="1"/>
  <c r="K130" i="11" s="1"/>
  <c r="I145" i="11"/>
  <c r="K145" i="11" s="1"/>
  <c r="I144" i="11"/>
  <c r="N140" i="11"/>
  <c r="N138" i="11" s="1"/>
  <c r="M140" i="11"/>
  <c r="L140" i="11"/>
  <c r="P139" i="11"/>
  <c r="O139" i="11"/>
  <c r="N137" i="11"/>
  <c r="M137" i="11"/>
  <c r="M135" i="11" s="1"/>
  <c r="L137" i="11"/>
  <c r="P136" i="11"/>
  <c r="O136" i="11"/>
  <c r="N133" i="11"/>
  <c r="M133" i="11"/>
  <c r="L133" i="11"/>
  <c r="O133" i="11" s="1"/>
  <c r="J130" i="11"/>
  <c r="N127" i="11"/>
  <c r="M127" i="11"/>
  <c r="M125" i="11" s="1"/>
  <c r="L127" i="11"/>
  <c r="L125" i="11" s="1"/>
  <c r="P126" i="11"/>
  <c r="O126" i="11"/>
  <c r="N124" i="11"/>
  <c r="M124" i="11"/>
  <c r="M122" i="11" s="1"/>
  <c r="P122" i="11" s="1"/>
  <c r="L124" i="11"/>
  <c r="O124" i="11" s="1"/>
  <c r="P123" i="11"/>
  <c r="O123" i="11"/>
  <c r="P120" i="11"/>
  <c r="O120" i="11"/>
  <c r="N120" i="11"/>
  <c r="M120" i="11"/>
  <c r="L120" i="11"/>
  <c r="K118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J87" i="11" s="1"/>
  <c r="I99" i="11"/>
  <c r="I87" i="11" s="1"/>
  <c r="K87" i="11" s="1"/>
  <c r="J98" i="11"/>
  <c r="I98" i="11"/>
  <c r="K98" i="11" s="1"/>
  <c r="N96" i="11"/>
  <c r="N94" i="11" s="1"/>
  <c r="M96" i="11"/>
  <c r="M94" i="11" s="1"/>
  <c r="P94" i="11" s="1"/>
  <c r="L96" i="11"/>
  <c r="L94" i="11" s="1"/>
  <c r="O94" i="11" s="1"/>
  <c r="P95" i="11"/>
  <c r="O95" i="11"/>
  <c r="N93" i="11"/>
  <c r="N91" i="11" s="1"/>
  <c r="M93" i="11"/>
  <c r="L93" i="11"/>
  <c r="L91" i="11" s="1"/>
  <c r="P92" i="11"/>
  <c r="O92" i="11"/>
  <c r="O89" i="11"/>
  <c r="N89" i="11"/>
  <c r="M89" i="11"/>
  <c r="L89" i="11"/>
  <c r="J86" i="11"/>
  <c r="I84" i="11"/>
  <c r="K84" i="11" s="1"/>
  <c r="I83" i="11"/>
  <c r="K83" i="11" s="1"/>
  <c r="I82" i="11"/>
  <c r="K82" i="11" s="1"/>
  <c r="I81" i="11"/>
  <c r="K81" i="11" s="1"/>
  <c r="I80" i="11"/>
  <c r="I79" i="11"/>
  <c r="I78" i="11"/>
  <c r="K78" i="11" s="1"/>
  <c r="J77" i="11"/>
  <c r="J76" i="11"/>
  <c r="N74" i="11"/>
  <c r="M74" i="11"/>
  <c r="L74" i="11"/>
  <c r="L72" i="11" s="1"/>
  <c r="O72" i="11" s="1"/>
  <c r="P73" i="11"/>
  <c r="O73" i="11"/>
  <c r="N71" i="11"/>
  <c r="N69" i="11" s="1"/>
  <c r="M71" i="11"/>
  <c r="L71" i="11"/>
  <c r="P70" i="11"/>
  <c r="O70" i="11"/>
  <c r="N67" i="11"/>
  <c r="M67" i="11"/>
  <c r="P67" i="11" s="1"/>
  <c r="L67" i="11"/>
  <c r="O67" i="11" s="1"/>
  <c r="J65" i="11"/>
  <c r="J64" i="11"/>
  <c r="N61" i="11"/>
  <c r="N59" i="11" s="1"/>
  <c r="M61" i="11"/>
  <c r="L61" i="11"/>
  <c r="L59" i="11" s="1"/>
  <c r="P60" i="11"/>
  <c r="O60" i="11"/>
  <c r="N58" i="11"/>
  <c r="N56" i="11" s="1"/>
  <c r="M58" i="11"/>
  <c r="L58" i="11"/>
  <c r="L56" i="11" s="1"/>
  <c r="P57" i="11"/>
  <c r="O57" i="11"/>
  <c r="P54" i="11"/>
  <c r="O54" i="11"/>
  <c r="N54" i="11"/>
  <c r="M54" i="11"/>
  <c r="L54" i="11"/>
  <c r="N49" i="11"/>
  <c r="N47" i="11" s="1"/>
  <c r="M49" i="11"/>
  <c r="P49" i="11" s="1"/>
  <c r="L49" i="11"/>
  <c r="O49" i="11" s="1"/>
  <c r="P48" i="11"/>
  <c r="O48" i="11"/>
  <c r="N46" i="11"/>
  <c r="M46" i="11"/>
  <c r="L46" i="11"/>
  <c r="L44" i="11" s="1"/>
  <c r="P45" i="11"/>
  <c r="O45" i="11"/>
  <c r="N42" i="11"/>
  <c r="M42" i="11"/>
  <c r="L42" i="11"/>
  <c r="O42" i="11" s="1"/>
  <c r="N36" i="11"/>
  <c r="M36" i="11"/>
  <c r="P36" i="11" s="1"/>
  <c r="N35" i="11"/>
  <c r="M35" i="11"/>
  <c r="L35" i="11"/>
  <c r="O35" i="11" s="1"/>
  <c r="N34" i="11"/>
  <c r="P32" i="11"/>
  <c r="N32" i="11"/>
  <c r="N29" i="11" s="1"/>
  <c r="M32" i="11"/>
  <c r="L32" i="11"/>
  <c r="P25" i="11"/>
  <c r="O25" i="11"/>
  <c r="N25" i="11"/>
  <c r="N15" i="11" s="1"/>
  <c r="M25" i="11"/>
  <c r="L25" i="11"/>
  <c r="L15" i="11" s="1"/>
  <c r="N22" i="11"/>
  <c r="M22" i="11"/>
  <c r="L22" i="11"/>
  <c r="O22" i="11" s="1"/>
  <c r="L19" i="11"/>
  <c r="N12" i="1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N807" i="10" s="1"/>
  <c r="N805" i="10" s="1"/>
  <c r="P809" i="10"/>
  <c r="O809" i="10"/>
  <c r="N808" i="10"/>
  <c r="M808" i="10"/>
  <c r="P808" i="10" s="1"/>
  <c r="L808" i="10"/>
  <c r="O808" i="10" s="1"/>
  <c r="M807" i="10"/>
  <c r="P807" i="10" s="1"/>
  <c r="L807" i="10"/>
  <c r="O807" i="10" s="1"/>
  <c r="P806" i="10"/>
  <c r="N806" i="10"/>
  <c r="M806" i="10"/>
  <c r="M805" i="10" s="1"/>
  <c r="P805" i="10" s="1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N786" i="10" s="1"/>
  <c r="L791" i="10"/>
  <c r="O791" i="10" s="1"/>
  <c r="P790" i="10"/>
  <c r="O790" i="10"/>
  <c r="N789" i="10"/>
  <c r="M789" i="10"/>
  <c r="P789" i="10" s="1"/>
  <c r="M788" i="10"/>
  <c r="P788" i="10" s="1"/>
  <c r="P787" i="10"/>
  <c r="N787" i="10"/>
  <c r="M787" i="10"/>
  <c r="L787" i="10"/>
  <c r="P782" i="10"/>
  <c r="O782" i="10"/>
  <c r="P781" i="10"/>
  <c r="O781" i="10"/>
  <c r="P780" i="10"/>
  <c r="O780" i="10"/>
  <c r="N780" i="10"/>
  <c r="M780" i="10"/>
  <c r="L780" i="10"/>
  <c r="P775" i="10"/>
  <c r="O775" i="10"/>
  <c r="N775" i="10"/>
  <c r="N773" i="10" s="1"/>
  <c r="P774" i="10"/>
  <c r="O774" i="10"/>
  <c r="O773" i="10"/>
  <c r="M773" i="10"/>
  <c r="P773" i="10" s="1"/>
  <c r="L773" i="10"/>
  <c r="N772" i="10"/>
  <c r="M772" i="10"/>
  <c r="P772" i="10" s="1"/>
  <c r="L772" i="10"/>
  <c r="O772" i="10" s="1"/>
  <c r="N771" i="10"/>
  <c r="N770" i="10" s="1"/>
  <c r="M771" i="10"/>
  <c r="L771" i="10"/>
  <c r="O771" i="10" s="1"/>
  <c r="L770" i="10"/>
  <c r="O770" i="10" s="1"/>
  <c r="K769" i="10"/>
  <c r="J769" i="10"/>
  <c r="P766" i="10"/>
  <c r="O766" i="10"/>
  <c r="P765" i="10"/>
  <c r="O765" i="10"/>
  <c r="P764" i="10"/>
  <c r="O764" i="10"/>
  <c r="N764" i="10"/>
  <c r="M764" i="10"/>
  <c r="L764" i="10"/>
  <c r="P759" i="10"/>
  <c r="O759" i="10"/>
  <c r="N759" i="10"/>
  <c r="N757" i="10" s="1"/>
  <c r="P758" i="10"/>
  <c r="O758" i="10"/>
  <c r="O757" i="10"/>
  <c r="M757" i="10"/>
  <c r="P757" i="10" s="1"/>
  <c r="L757" i="10"/>
  <c r="N756" i="10"/>
  <c r="M756" i="10"/>
  <c r="P756" i="10" s="1"/>
  <c r="L756" i="10"/>
  <c r="O756" i="10" s="1"/>
  <c r="N755" i="10"/>
  <c r="M755" i="10"/>
  <c r="L755" i="10"/>
  <c r="O755" i="10" s="1"/>
  <c r="L754" i="10"/>
  <c r="O754" i="10" s="1"/>
  <c r="K753" i="10"/>
  <c r="J753" i="10"/>
  <c r="P749" i="10"/>
  <c r="O749" i="10"/>
  <c r="P748" i="10"/>
  <c r="O748" i="10"/>
  <c r="P747" i="10"/>
  <c r="O747" i="10"/>
  <c r="N747" i="10"/>
  <c r="M747" i="10"/>
  <c r="L747" i="10"/>
  <c r="P742" i="10"/>
  <c r="O742" i="10"/>
  <c r="N742" i="10"/>
  <c r="N740" i="10" s="1"/>
  <c r="P741" i="10"/>
  <c r="O741" i="10"/>
  <c r="O740" i="10"/>
  <c r="M740" i="10"/>
  <c r="P740" i="10" s="1"/>
  <c r="L740" i="10"/>
  <c r="N739" i="10"/>
  <c r="M739" i="10"/>
  <c r="P739" i="10" s="1"/>
  <c r="L739" i="10"/>
  <c r="O739" i="10" s="1"/>
  <c r="N738" i="10"/>
  <c r="M738" i="10"/>
  <c r="L738" i="10"/>
  <c r="O738" i="10" s="1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O695" i="10"/>
  <c r="N695" i="10"/>
  <c r="M695" i="10"/>
  <c r="L695" i="10"/>
  <c r="P690" i="10"/>
  <c r="N690" i="10"/>
  <c r="N687" i="10" s="1"/>
  <c r="N685" i="10" s="1"/>
  <c r="L690" i="10"/>
  <c r="O690" i="10" s="1"/>
  <c r="N688" i="10"/>
  <c r="M688" i="10"/>
  <c r="P688" i="10" s="1"/>
  <c r="M687" i="10"/>
  <c r="P686" i="10"/>
  <c r="N686" i="10"/>
  <c r="M686" i="10"/>
  <c r="L686" i="10"/>
  <c r="J679" i="10"/>
  <c r="J678" i="10" s="1"/>
  <c r="I678" i="10"/>
  <c r="K678" i="10" s="1"/>
  <c r="J675" i="10"/>
  <c r="I671" i="10"/>
  <c r="K671" i="10" s="1"/>
  <c r="I670" i="10"/>
  <c r="K670" i="10" s="1"/>
  <c r="J669" i="10"/>
  <c r="J654" i="10" s="1"/>
  <c r="I669" i="10"/>
  <c r="K673" i="10" s="1"/>
  <c r="P667" i="10"/>
  <c r="O667" i="10"/>
  <c r="P666" i="10"/>
  <c r="O666" i="10"/>
  <c r="P665" i="10"/>
  <c r="N665" i="10"/>
  <c r="M665" i="10"/>
  <c r="L665" i="10"/>
  <c r="O665" i="10" s="1"/>
  <c r="P660" i="10"/>
  <c r="N660" i="10"/>
  <c r="N657" i="10" s="1"/>
  <c r="N655" i="10" s="1"/>
  <c r="L660" i="10"/>
  <c r="L658" i="10" s="1"/>
  <c r="O658" i="10" s="1"/>
  <c r="P659" i="10"/>
  <c r="O659" i="10"/>
  <c r="P658" i="10"/>
  <c r="N658" i="10"/>
  <c r="M658" i="10"/>
  <c r="P657" i="10"/>
  <c r="M657" i="10"/>
  <c r="O656" i="10"/>
  <c r="N656" i="10"/>
  <c r="M656" i="10"/>
  <c r="M655" i="10" s="1"/>
  <c r="P655" i="10" s="1"/>
  <c r="L656" i="10"/>
  <c r="K652" i="10"/>
  <c r="J652" i="10"/>
  <c r="A652" i="10"/>
  <c r="J651" i="10"/>
  <c r="J628" i="10" s="1"/>
  <c r="I651" i="10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O641" i="10" s="1"/>
  <c r="P640" i="10"/>
  <c r="O640" i="10"/>
  <c r="N639" i="10"/>
  <c r="M639" i="10"/>
  <c r="P639" i="10" s="1"/>
  <c r="N634" i="10"/>
  <c r="N632" i="10" s="1"/>
  <c r="L634" i="10"/>
  <c r="M634" i="10" s="1"/>
  <c r="P633" i="10"/>
  <c r="O633" i="10"/>
  <c r="N631" i="10"/>
  <c r="N629" i="10" s="1"/>
  <c r="N630" i="10"/>
  <c r="M630" i="10"/>
  <c r="L630" i="10"/>
  <c r="O630" i="10" s="1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4" i="10" s="1"/>
  <c r="J595" i="10"/>
  <c r="I594" i="10"/>
  <c r="J593" i="10"/>
  <c r="J592" i="10" s="1"/>
  <c r="I593" i="10"/>
  <c r="I592" i="10" s="1"/>
  <c r="J583" i="10"/>
  <c r="J582" i="10"/>
  <c r="J576" i="10" s="1"/>
  <c r="J559" i="10" s="1"/>
  <c r="J543" i="10" s="1"/>
  <c r="J577" i="10"/>
  <c r="I577" i="10"/>
  <c r="K577" i="10" s="1"/>
  <c r="I576" i="10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P557" i="10"/>
  <c r="L557" i="10"/>
  <c r="P556" i="10"/>
  <c r="O556" i="10"/>
  <c r="N555" i="10"/>
  <c r="M555" i="10"/>
  <c r="N549" i="10"/>
  <c r="L549" i="10"/>
  <c r="L546" i="10" s="1"/>
  <c r="P548" i="10"/>
  <c r="O548" i="10"/>
  <c r="N547" i="10"/>
  <c r="N546" i="10"/>
  <c r="O545" i="10"/>
  <c r="N545" i="10"/>
  <c r="L545" i="10"/>
  <c r="N544" i="10"/>
  <c r="I542" i="10"/>
  <c r="K542" i="10" s="1"/>
  <c r="I541" i="10"/>
  <c r="K541" i="10" s="1"/>
  <c r="I540" i="10"/>
  <c r="K540" i="10" s="1"/>
  <c r="I539" i="10"/>
  <c r="I538" i="10"/>
  <c r="K538" i="10" s="1"/>
  <c r="I537" i="10"/>
  <c r="I522" i="10" s="1"/>
  <c r="K522" i="10" s="1"/>
  <c r="P535" i="10"/>
  <c r="L535" i="10"/>
  <c r="O535" i="10" s="1"/>
  <c r="P534" i="10"/>
  <c r="O534" i="10"/>
  <c r="P533" i="10"/>
  <c r="N533" i="10"/>
  <c r="M533" i="10"/>
  <c r="P528" i="10"/>
  <c r="N528" i="10"/>
  <c r="L528" i="10"/>
  <c r="L526" i="10" s="1"/>
  <c r="O526" i="10" s="1"/>
  <c r="P527" i="10"/>
  <c r="O527" i="10"/>
  <c r="P526" i="10"/>
  <c r="N526" i="10"/>
  <c r="M526" i="10"/>
  <c r="P525" i="10"/>
  <c r="N525" i="10"/>
  <c r="M525" i="10"/>
  <c r="O524" i="10"/>
  <c r="N524" i="10"/>
  <c r="M524" i="10"/>
  <c r="M523" i="10" s="1"/>
  <c r="P523" i="10" s="1"/>
  <c r="L524" i="10"/>
  <c r="N523" i="10"/>
  <c r="K517" i="10"/>
  <c r="J517" i="10"/>
  <c r="K516" i="10"/>
  <c r="P514" i="10"/>
  <c r="O514" i="10"/>
  <c r="P513" i="10"/>
  <c r="O513" i="10"/>
  <c r="P512" i="10"/>
  <c r="O512" i="10"/>
  <c r="N512" i="10"/>
  <c r="M512" i="10"/>
  <c r="L512" i="10"/>
  <c r="P507" i="10"/>
  <c r="O507" i="10"/>
  <c r="N507" i="10"/>
  <c r="N505" i="10" s="1"/>
  <c r="P506" i="10"/>
  <c r="O506" i="10"/>
  <c r="O505" i="10"/>
  <c r="M505" i="10"/>
  <c r="P505" i="10" s="1"/>
  <c r="L505" i="10"/>
  <c r="N504" i="10"/>
  <c r="N502" i="10" s="1"/>
  <c r="M504" i="10"/>
  <c r="P504" i="10" s="1"/>
  <c r="L504" i="10"/>
  <c r="O504" i="10" s="1"/>
  <c r="N503" i="10"/>
  <c r="M503" i="10"/>
  <c r="L503" i="10"/>
  <c r="O503" i="10" s="1"/>
  <c r="L502" i="10"/>
  <c r="O502" i="10" s="1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L477" i="10" s="1"/>
  <c r="O477" i="10" s="1"/>
  <c r="P478" i="10"/>
  <c r="O478" i="10"/>
  <c r="P477" i="10"/>
  <c r="N477" i="10"/>
  <c r="M477" i="10"/>
  <c r="N472" i="10"/>
  <c r="L472" i="10"/>
  <c r="P471" i="10"/>
  <c r="O471" i="10"/>
  <c r="N470" i="10"/>
  <c r="N469" i="10"/>
  <c r="N468" i="10"/>
  <c r="N467" i="10" s="1"/>
  <c r="M468" i="10"/>
  <c r="P468" i="10" s="1"/>
  <c r="L468" i="10"/>
  <c r="J466" i="10"/>
  <c r="I466" i="10"/>
  <c r="K466" i="10" s="1"/>
  <c r="J465" i="10"/>
  <c r="I465" i="10"/>
  <c r="K465" i="10" s="1"/>
  <c r="I464" i="10"/>
  <c r="K464" i="10" s="1"/>
  <c r="I463" i="10"/>
  <c r="K463" i="10" s="1"/>
  <c r="I462" i="10"/>
  <c r="I443" i="10" s="1"/>
  <c r="K443" i="10" s="1"/>
  <c r="I460" i="10"/>
  <c r="I442" i="10" s="1"/>
  <c r="K442" i="10" s="1"/>
  <c r="K458" i="10"/>
  <c r="P456" i="10"/>
  <c r="L456" i="10"/>
  <c r="O456" i="10" s="1"/>
  <c r="P455" i="10"/>
  <c r="O455" i="10"/>
  <c r="N454" i="10"/>
  <c r="M454" i="10"/>
  <c r="P454" i="10" s="1"/>
  <c r="N449" i="10"/>
  <c r="L449" i="10"/>
  <c r="O449" i="10" s="1"/>
  <c r="P448" i="10"/>
  <c r="O448" i="10"/>
  <c r="N447" i="10"/>
  <c r="N446" i="10"/>
  <c r="P445" i="10"/>
  <c r="N445" i="10"/>
  <c r="M445" i="10"/>
  <c r="L445" i="10"/>
  <c r="N444" i="10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I435" i="10"/>
  <c r="K435" i="10" s="1"/>
  <c r="J434" i="10"/>
  <c r="P431" i="10"/>
  <c r="L431" i="10"/>
  <c r="O431" i="10" s="1"/>
  <c r="P430" i="10"/>
  <c r="O430" i="10"/>
  <c r="N429" i="10"/>
  <c r="M429" i="10"/>
  <c r="P429" i="10" s="1"/>
  <c r="N424" i="10"/>
  <c r="N422" i="10" s="1"/>
  <c r="L424" i="10"/>
  <c r="L422" i="10" s="1"/>
  <c r="O422" i="10" s="1"/>
  <c r="P423" i="10"/>
  <c r="O423" i="10"/>
  <c r="N420" i="10"/>
  <c r="M420" i="10"/>
  <c r="P420" i="10" s="1"/>
  <c r="L420" i="10"/>
  <c r="O420" i="10" s="1"/>
  <c r="J418" i="10"/>
  <c r="K413" i="10"/>
  <c r="K412" i="10"/>
  <c r="N410" i="10"/>
  <c r="N408" i="10" s="1"/>
  <c r="M410" i="10"/>
  <c r="P410" i="10" s="1"/>
  <c r="L410" i="10"/>
  <c r="L408" i="10" s="1"/>
  <c r="O408" i="10" s="1"/>
  <c r="P409" i="10"/>
  <c r="O409" i="10"/>
  <c r="N407" i="10"/>
  <c r="M407" i="10"/>
  <c r="M405" i="10" s="1"/>
  <c r="P405" i="10" s="1"/>
  <c r="L407" i="10"/>
  <c r="L405" i="10" s="1"/>
  <c r="O405" i="10" s="1"/>
  <c r="P406" i="10"/>
  <c r="O406" i="10"/>
  <c r="P403" i="10"/>
  <c r="O403" i="10"/>
  <c r="N403" i="10"/>
  <c r="M403" i="10"/>
  <c r="L403" i="10"/>
  <c r="J401" i="10"/>
  <c r="I401" i="10"/>
  <c r="K401" i="10" s="1"/>
  <c r="K400" i="10"/>
  <c r="K399" i="10"/>
  <c r="N397" i="10"/>
  <c r="N395" i="10" s="1"/>
  <c r="M397" i="10"/>
  <c r="P397" i="10" s="1"/>
  <c r="L397" i="10"/>
  <c r="O397" i="10" s="1"/>
  <c r="P396" i="10"/>
  <c r="O396" i="10"/>
  <c r="N394" i="10"/>
  <c r="N392" i="10" s="1"/>
  <c r="M394" i="10"/>
  <c r="P394" i="10" s="1"/>
  <c r="L394" i="10"/>
  <c r="P393" i="10"/>
  <c r="O393" i="10"/>
  <c r="P390" i="10"/>
  <c r="N390" i="10"/>
  <c r="M390" i="10"/>
  <c r="L390" i="10"/>
  <c r="O390" i="10" s="1"/>
  <c r="J388" i="10"/>
  <c r="I388" i="10"/>
  <c r="K388" i="10" s="1"/>
  <c r="J385" i="10"/>
  <c r="I385" i="10"/>
  <c r="D384" i="10"/>
  <c r="K382" i="10"/>
  <c r="J382" i="10"/>
  <c r="A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A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M351" i="10" s="1"/>
  <c r="L353" i="10"/>
  <c r="L351" i="10" s="1"/>
  <c r="P352" i="10"/>
  <c r="O352" i="10"/>
  <c r="N350" i="10"/>
  <c r="N348" i="10" s="1"/>
  <c r="M350" i="10"/>
  <c r="L350" i="10"/>
  <c r="P349" i="10"/>
  <c r="O349" i="10"/>
  <c r="O346" i="10"/>
  <c r="N346" i="10"/>
  <c r="M346" i="10"/>
  <c r="P346" i="10" s="1"/>
  <c r="L346" i="10"/>
  <c r="J343" i="10"/>
  <c r="J342" i="10"/>
  <c r="J341" i="10"/>
  <c r="J340" i="10"/>
  <c r="I340" i="10"/>
  <c r="J338" i="10"/>
  <c r="I338" i="10"/>
  <c r="D337" i="10"/>
  <c r="N336" i="10"/>
  <c r="N334" i="10" s="1"/>
  <c r="M336" i="10"/>
  <c r="L336" i="10"/>
  <c r="L334" i="10" s="1"/>
  <c r="P335" i="10"/>
  <c r="O335" i="10"/>
  <c r="N333" i="10"/>
  <c r="N331" i="10" s="1"/>
  <c r="M333" i="10"/>
  <c r="L333" i="10"/>
  <c r="P332" i="10"/>
  <c r="O332" i="10"/>
  <c r="P329" i="10"/>
  <c r="O329" i="10"/>
  <c r="N329" i="10"/>
  <c r="M329" i="10"/>
  <c r="L329" i="10"/>
  <c r="I327" i="10"/>
  <c r="I325" i="10"/>
  <c r="I314" i="10" s="1"/>
  <c r="K314" i="10" s="1"/>
  <c r="N323" i="10"/>
  <c r="N321" i="10" s="1"/>
  <c r="M323" i="10"/>
  <c r="P323" i="10" s="1"/>
  <c r="L323" i="10"/>
  <c r="O323" i="10" s="1"/>
  <c r="P322" i="10"/>
  <c r="O322" i="10"/>
  <c r="N320" i="10"/>
  <c r="N318" i="10" s="1"/>
  <c r="M320" i="10"/>
  <c r="L320" i="10"/>
  <c r="L318" i="10" s="1"/>
  <c r="O318" i="10" s="1"/>
  <c r="P319" i="10"/>
  <c r="O319" i="10"/>
  <c r="N316" i="10"/>
  <c r="M316" i="10"/>
  <c r="P316" i="10" s="1"/>
  <c r="L316" i="10"/>
  <c r="J314" i="10"/>
  <c r="I312" i="10"/>
  <c r="K312" i="10" s="1"/>
  <c r="I311" i="10"/>
  <c r="K311" i="10" s="1"/>
  <c r="I310" i="10"/>
  <c r="K310" i="10" s="1"/>
  <c r="I309" i="10"/>
  <c r="N306" i="10"/>
  <c r="N304" i="10" s="1"/>
  <c r="M306" i="10"/>
  <c r="M304" i="10" s="1"/>
  <c r="P304" i="10" s="1"/>
  <c r="L306" i="10"/>
  <c r="O306" i="10" s="1"/>
  <c r="P305" i="10"/>
  <c r="O305" i="10"/>
  <c r="N303" i="10"/>
  <c r="M303" i="10"/>
  <c r="L303" i="10"/>
  <c r="P302" i="10"/>
  <c r="O302" i="10"/>
  <c r="P299" i="10"/>
  <c r="O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J288" i="10" s="1"/>
  <c r="I287" i="10"/>
  <c r="I276" i="10" s="1"/>
  <c r="N285" i="10"/>
  <c r="N283" i="10" s="1"/>
  <c r="M285" i="10"/>
  <c r="P285" i="10" s="1"/>
  <c r="L285" i="10"/>
  <c r="P284" i="10"/>
  <c r="O284" i="10"/>
  <c r="N282" i="10"/>
  <c r="N280" i="10" s="1"/>
  <c r="M282" i="10"/>
  <c r="M280" i="10" s="1"/>
  <c r="L282" i="10"/>
  <c r="L280" i="10" s="1"/>
  <c r="P281" i="10"/>
  <c r="O281" i="10"/>
  <c r="P278" i="10"/>
  <c r="O278" i="10"/>
  <c r="N278" i="10"/>
  <c r="M278" i="10"/>
  <c r="L278" i="10"/>
  <c r="J276" i="10"/>
  <c r="I271" i="10"/>
  <c r="K271" i="10" s="1"/>
  <c r="N269" i="10"/>
  <c r="N267" i="10" s="1"/>
  <c r="M269" i="10"/>
  <c r="M267" i="10" s="1"/>
  <c r="P267" i="10" s="1"/>
  <c r="L269" i="10"/>
  <c r="O269" i="10" s="1"/>
  <c r="P268" i="10"/>
  <c r="O268" i="10"/>
  <c r="N266" i="10"/>
  <c r="M266" i="10"/>
  <c r="M264" i="10" s="1"/>
  <c r="L266" i="10"/>
  <c r="L264" i="10" s="1"/>
  <c r="P265" i="10"/>
  <c r="O265" i="10"/>
  <c r="O262" i="10"/>
  <c r="N262" i="10"/>
  <c r="M262" i="10"/>
  <c r="P262" i="10" s="1"/>
  <c r="L262" i="10"/>
  <c r="J260" i="10"/>
  <c r="K258" i="10"/>
  <c r="K257" i="10"/>
  <c r="I255" i="10"/>
  <c r="K255" i="10" s="1"/>
  <c r="L253" i="10"/>
  <c r="L252" i="10"/>
  <c r="L251" i="10"/>
  <c r="L250" i="10"/>
  <c r="P249" i="10"/>
  <c r="N249" i="10"/>
  <c r="J248" i="10"/>
  <c r="J226" i="10" s="1"/>
  <c r="J180" i="10" s="1"/>
  <c r="K247" i="10"/>
  <c r="K246" i="10"/>
  <c r="I244" i="10"/>
  <c r="K244" i="10" s="1"/>
  <c r="L242" i="10"/>
  <c r="L241" i="10"/>
  <c r="L240" i="10"/>
  <c r="L239" i="10"/>
  <c r="P238" i="10"/>
  <c r="N238" i="10"/>
  <c r="J237" i="10"/>
  <c r="J236" i="10"/>
  <c r="I236" i="10"/>
  <c r="K236" i="10" s="1"/>
  <c r="J235" i="10"/>
  <c r="I235" i="10"/>
  <c r="K235" i="10" s="1"/>
  <c r="J233" i="10"/>
  <c r="N231" i="10"/>
  <c r="N230" i="10"/>
  <c r="N229" i="10"/>
  <c r="N228" i="10"/>
  <c r="N227" i="10"/>
  <c r="I225" i="10"/>
  <c r="I224" i="10"/>
  <c r="K224" i="10" s="1"/>
  <c r="I223" i="10"/>
  <c r="K223" i="10" s="1"/>
  <c r="L220" i="10"/>
  <c r="L219" i="10"/>
  <c r="L218" i="10"/>
  <c r="P217" i="10"/>
  <c r="N217" i="10"/>
  <c r="J216" i="10"/>
  <c r="I215" i="10"/>
  <c r="I208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P189" i="10" s="1"/>
  <c r="L189" i="10"/>
  <c r="L187" i="10" s="1"/>
  <c r="O187" i="10" s="1"/>
  <c r="P188" i="10"/>
  <c r="O188" i="10"/>
  <c r="N186" i="10"/>
  <c r="N184" i="10" s="1"/>
  <c r="M186" i="10"/>
  <c r="M184" i="10" s="1"/>
  <c r="L186" i="10"/>
  <c r="P185" i="10"/>
  <c r="O185" i="10"/>
  <c r="N182" i="10"/>
  <c r="M182" i="10"/>
  <c r="P182" i="10" s="1"/>
  <c r="L182" i="10"/>
  <c r="J177" i="10"/>
  <c r="I176" i="10"/>
  <c r="I174" i="10" s="1"/>
  <c r="I164" i="10" s="1"/>
  <c r="J174" i="10"/>
  <c r="N173" i="10"/>
  <c r="N171" i="10" s="1"/>
  <c r="M173" i="10"/>
  <c r="P173" i="10" s="1"/>
  <c r="L173" i="10"/>
  <c r="L171" i="10" s="1"/>
  <c r="O171" i="10" s="1"/>
  <c r="P172" i="10"/>
  <c r="O172" i="10"/>
  <c r="N170" i="10"/>
  <c r="N168" i="10" s="1"/>
  <c r="M170" i="10"/>
  <c r="L170" i="10"/>
  <c r="L168" i="10" s="1"/>
  <c r="P169" i="10"/>
  <c r="O169" i="10"/>
  <c r="N166" i="10"/>
  <c r="M166" i="10"/>
  <c r="P166" i="10" s="1"/>
  <c r="L166" i="10"/>
  <c r="I159" i="10"/>
  <c r="K159" i="10" s="1"/>
  <c r="N157" i="10"/>
  <c r="N155" i="10" s="1"/>
  <c r="M157" i="10"/>
  <c r="M155" i="10" s="1"/>
  <c r="P155" i="10" s="1"/>
  <c r="L157" i="10"/>
  <c r="O157" i="10" s="1"/>
  <c r="P156" i="10"/>
  <c r="O156" i="10"/>
  <c r="N154" i="10"/>
  <c r="N152" i="10" s="1"/>
  <c r="M154" i="10"/>
  <c r="P154" i="10" s="1"/>
  <c r="L154" i="10"/>
  <c r="L152" i="10" s="1"/>
  <c r="O152" i="10" s="1"/>
  <c r="P153" i="10"/>
  <c r="O153" i="10"/>
  <c r="P150" i="10"/>
  <c r="O150" i="10"/>
  <c r="N150" i="10"/>
  <c r="M150" i="10"/>
  <c r="L150" i="10"/>
  <c r="J148" i="10"/>
  <c r="I146" i="10"/>
  <c r="I130" i="10" s="1"/>
  <c r="K130" i="10" s="1"/>
  <c r="I145" i="10"/>
  <c r="K145" i="10" s="1"/>
  <c r="I144" i="10"/>
  <c r="K144" i="10" s="1"/>
  <c r="N140" i="10"/>
  <c r="N138" i="10" s="1"/>
  <c r="M140" i="10"/>
  <c r="M138" i="10" s="1"/>
  <c r="L140" i="10"/>
  <c r="L138" i="10" s="1"/>
  <c r="P139" i="10"/>
  <c r="O139" i="10"/>
  <c r="N137" i="10"/>
  <c r="M137" i="10"/>
  <c r="M135" i="10" s="1"/>
  <c r="L137" i="10"/>
  <c r="P136" i="10"/>
  <c r="O136" i="10"/>
  <c r="P133" i="10"/>
  <c r="N133" i="10"/>
  <c r="M133" i="10"/>
  <c r="L133" i="10"/>
  <c r="O133" i="10" s="1"/>
  <c r="J130" i="10"/>
  <c r="N127" i="10"/>
  <c r="N125" i="10" s="1"/>
  <c r="M127" i="10"/>
  <c r="P127" i="10" s="1"/>
  <c r="L127" i="10"/>
  <c r="L125" i="10" s="1"/>
  <c r="O125" i="10" s="1"/>
  <c r="P126" i="10"/>
  <c r="O126" i="10"/>
  <c r="N124" i="10"/>
  <c r="M124" i="10"/>
  <c r="P124" i="10" s="1"/>
  <c r="L124" i="10"/>
  <c r="O124" i="10" s="1"/>
  <c r="P123" i="10"/>
  <c r="O123" i="10"/>
  <c r="O120" i="10"/>
  <c r="N120" i="10"/>
  <c r="M120" i="10"/>
  <c r="P120" i="10" s="1"/>
  <c r="L120" i="10"/>
  <c r="I116" i="10"/>
  <c r="K116" i="10" s="1"/>
  <c r="I115" i="10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J99" i="10"/>
  <c r="I99" i="10"/>
  <c r="J98" i="10"/>
  <c r="J86" i="10" s="1"/>
  <c r="I98" i="10"/>
  <c r="I86" i="10" s="1"/>
  <c r="N96" i="10"/>
  <c r="N94" i="10" s="1"/>
  <c r="M96" i="10"/>
  <c r="P96" i="10" s="1"/>
  <c r="L96" i="10"/>
  <c r="L94" i="10" s="1"/>
  <c r="O94" i="10" s="1"/>
  <c r="P95" i="10"/>
  <c r="O95" i="10"/>
  <c r="N93" i="10"/>
  <c r="M93" i="10"/>
  <c r="L93" i="10"/>
  <c r="L91" i="10" s="1"/>
  <c r="P92" i="10"/>
  <c r="O92" i="10"/>
  <c r="N89" i="10"/>
  <c r="M89" i="10"/>
  <c r="P89" i="10" s="1"/>
  <c r="L89" i="10"/>
  <c r="O89" i="10" s="1"/>
  <c r="J87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K79" i="10" s="1"/>
  <c r="I78" i="10"/>
  <c r="K78" i="10" s="1"/>
  <c r="J77" i="10"/>
  <c r="J76" i="10"/>
  <c r="J64" i="10" s="1"/>
  <c r="N74" i="10"/>
  <c r="N72" i="10" s="1"/>
  <c r="M74" i="10"/>
  <c r="P74" i="10" s="1"/>
  <c r="L74" i="10"/>
  <c r="L72" i="10" s="1"/>
  <c r="O72" i="10" s="1"/>
  <c r="P73" i="10"/>
  <c r="O73" i="10"/>
  <c r="N71" i="10"/>
  <c r="N69" i="10" s="1"/>
  <c r="M71" i="10"/>
  <c r="M69" i="10" s="1"/>
  <c r="L71" i="10"/>
  <c r="P70" i="10"/>
  <c r="O70" i="10"/>
  <c r="N67" i="10"/>
  <c r="M67" i="10"/>
  <c r="L67" i="10"/>
  <c r="O67" i="10" s="1"/>
  <c r="J65" i="10"/>
  <c r="N61" i="10"/>
  <c r="N59" i="10" s="1"/>
  <c r="M61" i="10"/>
  <c r="M59" i="10" s="1"/>
  <c r="P59" i="10" s="1"/>
  <c r="L61" i="10"/>
  <c r="O61" i="10" s="1"/>
  <c r="P60" i="10"/>
  <c r="O60" i="10"/>
  <c r="N58" i="10"/>
  <c r="N56" i="10" s="1"/>
  <c r="M58" i="10"/>
  <c r="L58" i="10"/>
  <c r="L56" i="10" s="1"/>
  <c r="P57" i="10"/>
  <c r="O57" i="10"/>
  <c r="O54" i="10"/>
  <c r="N54" i="10"/>
  <c r="M54" i="10"/>
  <c r="L54" i="10"/>
  <c r="N49" i="10"/>
  <c r="N47" i="10" s="1"/>
  <c r="M49" i="10"/>
  <c r="P49" i="10" s="1"/>
  <c r="L49" i="10"/>
  <c r="O49" i="10" s="1"/>
  <c r="P48" i="10"/>
  <c r="O48" i="10"/>
  <c r="N46" i="10"/>
  <c r="N44" i="10" s="1"/>
  <c r="M46" i="10"/>
  <c r="M44" i="10" s="1"/>
  <c r="L46" i="10"/>
  <c r="L44" i="10" s="1"/>
  <c r="P45" i="10"/>
  <c r="O45" i="10"/>
  <c r="N42" i="10"/>
  <c r="M42" i="10"/>
  <c r="L42" i="10"/>
  <c r="P36" i="10"/>
  <c r="N36" i="10"/>
  <c r="M36" i="10"/>
  <c r="O35" i="10"/>
  <c r="N35" i="10"/>
  <c r="N34" i="10" s="1"/>
  <c r="M35" i="10"/>
  <c r="P35" i="10" s="1"/>
  <c r="L35" i="10"/>
  <c r="M34" i="10"/>
  <c r="P34" i="10" s="1"/>
  <c r="N33" i="10"/>
  <c r="P32" i="10"/>
  <c r="O32" i="10"/>
  <c r="N32" i="10"/>
  <c r="M32" i="10"/>
  <c r="L32" i="10"/>
  <c r="N31" i="10"/>
  <c r="N30" i="10"/>
  <c r="N29" i="10"/>
  <c r="N28" i="10" s="1"/>
  <c r="N25" i="10"/>
  <c r="M25" i="10"/>
  <c r="L25" i="10"/>
  <c r="O25" i="10" s="1"/>
  <c r="P22" i="10"/>
  <c r="O22" i="10"/>
  <c r="N22" i="10"/>
  <c r="M22" i="10"/>
  <c r="L22" i="10"/>
  <c r="N19" i="10"/>
  <c r="M19" i="10"/>
  <c r="L19" i="10"/>
  <c r="O19" i="10" s="1"/>
  <c r="N15" i="10"/>
  <c r="N12" i="10"/>
  <c r="N9" i="10" s="1"/>
  <c r="M12" i="10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N815" i="9"/>
  <c r="M815" i="9"/>
  <c r="P815" i="9" s="1"/>
  <c r="L815" i="9"/>
  <c r="O815" i="9" s="1"/>
  <c r="P810" i="9"/>
  <c r="O810" i="9"/>
  <c r="N810" i="9"/>
  <c r="N807" i="9" s="1"/>
  <c r="N805" i="9" s="1"/>
  <c r="P809" i="9"/>
  <c r="O809" i="9"/>
  <c r="P808" i="9"/>
  <c r="N808" i="9"/>
  <c r="M808" i="9"/>
  <c r="L808" i="9"/>
  <c r="O808" i="9" s="1"/>
  <c r="P807" i="9"/>
  <c r="O807" i="9"/>
  <c r="M807" i="9"/>
  <c r="L807" i="9"/>
  <c r="P806" i="9"/>
  <c r="O806" i="9"/>
  <c r="N806" i="9"/>
  <c r="M806" i="9"/>
  <c r="L806" i="9"/>
  <c r="L805" i="9" s="1"/>
  <c r="O805" i="9"/>
  <c r="M805" i="9"/>
  <c r="P805" i="9" s="1"/>
  <c r="K804" i="9"/>
  <c r="J804" i="9"/>
  <c r="K802" i="9"/>
  <c r="J801" i="9"/>
  <c r="J800" i="9"/>
  <c r="J785" i="9" s="1"/>
  <c r="I800" i="9"/>
  <c r="K800" i="9" s="1"/>
  <c r="P798" i="9"/>
  <c r="O798" i="9"/>
  <c r="P797" i="9"/>
  <c r="O797" i="9"/>
  <c r="O796" i="9"/>
  <c r="N796" i="9"/>
  <c r="M796" i="9"/>
  <c r="P796" i="9" s="1"/>
  <c r="L796" i="9"/>
  <c r="P791" i="9"/>
  <c r="N791" i="9"/>
  <c r="N788" i="9" s="1"/>
  <c r="L791" i="9"/>
  <c r="O791" i="9" s="1"/>
  <c r="P790" i="9"/>
  <c r="O790" i="9"/>
  <c r="P789" i="9"/>
  <c r="N789" i="9"/>
  <c r="M789" i="9"/>
  <c r="P788" i="9"/>
  <c r="M788" i="9"/>
  <c r="P787" i="9"/>
  <c r="O787" i="9"/>
  <c r="N787" i="9"/>
  <c r="M787" i="9"/>
  <c r="L787" i="9"/>
  <c r="N786" i="9"/>
  <c r="M786" i="9"/>
  <c r="P786" i="9" s="1"/>
  <c r="P782" i="9"/>
  <c r="O782" i="9"/>
  <c r="P781" i="9"/>
  <c r="O781" i="9"/>
  <c r="O780" i="9"/>
  <c r="N780" i="9"/>
  <c r="M780" i="9"/>
  <c r="P780" i="9" s="1"/>
  <c r="L780" i="9"/>
  <c r="P775" i="9"/>
  <c r="O775" i="9"/>
  <c r="N775" i="9"/>
  <c r="N773" i="9" s="1"/>
  <c r="P774" i="9"/>
  <c r="O774" i="9"/>
  <c r="M773" i="9"/>
  <c r="P773" i="9" s="1"/>
  <c r="L773" i="9"/>
  <c r="O773" i="9" s="1"/>
  <c r="P772" i="9"/>
  <c r="M772" i="9"/>
  <c r="L772" i="9"/>
  <c r="O772" i="9" s="1"/>
  <c r="P771" i="9"/>
  <c r="O771" i="9"/>
  <c r="N771" i="9"/>
  <c r="M771" i="9"/>
  <c r="M770" i="9" s="1"/>
  <c r="L771" i="9"/>
  <c r="P770" i="9"/>
  <c r="O770" i="9"/>
  <c r="L770" i="9"/>
  <c r="K769" i="9"/>
  <c r="J769" i="9"/>
  <c r="P766" i="9"/>
  <c r="O766" i="9"/>
  <c r="P765" i="9"/>
  <c r="O765" i="9"/>
  <c r="O764" i="9"/>
  <c r="N764" i="9"/>
  <c r="M764" i="9"/>
  <c r="P764" i="9" s="1"/>
  <c r="L764" i="9"/>
  <c r="P759" i="9"/>
  <c r="O759" i="9"/>
  <c r="N759" i="9"/>
  <c r="N757" i="9" s="1"/>
  <c r="P758" i="9"/>
  <c r="O758" i="9"/>
  <c r="O757" i="9"/>
  <c r="M757" i="9"/>
  <c r="P757" i="9" s="1"/>
  <c r="L757" i="9"/>
  <c r="P756" i="9"/>
  <c r="N756" i="9"/>
  <c r="N754" i="9" s="1"/>
  <c r="M756" i="9"/>
  <c r="L756" i="9"/>
  <c r="O756" i="9" s="1"/>
  <c r="O755" i="9"/>
  <c r="N755" i="9"/>
  <c r="M755" i="9"/>
  <c r="L755" i="9"/>
  <c r="K753" i="9"/>
  <c r="J753" i="9"/>
  <c r="P749" i="9"/>
  <c r="O749" i="9"/>
  <c r="P748" i="9"/>
  <c r="O748" i="9"/>
  <c r="O747" i="9"/>
  <c r="N747" i="9"/>
  <c r="M747" i="9"/>
  <c r="P747" i="9" s="1"/>
  <c r="L747" i="9"/>
  <c r="P742" i="9"/>
  <c r="O742" i="9"/>
  <c r="N742" i="9"/>
  <c r="P741" i="9"/>
  <c r="O741" i="9"/>
  <c r="O740" i="9"/>
  <c r="M740" i="9"/>
  <c r="P740" i="9" s="1"/>
  <c r="L740" i="9"/>
  <c r="P739" i="9"/>
  <c r="M739" i="9"/>
  <c r="L739" i="9"/>
  <c r="O739" i="9" s="1"/>
  <c r="P738" i="9"/>
  <c r="O738" i="9"/>
  <c r="N738" i="9"/>
  <c r="M738" i="9"/>
  <c r="M737" i="9" s="1"/>
  <c r="L738" i="9"/>
  <c r="P737" i="9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O695" i="9"/>
  <c r="N695" i="9"/>
  <c r="M695" i="9"/>
  <c r="P695" i="9" s="1"/>
  <c r="L695" i="9"/>
  <c r="P690" i="9"/>
  <c r="N690" i="9"/>
  <c r="N687" i="9" s="1"/>
  <c r="L690" i="9"/>
  <c r="P688" i="9"/>
  <c r="M688" i="9"/>
  <c r="P687" i="9"/>
  <c r="M687" i="9"/>
  <c r="P686" i="9"/>
  <c r="O686" i="9"/>
  <c r="N686" i="9"/>
  <c r="N685" i="9" s="1"/>
  <c r="M686" i="9"/>
  <c r="L686" i="9"/>
  <c r="M685" i="9"/>
  <c r="P685" i="9" s="1"/>
  <c r="J679" i="9"/>
  <c r="J678" i="9"/>
  <c r="I678" i="9"/>
  <c r="K678" i="9" s="1"/>
  <c r="J675" i="9"/>
  <c r="I671" i="9"/>
  <c r="K671" i="9" s="1"/>
  <c r="I670" i="9"/>
  <c r="K670" i="9" s="1"/>
  <c r="J669" i="9"/>
  <c r="I669" i="9"/>
  <c r="K674" i="9" s="1"/>
  <c r="P667" i="9"/>
  <c r="O667" i="9"/>
  <c r="P666" i="9"/>
  <c r="O666" i="9"/>
  <c r="P665" i="9"/>
  <c r="O665" i="9"/>
  <c r="N665" i="9"/>
  <c r="M665" i="9"/>
  <c r="L665" i="9"/>
  <c r="P660" i="9"/>
  <c r="N660" i="9"/>
  <c r="L660" i="9"/>
  <c r="L658" i="9" s="1"/>
  <c r="O658" i="9" s="1"/>
  <c r="P659" i="9"/>
  <c r="O659" i="9"/>
  <c r="M658" i="9"/>
  <c r="P658" i="9" s="1"/>
  <c r="M657" i="9"/>
  <c r="P657" i="9" s="1"/>
  <c r="N656" i="9"/>
  <c r="M656" i="9"/>
  <c r="L656" i="9"/>
  <c r="O656" i="9" s="1"/>
  <c r="J654" i="9"/>
  <c r="K652" i="9"/>
  <c r="J652" i="9"/>
  <c r="A652" i="9"/>
  <c r="J651" i="9"/>
  <c r="I651" i="9"/>
  <c r="I628" i="9" s="1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N639" i="9"/>
  <c r="M639" i="9"/>
  <c r="P639" i="9" s="1"/>
  <c r="N634" i="9"/>
  <c r="N632" i="9" s="1"/>
  <c r="L634" i="9"/>
  <c r="L632" i="9" s="1"/>
  <c r="O632" i="9" s="1"/>
  <c r="P633" i="9"/>
  <c r="O633" i="9"/>
  <c r="N631" i="9"/>
  <c r="N629" i="9" s="1"/>
  <c r="P630" i="9"/>
  <c r="O630" i="9"/>
  <c r="N630" i="9"/>
  <c r="M630" i="9"/>
  <c r="L630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4" i="9" s="1"/>
  <c r="J595" i="9"/>
  <c r="I594" i="9"/>
  <c r="J593" i="9"/>
  <c r="I593" i="9"/>
  <c r="K593" i="9" s="1"/>
  <c r="J592" i="9"/>
  <c r="J583" i="9"/>
  <c r="J582" i="9"/>
  <c r="J576" i="9" s="1"/>
  <c r="J577" i="9"/>
  <c r="I577" i="9"/>
  <c r="K577" i="9" s="1"/>
  <c r="I576" i="9"/>
  <c r="I559" i="9" s="1"/>
  <c r="J569" i="9"/>
  <c r="I569" i="9"/>
  <c r="J568" i="9"/>
  <c r="I568" i="9"/>
  <c r="K568" i="9" s="1"/>
  <c r="J561" i="9"/>
  <c r="I561" i="9"/>
  <c r="K561" i="9" s="1"/>
  <c r="J560" i="9"/>
  <c r="I560" i="9"/>
  <c r="K560" i="9" s="1"/>
  <c r="J559" i="9"/>
  <c r="J543" i="9" s="1"/>
  <c r="P557" i="9"/>
  <c r="L557" i="9"/>
  <c r="P556" i="9"/>
  <c r="O556" i="9"/>
  <c r="P555" i="9"/>
  <c r="N555" i="9"/>
  <c r="M555" i="9"/>
  <c r="M545" i="9" s="1"/>
  <c r="N549" i="9"/>
  <c r="N547" i="9" s="1"/>
  <c r="L549" i="9"/>
  <c r="P548" i="9"/>
  <c r="O548" i="9"/>
  <c r="O545" i="9"/>
  <c r="N545" i="9"/>
  <c r="L545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I522" i="9" s="1"/>
  <c r="K522" i="9" s="1"/>
  <c r="P535" i="9"/>
  <c r="L535" i="9"/>
  <c r="L533" i="9" s="1"/>
  <c r="O533" i="9" s="1"/>
  <c r="P534" i="9"/>
  <c r="O534" i="9"/>
  <c r="P533" i="9"/>
  <c r="N533" i="9"/>
  <c r="M533" i="9"/>
  <c r="P528" i="9"/>
  <c r="N528" i="9"/>
  <c r="N33" i="9" s="1"/>
  <c r="L528" i="9"/>
  <c r="L526" i="9" s="1"/>
  <c r="O526" i="9" s="1"/>
  <c r="P527" i="9"/>
  <c r="O527" i="9"/>
  <c r="M526" i="9"/>
  <c r="P526" i="9" s="1"/>
  <c r="M525" i="9"/>
  <c r="P525" i="9" s="1"/>
  <c r="N524" i="9"/>
  <c r="M524" i="9"/>
  <c r="L524" i="9"/>
  <c r="O524" i="9" s="1"/>
  <c r="K517" i="9"/>
  <c r="J517" i="9"/>
  <c r="K516" i="9"/>
  <c r="P514" i="9"/>
  <c r="O514" i="9"/>
  <c r="P513" i="9"/>
  <c r="O513" i="9"/>
  <c r="O512" i="9"/>
  <c r="N512" i="9"/>
  <c r="M512" i="9"/>
  <c r="P512" i="9" s="1"/>
  <c r="L512" i="9"/>
  <c r="P507" i="9"/>
  <c r="O507" i="9"/>
  <c r="N507" i="9"/>
  <c r="N505" i="9" s="1"/>
  <c r="P506" i="9"/>
  <c r="O506" i="9"/>
  <c r="O505" i="9"/>
  <c r="M505" i="9"/>
  <c r="P505" i="9" s="1"/>
  <c r="L505" i="9"/>
  <c r="M504" i="9"/>
  <c r="P504" i="9" s="1"/>
  <c r="L504" i="9"/>
  <c r="O504" i="9" s="1"/>
  <c r="P503" i="9"/>
  <c r="N503" i="9"/>
  <c r="M503" i="9"/>
  <c r="L503" i="9"/>
  <c r="K501" i="9"/>
  <c r="J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N477" i="9"/>
  <c r="M477" i="9"/>
  <c r="P477" i="9" s="1"/>
  <c r="N472" i="9"/>
  <c r="N470" i="9" s="1"/>
  <c r="L472" i="9"/>
  <c r="P471" i="9"/>
  <c r="O471" i="9"/>
  <c r="N469" i="9"/>
  <c r="P468" i="9"/>
  <c r="N468" i="9"/>
  <c r="M468" i="9"/>
  <c r="L468" i="9"/>
  <c r="J466" i="9"/>
  <c r="I466" i="9"/>
  <c r="J465" i="9"/>
  <c r="I465" i="9"/>
  <c r="K465" i="9" s="1"/>
  <c r="I464" i="9"/>
  <c r="K464" i="9" s="1"/>
  <c r="I463" i="9"/>
  <c r="K463" i="9" s="1"/>
  <c r="I462" i="9"/>
  <c r="I443" i="9" s="1"/>
  <c r="I460" i="9"/>
  <c r="I442" i="9" s="1"/>
  <c r="K458" i="9"/>
  <c r="P456" i="9"/>
  <c r="L456" i="9"/>
  <c r="L454" i="9" s="1"/>
  <c r="O454" i="9" s="1"/>
  <c r="P455" i="9"/>
  <c r="O455" i="9"/>
  <c r="P454" i="9"/>
  <c r="N454" i="9"/>
  <c r="M454" i="9"/>
  <c r="N449" i="9"/>
  <c r="L449" i="9"/>
  <c r="P448" i="9"/>
  <c r="O448" i="9"/>
  <c r="N447" i="9"/>
  <c r="N446" i="9"/>
  <c r="P445" i="9"/>
  <c r="N445" i="9"/>
  <c r="M445" i="9"/>
  <c r="L445" i="9"/>
  <c r="N444" i="9"/>
  <c r="J443" i="9"/>
  <c r="J442" i="9"/>
  <c r="I441" i="9"/>
  <c r="K441" i="9" s="1"/>
  <c r="I440" i="9"/>
  <c r="I439" i="9"/>
  <c r="K439" i="9" s="1"/>
  <c r="I438" i="9"/>
  <c r="K438" i="9" s="1"/>
  <c r="I437" i="9"/>
  <c r="I435" i="9"/>
  <c r="K435" i="9" s="1"/>
  <c r="J434" i="9"/>
  <c r="P431" i="9"/>
  <c r="L431" i="9"/>
  <c r="P430" i="9"/>
  <c r="O430" i="9"/>
  <c r="N429" i="9"/>
  <c r="M429" i="9"/>
  <c r="P429" i="9" s="1"/>
  <c r="N424" i="9"/>
  <c r="L424" i="9"/>
  <c r="O424" i="9" s="1"/>
  <c r="P423" i="9"/>
  <c r="O423" i="9"/>
  <c r="N422" i="9"/>
  <c r="N421" i="9"/>
  <c r="N419" i="9" s="1"/>
  <c r="O420" i="9"/>
  <c r="N420" i="9"/>
  <c r="M420" i="9"/>
  <c r="L420" i="9"/>
  <c r="J418" i="9"/>
  <c r="K413" i="9"/>
  <c r="K412" i="9"/>
  <c r="N410" i="9"/>
  <c r="N408" i="9" s="1"/>
  <c r="M410" i="9"/>
  <c r="L410" i="9"/>
  <c r="O410" i="9" s="1"/>
  <c r="P409" i="9"/>
  <c r="O409" i="9"/>
  <c r="N407" i="9"/>
  <c r="M407" i="9"/>
  <c r="P407" i="9" s="1"/>
  <c r="L407" i="9"/>
  <c r="O407" i="9" s="1"/>
  <c r="P406" i="9"/>
  <c r="O406" i="9"/>
  <c r="P403" i="9"/>
  <c r="O403" i="9"/>
  <c r="N403" i="9"/>
  <c r="M403" i="9"/>
  <c r="L403" i="9"/>
  <c r="J401" i="9"/>
  <c r="I401" i="9"/>
  <c r="K401" i="9" s="1"/>
  <c r="K400" i="9"/>
  <c r="K399" i="9"/>
  <c r="N397" i="9"/>
  <c r="N395" i="9" s="1"/>
  <c r="M397" i="9"/>
  <c r="P397" i="9" s="1"/>
  <c r="L397" i="9"/>
  <c r="O397" i="9" s="1"/>
  <c r="P396" i="9"/>
  <c r="O396" i="9"/>
  <c r="N394" i="9"/>
  <c r="M394" i="9"/>
  <c r="P394" i="9" s="1"/>
  <c r="L394" i="9"/>
  <c r="O394" i="9" s="1"/>
  <c r="P393" i="9"/>
  <c r="O393" i="9"/>
  <c r="P390" i="9"/>
  <c r="N390" i="9"/>
  <c r="M390" i="9"/>
  <c r="L390" i="9"/>
  <c r="O390" i="9" s="1"/>
  <c r="J388" i="9"/>
  <c r="I388" i="9"/>
  <c r="K388" i="9" s="1"/>
  <c r="J385" i="9"/>
  <c r="I385" i="9"/>
  <c r="D384" i="9"/>
  <c r="K382" i="9"/>
  <c r="J382" i="9"/>
  <c r="A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A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M353" i="9"/>
  <c r="M351" i="9" s="1"/>
  <c r="L353" i="9"/>
  <c r="L351" i="9" s="1"/>
  <c r="P352" i="9"/>
  <c r="O352" i="9"/>
  <c r="N350" i="9"/>
  <c r="M350" i="9"/>
  <c r="M348" i="9" s="1"/>
  <c r="L350" i="9"/>
  <c r="P349" i="9"/>
  <c r="O349" i="9"/>
  <c r="O346" i="9"/>
  <c r="N346" i="9"/>
  <c r="M346" i="9"/>
  <c r="P346" i="9" s="1"/>
  <c r="L346" i="9"/>
  <c r="J343" i="9"/>
  <c r="J342" i="9"/>
  <c r="J341" i="9"/>
  <c r="J340" i="9"/>
  <c r="I340" i="9"/>
  <c r="J338" i="9"/>
  <c r="I338" i="9"/>
  <c r="D337" i="9"/>
  <c r="N336" i="9"/>
  <c r="N334" i="9" s="1"/>
  <c r="M336" i="9"/>
  <c r="P336" i="9" s="1"/>
  <c r="L336" i="9"/>
  <c r="P335" i="9"/>
  <c r="O335" i="9"/>
  <c r="N333" i="9"/>
  <c r="N331" i="9" s="1"/>
  <c r="M333" i="9"/>
  <c r="L333" i="9"/>
  <c r="P332" i="9"/>
  <c r="O332" i="9"/>
  <c r="O329" i="9"/>
  <c r="N329" i="9"/>
  <c r="M329" i="9"/>
  <c r="L329" i="9"/>
  <c r="I327" i="9"/>
  <c r="I325" i="9"/>
  <c r="K325" i="9" s="1"/>
  <c r="N323" i="9"/>
  <c r="N321" i="9" s="1"/>
  <c r="M323" i="9"/>
  <c r="P323" i="9" s="1"/>
  <c r="L323" i="9"/>
  <c r="O323" i="9" s="1"/>
  <c r="P322" i="9"/>
  <c r="O322" i="9"/>
  <c r="N320" i="9"/>
  <c r="N318" i="9" s="1"/>
  <c r="M320" i="9"/>
  <c r="P320" i="9" s="1"/>
  <c r="L320" i="9"/>
  <c r="P319" i="9"/>
  <c r="O319" i="9"/>
  <c r="N316" i="9"/>
  <c r="M316" i="9"/>
  <c r="L316" i="9"/>
  <c r="O316" i="9" s="1"/>
  <c r="J314" i="9"/>
  <c r="I312" i="9"/>
  <c r="K312" i="9" s="1"/>
  <c r="I311" i="9"/>
  <c r="K311" i="9" s="1"/>
  <c r="I310" i="9"/>
  <c r="K310" i="9" s="1"/>
  <c r="I309" i="9"/>
  <c r="K309" i="9" s="1"/>
  <c r="N306" i="9"/>
  <c r="M306" i="9"/>
  <c r="M304" i="9" s="1"/>
  <c r="P304" i="9" s="1"/>
  <c r="L306" i="9"/>
  <c r="O306" i="9" s="1"/>
  <c r="P305" i="9"/>
  <c r="O305" i="9"/>
  <c r="N303" i="9"/>
  <c r="N301" i="9" s="1"/>
  <c r="M303" i="9"/>
  <c r="M301" i="9" s="1"/>
  <c r="P301" i="9" s="1"/>
  <c r="L303" i="9"/>
  <c r="O303" i="9" s="1"/>
  <c r="P302" i="9"/>
  <c r="O302" i="9"/>
  <c r="P299" i="9"/>
  <c r="N299" i="9"/>
  <c r="M299" i="9"/>
  <c r="L299" i="9"/>
  <c r="O299" i="9" s="1"/>
  <c r="J297" i="9"/>
  <c r="I294" i="9"/>
  <c r="K294" i="9" s="1"/>
  <c r="I293" i="9"/>
  <c r="K293" i="9" s="1"/>
  <c r="I291" i="9"/>
  <c r="K291" i="9" s="1"/>
  <c r="I290" i="9"/>
  <c r="K290" i="9" s="1"/>
  <c r="I288" i="9"/>
  <c r="I287" i="9"/>
  <c r="N285" i="9"/>
  <c r="N283" i="9" s="1"/>
  <c r="M285" i="9"/>
  <c r="P285" i="9" s="1"/>
  <c r="L285" i="9"/>
  <c r="O285" i="9" s="1"/>
  <c r="P284" i="9"/>
  <c r="O284" i="9"/>
  <c r="N282" i="9"/>
  <c r="N280" i="9" s="1"/>
  <c r="M282" i="9"/>
  <c r="P282" i="9" s="1"/>
  <c r="L282" i="9"/>
  <c r="P281" i="9"/>
  <c r="O281" i="9"/>
  <c r="P278" i="9"/>
  <c r="O278" i="9"/>
  <c r="N278" i="9"/>
  <c r="M278" i="9"/>
  <c r="L278" i="9"/>
  <c r="J276" i="9"/>
  <c r="I271" i="9"/>
  <c r="N269" i="9"/>
  <c r="N267" i="9" s="1"/>
  <c r="M269" i="9"/>
  <c r="M267" i="9" s="1"/>
  <c r="P267" i="9" s="1"/>
  <c r="L269" i="9"/>
  <c r="P268" i="9"/>
  <c r="O268" i="9"/>
  <c r="N266" i="9"/>
  <c r="N264" i="9" s="1"/>
  <c r="M266" i="9"/>
  <c r="M264" i="9" s="1"/>
  <c r="L266" i="9"/>
  <c r="L264" i="9" s="1"/>
  <c r="P265" i="9"/>
  <c r="O265" i="9"/>
  <c r="N262" i="9"/>
  <c r="M262" i="9"/>
  <c r="P262" i="9" s="1"/>
  <c r="L262" i="9"/>
  <c r="O262" i="9" s="1"/>
  <c r="J260" i="9"/>
  <c r="K258" i="9"/>
  <c r="K257" i="9"/>
  <c r="I255" i="9"/>
  <c r="K255" i="9" s="1"/>
  <c r="L253" i="9"/>
  <c r="L252" i="9"/>
  <c r="L251" i="9"/>
  <c r="L250" i="9"/>
  <c r="P249" i="9"/>
  <c r="N249" i="9"/>
  <c r="J248" i="9"/>
  <c r="J226" i="9" s="1"/>
  <c r="J180" i="9" s="1"/>
  <c r="K247" i="9"/>
  <c r="K246" i="9"/>
  <c r="I244" i="9"/>
  <c r="I237" i="9" s="1"/>
  <c r="K237" i="9" s="1"/>
  <c r="L242" i="9"/>
  <c r="L241" i="9"/>
  <c r="L240" i="9"/>
  <c r="L239" i="9"/>
  <c r="P238" i="9"/>
  <c r="N238" i="9"/>
  <c r="N227" i="9" s="1"/>
  <c r="J237" i="9"/>
  <c r="J236" i="9"/>
  <c r="I236" i="9"/>
  <c r="K236" i="9" s="1"/>
  <c r="J235" i="9"/>
  <c r="I235" i="9"/>
  <c r="K235" i="9" s="1"/>
  <c r="J233" i="9"/>
  <c r="N231" i="9"/>
  <c r="N230" i="9"/>
  <c r="N229" i="9"/>
  <c r="N228" i="9"/>
  <c r="I225" i="9"/>
  <c r="I224" i="9"/>
  <c r="I223" i="9"/>
  <c r="K223" i="9" s="1"/>
  <c r="L220" i="9"/>
  <c r="L219" i="9"/>
  <c r="L218" i="9"/>
  <c r="P217" i="9"/>
  <c r="N217" i="9"/>
  <c r="J216" i="9"/>
  <c r="I215" i="9"/>
  <c r="I208" i="9" s="1"/>
  <c r="K208" i="9" s="1"/>
  <c r="I214" i="9"/>
  <c r="K214" i="9" s="1"/>
  <c r="L212" i="9"/>
  <c r="L211" i="9"/>
  <c r="L210" i="9"/>
  <c r="P209" i="9"/>
  <c r="N209" i="9"/>
  <c r="J208" i="9"/>
  <c r="K207" i="9"/>
  <c r="K206" i="9"/>
  <c r="I204" i="9"/>
  <c r="K204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L189" i="9"/>
  <c r="O189" i="9" s="1"/>
  <c r="P188" i="9"/>
  <c r="O188" i="9"/>
  <c r="N186" i="9"/>
  <c r="N184" i="9" s="1"/>
  <c r="M186" i="9"/>
  <c r="M184" i="9" s="1"/>
  <c r="L186" i="9"/>
  <c r="L184" i="9" s="1"/>
  <c r="P185" i="9"/>
  <c r="O185" i="9"/>
  <c r="P182" i="9"/>
  <c r="N182" i="9"/>
  <c r="M182" i="9"/>
  <c r="L182" i="9"/>
  <c r="J177" i="9"/>
  <c r="I176" i="9"/>
  <c r="J174" i="9"/>
  <c r="J164" i="9" s="1"/>
  <c r="N173" i="9"/>
  <c r="N171" i="9" s="1"/>
  <c r="M173" i="9"/>
  <c r="L173" i="9"/>
  <c r="P172" i="9"/>
  <c r="O172" i="9"/>
  <c r="N170" i="9"/>
  <c r="N168" i="9" s="1"/>
  <c r="M170" i="9"/>
  <c r="L170" i="9"/>
  <c r="L168" i="9" s="1"/>
  <c r="P169" i="9"/>
  <c r="O169" i="9"/>
  <c r="N166" i="9"/>
  <c r="M166" i="9"/>
  <c r="L166" i="9"/>
  <c r="O166" i="9" s="1"/>
  <c r="I159" i="9"/>
  <c r="K159" i="9" s="1"/>
  <c r="N157" i="9"/>
  <c r="N155" i="9" s="1"/>
  <c r="M157" i="9"/>
  <c r="M155" i="9" s="1"/>
  <c r="P155" i="9" s="1"/>
  <c r="L157" i="9"/>
  <c r="P156" i="9"/>
  <c r="O156" i="9"/>
  <c r="N154" i="9"/>
  <c r="N152" i="9" s="1"/>
  <c r="M154" i="9"/>
  <c r="M152" i="9" s="1"/>
  <c r="P152" i="9" s="1"/>
  <c r="L154" i="9"/>
  <c r="L152" i="9" s="1"/>
  <c r="O152" i="9" s="1"/>
  <c r="P153" i="9"/>
  <c r="O153" i="9"/>
  <c r="P150" i="9"/>
  <c r="O150" i="9"/>
  <c r="N150" i="9"/>
  <c r="M150" i="9"/>
  <c r="L150" i="9"/>
  <c r="J148" i="9"/>
  <c r="I146" i="9"/>
  <c r="K146" i="9" s="1"/>
  <c r="I145" i="9"/>
  <c r="I144" i="9"/>
  <c r="N140" i="9"/>
  <c r="N138" i="9" s="1"/>
  <c r="M140" i="9"/>
  <c r="M138" i="9" s="1"/>
  <c r="L140" i="9"/>
  <c r="P139" i="9"/>
  <c r="O139" i="9"/>
  <c r="N137" i="9"/>
  <c r="N135" i="9" s="1"/>
  <c r="M137" i="9"/>
  <c r="M135" i="9" s="1"/>
  <c r="L137" i="9"/>
  <c r="L135" i="9" s="1"/>
  <c r="P136" i="9"/>
  <c r="O136" i="9"/>
  <c r="N133" i="9"/>
  <c r="M133" i="9"/>
  <c r="L133" i="9"/>
  <c r="O133" i="9" s="1"/>
  <c r="J130" i="9"/>
  <c r="N127" i="9"/>
  <c r="N125" i="9" s="1"/>
  <c r="M127" i="9"/>
  <c r="M125" i="9" s="1"/>
  <c r="L127" i="9"/>
  <c r="L125" i="9" s="1"/>
  <c r="P126" i="9"/>
  <c r="O126" i="9"/>
  <c r="N124" i="9"/>
  <c r="N122" i="9" s="1"/>
  <c r="M124" i="9"/>
  <c r="P124" i="9" s="1"/>
  <c r="L124" i="9"/>
  <c r="L122" i="9" s="1"/>
  <c r="O122" i="9" s="1"/>
  <c r="P123" i="9"/>
  <c r="O123" i="9"/>
  <c r="P120" i="9"/>
  <c r="N120" i="9"/>
  <c r="M120" i="9"/>
  <c r="L120" i="9"/>
  <c r="O120" i="9" s="1"/>
  <c r="K118" i="9"/>
  <c r="I116" i="9"/>
  <c r="K116" i="9" s="1"/>
  <c r="I115" i="9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J99" i="9"/>
  <c r="J87" i="9" s="1"/>
  <c r="I99" i="9"/>
  <c r="J98" i="9"/>
  <c r="I98" i="9"/>
  <c r="I86" i="9" s="1"/>
  <c r="K86" i="9" s="1"/>
  <c r="N96" i="9"/>
  <c r="N94" i="9" s="1"/>
  <c r="M96" i="9"/>
  <c r="L96" i="9"/>
  <c r="L94" i="9" s="1"/>
  <c r="O94" i="9" s="1"/>
  <c r="P95" i="9"/>
  <c r="O95" i="9"/>
  <c r="N93" i="9"/>
  <c r="M93" i="9"/>
  <c r="M91" i="9" s="1"/>
  <c r="L93" i="9"/>
  <c r="L91" i="9" s="1"/>
  <c r="P92" i="9"/>
  <c r="O92" i="9"/>
  <c r="O89" i="9"/>
  <c r="N89" i="9"/>
  <c r="M89" i="9"/>
  <c r="L89" i="9"/>
  <c r="J86" i="9"/>
  <c r="I84" i="9"/>
  <c r="K84" i="9" s="1"/>
  <c r="I83" i="9"/>
  <c r="K83" i="9" s="1"/>
  <c r="I82" i="9"/>
  <c r="K82" i="9" s="1"/>
  <c r="I81" i="9"/>
  <c r="K81" i="9" s="1"/>
  <c r="I80" i="9"/>
  <c r="K80" i="9" s="1"/>
  <c r="I79" i="9"/>
  <c r="K79" i="9" s="1"/>
  <c r="I78" i="9"/>
  <c r="K78" i="9" s="1"/>
  <c r="J77" i="9"/>
  <c r="J76" i="9"/>
  <c r="J64" i="9" s="1"/>
  <c r="N74" i="9"/>
  <c r="N72" i="9" s="1"/>
  <c r="M74" i="9"/>
  <c r="L74" i="9"/>
  <c r="O74" i="9" s="1"/>
  <c r="P73" i="9"/>
  <c r="O73" i="9"/>
  <c r="N71" i="9"/>
  <c r="M71" i="9"/>
  <c r="M69" i="9" s="1"/>
  <c r="L71" i="9"/>
  <c r="L69" i="9" s="1"/>
  <c r="P70" i="9"/>
  <c r="O70" i="9"/>
  <c r="N67" i="9"/>
  <c r="M67" i="9"/>
  <c r="P67" i="9" s="1"/>
  <c r="L67" i="9"/>
  <c r="J65" i="9"/>
  <c r="N61" i="9"/>
  <c r="N59" i="9" s="1"/>
  <c r="M61" i="9"/>
  <c r="P61" i="9" s="1"/>
  <c r="L61" i="9"/>
  <c r="L59" i="9" s="1"/>
  <c r="O59" i="9" s="1"/>
  <c r="P60" i="9"/>
  <c r="O60" i="9"/>
  <c r="N58" i="9"/>
  <c r="M58" i="9"/>
  <c r="M56" i="9" s="1"/>
  <c r="L58" i="9"/>
  <c r="L56" i="9" s="1"/>
  <c r="P57" i="9"/>
  <c r="O57" i="9"/>
  <c r="P54" i="9"/>
  <c r="O54" i="9"/>
  <c r="N54" i="9"/>
  <c r="M54" i="9"/>
  <c r="L54" i="9"/>
  <c r="N49" i="9"/>
  <c r="M49" i="9"/>
  <c r="P49" i="9" s="1"/>
  <c r="L49" i="9"/>
  <c r="L47" i="9" s="1"/>
  <c r="O47" i="9" s="1"/>
  <c r="P48" i="9"/>
  <c r="O48" i="9"/>
  <c r="N46" i="9"/>
  <c r="N44" i="9" s="1"/>
  <c r="M46" i="9"/>
  <c r="L46" i="9"/>
  <c r="L44" i="9" s="1"/>
  <c r="P45" i="9"/>
  <c r="O45" i="9"/>
  <c r="N42" i="9"/>
  <c r="M42" i="9"/>
  <c r="L42" i="9"/>
  <c r="O42" i="9" s="1"/>
  <c r="P36" i="9"/>
  <c r="N36" i="9"/>
  <c r="M36" i="9"/>
  <c r="O35" i="9"/>
  <c r="N35" i="9"/>
  <c r="M35" i="9"/>
  <c r="P35" i="9" s="1"/>
  <c r="L35" i="9"/>
  <c r="N34" i="9"/>
  <c r="O32" i="9"/>
  <c r="N32" i="9"/>
  <c r="M32" i="9"/>
  <c r="L32" i="9"/>
  <c r="O29" i="9"/>
  <c r="N29" i="9"/>
  <c r="L29" i="9"/>
  <c r="P25" i="9"/>
  <c r="N25" i="9"/>
  <c r="M25" i="9"/>
  <c r="L25" i="9"/>
  <c r="P22" i="9"/>
  <c r="N22" i="9"/>
  <c r="M22" i="9"/>
  <c r="L22" i="9"/>
  <c r="O22" i="9" s="1"/>
  <c r="M19" i="9"/>
  <c r="N15" i="9"/>
  <c r="L15" i="9"/>
  <c r="O15" i="9" s="1"/>
  <c r="M12" i="9"/>
  <c r="L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P809" i="8"/>
  <c r="O809" i="8"/>
  <c r="P808" i="8"/>
  <c r="N808" i="8"/>
  <c r="M808" i="8"/>
  <c r="L808" i="8"/>
  <c r="O808" i="8" s="1"/>
  <c r="O807" i="8"/>
  <c r="N807" i="8"/>
  <c r="M807" i="8"/>
  <c r="L807" i="8"/>
  <c r="P806" i="8"/>
  <c r="N806" i="8"/>
  <c r="M806" i="8"/>
  <c r="L806" i="8"/>
  <c r="N805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L791" i="8"/>
  <c r="P790" i="8"/>
  <c r="O790" i="8"/>
  <c r="P789" i="8"/>
  <c r="N789" i="8"/>
  <c r="M789" i="8"/>
  <c r="L789" i="8"/>
  <c r="O789" i="8" s="1"/>
  <c r="M788" i="8"/>
  <c r="P787" i="8"/>
  <c r="N787" i="8"/>
  <c r="N786" i="8" s="1"/>
  <c r="M787" i="8"/>
  <c r="L787" i="8"/>
  <c r="P782" i="8"/>
  <c r="O782" i="8"/>
  <c r="P781" i="8"/>
  <c r="O781" i="8"/>
  <c r="O780" i="8"/>
  <c r="N780" i="8"/>
  <c r="M780" i="8"/>
  <c r="P780" i="8" s="1"/>
  <c r="L780" i="8"/>
  <c r="P775" i="8"/>
  <c r="O775" i="8"/>
  <c r="N775" i="8"/>
  <c r="N773" i="8" s="1"/>
  <c r="P774" i="8"/>
  <c r="O774" i="8"/>
  <c r="O773" i="8"/>
  <c r="M773" i="8"/>
  <c r="P773" i="8" s="1"/>
  <c r="L773" i="8"/>
  <c r="P772" i="8"/>
  <c r="N772" i="8"/>
  <c r="N770" i="8" s="1"/>
  <c r="M772" i="8"/>
  <c r="L772" i="8"/>
  <c r="O772" i="8" s="1"/>
  <c r="O771" i="8"/>
  <c r="N771" i="8"/>
  <c r="M771" i="8"/>
  <c r="L771" i="8"/>
  <c r="L770" i="8"/>
  <c r="O770" i="8" s="1"/>
  <c r="K769" i="8"/>
  <c r="J769" i="8"/>
  <c r="P766" i="8"/>
  <c r="O766" i="8"/>
  <c r="P765" i="8"/>
  <c r="O765" i="8"/>
  <c r="O764" i="8"/>
  <c r="N764" i="8"/>
  <c r="M764" i="8"/>
  <c r="P764" i="8" s="1"/>
  <c r="L764" i="8"/>
  <c r="P759" i="8"/>
  <c r="O759" i="8"/>
  <c r="N759" i="8"/>
  <c r="N757" i="8" s="1"/>
  <c r="P758" i="8"/>
  <c r="O758" i="8"/>
  <c r="O757" i="8"/>
  <c r="M757" i="8"/>
  <c r="P757" i="8" s="1"/>
  <c r="L757" i="8"/>
  <c r="P756" i="8"/>
  <c r="N756" i="8"/>
  <c r="N754" i="8" s="1"/>
  <c r="M756" i="8"/>
  <c r="L756" i="8"/>
  <c r="O756" i="8" s="1"/>
  <c r="O755" i="8"/>
  <c r="N755" i="8"/>
  <c r="M755" i="8"/>
  <c r="L755" i="8"/>
  <c r="L754" i="8"/>
  <c r="O754" i="8" s="1"/>
  <c r="K753" i="8"/>
  <c r="J753" i="8"/>
  <c r="P749" i="8"/>
  <c r="O749" i="8"/>
  <c r="P748" i="8"/>
  <c r="O748" i="8"/>
  <c r="O747" i="8"/>
  <c r="N747" i="8"/>
  <c r="M747" i="8"/>
  <c r="P747" i="8" s="1"/>
  <c r="L747" i="8"/>
  <c r="P742" i="8"/>
  <c r="O742" i="8"/>
  <c r="N742" i="8"/>
  <c r="N740" i="8" s="1"/>
  <c r="P741" i="8"/>
  <c r="O741" i="8"/>
  <c r="O740" i="8"/>
  <c r="M740" i="8"/>
  <c r="P740" i="8" s="1"/>
  <c r="L740" i="8"/>
  <c r="P739" i="8"/>
  <c r="N739" i="8"/>
  <c r="N737" i="8" s="1"/>
  <c r="M739" i="8"/>
  <c r="L739" i="8"/>
  <c r="O739" i="8" s="1"/>
  <c r="O738" i="8"/>
  <c r="N738" i="8"/>
  <c r="M738" i="8"/>
  <c r="L738" i="8"/>
  <c r="L737" i="8"/>
  <c r="O737" i="8" s="1"/>
  <c r="K736" i="8"/>
  <c r="J736" i="8"/>
  <c r="J729" i="8"/>
  <c r="I729" i="8"/>
  <c r="J728" i="8"/>
  <c r="I728" i="8"/>
  <c r="K728" i="8" s="1"/>
  <c r="J727" i="8"/>
  <c r="J726" i="8"/>
  <c r="I726" i="8"/>
  <c r="K726" i="8" s="1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O695" i="8"/>
  <c r="N695" i="8"/>
  <c r="M695" i="8"/>
  <c r="P695" i="8" s="1"/>
  <c r="L695" i="8"/>
  <c r="N690" i="8"/>
  <c r="N688" i="8" s="1"/>
  <c r="L690" i="8"/>
  <c r="N687" i="8"/>
  <c r="N685" i="8" s="1"/>
  <c r="O686" i="8"/>
  <c r="N686" i="8"/>
  <c r="M686" i="8"/>
  <c r="L686" i="8"/>
  <c r="J679" i="8"/>
  <c r="J678" i="8"/>
  <c r="I678" i="8"/>
  <c r="K678" i="8" s="1"/>
  <c r="J675" i="8"/>
  <c r="J669" i="8" s="1"/>
  <c r="J654" i="8" s="1"/>
  <c r="I671" i="8"/>
  <c r="K671" i="8" s="1"/>
  <c r="I670" i="8"/>
  <c r="K670" i="8" s="1"/>
  <c r="I669" i="8"/>
  <c r="K674" i="8" s="1"/>
  <c r="P667" i="8"/>
  <c r="O667" i="8"/>
  <c r="P666" i="8"/>
  <c r="O666" i="8"/>
  <c r="O665" i="8"/>
  <c r="N665" i="8"/>
  <c r="M665" i="8"/>
  <c r="P665" i="8" s="1"/>
  <c r="L665" i="8"/>
  <c r="N660" i="8"/>
  <c r="N658" i="8" s="1"/>
  <c r="L660" i="8"/>
  <c r="P659" i="8"/>
  <c r="O659" i="8"/>
  <c r="N657" i="8"/>
  <c r="O656" i="8"/>
  <c r="N656" i="8"/>
  <c r="N655" i="8" s="1"/>
  <c r="M656" i="8"/>
  <c r="P656" i="8" s="1"/>
  <c r="L656" i="8"/>
  <c r="K652" i="8"/>
  <c r="J652" i="8"/>
  <c r="A652" i="8"/>
  <c r="J651" i="8"/>
  <c r="I651" i="8"/>
  <c r="I628" i="8" s="1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O641" i="8" s="1"/>
  <c r="P640" i="8"/>
  <c r="O640" i="8"/>
  <c r="N639" i="8"/>
  <c r="M639" i="8"/>
  <c r="P639" i="8" s="1"/>
  <c r="N634" i="8"/>
  <c r="L634" i="8"/>
  <c r="O634" i="8" s="1"/>
  <c r="P633" i="8"/>
  <c r="O633" i="8"/>
  <c r="N632" i="8"/>
  <c r="N631" i="8"/>
  <c r="O630" i="8"/>
  <c r="N630" i="8"/>
  <c r="M630" i="8"/>
  <c r="L630" i="8"/>
  <c r="N629" i="8"/>
  <c r="J621" i="8"/>
  <c r="I621" i="8"/>
  <c r="K621" i="8" s="1"/>
  <c r="J620" i="8"/>
  <c r="I620" i="8"/>
  <c r="K613" i="8"/>
  <c r="J613" i="8"/>
  <c r="K612" i="8"/>
  <c r="J612" i="8"/>
  <c r="K611" i="8"/>
  <c r="J611" i="8"/>
  <c r="J604" i="8"/>
  <c r="J603" i="8"/>
  <c r="J596" i="8"/>
  <c r="J594" i="8" s="1"/>
  <c r="J595" i="8"/>
  <c r="J593" i="8" s="1"/>
  <c r="J592" i="8" s="1"/>
  <c r="I594" i="8"/>
  <c r="K594" i="8" s="1"/>
  <c r="I593" i="8"/>
  <c r="I592" i="8" s="1"/>
  <c r="J583" i="8"/>
  <c r="J582" i="8"/>
  <c r="J576" i="8" s="1"/>
  <c r="J559" i="8" s="1"/>
  <c r="J543" i="8" s="1"/>
  <c r="J577" i="8"/>
  <c r="I577" i="8"/>
  <c r="I576" i="8"/>
  <c r="I559" i="8" s="1"/>
  <c r="J569" i="8"/>
  <c r="I569" i="8"/>
  <c r="J568" i="8"/>
  <c r="I568" i="8"/>
  <c r="K568" i="8" s="1"/>
  <c r="J561" i="8"/>
  <c r="I561" i="8"/>
  <c r="J560" i="8"/>
  <c r="I560" i="8"/>
  <c r="K560" i="8" s="1"/>
  <c r="P557" i="8"/>
  <c r="L557" i="8"/>
  <c r="P556" i="8"/>
  <c r="O556" i="8"/>
  <c r="N555" i="8"/>
  <c r="M555" i="8"/>
  <c r="P555" i="8" s="1"/>
  <c r="N549" i="8"/>
  <c r="N547" i="8" s="1"/>
  <c r="L549" i="8"/>
  <c r="M549" i="8" s="1"/>
  <c r="P548" i="8"/>
  <c r="O548" i="8"/>
  <c r="N546" i="8"/>
  <c r="N544" i="8" s="1"/>
  <c r="O545" i="8"/>
  <c r="N545" i="8"/>
  <c r="M545" i="8"/>
  <c r="L545" i="8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I522" i="8" s="1"/>
  <c r="K522" i="8" s="1"/>
  <c r="P535" i="8"/>
  <c r="L535" i="8"/>
  <c r="O535" i="8" s="1"/>
  <c r="P534" i="8"/>
  <c r="O534" i="8"/>
  <c r="P533" i="8"/>
  <c r="N533" i="8"/>
  <c r="M533" i="8"/>
  <c r="L533" i="8"/>
  <c r="O533" i="8" s="1"/>
  <c r="P528" i="8"/>
  <c r="N528" i="8"/>
  <c r="L528" i="8"/>
  <c r="P527" i="8"/>
  <c r="O527" i="8"/>
  <c r="N526" i="8"/>
  <c r="M526" i="8"/>
  <c r="P526" i="8" s="1"/>
  <c r="P525" i="8"/>
  <c r="N525" i="8"/>
  <c r="M525" i="8"/>
  <c r="O524" i="8"/>
  <c r="N524" i="8"/>
  <c r="N523" i="8" s="1"/>
  <c r="M524" i="8"/>
  <c r="P524" i="8" s="1"/>
  <c r="L524" i="8"/>
  <c r="P523" i="8"/>
  <c r="M523" i="8"/>
  <c r="K517" i="8"/>
  <c r="J517" i="8"/>
  <c r="J501" i="8" s="1"/>
  <c r="K516" i="8"/>
  <c r="P514" i="8"/>
  <c r="O514" i="8"/>
  <c r="P513" i="8"/>
  <c r="O513" i="8"/>
  <c r="O512" i="8"/>
  <c r="N512" i="8"/>
  <c r="M512" i="8"/>
  <c r="P512" i="8" s="1"/>
  <c r="L512" i="8"/>
  <c r="P507" i="8"/>
  <c r="O507" i="8"/>
  <c r="N507" i="8"/>
  <c r="N504" i="8" s="1"/>
  <c r="P506" i="8"/>
  <c r="O506" i="8"/>
  <c r="O505" i="8"/>
  <c r="N505" i="8"/>
  <c r="M505" i="8"/>
  <c r="P505" i="8" s="1"/>
  <c r="L505" i="8"/>
  <c r="P504" i="8"/>
  <c r="M504" i="8"/>
  <c r="L504" i="8"/>
  <c r="O504" i="8" s="1"/>
  <c r="O503" i="8"/>
  <c r="N503" i="8"/>
  <c r="M503" i="8"/>
  <c r="M502" i="8" s="1"/>
  <c r="P502" i="8" s="1"/>
  <c r="L503" i="8"/>
  <c r="L502" i="8" s="1"/>
  <c r="O502" i="8" s="1"/>
  <c r="N502" i="8"/>
  <c r="K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P477" i="8"/>
  <c r="N477" i="8"/>
  <c r="M477" i="8"/>
  <c r="N472" i="8"/>
  <c r="L472" i="8"/>
  <c r="M472" i="8" s="1"/>
  <c r="P471" i="8"/>
  <c r="O471" i="8"/>
  <c r="N469" i="8"/>
  <c r="P468" i="8"/>
  <c r="N468" i="8"/>
  <c r="M468" i="8"/>
  <c r="L468" i="8"/>
  <c r="O468" i="8" s="1"/>
  <c r="J466" i="8"/>
  <c r="I466" i="8"/>
  <c r="K466" i="8" s="1"/>
  <c r="J465" i="8"/>
  <c r="I465" i="8"/>
  <c r="K465" i="8" s="1"/>
  <c r="I464" i="8"/>
  <c r="K464" i="8" s="1"/>
  <c r="I463" i="8"/>
  <c r="K463" i="8" s="1"/>
  <c r="I462" i="8"/>
  <c r="K462" i="8" s="1"/>
  <c r="I460" i="8"/>
  <c r="K458" i="8"/>
  <c r="P456" i="8"/>
  <c r="L456" i="8"/>
  <c r="O456" i="8" s="1"/>
  <c r="P455" i="8"/>
  <c r="O455" i="8"/>
  <c r="P454" i="8"/>
  <c r="N454" i="8"/>
  <c r="M454" i="8"/>
  <c r="N449" i="8"/>
  <c r="L449" i="8"/>
  <c r="M449" i="8" s="1"/>
  <c r="P448" i="8"/>
  <c r="O448" i="8"/>
  <c r="N447" i="8"/>
  <c r="N446" i="8"/>
  <c r="P445" i="8"/>
  <c r="N445" i="8"/>
  <c r="N444" i="8" s="1"/>
  <c r="M445" i="8"/>
  <c r="L445" i="8"/>
  <c r="J443" i="8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K435" i="8" s="1"/>
  <c r="J434" i="8"/>
  <c r="P431" i="8"/>
  <c r="L431" i="8"/>
  <c r="L429" i="8" s="1"/>
  <c r="O429" i="8" s="1"/>
  <c r="P430" i="8"/>
  <c r="O430" i="8"/>
  <c r="N429" i="8"/>
  <c r="M429" i="8"/>
  <c r="P429" i="8" s="1"/>
  <c r="N424" i="8"/>
  <c r="L424" i="8"/>
  <c r="M424" i="8" s="1"/>
  <c r="P423" i="8"/>
  <c r="O423" i="8"/>
  <c r="N422" i="8"/>
  <c r="N421" i="8"/>
  <c r="O420" i="8"/>
  <c r="N420" i="8"/>
  <c r="M420" i="8"/>
  <c r="L420" i="8"/>
  <c r="N419" i="8"/>
  <c r="J418" i="8"/>
  <c r="K413" i="8"/>
  <c r="K412" i="8"/>
  <c r="N410" i="8"/>
  <c r="N408" i="8" s="1"/>
  <c r="M410" i="8"/>
  <c r="L410" i="8"/>
  <c r="O410" i="8" s="1"/>
  <c r="P409" i="8"/>
  <c r="O409" i="8"/>
  <c r="N407" i="8"/>
  <c r="N405" i="8" s="1"/>
  <c r="M407" i="8"/>
  <c r="P407" i="8" s="1"/>
  <c r="L407" i="8"/>
  <c r="O407" i="8" s="1"/>
  <c r="P406" i="8"/>
  <c r="O406" i="8"/>
  <c r="P403" i="8"/>
  <c r="O403" i="8"/>
  <c r="N403" i="8"/>
  <c r="M403" i="8"/>
  <c r="L403" i="8"/>
  <c r="J401" i="8"/>
  <c r="I401" i="8"/>
  <c r="K401" i="8" s="1"/>
  <c r="K400" i="8"/>
  <c r="K399" i="8"/>
  <c r="N397" i="8"/>
  <c r="N395" i="8" s="1"/>
  <c r="M397" i="8"/>
  <c r="M395" i="8" s="1"/>
  <c r="P395" i="8" s="1"/>
  <c r="L397" i="8"/>
  <c r="P396" i="8"/>
  <c r="O396" i="8"/>
  <c r="N394" i="8"/>
  <c r="N392" i="8" s="1"/>
  <c r="M394" i="8"/>
  <c r="P394" i="8" s="1"/>
  <c r="L394" i="8"/>
  <c r="P393" i="8"/>
  <c r="O393" i="8"/>
  <c r="N390" i="8"/>
  <c r="M390" i="8"/>
  <c r="L390" i="8"/>
  <c r="K388" i="8"/>
  <c r="J388" i="8"/>
  <c r="I388" i="8"/>
  <c r="J385" i="8"/>
  <c r="I385" i="8"/>
  <c r="D384" i="8"/>
  <c r="K382" i="8"/>
  <c r="J382" i="8"/>
  <c r="A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A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M353" i="8"/>
  <c r="M351" i="8" s="1"/>
  <c r="L353" i="8"/>
  <c r="L351" i="8" s="1"/>
  <c r="P352" i="8"/>
  <c r="O352" i="8"/>
  <c r="N350" i="8"/>
  <c r="N348" i="8" s="1"/>
  <c r="M350" i="8"/>
  <c r="M348" i="8" s="1"/>
  <c r="L350" i="8"/>
  <c r="P349" i="8"/>
  <c r="O349" i="8"/>
  <c r="P346" i="8"/>
  <c r="N346" i="8"/>
  <c r="M346" i="8"/>
  <c r="L346" i="8"/>
  <c r="J343" i="8"/>
  <c r="J342" i="8"/>
  <c r="J341" i="8"/>
  <c r="J340" i="8"/>
  <c r="I340" i="8"/>
  <c r="J338" i="8"/>
  <c r="I338" i="8"/>
  <c r="D337" i="8"/>
  <c r="N336" i="8"/>
  <c r="N334" i="8" s="1"/>
  <c r="M336" i="8"/>
  <c r="P336" i="8" s="1"/>
  <c r="L336" i="8"/>
  <c r="O336" i="8" s="1"/>
  <c r="P335" i="8"/>
  <c r="O335" i="8"/>
  <c r="N333" i="8"/>
  <c r="N331" i="8" s="1"/>
  <c r="M333" i="8"/>
  <c r="M331" i="8" s="1"/>
  <c r="L333" i="8"/>
  <c r="P332" i="8"/>
  <c r="O332" i="8"/>
  <c r="O329" i="8"/>
  <c r="N329" i="8"/>
  <c r="M329" i="8"/>
  <c r="L329" i="8"/>
  <c r="I327" i="8"/>
  <c r="I325" i="8"/>
  <c r="I314" i="8" s="1"/>
  <c r="K314" i="8" s="1"/>
  <c r="N323" i="8"/>
  <c r="M323" i="8"/>
  <c r="P323" i="8" s="1"/>
  <c r="L323" i="8"/>
  <c r="P322" i="8"/>
  <c r="O322" i="8"/>
  <c r="N320" i="8"/>
  <c r="N318" i="8" s="1"/>
  <c r="M320" i="8"/>
  <c r="P320" i="8" s="1"/>
  <c r="L320" i="8"/>
  <c r="P319" i="8"/>
  <c r="O319" i="8"/>
  <c r="O316" i="8"/>
  <c r="N316" i="8"/>
  <c r="M316" i="8"/>
  <c r="P316" i="8" s="1"/>
  <c r="L316" i="8"/>
  <c r="J314" i="8"/>
  <c r="I312" i="8"/>
  <c r="K312" i="8" s="1"/>
  <c r="I311" i="8"/>
  <c r="K311" i="8" s="1"/>
  <c r="I310" i="8"/>
  <c r="K310" i="8" s="1"/>
  <c r="I309" i="8"/>
  <c r="I297" i="8" s="1"/>
  <c r="K297" i="8" s="1"/>
  <c r="N306" i="8"/>
  <c r="N304" i="8" s="1"/>
  <c r="M306" i="8"/>
  <c r="P306" i="8" s="1"/>
  <c r="L306" i="8"/>
  <c r="L304" i="8" s="1"/>
  <c r="O304" i="8" s="1"/>
  <c r="P305" i="8"/>
  <c r="O305" i="8"/>
  <c r="N303" i="8"/>
  <c r="M303" i="8"/>
  <c r="M301" i="8" s="1"/>
  <c r="L303" i="8"/>
  <c r="L301" i="8" s="1"/>
  <c r="P302" i="8"/>
  <c r="O302" i="8"/>
  <c r="P299" i="8"/>
  <c r="O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87" i="8"/>
  <c r="I276" i="8" s="1"/>
  <c r="K276" i="8" s="1"/>
  <c r="N285" i="8"/>
  <c r="N283" i="8" s="1"/>
  <c r="M285" i="8"/>
  <c r="P285" i="8" s="1"/>
  <c r="L285" i="8"/>
  <c r="P284" i="8"/>
  <c r="O284" i="8"/>
  <c r="N282" i="8"/>
  <c r="M282" i="8"/>
  <c r="L282" i="8"/>
  <c r="L280" i="8" s="1"/>
  <c r="P281" i="8"/>
  <c r="O281" i="8"/>
  <c r="P278" i="8"/>
  <c r="N278" i="8"/>
  <c r="M278" i="8"/>
  <c r="L278" i="8"/>
  <c r="J276" i="8"/>
  <c r="I271" i="8"/>
  <c r="N269" i="8"/>
  <c r="N267" i="8" s="1"/>
  <c r="M269" i="8"/>
  <c r="M267" i="8" s="1"/>
  <c r="P267" i="8" s="1"/>
  <c r="L269" i="8"/>
  <c r="O269" i="8" s="1"/>
  <c r="P268" i="8"/>
  <c r="O268" i="8"/>
  <c r="N266" i="8"/>
  <c r="N264" i="8" s="1"/>
  <c r="M266" i="8"/>
  <c r="M264" i="8" s="1"/>
  <c r="L266" i="8"/>
  <c r="P265" i="8"/>
  <c r="O265" i="8"/>
  <c r="P262" i="8"/>
  <c r="O262" i="8"/>
  <c r="N262" i="8"/>
  <c r="M262" i="8"/>
  <c r="L262" i="8"/>
  <c r="J260" i="8"/>
  <c r="K258" i="8"/>
  <c r="K257" i="8"/>
  <c r="I255" i="8"/>
  <c r="K255" i="8" s="1"/>
  <c r="L253" i="8"/>
  <c r="L252" i="8"/>
  <c r="L251" i="8"/>
  <c r="L250" i="8"/>
  <c r="P249" i="8"/>
  <c r="N249" i="8"/>
  <c r="J248" i="8"/>
  <c r="K247" i="8"/>
  <c r="K246" i="8"/>
  <c r="I244" i="8"/>
  <c r="L242" i="8"/>
  <c r="L241" i="8"/>
  <c r="L240" i="8"/>
  <c r="L239" i="8"/>
  <c r="P238" i="8"/>
  <c r="N238" i="8"/>
  <c r="J237" i="8"/>
  <c r="J226" i="8" s="1"/>
  <c r="J180" i="8" s="1"/>
  <c r="K236" i="8"/>
  <c r="J236" i="8"/>
  <c r="I236" i="8"/>
  <c r="J235" i="8"/>
  <c r="I235" i="8"/>
  <c r="K235" i="8" s="1"/>
  <c r="J233" i="8"/>
  <c r="N231" i="8"/>
  <c r="N230" i="8"/>
  <c r="N229" i="8"/>
  <c r="N228" i="8"/>
  <c r="N227" i="8"/>
  <c r="I225" i="8"/>
  <c r="K225" i="8" s="1"/>
  <c r="I224" i="8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K204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L189" i="8"/>
  <c r="O189" i="8" s="1"/>
  <c r="P188" i="8"/>
  <c r="O188" i="8"/>
  <c r="N186" i="8"/>
  <c r="N184" i="8" s="1"/>
  <c r="M186" i="8"/>
  <c r="M184" i="8" s="1"/>
  <c r="L186" i="8"/>
  <c r="L184" i="8" s="1"/>
  <c r="P185" i="8"/>
  <c r="O185" i="8"/>
  <c r="O182" i="8"/>
  <c r="N182" i="8"/>
  <c r="M182" i="8"/>
  <c r="P182" i="8" s="1"/>
  <c r="L182" i="8"/>
  <c r="J177" i="8"/>
  <c r="J164" i="8" s="1"/>
  <c r="I176" i="8"/>
  <c r="J174" i="8"/>
  <c r="N173" i="8"/>
  <c r="N171" i="8" s="1"/>
  <c r="M173" i="8"/>
  <c r="P173" i="8" s="1"/>
  <c r="L173" i="8"/>
  <c r="O173" i="8" s="1"/>
  <c r="P172" i="8"/>
  <c r="O172" i="8"/>
  <c r="N170" i="8"/>
  <c r="N168" i="8" s="1"/>
  <c r="M170" i="8"/>
  <c r="M168" i="8" s="1"/>
  <c r="L170" i="8"/>
  <c r="P169" i="8"/>
  <c r="O169" i="8"/>
  <c r="O166" i="8"/>
  <c r="N166" i="8"/>
  <c r="M166" i="8"/>
  <c r="P166" i="8" s="1"/>
  <c r="L166" i="8"/>
  <c r="I159" i="8"/>
  <c r="K159" i="8" s="1"/>
  <c r="N157" i="8"/>
  <c r="N155" i="8" s="1"/>
  <c r="M157" i="8"/>
  <c r="L157" i="8"/>
  <c r="O157" i="8" s="1"/>
  <c r="P156" i="8"/>
  <c r="O156" i="8"/>
  <c r="N154" i="8"/>
  <c r="M154" i="8"/>
  <c r="L154" i="8"/>
  <c r="P153" i="8"/>
  <c r="O153" i="8"/>
  <c r="P150" i="8"/>
  <c r="O150" i="8"/>
  <c r="N150" i="8"/>
  <c r="M150" i="8"/>
  <c r="L150" i="8"/>
  <c r="J148" i="8"/>
  <c r="I146" i="8"/>
  <c r="K146" i="8" s="1"/>
  <c r="I145" i="8"/>
  <c r="K145" i="8" s="1"/>
  <c r="I144" i="8"/>
  <c r="N140" i="8"/>
  <c r="M140" i="8"/>
  <c r="L140" i="8"/>
  <c r="L138" i="8" s="1"/>
  <c r="O138" i="8" s="1"/>
  <c r="P139" i="8"/>
  <c r="O139" i="8"/>
  <c r="N137" i="8"/>
  <c r="N135" i="8" s="1"/>
  <c r="M137" i="8"/>
  <c r="L137" i="8"/>
  <c r="P136" i="8"/>
  <c r="O136" i="8"/>
  <c r="N133" i="8"/>
  <c r="M133" i="8"/>
  <c r="P133" i="8" s="1"/>
  <c r="L133" i="8"/>
  <c r="O133" i="8" s="1"/>
  <c r="J130" i="8"/>
  <c r="N127" i="8"/>
  <c r="N125" i="8" s="1"/>
  <c r="M127" i="8"/>
  <c r="P127" i="8" s="1"/>
  <c r="L127" i="8"/>
  <c r="O127" i="8" s="1"/>
  <c r="P126" i="8"/>
  <c r="O126" i="8"/>
  <c r="N124" i="8"/>
  <c r="N122" i="8" s="1"/>
  <c r="M124" i="8"/>
  <c r="L124" i="8"/>
  <c r="P123" i="8"/>
  <c r="O123" i="8"/>
  <c r="P120" i="8"/>
  <c r="O120" i="8"/>
  <c r="N120" i="8"/>
  <c r="M120" i="8"/>
  <c r="L120" i="8"/>
  <c r="I116" i="8"/>
  <c r="K116" i="8" s="1"/>
  <c r="I115" i="8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J87" i="8" s="1"/>
  <c r="I99" i="8"/>
  <c r="I87" i="8" s="1"/>
  <c r="K87" i="8" s="1"/>
  <c r="J98" i="8"/>
  <c r="I98" i="8"/>
  <c r="N96" i="8"/>
  <c r="N94" i="8" s="1"/>
  <c r="M96" i="8"/>
  <c r="P96" i="8" s="1"/>
  <c r="L96" i="8"/>
  <c r="P95" i="8"/>
  <c r="O95" i="8"/>
  <c r="N93" i="8"/>
  <c r="N91" i="8" s="1"/>
  <c r="M93" i="8"/>
  <c r="M91" i="8" s="1"/>
  <c r="L93" i="8"/>
  <c r="L91" i="8" s="1"/>
  <c r="P92" i="8"/>
  <c r="O92" i="8"/>
  <c r="P89" i="8"/>
  <c r="O89" i="8"/>
  <c r="N89" i="8"/>
  <c r="M89" i="8"/>
  <c r="L89" i="8"/>
  <c r="J86" i="8"/>
  <c r="I84" i="8"/>
  <c r="K84" i="8" s="1"/>
  <c r="I83" i="8"/>
  <c r="K83" i="8" s="1"/>
  <c r="I82" i="8"/>
  <c r="K82" i="8" s="1"/>
  <c r="I81" i="8"/>
  <c r="K81" i="8" s="1"/>
  <c r="I80" i="8"/>
  <c r="I79" i="8"/>
  <c r="K79" i="8" s="1"/>
  <c r="I78" i="8"/>
  <c r="K78" i="8" s="1"/>
  <c r="J77" i="8"/>
  <c r="J65" i="8" s="1"/>
  <c r="J76" i="8"/>
  <c r="N74" i="8"/>
  <c r="N72" i="8" s="1"/>
  <c r="M74" i="8"/>
  <c r="L74" i="8"/>
  <c r="L72" i="8" s="1"/>
  <c r="O72" i="8" s="1"/>
  <c r="P73" i="8"/>
  <c r="O73" i="8"/>
  <c r="N71" i="8"/>
  <c r="M71" i="8"/>
  <c r="M69" i="8" s="1"/>
  <c r="L71" i="8"/>
  <c r="L69" i="8" s="1"/>
  <c r="P70" i="8"/>
  <c r="O70" i="8"/>
  <c r="O67" i="8"/>
  <c r="N67" i="8"/>
  <c r="M67" i="8"/>
  <c r="P67" i="8" s="1"/>
  <c r="L67" i="8"/>
  <c r="J64" i="8"/>
  <c r="N61" i="8"/>
  <c r="N59" i="8" s="1"/>
  <c r="M61" i="8"/>
  <c r="M59" i="8" s="1"/>
  <c r="P59" i="8" s="1"/>
  <c r="L61" i="8"/>
  <c r="L59" i="8" s="1"/>
  <c r="O59" i="8" s="1"/>
  <c r="P60" i="8"/>
  <c r="O60" i="8"/>
  <c r="N58" i="8"/>
  <c r="N56" i="8" s="1"/>
  <c r="M58" i="8"/>
  <c r="L58" i="8"/>
  <c r="P57" i="8"/>
  <c r="O57" i="8"/>
  <c r="P54" i="8"/>
  <c r="N54" i="8"/>
  <c r="M54" i="8"/>
  <c r="L54" i="8"/>
  <c r="N49" i="8"/>
  <c r="M49" i="8"/>
  <c r="P49" i="8" s="1"/>
  <c r="L49" i="8"/>
  <c r="P48" i="8"/>
  <c r="O48" i="8"/>
  <c r="N46" i="8"/>
  <c r="M46" i="8"/>
  <c r="M44" i="8" s="1"/>
  <c r="L46" i="8"/>
  <c r="P45" i="8"/>
  <c r="O45" i="8"/>
  <c r="O42" i="8"/>
  <c r="N42" i="8"/>
  <c r="M42" i="8"/>
  <c r="P42" i="8" s="1"/>
  <c r="L42" i="8"/>
  <c r="P36" i="8"/>
  <c r="N36" i="8"/>
  <c r="N34" i="8" s="1"/>
  <c r="M36" i="8"/>
  <c r="O35" i="8"/>
  <c r="N35" i="8"/>
  <c r="M35" i="8"/>
  <c r="L35" i="8"/>
  <c r="N33" i="8"/>
  <c r="P32" i="8"/>
  <c r="N32" i="8"/>
  <c r="N31" i="8" s="1"/>
  <c r="M32" i="8"/>
  <c r="L32" i="8"/>
  <c r="O32" i="8" s="1"/>
  <c r="N30" i="8"/>
  <c r="P25" i="8"/>
  <c r="N25" i="8"/>
  <c r="M25" i="8"/>
  <c r="L25" i="8"/>
  <c r="O25" i="8" s="1"/>
  <c r="O22" i="8"/>
  <c r="N22" i="8"/>
  <c r="M22" i="8"/>
  <c r="L22" i="8"/>
  <c r="N19" i="8"/>
  <c r="L19" i="8"/>
  <c r="O19" i="8" s="1"/>
  <c r="N12" i="8"/>
  <c r="L12" i="8"/>
  <c r="O12" i="8" s="1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N807" i="7" s="1"/>
  <c r="N805" i="7" s="1"/>
  <c r="P809" i="7"/>
  <c r="O809" i="7"/>
  <c r="N808" i="7"/>
  <c r="M808" i="7"/>
  <c r="P808" i="7" s="1"/>
  <c r="L808" i="7"/>
  <c r="O808" i="7" s="1"/>
  <c r="M807" i="7"/>
  <c r="P807" i="7" s="1"/>
  <c r="L807" i="7"/>
  <c r="O807" i="7" s="1"/>
  <c r="P806" i="7"/>
  <c r="N806" i="7"/>
  <c r="M806" i="7"/>
  <c r="M805" i="7" s="1"/>
  <c r="P805" i="7" s="1"/>
  <c r="L806" i="7"/>
  <c r="K804" i="7"/>
  <c r="J804" i="7"/>
  <c r="J803" i="7"/>
  <c r="I803" i="7"/>
  <c r="K803" i="7" s="1"/>
  <c r="J802" i="7"/>
  <c r="J801" i="7"/>
  <c r="I801" i="7"/>
  <c r="J800" i="7"/>
  <c r="P798" i="7"/>
  <c r="O798" i="7"/>
  <c r="P797" i="7"/>
  <c r="O797" i="7"/>
  <c r="P796" i="7"/>
  <c r="N796" i="7"/>
  <c r="M796" i="7"/>
  <c r="L796" i="7"/>
  <c r="O796" i="7" s="1"/>
  <c r="N795" i="7"/>
  <c r="N794" i="7"/>
  <c r="N791" i="7" s="1"/>
  <c r="L791" i="7"/>
  <c r="P790" i="7"/>
  <c r="O790" i="7"/>
  <c r="P787" i="7"/>
  <c r="N787" i="7"/>
  <c r="M787" i="7"/>
  <c r="L787" i="7"/>
  <c r="P782" i="7"/>
  <c r="O782" i="7"/>
  <c r="P781" i="7"/>
  <c r="O781" i="7"/>
  <c r="P780" i="7"/>
  <c r="O780" i="7"/>
  <c r="N780" i="7"/>
  <c r="M780" i="7"/>
  <c r="L780" i="7"/>
  <c r="P775" i="7"/>
  <c r="O775" i="7"/>
  <c r="N775" i="7"/>
  <c r="P774" i="7"/>
  <c r="O774" i="7"/>
  <c r="O773" i="7"/>
  <c r="N773" i="7"/>
  <c r="M773" i="7"/>
  <c r="P773" i="7" s="1"/>
  <c r="L773" i="7"/>
  <c r="N772" i="7"/>
  <c r="M772" i="7"/>
  <c r="P772" i="7" s="1"/>
  <c r="L772" i="7"/>
  <c r="O772" i="7" s="1"/>
  <c r="N771" i="7"/>
  <c r="N770" i="7" s="1"/>
  <c r="M771" i="7"/>
  <c r="L771" i="7"/>
  <c r="O771" i="7" s="1"/>
  <c r="K769" i="7"/>
  <c r="J769" i="7"/>
  <c r="P766" i="7"/>
  <c r="O766" i="7"/>
  <c r="P765" i="7"/>
  <c r="O765" i="7"/>
  <c r="P764" i="7"/>
  <c r="O764" i="7"/>
  <c r="N764" i="7"/>
  <c r="M764" i="7"/>
  <c r="L764" i="7"/>
  <c r="P759" i="7"/>
  <c r="O759" i="7"/>
  <c r="N759" i="7"/>
  <c r="P758" i="7"/>
  <c r="O758" i="7"/>
  <c r="O757" i="7"/>
  <c r="N757" i="7"/>
  <c r="M757" i="7"/>
  <c r="P757" i="7" s="1"/>
  <c r="L757" i="7"/>
  <c r="N756" i="7"/>
  <c r="M756" i="7"/>
  <c r="P756" i="7" s="1"/>
  <c r="L756" i="7"/>
  <c r="O756" i="7" s="1"/>
  <c r="N755" i="7"/>
  <c r="M755" i="7"/>
  <c r="L755" i="7"/>
  <c r="K753" i="7"/>
  <c r="J753" i="7"/>
  <c r="P749" i="7"/>
  <c r="O749" i="7"/>
  <c r="P748" i="7"/>
  <c r="O748" i="7"/>
  <c r="P747" i="7"/>
  <c r="O747" i="7"/>
  <c r="N747" i="7"/>
  <c r="M747" i="7"/>
  <c r="L747" i="7"/>
  <c r="P742" i="7"/>
  <c r="O742" i="7"/>
  <c r="N742" i="7"/>
  <c r="P741" i="7"/>
  <c r="O741" i="7"/>
  <c r="O740" i="7"/>
  <c r="N740" i="7"/>
  <c r="M740" i="7"/>
  <c r="P740" i="7" s="1"/>
  <c r="L740" i="7"/>
  <c r="N739" i="7"/>
  <c r="M739" i="7"/>
  <c r="P739" i="7" s="1"/>
  <c r="L739" i="7"/>
  <c r="O739" i="7" s="1"/>
  <c r="N738" i="7"/>
  <c r="N737" i="7" s="1"/>
  <c r="M738" i="7"/>
  <c r="L738" i="7"/>
  <c r="O738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O695" i="7"/>
  <c r="N695" i="7"/>
  <c r="M695" i="7"/>
  <c r="L695" i="7"/>
  <c r="P690" i="7"/>
  <c r="N690" i="7"/>
  <c r="N687" i="7" s="1"/>
  <c r="N685" i="7" s="1"/>
  <c r="L690" i="7"/>
  <c r="L687" i="7" s="1"/>
  <c r="O687" i="7" s="1"/>
  <c r="N688" i="7"/>
  <c r="M688" i="7"/>
  <c r="P688" i="7" s="1"/>
  <c r="M687" i="7"/>
  <c r="P686" i="7"/>
  <c r="N686" i="7"/>
  <c r="M686" i="7"/>
  <c r="L686" i="7"/>
  <c r="J679" i="7"/>
  <c r="J678" i="7" s="1"/>
  <c r="I678" i="7"/>
  <c r="K678" i="7" s="1"/>
  <c r="J675" i="7"/>
  <c r="I671" i="7"/>
  <c r="K671" i="7" s="1"/>
  <c r="I670" i="7"/>
  <c r="K670" i="7" s="1"/>
  <c r="J669" i="7"/>
  <c r="J654" i="7" s="1"/>
  <c r="I669" i="7"/>
  <c r="K675" i="7" s="1"/>
  <c r="P667" i="7"/>
  <c r="O667" i="7"/>
  <c r="P666" i="7"/>
  <c r="O666" i="7"/>
  <c r="P665" i="7"/>
  <c r="N665" i="7"/>
  <c r="M665" i="7"/>
  <c r="L665" i="7"/>
  <c r="O665" i="7" s="1"/>
  <c r="P660" i="7"/>
  <c r="N660" i="7"/>
  <c r="L660" i="7"/>
  <c r="P659" i="7"/>
  <c r="O659" i="7"/>
  <c r="P658" i="7"/>
  <c r="N658" i="7"/>
  <c r="M658" i="7"/>
  <c r="P657" i="7"/>
  <c r="N657" i="7"/>
  <c r="M657" i="7"/>
  <c r="O656" i="7"/>
  <c r="N656" i="7"/>
  <c r="M656" i="7"/>
  <c r="P656" i="7" s="1"/>
  <c r="L656" i="7"/>
  <c r="N655" i="7"/>
  <c r="M655" i="7"/>
  <c r="P655" i="7" s="1"/>
  <c r="K652" i="7"/>
  <c r="J652" i="7"/>
  <c r="A652" i="7"/>
  <c r="J651" i="7"/>
  <c r="J628" i="7" s="1"/>
  <c r="I651" i="7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P640" i="7"/>
  <c r="O640" i="7"/>
  <c r="N639" i="7"/>
  <c r="M639" i="7"/>
  <c r="P639" i="7" s="1"/>
  <c r="N638" i="7"/>
  <c r="N636" i="7"/>
  <c r="N634" i="7"/>
  <c r="N632" i="7" s="1"/>
  <c r="L634" i="7"/>
  <c r="P633" i="7"/>
  <c r="O633" i="7"/>
  <c r="N631" i="7"/>
  <c r="O630" i="7"/>
  <c r="N630" i="7"/>
  <c r="N629" i="7" s="1"/>
  <c r="M630" i="7"/>
  <c r="P630" i="7" s="1"/>
  <c r="L630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3" i="7" s="1"/>
  <c r="J592" i="7" s="1"/>
  <c r="J596" i="7"/>
  <c r="J594" i="7" s="1"/>
  <c r="J595" i="7"/>
  <c r="I594" i="7"/>
  <c r="I593" i="7"/>
  <c r="I592" i="7" s="1"/>
  <c r="K592" i="7" s="1"/>
  <c r="J583" i="7"/>
  <c r="J577" i="7" s="1"/>
  <c r="J582" i="7"/>
  <c r="I577" i="7"/>
  <c r="J576" i="7"/>
  <c r="J559" i="7" s="1"/>
  <c r="J543" i="7" s="1"/>
  <c r="I576" i="7"/>
  <c r="I559" i="7" s="1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L555" i="7" s="1"/>
  <c r="O555" i="7" s="1"/>
  <c r="P556" i="7"/>
  <c r="O556" i="7"/>
  <c r="N555" i="7"/>
  <c r="N545" i="7" s="1"/>
  <c r="N544" i="7" s="1"/>
  <c r="M555" i="7"/>
  <c r="P555" i="7" s="1"/>
  <c r="N553" i="7"/>
  <c r="N551" i="7"/>
  <c r="N549" i="7"/>
  <c r="N547" i="7" s="1"/>
  <c r="L549" i="7"/>
  <c r="M549" i="7" s="1"/>
  <c r="M546" i="7" s="1"/>
  <c r="P548" i="7"/>
  <c r="O548" i="7"/>
  <c r="N546" i="7"/>
  <c r="O545" i="7"/>
  <c r="M545" i="7"/>
  <c r="P545" i="7" s="1"/>
  <c r="L545" i="7"/>
  <c r="I542" i="7"/>
  <c r="K542" i="7" s="1"/>
  <c r="I541" i="7"/>
  <c r="K541" i="7" s="1"/>
  <c r="I540" i="7"/>
  <c r="K540" i="7" s="1"/>
  <c r="I539" i="7"/>
  <c r="K539" i="7" s="1"/>
  <c r="I538" i="7"/>
  <c r="I537" i="7"/>
  <c r="P535" i="7"/>
  <c r="L535" i="7"/>
  <c r="P534" i="7"/>
  <c r="O534" i="7"/>
  <c r="P533" i="7"/>
  <c r="N533" i="7"/>
  <c r="M533" i="7"/>
  <c r="P528" i="7"/>
  <c r="N528" i="7"/>
  <c r="N525" i="7" s="1"/>
  <c r="L528" i="7"/>
  <c r="L526" i="7" s="1"/>
  <c r="O526" i="7" s="1"/>
  <c r="P527" i="7"/>
  <c r="O527" i="7"/>
  <c r="N526" i="7"/>
  <c r="M526" i="7"/>
  <c r="P526" i="7" s="1"/>
  <c r="M525" i="7"/>
  <c r="P525" i="7" s="1"/>
  <c r="N524" i="7"/>
  <c r="M524" i="7"/>
  <c r="L524" i="7"/>
  <c r="K517" i="7"/>
  <c r="J517" i="7"/>
  <c r="K516" i="7"/>
  <c r="P514" i="7"/>
  <c r="O514" i="7"/>
  <c r="P513" i="7"/>
  <c r="O513" i="7"/>
  <c r="O512" i="7"/>
  <c r="N512" i="7"/>
  <c r="M512" i="7"/>
  <c r="P512" i="7" s="1"/>
  <c r="L512" i="7"/>
  <c r="P507" i="7"/>
  <c r="O507" i="7"/>
  <c r="N507" i="7"/>
  <c r="P506" i="7"/>
  <c r="O506" i="7"/>
  <c r="M505" i="7"/>
  <c r="P505" i="7" s="1"/>
  <c r="L505" i="7"/>
  <c r="O505" i="7" s="1"/>
  <c r="P504" i="7"/>
  <c r="M504" i="7"/>
  <c r="L504" i="7"/>
  <c r="O504" i="7" s="1"/>
  <c r="P503" i="7"/>
  <c r="O503" i="7"/>
  <c r="N503" i="7"/>
  <c r="M503" i="7"/>
  <c r="L503" i="7"/>
  <c r="P502" i="7"/>
  <c r="M502" i="7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L477" i="7" s="1"/>
  <c r="O477" i="7" s="1"/>
  <c r="P478" i="7"/>
  <c r="O478" i="7"/>
  <c r="N477" i="7"/>
  <c r="M477" i="7"/>
  <c r="P477" i="7" s="1"/>
  <c r="N472" i="7"/>
  <c r="L472" i="7"/>
  <c r="P471" i="7"/>
  <c r="O471" i="7"/>
  <c r="N470" i="7"/>
  <c r="N469" i="7"/>
  <c r="N467" i="7" s="1"/>
  <c r="P468" i="7"/>
  <c r="N468" i="7"/>
  <c r="M468" i="7"/>
  <c r="L468" i="7"/>
  <c r="J466" i="7"/>
  <c r="I466" i="7"/>
  <c r="J465" i="7"/>
  <c r="I465" i="7"/>
  <c r="K465" i="7" s="1"/>
  <c r="I464" i="7"/>
  <c r="K464" i="7" s="1"/>
  <c r="I463" i="7"/>
  <c r="K463" i="7" s="1"/>
  <c r="I462" i="7"/>
  <c r="I460" i="7"/>
  <c r="K458" i="7"/>
  <c r="P456" i="7"/>
  <c r="L456" i="7"/>
  <c r="O456" i="7" s="1"/>
  <c r="P455" i="7"/>
  <c r="O455" i="7"/>
  <c r="P454" i="7"/>
  <c r="N454" i="7"/>
  <c r="M454" i="7"/>
  <c r="N449" i="7"/>
  <c r="N447" i="7" s="1"/>
  <c r="L449" i="7"/>
  <c r="M449" i="7" s="1"/>
  <c r="P449" i="7" s="1"/>
  <c r="P448" i="7"/>
  <c r="O448" i="7"/>
  <c r="N446" i="7"/>
  <c r="P445" i="7"/>
  <c r="O445" i="7"/>
  <c r="N445" i="7"/>
  <c r="M445" i="7"/>
  <c r="L445" i="7"/>
  <c r="N444" i="7"/>
  <c r="J443" i="7"/>
  <c r="J442" i="7"/>
  <c r="I441" i="7"/>
  <c r="K441" i="7" s="1"/>
  <c r="I440" i="7"/>
  <c r="K440" i="7" s="1"/>
  <c r="I439" i="7"/>
  <c r="K439" i="7" s="1"/>
  <c r="I438" i="7"/>
  <c r="K438" i="7" s="1"/>
  <c r="I437" i="7"/>
  <c r="I435" i="7"/>
  <c r="K435" i="7" s="1"/>
  <c r="J434" i="7"/>
  <c r="P431" i="7"/>
  <c r="L431" i="7"/>
  <c r="O431" i="7" s="1"/>
  <c r="P430" i="7"/>
  <c r="O430" i="7"/>
  <c r="N429" i="7"/>
  <c r="M429" i="7"/>
  <c r="P429" i="7" s="1"/>
  <c r="N424" i="7"/>
  <c r="L424" i="7"/>
  <c r="P423" i="7"/>
  <c r="O423" i="7"/>
  <c r="N422" i="7"/>
  <c r="N421" i="7"/>
  <c r="P420" i="7"/>
  <c r="N420" i="7"/>
  <c r="M420" i="7"/>
  <c r="L420" i="7"/>
  <c r="O420" i="7" s="1"/>
  <c r="N419" i="7"/>
  <c r="J418" i="7"/>
  <c r="K413" i="7"/>
  <c r="K412" i="7"/>
  <c r="N410" i="7"/>
  <c r="N408" i="7" s="1"/>
  <c r="M410" i="7"/>
  <c r="P410" i="7" s="1"/>
  <c r="L410" i="7"/>
  <c r="P409" i="7"/>
  <c r="O409" i="7"/>
  <c r="N407" i="7"/>
  <c r="M407" i="7"/>
  <c r="M405" i="7" s="1"/>
  <c r="P405" i="7" s="1"/>
  <c r="L407" i="7"/>
  <c r="O407" i="7" s="1"/>
  <c r="P406" i="7"/>
  <c r="O406" i="7"/>
  <c r="P403" i="7"/>
  <c r="O403" i="7"/>
  <c r="N403" i="7"/>
  <c r="M403" i="7"/>
  <c r="L403" i="7"/>
  <c r="J401" i="7"/>
  <c r="I401" i="7"/>
  <c r="K401" i="7" s="1"/>
  <c r="K400" i="7"/>
  <c r="K399" i="7"/>
  <c r="N397" i="7"/>
  <c r="N395" i="7" s="1"/>
  <c r="M397" i="7"/>
  <c r="P397" i="7" s="1"/>
  <c r="L397" i="7"/>
  <c r="O397" i="7" s="1"/>
  <c r="P396" i="7"/>
  <c r="O396" i="7"/>
  <c r="N394" i="7"/>
  <c r="M394" i="7"/>
  <c r="P394" i="7" s="1"/>
  <c r="L394" i="7"/>
  <c r="P393" i="7"/>
  <c r="O393" i="7"/>
  <c r="P390" i="7"/>
  <c r="N390" i="7"/>
  <c r="M390" i="7"/>
  <c r="L390" i="7"/>
  <c r="K388" i="7"/>
  <c r="J388" i="7"/>
  <c r="I388" i="7"/>
  <c r="J385" i="7"/>
  <c r="I385" i="7"/>
  <c r="D384" i="7"/>
  <c r="K382" i="7"/>
  <c r="J382" i="7"/>
  <c r="A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A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M351" i="7" s="1"/>
  <c r="L353" i="7"/>
  <c r="P352" i="7"/>
  <c r="O352" i="7"/>
  <c r="N350" i="7"/>
  <c r="M350" i="7"/>
  <c r="L350" i="7"/>
  <c r="P349" i="7"/>
  <c r="O349" i="7"/>
  <c r="O346" i="7"/>
  <c r="N346" i="7"/>
  <c r="M346" i="7"/>
  <c r="P346" i="7" s="1"/>
  <c r="L346" i="7"/>
  <c r="J343" i="7"/>
  <c r="J342" i="7"/>
  <c r="J341" i="7"/>
  <c r="J340" i="7"/>
  <c r="I340" i="7"/>
  <c r="J338" i="7"/>
  <c r="I338" i="7"/>
  <c r="D337" i="7"/>
  <c r="N336" i="7"/>
  <c r="N334" i="7" s="1"/>
  <c r="M336" i="7"/>
  <c r="M334" i="7" s="1"/>
  <c r="P334" i="7" s="1"/>
  <c r="L336" i="7"/>
  <c r="P335" i="7"/>
  <c r="O335" i="7"/>
  <c r="N333" i="7"/>
  <c r="M333" i="7"/>
  <c r="L333" i="7"/>
  <c r="L331" i="7" s="1"/>
  <c r="P332" i="7"/>
  <c r="O332" i="7"/>
  <c r="P329" i="7"/>
  <c r="N329" i="7"/>
  <c r="M329" i="7"/>
  <c r="L329" i="7"/>
  <c r="I327" i="7"/>
  <c r="I325" i="7"/>
  <c r="I314" i="7" s="1"/>
  <c r="K314" i="7" s="1"/>
  <c r="N323" i="7"/>
  <c r="N321" i="7" s="1"/>
  <c r="M323" i="7"/>
  <c r="P323" i="7" s="1"/>
  <c r="L323" i="7"/>
  <c r="L321" i="7" s="1"/>
  <c r="O321" i="7" s="1"/>
  <c r="P322" i="7"/>
  <c r="O322" i="7"/>
  <c r="N320" i="7"/>
  <c r="N318" i="7" s="1"/>
  <c r="M320" i="7"/>
  <c r="P320" i="7" s="1"/>
  <c r="L320" i="7"/>
  <c r="P319" i="7"/>
  <c r="O319" i="7"/>
  <c r="P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L306" i="7"/>
  <c r="O306" i="7" s="1"/>
  <c r="P305" i="7"/>
  <c r="O305" i="7"/>
  <c r="N303" i="7"/>
  <c r="M303" i="7"/>
  <c r="P303" i="7" s="1"/>
  <c r="L303" i="7"/>
  <c r="P302" i="7"/>
  <c r="O302" i="7"/>
  <c r="N299" i="7"/>
  <c r="M299" i="7"/>
  <c r="L299" i="7"/>
  <c r="O299" i="7" s="1"/>
  <c r="J297" i="7"/>
  <c r="I294" i="7"/>
  <c r="K294" i="7" s="1"/>
  <c r="I293" i="7"/>
  <c r="K293" i="7" s="1"/>
  <c r="I291" i="7"/>
  <c r="K291" i="7" s="1"/>
  <c r="I290" i="7"/>
  <c r="K290" i="7" s="1"/>
  <c r="I288" i="7"/>
  <c r="I287" i="7"/>
  <c r="I276" i="7" s="1"/>
  <c r="K276" i="7" s="1"/>
  <c r="N285" i="7"/>
  <c r="N283" i="7" s="1"/>
  <c r="M285" i="7"/>
  <c r="L285" i="7"/>
  <c r="L283" i="7" s="1"/>
  <c r="O283" i="7" s="1"/>
  <c r="P284" i="7"/>
  <c r="O284" i="7"/>
  <c r="N282" i="7"/>
  <c r="M282" i="7"/>
  <c r="L282" i="7"/>
  <c r="L280" i="7" s="1"/>
  <c r="P281" i="7"/>
  <c r="O281" i="7"/>
  <c r="N278" i="7"/>
  <c r="M278" i="7"/>
  <c r="P278" i="7" s="1"/>
  <c r="L278" i="7"/>
  <c r="O278" i="7" s="1"/>
  <c r="J276" i="7"/>
  <c r="I271" i="7"/>
  <c r="I260" i="7" s="1"/>
  <c r="N269" i="7"/>
  <c r="N267" i="7" s="1"/>
  <c r="M269" i="7"/>
  <c r="P269" i="7" s="1"/>
  <c r="L269" i="7"/>
  <c r="P268" i="7"/>
  <c r="O268" i="7"/>
  <c r="N266" i="7"/>
  <c r="M266" i="7"/>
  <c r="M264" i="7" s="1"/>
  <c r="L266" i="7"/>
  <c r="P265" i="7"/>
  <c r="O265" i="7"/>
  <c r="N262" i="7"/>
  <c r="M262" i="7"/>
  <c r="L262" i="7"/>
  <c r="O262" i="7" s="1"/>
  <c r="J260" i="7"/>
  <c r="K258" i="7"/>
  <c r="K257" i="7"/>
  <c r="I255" i="7"/>
  <c r="L253" i="7"/>
  <c r="L252" i="7"/>
  <c r="L251" i="7"/>
  <c r="L250" i="7"/>
  <c r="P249" i="7"/>
  <c r="N249" i="7"/>
  <c r="N227" i="7" s="1"/>
  <c r="J248" i="7"/>
  <c r="K247" i="7"/>
  <c r="K246" i="7"/>
  <c r="I244" i="7"/>
  <c r="K244" i="7" s="1"/>
  <c r="L242" i="7"/>
  <c r="L241" i="7"/>
  <c r="L240" i="7"/>
  <c r="L239" i="7"/>
  <c r="P238" i="7"/>
  <c r="N238" i="7"/>
  <c r="J237" i="7"/>
  <c r="J236" i="7"/>
  <c r="I236" i="7"/>
  <c r="K236" i="7" s="1"/>
  <c r="K235" i="7"/>
  <c r="J235" i="7"/>
  <c r="I235" i="7"/>
  <c r="J233" i="7"/>
  <c r="N231" i="7"/>
  <c r="N230" i="7"/>
  <c r="N229" i="7"/>
  <c r="N228" i="7"/>
  <c r="J226" i="7"/>
  <c r="J180" i="7" s="1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I197" i="7" s="1"/>
  <c r="K197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P189" i="7" s="1"/>
  <c r="L189" i="7"/>
  <c r="P188" i="7"/>
  <c r="O188" i="7"/>
  <c r="N186" i="7"/>
  <c r="M186" i="7"/>
  <c r="L186" i="7"/>
  <c r="L184" i="7" s="1"/>
  <c r="P185" i="7"/>
  <c r="O185" i="7"/>
  <c r="P182" i="7"/>
  <c r="O182" i="7"/>
  <c r="N182" i="7"/>
  <c r="M182" i="7"/>
  <c r="L182" i="7"/>
  <c r="J177" i="7"/>
  <c r="I176" i="7"/>
  <c r="K176" i="7" s="1"/>
  <c r="J174" i="7"/>
  <c r="J164" i="7" s="1"/>
  <c r="N173" i="7"/>
  <c r="N171" i="7" s="1"/>
  <c r="M173" i="7"/>
  <c r="P173" i="7" s="1"/>
  <c r="L173" i="7"/>
  <c r="P172" i="7"/>
  <c r="O172" i="7"/>
  <c r="N170" i="7"/>
  <c r="N168" i="7" s="1"/>
  <c r="M170" i="7"/>
  <c r="M168" i="7" s="1"/>
  <c r="L170" i="7"/>
  <c r="L168" i="7" s="1"/>
  <c r="P169" i="7"/>
  <c r="O169" i="7"/>
  <c r="P166" i="7"/>
  <c r="O166" i="7"/>
  <c r="N166" i="7"/>
  <c r="M166" i="7"/>
  <c r="L166" i="7"/>
  <c r="I159" i="7"/>
  <c r="N157" i="7"/>
  <c r="N155" i="7" s="1"/>
  <c r="M157" i="7"/>
  <c r="P157" i="7" s="1"/>
  <c r="L157" i="7"/>
  <c r="P156" i="7"/>
  <c r="O156" i="7"/>
  <c r="N154" i="7"/>
  <c r="N152" i="7" s="1"/>
  <c r="M154" i="7"/>
  <c r="L154" i="7"/>
  <c r="P153" i="7"/>
  <c r="O153" i="7"/>
  <c r="N150" i="7"/>
  <c r="M150" i="7"/>
  <c r="L150" i="7"/>
  <c r="O150" i="7" s="1"/>
  <c r="J148" i="7"/>
  <c r="I146" i="7"/>
  <c r="I130" i="7" s="1"/>
  <c r="K130" i="7" s="1"/>
  <c r="I145" i="7"/>
  <c r="I143" i="7" s="1"/>
  <c r="K143" i="7" s="1"/>
  <c r="I144" i="7"/>
  <c r="K144" i="7" s="1"/>
  <c r="N140" i="7"/>
  <c r="M140" i="7"/>
  <c r="M138" i="7" s="1"/>
  <c r="P138" i="7" s="1"/>
  <c r="L140" i="7"/>
  <c r="O140" i="7" s="1"/>
  <c r="P139" i="7"/>
  <c r="O139" i="7"/>
  <c r="N137" i="7"/>
  <c r="N135" i="7" s="1"/>
  <c r="M137" i="7"/>
  <c r="M135" i="7" s="1"/>
  <c r="P135" i="7" s="1"/>
  <c r="L137" i="7"/>
  <c r="P136" i="7"/>
  <c r="O136" i="7"/>
  <c r="P133" i="7"/>
  <c r="O133" i="7"/>
  <c r="N133" i="7"/>
  <c r="M133" i="7"/>
  <c r="L133" i="7"/>
  <c r="J130" i="7"/>
  <c r="N127" i="7"/>
  <c r="N125" i="7" s="1"/>
  <c r="M127" i="7"/>
  <c r="P127" i="7" s="1"/>
  <c r="L127" i="7"/>
  <c r="P126" i="7"/>
  <c r="O126" i="7"/>
  <c r="N124" i="7"/>
  <c r="N122" i="7" s="1"/>
  <c r="M124" i="7"/>
  <c r="P124" i="7" s="1"/>
  <c r="L124" i="7"/>
  <c r="P123" i="7"/>
  <c r="O123" i="7"/>
  <c r="N120" i="7"/>
  <c r="M120" i="7"/>
  <c r="L120" i="7"/>
  <c r="O120" i="7" s="1"/>
  <c r="I116" i="7"/>
  <c r="K116" i="7" s="1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I87" i="7" s="1"/>
  <c r="J98" i="7"/>
  <c r="J86" i="7" s="1"/>
  <c r="I98" i="7"/>
  <c r="N96" i="7"/>
  <c r="N94" i="7" s="1"/>
  <c r="M96" i="7"/>
  <c r="P96" i="7" s="1"/>
  <c r="L96" i="7"/>
  <c r="O96" i="7" s="1"/>
  <c r="P95" i="7"/>
  <c r="O95" i="7"/>
  <c r="N93" i="7"/>
  <c r="N91" i="7" s="1"/>
  <c r="M93" i="7"/>
  <c r="L93" i="7"/>
  <c r="P92" i="7"/>
  <c r="O92" i="7"/>
  <c r="P89" i="7"/>
  <c r="O89" i="7"/>
  <c r="N89" i="7"/>
  <c r="M89" i="7"/>
  <c r="L89" i="7"/>
  <c r="J87" i="7"/>
  <c r="I84" i="7"/>
  <c r="K84" i="7" s="1"/>
  <c r="I83" i="7"/>
  <c r="K83" i="7" s="1"/>
  <c r="I82" i="7"/>
  <c r="I81" i="7"/>
  <c r="I80" i="7"/>
  <c r="K80" i="7" s="1"/>
  <c r="I79" i="7"/>
  <c r="K79" i="7" s="1"/>
  <c r="I78" i="7"/>
  <c r="K78" i="7" s="1"/>
  <c r="J77" i="7"/>
  <c r="J65" i="7" s="1"/>
  <c r="J76" i="7"/>
  <c r="N74" i="7"/>
  <c r="N72" i="7" s="1"/>
  <c r="M74" i="7"/>
  <c r="L74" i="7"/>
  <c r="P73" i="7"/>
  <c r="O73" i="7"/>
  <c r="N71" i="7"/>
  <c r="N69" i="7" s="1"/>
  <c r="M71" i="7"/>
  <c r="M69" i="7" s="1"/>
  <c r="P69" i="7" s="1"/>
  <c r="L71" i="7"/>
  <c r="O71" i="7" s="1"/>
  <c r="P70" i="7"/>
  <c r="O70" i="7"/>
  <c r="P67" i="7"/>
  <c r="O67" i="7"/>
  <c r="N67" i="7"/>
  <c r="M67" i="7"/>
  <c r="L67" i="7"/>
  <c r="J64" i="7"/>
  <c r="N61" i="7"/>
  <c r="N59" i="7" s="1"/>
  <c r="M61" i="7"/>
  <c r="M59" i="7" s="1"/>
  <c r="L61" i="7"/>
  <c r="P60" i="7"/>
  <c r="O60" i="7"/>
  <c r="N58" i="7"/>
  <c r="N56" i="7" s="1"/>
  <c r="M58" i="7"/>
  <c r="M56" i="7" s="1"/>
  <c r="L58" i="7"/>
  <c r="P57" i="7"/>
  <c r="O57" i="7"/>
  <c r="N54" i="7"/>
  <c r="M54" i="7"/>
  <c r="L54" i="7"/>
  <c r="O54" i="7" s="1"/>
  <c r="N49" i="7"/>
  <c r="N47" i="7" s="1"/>
  <c r="M49" i="7"/>
  <c r="L49" i="7"/>
  <c r="O49" i="7" s="1"/>
  <c r="P48" i="7"/>
  <c r="O48" i="7"/>
  <c r="N46" i="7"/>
  <c r="M46" i="7"/>
  <c r="M44" i="7" s="1"/>
  <c r="L46" i="7"/>
  <c r="L44" i="7" s="1"/>
  <c r="P45" i="7"/>
  <c r="O45" i="7"/>
  <c r="P42" i="7"/>
  <c r="O42" i="7"/>
  <c r="N42" i="7"/>
  <c r="M42" i="7"/>
  <c r="L42" i="7"/>
  <c r="P36" i="7"/>
  <c r="N36" i="7"/>
  <c r="M36" i="7"/>
  <c r="P35" i="7"/>
  <c r="O35" i="7"/>
  <c r="N35" i="7"/>
  <c r="M35" i="7"/>
  <c r="M34" i="7" s="1"/>
  <c r="P34" i="7" s="1"/>
  <c r="L35" i="7"/>
  <c r="N34" i="7"/>
  <c r="N33" i="7"/>
  <c r="N30" i="7" s="1"/>
  <c r="O32" i="7"/>
  <c r="N32" i="7"/>
  <c r="N29" i="7" s="1"/>
  <c r="N28" i="7" s="1"/>
  <c r="M32" i="7"/>
  <c r="M12" i="7" s="1"/>
  <c r="L32" i="7"/>
  <c r="L29" i="7"/>
  <c r="N25" i="7"/>
  <c r="N15" i="7" s="1"/>
  <c r="M25" i="7"/>
  <c r="L25" i="7"/>
  <c r="O25" i="7" s="1"/>
  <c r="P22" i="7"/>
  <c r="O22" i="7"/>
  <c r="N22" i="7"/>
  <c r="M22" i="7"/>
  <c r="L22" i="7"/>
  <c r="N19" i="7"/>
  <c r="M19" i="7"/>
  <c r="P19" i="7" s="1"/>
  <c r="L15" i="7"/>
  <c r="L12" i="7"/>
  <c r="O12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P809" i="6"/>
  <c r="O809" i="6"/>
  <c r="P808" i="6"/>
  <c r="O808" i="6"/>
  <c r="N808" i="6"/>
  <c r="M808" i="6"/>
  <c r="L808" i="6"/>
  <c r="O807" i="6"/>
  <c r="N807" i="6"/>
  <c r="N805" i="6" s="1"/>
  <c r="M807" i="6"/>
  <c r="P807" i="6" s="1"/>
  <c r="L807" i="6"/>
  <c r="N806" i="6"/>
  <c r="M806" i="6"/>
  <c r="L806" i="6"/>
  <c r="K804" i="6"/>
  <c r="J804" i="6"/>
  <c r="J803" i="6"/>
  <c r="I803" i="6"/>
  <c r="K803" i="6" s="1"/>
  <c r="J802" i="6"/>
  <c r="J801" i="6"/>
  <c r="I801" i="6"/>
  <c r="J800" i="6"/>
  <c r="P798" i="6"/>
  <c r="O798" i="6"/>
  <c r="P797" i="6"/>
  <c r="O797" i="6"/>
  <c r="N796" i="6"/>
  <c r="M796" i="6"/>
  <c r="P796" i="6" s="1"/>
  <c r="L796" i="6"/>
  <c r="O796" i="6" s="1"/>
  <c r="N791" i="6"/>
  <c r="N789" i="6" s="1"/>
  <c r="L791" i="6"/>
  <c r="L789" i="6" s="1"/>
  <c r="O789" i="6" s="1"/>
  <c r="P790" i="6"/>
  <c r="O790" i="6"/>
  <c r="N788" i="6"/>
  <c r="N786" i="6" s="1"/>
  <c r="P787" i="6"/>
  <c r="N787" i="6"/>
  <c r="M787" i="6"/>
  <c r="L787" i="6"/>
  <c r="O787" i="6" s="1"/>
  <c r="P782" i="6"/>
  <c r="O782" i="6"/>
  <c r="P781" i="6"/>
  <c r="O781" i="6"/>
  <c r="P780" i="6"/>
  <c r="O780" i="6"/>
  <c r="N780" i="6"/>
  <c r="M780" i="6"/>
  <c r="L780" i="6"/>
  <c r="P775" i="6"/>
  <c r="O775" i="6"/>
  <c r="N775" i="6"/>
  <c r="N772" i="6" s="1"/>
  <c r="P774" i="6"/>
  <c r="O774" i="6"/>
  <c r="O773" i="6"/>
  <c r="N773" i="6"/>
  <c r="M773" i="6"/>
  <c r="P773" i="6" s="1"/>
  <c r="L773" i="6"/>
  <c r="M772" i="6"/>
  <c r="L772" i="6"/>
  <c r="O772" i="6" s="1"/>
  <c r="N771" i="6"/>
  <c r="N770" i="6" s="1"/>
  <c r="M771" i="6"/>
  <c r="P771" i="6" s="1"/>
  <c r="L771" i="6"/>
  <c r="K769" i="6"/>
  <c r="J769" i="6"/>
  <c r="P766" i="6"/>
  <c r="O766" i="6"/>
  <c r="P765" i="6"/>
  <c r="O765" i="6"/>
  <c r="P764" i="6"/>
  <c r="O764" i="6"/>
  <c r="N764" i="6"/>
  <c r="M764" i="6"/>
  <c r="L764" i="6"/>
  <c r="P759" i="6"/>
  <c r="O759" i="6"/>
  <c r="N759" i="6"/>
  <c r="N756" i="6" s="1"/>
  <c r="P758" i="6"/>
  <c r="O758" i="6"/>
  <c r="O757" i="6"/>
  <c r="M757" i="6"/>
  <c r="P757" i="6" s="1"/>
  <c r="L757" i="6"/>
  <c r="M756" i="6"/>
  <c r="L756" i="6"/>
  <c r="O756" i="6" s="1"/>
  <c r="N755" i="6"/>
  <c r="M755" i="6"/>
  <c r="P755" i="6" s="1"/>
  <c r="L755" i="6"/>
  <c r="K753" i="6"/>
  <c r="J753" i="6"/>
  <c r="P749" i="6"/>
  <c r="O749" i="6"/>
  <c r="P748" i="6"/>
  <c r="O748" i="6"/>
  <c r="P747" i="6"/>
  <c r="O747" i="6"/>
  <c r="N747" i="6"/>
  <c r="M747" i="6"/>
  <c r="L747" i="6"/>
  <c r="P742" i="6"/>
  <c r="O742" i="6"/>
  <c r="N742" i="6"/>
  <c r="N739" i="6" s="1"/>
  <c r="P741" i="6"/>
  <c r="O741" i="6"/>
  <c r="O740" i="6"/>
  <c r="M740" i="6"/>
  <c r="P740" i="6" s="1"/>
  <c r="L740" i="6"/>
  <c r="M739" i="6"/>
  <c r="L739" i="6"/>
  <c r="O739" i="6" s="1"/>
  <c r="N738" i="6"/>
  <c r="M738" i="6"/>
  <c r="P738" i="6" s="1"/>
  <c r="L738" i="6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K699" i="6" s="1"/>
  <c r="P697" i="6"/>
  <c r="O697" i="6"/>
  <c r="P696" i="6"/>
  <c r="O696" i="6"/>
  <c r="P695" i="6"/>
  <c r="O695" i="6"/>
  <c r="N695" i="6"/>
  <c r="M695" i="6"/>
  <c r="L695" i="6"/>
  <c r="N690" i="6"/>
  <c r="N687" i="6" s="1"/>
  <c r="L690" i="6"/>
  <c r="N688" i="6"/>
  <c r="N686" i="6"/>
  <c r="N685" i="6" s="1"/>
  <c r="M686" i="6"/>
  <c r="P686" i="6" s="1"/>
  <c r="L686" i="6"/>
  <c r="J679" i="6"/>
  <c r="J678" i="6" s="1"/>
  <c r="I678" i="6"/>
  <c r="K678" i="6" s="1"/>
  <c r="J675" i="6"/>
  <c r="J669" i="6" s="1"/>
  <c r="J654" i="6" s="1"/>
  <c r="I671" i="6"/>
  <c r="K671" i="6" s="1"/>
  <c r="I670" i="6"/>
  <c r="K670" i="6" s="1"/>
  <c r="I669" i="6"/>
  <c r="K672" i="6" s="1"/>
  <c r="P667" i="6"/>
  <c r="O667" i="6"/>
  <c r="P666" i="6"/>
  <c r="O666" i="6"/>
  <c r="N665" i="6"/>
  <c r="M665" i="6"/>
  <c r="P665" i="6" s="1"/>
  <c r="L665" i="6"/>
  <c r="O665" i="6" s="1"/>
  <c r="N660" i="6"/>
  <c r="L660" i="6"/>
  <c r="P659" i="6"/>
  <c r="O659" i="6"/>
  <c r="N658" i="6"/>
  <c r="N657" i="6"/>
  <c r="P656" i="6"/>
  <c r="O656" i="6"/>
  <c r="N656" i="6"/>
  <c r="M656" i="6"/>
  <c r="L656" i="6"/>
  <c r="N655" i="6"/>
  <c r="K652" i="6"/>
  <c r="J652" i="6"/>
  <c r="A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P640" i="6"/>
  <c r="O640" i="6"/>
  <c r="P639" i="6"/>
  <c r="N639" i="6"/>
  <c r="M639" i="6"/>
  <c r="L639" i="6"/>
  <c r="O639" i="6" s="1"/>
  <c r="N634" i="6"/>
  <c r="N632" i="6" s="1"/>
  <c r="L634" i="6"/>
  <c r="M634" i="6" s="1"/>
  <c r="P633" i="6"/>
  <c r="O633" i="6"/>
  <c r="N631" i="6"/>
  <c r="O630" i="6"/>
  <c r="N630" i="6"/>
  <c r="N629" i="6" s="1"/>
  <c r="M630" i="6"/>
  <c r="P630" i="6" s="1"/>
  <c r="L630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4" i="6" s="1"/>
  <c r="J595" i="6"/>
  <c r="I594" i="6"/>
  <c r="J593" i="6"/>
  <c r="J592" i="6" s="1"/>
  <c r="I593" i="6"/>
  <c r="I592" i="6" s="1"/>
  <c r="K592" i="6" s="1"/>
  <c r="J583" i="6"/>
  <c r="J577" i="6" s="1"/>
  <c r="J582" i="6"/>
  <c r="I577" i="6"/>
  <c r="J576" i="6"/>
  <c r="J559" i="6" s="1"/>
  <c r="I576" i="6"/>
  <c r="J569" i="6"/>
  <c r="I569" i="6"/>
  <c r="K569" i="6" s="1"/>
  <c r="J568" i="6"/>
  <c r="I568" i="6"/>
  <c r="K568" i="6" s="1"/>
  <c r="J561" i="6"/>
  <c r="I561" i="6"/>
  <c r="K561" i="6" s="1"/>
  <c r="J560" i="6"/>
  <c r="I560" i="6"/>
  <c r="P557" i="6"/>
  <c r="L557" i="6"/>
  <c r="L555" i="6" s="1"/>
  <c r="O555" i="6" s="1"/>
  <c r="P556" i="6"/>
  <c r="O556" i="6"/>
  <c r="N555" i="6"/>
  <c r="N545" i="6" s="1"/>
  <c r="N544" i="6" s="1"/>
  <c r="M555" i="6"/>
  <c r="N549" i="6"/>
  <c r="L549" i="6"/>
  <c r="M549" i="6" s="1"/>
  <c r="P549" i="6" s="1"/>
  <c r="P548" i="6"/>
  <c r="O548" i="6"/>
  <c r="N547" i="6"/>
  <c r="N546" i="6"/>
  <c r="L545" i="6"/>
  <c r="J543" i="6"/>
  <c r="I542" i="6"/>
  <c r="K542" i="6" s="1"/>
  <c r="I541" i="6"/>
  <c r="K541" i="6" s="1"/>
  <c r="I540" i="6"/>
  <c r="K540" i="6" s="1"/>
  <c r="I539" i="6"/>
  <c r="K539" i="6" s="1"/>
  <c r="I538" i="6"/>
  <c r="I537" i="6"/>
  <c r="I522" i="6" s="1"/>
  <c r="P535" i="6"/>
  <c r="L535" i="6"/>
  <c r="O535" i="6" s="1"/>
  <c r="P534" i="6"/>
  <c r="O534" i="6"/>
  <c r="N533" i="6"/>
  <c r="M533" i="6"/>
  <c r="P533" i="6" s="1"/>
  <c r="N528" i="6"/>
  <c r="L528" i="6"/>
  <c r="L525" i="6" s="1"/>
  <c r="P527" i="6"/>
  <c r="O527" i="6"/>
  <c r="N526" i="6"/>
  <c r="N525" i="6"/>
  <c r="N523" i="6" s="1"/>
  <c r="P524" i="6"/>
  <c r="N524" i="6"/>
  <c r="M524" i="6"/>
  <c r="L524" i="6"/>
  <c r="O524" i="6" s="1"/>
  <c r="K517" i="6"/>
  <c r="J517" i="6"/>
  <c r="K516" i="6"/>
  <c r="P514" i="6"/>
  <c r="O514" i="6"/>
  <c r="P513" i="6"/>
  <c r="O513" i="6"/>
  <c r="N512" i="6"/>
  <c r="M512" i="6"/>
  <c r="P512" i="6" s="1"/>
  <c r="L512" i="6"/>
  <c r="O512" i="6" s="1"/>
  <c r="P507" i="6"/>
  <c r="O507" i="6"/>
  <c r="N507" i="6"/>
  <c r="N505" i="6" s="1"/>
  <c r="P506" i="6"/>
  <c r="O506" i="6"/>
  <c r="P505" i="6"/>
  <c r="O505" i="6"/>
  <c r="M505" i="6"/>
  <c r="L505" i="6"/>
  <c r="P504" i="6"/>
  <c r="O504" i="6"/>
  <c r="N504" i="6"/>
  <c r="M504" i="6"/>
  <c r="L504" i="6"/>
  <c r="O503" i="6"/>
  <c r="N503" i="6"/>
  <c r="M503" i="6"/>
  <c r="P503" i="6" s="1"/>
  <c r="L503" i="6"/>
  <c r="N502" i="6"/>
  <c r="M502" i="6"/>
  <c r="P502" i="6" s="1"/>
  <c r="L502" i="6"/>
  <c r="O502" i="6" s="1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N477" i="6"/>
  <c r="M477" i="6"/>
  <c r="P477" i="6" s="1"/>
  <c r="N472" i="6"/>
  <c r="L472" i="6"/>
  <c r="O472" i="6" s="1"/>
  <c r="P471" i="6"/>
  <c r="O471" i="6"/>
  <c r="N470" i="6"/>
  <c r="N469" i="6"/>
  <c r="P468" i="6"/>
  <c r="O468" i="6"/>
  <c r="N468" i="6"/>
  <c r="M468" i="6"/>
  <c r="L468" i="6"/>
  <c r="N467" i="6"/>
  <c r="J466" i="6"/>
  <c r="I466" i="6"/>
  <c r="K466" i="6" s="1"/>
  <c r="J465" i="6"/>
  <c r="I465" i="6"/>
  <c r="K465" i="6" s="1"/>
  <c r="I464" i="6"/>
  <c r="K464" i="6" s="1"/>
  <c r="I463" i="6"/>
  <c r="K463" i="6" s="1"/>
  <c r="I462" i="6"/>
  <c r="K462" i="6" s="1"/>
  <c r="I460" i="6"/>
  <c r="K460" i="6" s="1"/>
  <c r="K458" i="6"/>
  <c r="P456" i="6"/>
  <c r="L456" i="6"/>
  <c r="O456" i="6" s="1"/>
  <c r="P455" i="6"/>
  <c r="O455" i="6"/>
  <c r="P454" i="6"/>
  <c r="N454" i="6"/>
  <c r="M454" i="6"/>
  <c r="N449" i="6"/>
  <c r="L449" i="6"/>
  <c r="P448" i="6"/>
  <c r="O448" i="6"/>
  <c r="O445" i="6"/>
  <c r="N445" i="6"/>
  <c r="M445" i="6"/>
  <c r="L445" i="6"/>
  <c r="J443" i="6"/>
  <c r="J442" i="6"/>
  <c r="I441" i="6"/>
  <c r="K441" i="6" s="1"/>
  <c r="I440" i="6"/>
  <c r="K440" i="6" s="1"/>
  <c r="I439" i="6"/>
  <c r="K439" i="6" s="1"/>
  <c r="I438" i="6"/>
  <c r="I437" i="6"/>
  <c r="I435" i="6"/>
  <c r="I433" i="6" s="1"/>
  <c r="J434" i="6"/>
  <c r="P431" i="6"/>
  <c r="L431" i="6"/>
  <c r="P430" i="6"/>
  <c r="O430" i="6"/>
  <c r="P429" i="6"/>
  <c r="N429" i="6"/>
  <c r="M429" i="6"/>
  <c r="N424" i="6"/>
  <c r="L424" i="6"/>
  <c r="M424" i="6" s="1"/>
  <c r="P423" i="6"/>
  <c r="O423" i="6"/>
  <c r="N422" i="6"/>
  <c r="N421" i="6"/>
  <c r="P420" i="6"/>
  <c r="O420" i="6"/>
  <c r="N420" i="6"/>
  <c r="N419" i="6" s="1"/>
  <c r="M420" i="6"/>
  <c r="L420" i="6"/>
  <c r="J418" i="6"/>
  <c r="K413" i="6"/>
  <c r="K412" i="6"/>
  <c r="N410" i="6"/>
  <c r="N408" i="6" s="1"/>
  <c r="M410" i="6"/>
  <c r="L410" i="6"/>
  <c r="O410" i="6" s="1"/>
  <c r="P409" i="6"/>
  <c r="O409" i="6"/>
  <c r="N407" i="6"/>
  <c r="N405" i="6" s="1"/>
  <c r="M407" i="6"/>
  <c r="L407" i="6"/>
  <c r="P406" i="6"/>
  <c r="O406" i="6"/>
  <c r="N403" i="6"/>
  <c r="M403" i="6"/>
  <c r="L403" i="6"/>
  <c r="K401" i="6"/>
  <c r="J401" i="6"/>
  <c r="I401" i="6"/>
  <c r="K400" i="6"/>
  <c r="K399" i="6"/>
  <c r="N397" i="6"/>
  <c r="N395" i="6" s="1"/>
  <c r="M397" i="6"/>
  <c r="P397" i="6" s="1"/>
  <c r="L397" i="6"/>
  <c r="O397" i="6" s="1"/>
  <c r="P396" i="6"/>
  <c r="O396" i="6"/>
  <c r="N394" i="6"/>
  <c r="M394" i="6"/>
  <c r="P394" i="6" s="1"/>
  <c r="L394" i="6"/>
  <c r="L392" i="6" s="1"/>
  <c r="O392" i="6" s="1"/>
  <c r="P393" i="6"/>
  <c r="O393" i="6"/>
  <c r="P390" i="6"/>
  <c r="O390" i="6"/>
  <c r="N390" i="6"/>
  <c r="M390" i="6"/>
  <c r="L390" i="6"/>
  <c r="J388" i="6"/>
  <c r="I388" i="6"/>
  <c r="K388" i="6" s="1"/>
  <c r="J385" i="6"/>
  <c r="I385" i="6"/>
  <c r="D384" i="6"/>
  <c r="K382" i="6"/>
  <c r="J382" i="6"/>
  <c r="A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A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L353" i="6"/>
  <c r="P352" i="6"/>
  <c r="O352" i="6"/>
  <c r="N350" i="6"/>
  <c r="M350" i="6"/>
  <c r="M348" i="6" s="1"/>
  <c r="L350" i="6"/>
  <c r="P349" i="6"/>
  <c r="O349" i="6"/>
  <c r="N346" i="6"/>
  <c r="M346" i="6"/>
  <c r="P346" i="6" s="1"/>
  <c r="L346" i="6"/>
  <c r="J343" i="6"/>
  <c r="J342" i="6"/>
  <c r="J341" i="6"/>
  <c r="J340" i="6"/>
  <c r="I340" i="6"/>
  <c r="J338" i="6"/>
  <c r="I338" i="6"/>
  <c r="D337" i="6"/>
  <c r="N336" i="6"/>
  <c r="N334" i="6" s="1"/>
  <c r="M336" i="6"/>
  <c r="L336" i="6"/>
  <c r="O336" i="6" s="1"/>
  <c r="P335" i="6"/>
  <c r="O335" i="6"/>
  <c r="N333" i="6"/>
  <c r="M333" i="6"/>
  <c r="L333" i="6"/>
  <c r="L331" i="6" s="1"/>
  <c r="P332" i="6"/>
  <c r="O332" i="6"/>
  <c r="P329" i="6"/>
  <c r="N329" i="6"/>
  <c r="M329" i="6"/>
  <c r="L329" i="6"/>
  <c r="O329" i="6" s="1"/>
  <c r="I327" i="6"/>
  <c r="I325" i="6"/>
  <c r="K325" i="6" s="1"/>
  <c r="N323" i="6"/>
  <c r="M323" i="6"/>
  <c r="L323" i="6"/>
  <c r="O323" i="6" s="1"/>
  <c r="P322" i="6"/>
  <c r="O322" i="6"/>
  <c r="N320" i="6"/>
  <c r="N318" i="6" s="1"/>
  <c r="M320" i="6"/>
  <c r="L320" i="6"/>
  <c r="L318" i="6" s="1"/>
  <c r="P319" i="6"/>
  <c r="O319" i="6"/>
  <c r="N316" i="6"/>
  <c r="M316" i="6"/>
  <c r="L316" i="6"/>
  <c r="O316" i="6" s="1"/>
  <c r="J314" i="6"/>
  <c r="I312" i="6"/>
  <c r="K312" i="6" s="1"/>
  <c r="I311" i="6"/>
  <c r="K311" i="6" s="1"/>
  <c r="I310" i="6"/>
  <c r="K310" i="6" s="1"/>
  <c r="I309" i="6"/>
  <c r="N306" i="6"/>
  <c r="N304" i="6" s="1"/>
  <c r="M306" i="6"/>
  <c r="P306" i="6" s="1"/>
  <c r="L306" i="6"/>
  <c r="L304" i="6" s="1"/>
  <c r="O304" i="6" s="1"/>
  <c r="P305" i="6"/>
  <c r="O305" i="6"/>
  <c r="N303" i="6"/>
  <c r="M303" i="6"/>
  <c r="L303" i="6"/>
  <c r="L301" i="6" s="1"/>
  <c r="P302" i="6"/>
  <c r="O302" i="6"/>
  <c r="P299" i="6"/>
  <c r="O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I287" i="6"/>
  <c r="K287" i="6" s="1"/>
  <c r="N285" i="6"/>
  <c r="M285" i="6"/>
  <c r="M283" i="6" s="1"/>
  <c r="P283" i="6" s="1"/>
  <c r="L285" i="6"/>
  <c r="O285" i="6" s="1"/>
  <c r="P284" i="6"/>
  <c r="O284" i="6"/>
  <c r="N282" i="6"/>
  <c r="N280" i="6" s="1"/>
  <c r="M282" i="6"/>
  <c r="M280" i="6" s="1"/>
  <c r="L282" i="6"/>
  <c r="P281" i="6"/>
  <c r="O281" i="6"/>
  <c r="P278" i="6"/>
  <c r="O278" i="6"/>
  <c r="N278" i="6"/>
  <c r="M278" i="6"/>
  <c r="L278" i="6"/>
  <c r="J276" i="6"/>
  <c r="I271" i="6"/>
  <c r="N269" i="6"/>
  <c r="N267" i="6" s="1"/>
  <c r="M269" i="6"/>
  <c r="P269" i="6" s="1"/>
  <c r="L269" i="6"/>
  <c r="L267" i="6" s="1"/>
  <c r="O267" i="6" s="1"/>
  <c r="P268" i="6"/>
  <c r="O268" i="6"/>
  <c r="N266" i="6"/>
  <c r="N264" i="6" s="1"/>
  <c r="M266" i="6"/>
  <c r="M264" i="6" s="1"/>
  <c r="L266" i="6"/>
  <c r="L264" i="6" s="1"/>
  <c r="P265" i="6"/>
  <c r="O265" i="6"/>
  <c r="P262" i="6"/>
  <c r="O262" i="6"/>
  <c r="N262" i="6"/>
  <c r="M262" i="6"/>
  <c r="L262" i="6"/>
  <c r="J260" i="6"/>
  <c r="K258" i="6"/>
  <c r="K257" i="6"/>
  <c r="I255" i="6"/>
  <c r="K255" i="6" s="1"/>
  <c r="L253" i="6"/>
  <c r="L252" i="6"/>
  <c r="L251" i="6"/>
  <c r="L250" i="6"/>
  <c r="P249" i="6"/>
  <c r="N249" i="6"/>
  <c r="J248" i="6"/>
  <c r="K247" i="6"/>
  <c r="K246" i="6"/>
  <c r="I244" i="6"/>
  <c r="L242" i="6"/>
  <c r="L241" i="6"/>
  <c r="L240" i="6"/>
  <c r="L239" i="6"/>
  <c r="P238" i="6"/>
  <c r="N238" i="6"/>
  <c r="N227" i="6" s="1"/>
  <c r="J237" i="6"/>
  <c r="K236" i="6"/>
  <c r="J236" i="6"/>
  <c r="I236" i="6"/>
  <c r="J235" i="6"/>
  <c r="I235" i="6"/>
  <c r="K235" i="6" s="1"/>
  <c r="J233" i="6"/>
  <c r="N231" i="6"/>
  <c r="N230" i="6"/>
  <c r="N229" i="6"/>
  <c r="N228" i="6"/>
  <c r="I225" i="6"/>
  <c r="K225" i="6" s="1"/>
  <c r="I224" i="6"/>
  <c r="I216" i="6" s="1"/>
  <c r="I223" i="6"/>
  <c r="K223" i="6" s="1"/>
  <c r="L220" i="6"/>
  <c r="L219" i="6"/>
  <c r="L218" i="6"/>
  <c r="P217" i="6"/>
  <c r="N217" i="6"/>
  <c r="J216" i="6"/>
  <c r="I215" i="6"/>
  <c r="I214" i="6"/>
  <c r="K214" i="6" s="1"/>
  <c r="L212" i="6"/>
  <c r="L211" i="6"/>
  <c r="L210" i="6"/>
  <c r="P209" i="6"/>
  <c r="N209" i="6"/>
  <c r="J208" i="6"/>
  <c r="K207" i="6"/>
  <c r="K206" i="6"/>
  <c r="I204" i="6"/>
  <c r="I197" i="6" s="1"/>
  <c r="K197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M187" i="6" s="1"/>
  <c r="P187" i="6" s="1"/>
  <c r="L189" i="6"/>
  <c r="L187" i="6" s="1"/>
  <c r="O187" i="6" s="1"/>
  <c r="P188" i="6"/>
  <c r="O188" i="6"/>
  <c r="N186" i="6"/>
  <c r="M186" i="6"/>
  <c r="L186" i="6"/>
  <c r="L184" i="6" s="1"/>
  <c r="P185" i="6"/>
  <c r="O185" i="6"/>
  <c r="N182" i="6"/>
  <c r="M182" i="6"/>
  <c r="L182" i="6"/>
  <c r="J177" i="6"/>
  <c r="J164" i="6" s="1"/>
  <c r="I176" i="6"/>
  <c r="I174" i="6" s="1"/>
  <c r="I164" i="6" s="1"/>
  <c r="J174" i="6"/>
  <c r="N173" i="6"/>
  <c r="N171" i="6" s="1"/>
  <c r="M173" i="6"/>
  <c r="M171" i="6" s="1"/>
  <c r="P171" i="6" s="1"/>
  <c r="L173" i="6"/>
  <c r="L171" i="6" s="1"/>
  <c r="O171" i="6" s="1"/>
  <c r="P172" i="6"/>
  <c r="O172" i="6"/>
  <c r="N170" i="6"/>
  <c r="N168" i="6" s="1"/>
  <c r="M170" i="6"/>
  <c r="L170" i="6"/>
  <c r="L168" i="6" s="1"/>
  <c r="P169" i="6"/>
  <c r="O169" i="6"/>
  <c r="O166" i="6"/>
  <c r="N166" i="6"/>
  <c r="M166" i="6"/>
  <c r="P166" i="6" s="1"/>
  <c r="L166" i="6"/>
  <c r="I159" i="6"/>
  <c r="K159" i="6" s="1"/>
  <c r="N157" i="6"/>
  <c r="N155" i="6" s="1"/>
  <c r="M157" i="6"/>
  <c r="P157" i="6" s="1"/>
  <c r="L157" i="6"/>
  <c r="P156" i="6"/>
  <c r="O156" i="6"/>
  <c r="N154" i="6"/>
  <c r="N152" i="6" s="1"/>
  <c r="M154" i="6"/>
  <c r="L154" i="6"/>
  <c r="L152" i="6" s="1"/>
  <c r="P153" i="6"/>
  <c r="O153" i="6"/>
  <c r="P150" i="6"/>
  <c r="O150" i="6"/>
  <c r="N150" i="6"/>
  <c r="M150" i="6"/>
  <c r="L150" i="6"/>
  <c r="J148" i="6"/>
  <c r="I146" i="6"/>
  <c r="I145" i="6"/>
  <c r="K145" i="6" s="1"/>
  <c r="I144" i="6"/>
  <c r="N140" i="6"/>
  <c r="N138" i="6" s="1"/>
  <c r="M140" i="6"/>
  <c r="M138" i="6" s="1"/>
  <c r="L140" i="6"/>
  <c r="P139" i="6"/>
  <c r="O139" i="6"/>
  <c r="N137" i="6"/>
  <c r="N135" i="6" s="1"/>
  <c r="M137" i="6"/>
  <c r="M135" i="6" s="1"/>
  <c r="L137" i="6"/>
  <c r="P136" i="6"/>
  <c r="O136" i="6"/>
  <c r="N133" i="6"/>
  <c r="M133" i="6"/>
  <c r="P133" i="6" s="1"/>
  <c r="L133" i="6"/>
  <c r="O133" i="6" s="1"/>
  <c r="J130" i="6"/>
  <c r="N127" i="6"/>
  <c r="N125" i="6" s="1"/>
  <c r="M127" i="6"/>
  <c r="L127" i="6"/>
  <c r="L125" i="6" s="1"/>
  <c r="P126" i="6"/>
  <c r="O126" i="6"/>
  <c r="N124" i="6"/>
  <c r="M124" i="6"/>
  <c r="M122" i="6" s="1"/>
  <c r="P122" i="6" s="1"/>
  <c r="L124" i="6"/>
  <c r="O124" i="6" s="1"/>
  <c r="P123" i="6"/>
  <c r="O123" i="6"/>
  <c r="P120" i="6"/>
  <c r="N120" i="6"/>
  <c r="M120" i="6"/>
  <c r="L120" i="6"/>
  <c r="O120" i="6" s="1"/>
  <c r="K118" i="6"/>
  <c r="I116" i="6"/>
  <c r="K116" i="6" s="1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J98" i="6"/>
  <c r="I98" i="6"/>
  <c r="I86" i="6" s="1"/>
  <c r="K86" i="6" s="1"/>
  <c r="N96" i="6"/>
  <c r="N94" i="6" s="1"/>
  <c r="M96" i="6"/>
  <c r="L96" i="6"/>
  <c r="P95" i="6"/>
  <c r="O95" i="6"/>
  <c r="N93" i="6"/>
  <c r="N91" i="6" s="1"/>
  <c r="M93" i="6"/>
  <c r="M91" i="6" s="1"/>
  <c r="L93" i="6"/>
  <c r="L91" i="6" s="1"/>
  <c r="P92" i="6"/>
  <c r="O92" i="6"/>
  <c r="P89" i="6"/>
  <c r="O89" i="6"/>
  <c r="N89" i="6"/>
  <c r="M89" i="6"/>
  <c r="L89" i="6"/>
  <c r="J87" i="6"/>
  <c r="J86" i="6"/>
  <c r="I84" i="6"/>
  <c r="K84" i="6" s="1"/>
  <c r="I83" i="6"/>
  <c r="K83" i="6" s="1"/>
  <c r="I82" i="6"/>
  <c r="K82" i="6" s="1"/>
  <c r="I81" i="6"/>
  <c r="K81" i="6" s="1"/>
  <c r="I80" i="6"/>
  <c r="K80" i="6" s="1"/>
  <c r="I79" i="6"/>
  <c r="I78" i="6"/>
  <c r="K78" i="6" s="1"/>
  <c r="J77" i="6"/>
  <c r="J76" i="6"/>
  <c r="N74" i="6"/>
  <c r="N72" i="6" s="1"/>
  <c r="M74" i="6"/>
  <c r="M72" i="6" s="1"/>
  <c r="P72" i="6" s="1"/>
  <c r="L74" i="6"/>
  <c r="O74" i="6" s="1"/>
  <c r="P73" i="6"/>
  <c r="O73" i="6"/>
  <c r="N71" i="6"/>
  <c r="N69" i="6" s="1"/>
  <c r="M71" i="6"/>
  <c r="M69" i="6" s="1"/>
  <c r="P69" i="6" s="1"/>
  <c r="L71" i="6"/>
  <c r="O71" i="6" s="1"/>
  <c r="P70" i="6"/>
  <c r="O70" i="6"/>
  <c r="O67" i="6"/>
  <c r="N67" i="6"/>
  <c r="M67" i="6"/>
  <c r="P67" i="6" s="1"/>
  <c r="L67" i="6"/>
  <c r="J65" i="6"/>
  <c r="J64" i="6"/>
  <c r="N61" i="6"/>
  <c r="N59" i="6" s="1"/>
  <c r="M61" i="6"/>
  <c r="L61" i="6"/>
  <c r="L59" i="6" s="1"/>
  <c r="P60" i="6"/>
  <c r="O60" i="6"/>
  <c r="N58" i="6"/>
  <c r="N56" i="6" s="1"/>
  <c r="M58" i="6"/>
  <c r="L58" i="6"/>
  <c r="P57" i="6"/>
  <c r="O57" i="6"/>
  <c r="P54" i="6"/>
  <c r="O54" i="6"/>
  <c r="N54" i="6"/>
  <c r="M54" i="6"/>
  <c r="L54" i="6"/>
  <c r="N49" i="6"/>
  <c r="N47" i="6" s="1"/>
  <c r="M49" i="6"/>
  <c r="M47" i="6" s="1"/>
  <c r="P47" i="6" s="1"/>
  <c r="L49" i="6"/>
  <c r="O49" i="6" s="1"/>
  <c r="P48" i="6"/>
  <c r="O48" i="6"/>
  <c r="N46" i="6"/>
  <c r="M46" i="6"/>
  <c r="M44" i="6" s="1"/>
  <c r="L46" i="6"/>
  <c r="P45" i="6"/>
  <c r="O45" i="6"/>
  <c r="N42" i="6"/>
  <c r="M42" i="6"/>
  <c r="P42" i="6" s="1"/>
  <c r="L42" i="6"/>
  <c r="O42" i="6" s="1"/>
  <c r="P36" i="6"/>
  <c r="N36" i="6"/>
  <c r="M36" i="6"/>
  <c r="P35" i="6"/>
  <c r="O35" i="6"/>
  <c r="N35" i="6"/>
  <c r="M35" i="6"/>
  <c r="L35" i="6"/>
  <c r="N34" i="6"/>
  <c r="M34" i="6"/>
  <c r="P34" i="6" s="1"/>
  <c r="N33" i="6"/>
  <c r="N32" i="6"/>
  <c r="M32" i="6"/>
  <c r="L32" i="6"/>
  <c r="N29" i="6"/>
  <c r="N25" i="6"/>
  <c r="M25" i="6"/>
  <c r="M19" i="6" s="1"/>
  <c r="L25" i="6"/>
  <c r="P22" i="6"/>
  <c r="O22" i="6"/>
  <c r="N22" i="6"/>
  <c r="N19" i="6" s="1"/>
  <c r="M22" i="6"/>
  <c r="L22" i="6"/>
  <c r="N15" i="6"/>
  <c r="M12" i="6"/>
  <c r="L12" i="6"/>
  <c r="J828" i="5"/>
  <c r="I828" i="5"/>
  <c r="J827" i="5"/>
  <c r="I827" i="5"/>
  <c r="J826" i="5"/>
  <c r="I826" i="5"/>
  <c r="J825" i="5"/>
  <c r="I825" i="5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N815" i="5"/>
  <c r="M815" i="5"/>
  <c r="L815" i="5"/>
  <c r="O815" i="5" s="1"/>
  <c r="P810" i="5"/>
  <c r="O810" i="5"/>
  <c r="N810" i="5"/>
  <c r="P809" i="5"/>
  <c r="O809" i="5"/>
  <c r="P808" i="5"/>
  <c r="O808" i="5"/>
  <c r="N808" i="5"/>
  <c r="M808" i="5"/>
  <c r="L808" i="5"/>
  <c r="O807" i="5"/>
  <c r="N807" i="5"/>
  <c r="M807" i="5"/>
  <c r="L807" i="5"/>
  <c r="N806" i="5"/>
  <c r="N805" i="5" s="1"/>
  <c r="M806" i="5"/>
  <c r="P806" i="5" s="1"/>
  <c r="L806" i="5"/>
  <c r="O806" i="5" s="1"/>
  <c r="L805" i="5"/>
  <c r="O805" i="5" s="1"/>
  <c r="K804" i="5"/>
  <c r="J804" i="5"/>
  <c r="K802" i="5"/>
  <c r="J801" i="5"/>
  <c r="J800" i="5"/>
  <c r="J785" i="5" s="1"/>
  <c r="I800" i="5"/>
  <c r="I785" i="5" s="1"/>
  <c r="K785" i="5" s="1"/>
  <c r="P798" i="5"/>
  <c r="O798" i="5"/>
  <c r="P797" i="5"/>
  <c r="O797" i="5"/>
  <c r="P796" i="5"/>
  <c r="O796" i="5"/>
  <c r="N796" i="5"/>
  <c r="M796" i="5"/>
  <c r="L796" i="5"/>
  <c r="P791" i="5"/>
  <c r="N791" i="5"/>
  <c r="N788" i="5" s="1"/>
  <c r="L791" i="5"/>
  <c r="L788" i="5" s="1"/>
  <c r="P790" i="5"/>
  <c r="O790" i="5"/>
  <c r="P789" i="5"/>
  <c r="N789" i="5"/>
  <c r="M789" i="5"/>
  <c r="M788" i="5"/>
  <c r="N787" i="5"/>
  <c r="M787" i="5"/>
  <c r="P787" i="5" s="1"/>
  <c r="L787" i="5"/>
  <c r="O787" i="5" s="1"/>
  <c r="P782" i="5"/>
  <c r="O782" i="5"/>
  <c r="P781" i="5"/>
  <c r="O781" i="5"/>
  <c r="N780" i="5"/>
  <c r="M780" i="5"/>
  <c r="P780" i="5" s="1"/>
  <c r="L780" i="5"/>
  <c r="O780" i="5" s="1"/>
  <c r="P775" i="5"/>
  <c r="O775" i="5"/>
  <c r="N775" i="5"/>
  <c r="N773" i="5" s="1"/>
  <c r="P774" i="5"/>
  <c r="O774" i="5"/>
  <c r="P773" i="5"/>
  <c r="O773" i="5"/>
  <c r="M773" i="5"/>
  <c r="L773" i="5"/>
  <c r="P772" i="5"/>
  <c r="O772" i="5"/>
  <c r="N772" i="5"/>
  <c r="M772" i="5"/>
  <c r="L772" i="5"/>
  <c r="O771" i="5"/>
  <c r="N771" i="5"/>
  <c r="N770" i="5" s="1"/>
  <c r="M771" i="5"/>
  <c r="P771" i="5" s="1"/>
  <c r="L771" i="5"/>
  <c r="L770" i="5"/>
  <c r="O770" i="5" s="1"/>
  <c r="K769" i="5"/>
  <c r="J769" i="5"/>
  <c r="P766" i="5"/>
  <c r="O766" i="5"/>
  <c r="P765" i="5"/>
  <c r="O765" i="5"/>
  <c r="N764" i="5"/>
  <c r="M764" i="5"/>
  <c r="P764" i="5" s="1"/>
  <c r="L764" i="5"/>
  <c r="O764" i="5" s="1"/>
  <c r="P759" i="5"/>
  <c r="O759" i="5"/>
  <c r="N759" i="5"/>
  <c r="N757" i="5" s="1"/>
  <c r="P758" i="5"/>
  <c r="O758" i="5"/>
  <c r="P757" i="5"/>
  <c r="O757" i="5"/>
  <c r="M757" i="5"/>
  <c r="L757" i="5"/>
  <c r="P756" i="5"/>
  <c r="O756" i="5"/>
  <c r="N756" i="5"/>
  <c r="M756" i="5"/>
  <c r="L756" i="5"/>
  <c r="O755" i="5"/>
  <c r="N755" i="5"/>
  <c r="N754" i="5" s="1"/>
  <c r="M755" i="5"/>
  <c r="P755" i="5" s="1"/>
  <c r="L755" i="5"/>
  <c r="L754" i="5"/>
  <c r="O754" i="5" s="1"/>
  <c r="K753" i="5"/>
  <c r="J753" i="5"/>
  <c r="P749" i="5"/>
  <c r="O749" i="5"/>
  <c r="P748" i="5"/>
  <c r="O748" i="5"/>
  <c r="N747" i="5"/>
  <c r="M747" i="5"/>
  <c r="P747" i="5" s="1"/>
  <c r="L747" i="5"/>
  <c r="O747" i="5" s="1"/>
  <c r="P742" i="5"/>
  <c r="O742" i="5"/>
  <c r="N742" i="5"/>
  <c r="N740" i="5" s="1"/>
  <c r="P741" i="5"/>
  <c r="O741" i="5"/>
  <c r="P740" i="5"/>
  <c r="O740" i="5"/>
  <c r="M740" i="5"/>
  <c r="L740" i="5"/>
  <c r="P739" i="5"/>
  <c r="O739" i="5"/>
  <c r="N739" i="5"/>
  <c r="M739" i="5"/>
  <c r="L739" i="5"/>
  <c r="O738" i="5"/>
  <c r="N738" i="5"/>
  <c r="N737" i="5" s="1"/>
  <c r="M738" i="5"/>
  <c r="P738" i="5" s="1"/>
  <c r="L738" i="5"/>
  <c r="M737" i="5"/>
  <c r="P737" i="5" s="1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P697" i="5"/>
  <c r="O697" i="5"/>
  <c r="P696" i="5"/>
  <c r="O696" i="5"/>
  <c r="P695" i="5"/>
  <c r="N695" i="5"/>
  <c r="M695" i="5"/>
  <c r="L695" i="5"/>
  <c r="O695" i="5" s="1"/>
  <c r="N690" i="5"/>
  <c r="L690" i="5"/>
  <c r="O690" i="5" s="1"/>
  <c r="N688" i="5"/>
  <c r="N687" i="5"/>
  <c r="N686" i="5"/>
  <c r="N685" i="5" s="1"/>
  <c r="M686" i="5"/>
  <c r="L686" i="5"/>
  <c r="O686" i="5" s="1"/>
  <c r="J679" i="5"/>
  <c r="J678" i="5" s="1"/>
  <c r="I678" i="5"/>
  <c r="K678" i="5" s="1"/>
  <c r="J675" i="5"/>
  <c r="J669" i="5" s="1"/>
  <c r="I671" i="5"/>
  <c r="K671" i="5" s="1"/>
  <c r="I670" i="5"/>
  <c r="K670" i="5" s="1"/>
  <c r="I669" i="5"/>
  <c r="K674" i="5" s="1"/>
  <c r="P667" i="5"/>
  <c r="O667" i="5"/>
  <c r="P666" i="5"/>
  <c r="O666" i="5"/>
  <c r="N665" i="5"/>
  <c r="M665" i="5"/>
  <c r="P665" i="5" s="1"/>
  <c r="L665" i="5"/>
  <c r="O665" i="5" s="1"/>
  <c r="N660" i="5"/>
  <c r="N657" i="5" s="1"/>
  <c r="N655" i="5" s="1"/>
  <c r="L660" i="5"/>
  <c r="M660" i="5" s="1"/>
  <c r="P659" i="5"/>
  <c r="O659" i="5"/>
  <c r="N658" i="5"/>
  <c r="P656" i="5"/>
  <c r="N656" i="5"/>
  <c r="M656" i="5"/>
  <c r="L656" i="5"/>
  <c r="O656" i="5" s="1"/>
  <c r="J654" i="5"/>
  <c r="K652" i="5"/>
  <c r="J652" i="5"/>
  <c r="J651" i="5"/>
  <c r="J628" i="5" s="1"/>
  <c r="I651" i="5"/>
  <c r="I628" i="5" s="1"/>
  <c r="K628" i="5" s="1"/>
  <c r="K650" i="5"/>
  <c r="J650" i="5"/>
  <c r="J649" i="5"/>
  <c r="I649" i="5"/>
  <c r="K649" i="5" s="1"/>
  <c r="K648" i="5"/>
  <c r="J648" i="5"/>
  <c r="J647" i="5"/>
  <c r="I647" i="5"/>
  <c r="K647" i="5" s="1"/>
  <c r="K646" i="5"/>
  <c r="J646" i="5"/>
  <c r="K645" i="5"/>
  <c r="J645" i="5"/>
  <c r="I644" i="5"/>
  <c r="K644" i="5" s="1"/>
  <c r="I643" i="5"/>
  <c r="K643" i="5" s="1"/>
  <c r="P641" i="5"/>
  <c r="L641" i="5"/>
  <c r="O641" i="5" s="1"/>
  <c r="P640" i="5"/>
  <c r="O640" i="5"/>
  <c r="P639" i="5"/>
  <c r="N639" i="5"/>
  <c r="M639" i="5"/>
  <c r="P634" i="5"/>
  <c r="N634" i="5"/>
  <c r="N631" i="5" s="1"/>
  <c r="N629" i="5" s="1"/>
  <c r="L634" i="5"/>
  <c r="P633" i="5"/>
  <c r="O633" i="5"/>
  <c r="P632" i="5"/>
  <c r="N632" i="5"/>
  <c r="M632" i="5"/>
  <c r="M631" i="5"/>
  <c r="P631" i="5" s="1"/>
  <c r="O630" i="5"/>
  <c r="N630" i="5"/>
  <c r="M630" i="5"/>
  <c r="P630" i="5" s="1"/>
  <c r="L630" i="5"/>
  <c r="M629" i="5"/>
  <c r="P629" i="5" s="1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4" i="5" s="1"/>
  <c r="J595" i="5"/>
  <c r="J593" i="5" s="1"/>
  <c r="J592" i="5" s="1"/>
  <c r="I594" i="5"/>
  <c r="K594" i="5" s="1"/>
  <c r="I593" i="5"/>
  <c r="J583" i="5"/>
  <c r="J577" i="5" s="1"/>
  <c r="J582" i="5"/>
  <c r="J576" i="5" s="1"/>
  <c r="J559" i="5" s="1"/>
  <c r="J543" i="5" s="1"/>
  <c r="I577" i="5"/>
  <c r="I576" i="5"/>
  <c r="I559" i="5" s="1"/>
  <c r="I543" i="5" s="1"/>
  <c r="K543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P557" i="5"/>
  <c r="L557" i="5"/>
  <c r="O557" i="5" s="1"/>
  <c r="P556" i="5"/>
  <c r="O556" i="5"/>
  <c r="N555" i="5"/>
  <c r="N545" i="5" s="1"/>
  <c r="M555" i="5"/>
  <c r="P555" i="5" s="1"/>
  <c r="N549" i="5"/>
  <c r="N546" i="5" s="1"/>
  <c r="L549" i="5"/>
  <c r="L547" i="5" s="1"/>
  <c r="O547" i="5" s="1"/>
  <c r="P548" i="5"/>
  <c r="O548" i="5"/>
  <c r="N547" i="5"/>
  <c r="M545" i="5"/>
  <c r="L545" i="5"/>
  <c r="I542" i="5"/>
  <c r="K542" i="5" s="1"/>
  <c r="I541" i="5"/>
  <c r="K541" i="5" s="1"/>
  <c r="I540" i="5"/>
  <c r="K540" i="5" s="1"/>
  <c r="I539" i="5"/>
  <c r="K539" i="5" s="1"/>
  <c r="I538" i="5"/>
  <c r="I537" i="5"/>
  <c r="P535" i="5"/>
  <c r="L535" i="5"/>
  <c r="O535" i="5" s="1"/>
  <c r="P534" i="5"/>
  <c r="O534" i="5"/>
  <c r="N533" i="5"/>
  <c r="M533" i="5"/>
  <c r="P533" i="5" s="1"/>
  <c r="P528" i="5"/>
  <c r="N528" i="5"/>
  <c r="L528" i="5"/>
  <c r="L526" i="5" s="1"/>
  <c r="O526" i="5" s="1"/>
  <c r="P527" i="5"/>
  <c r="O527" i="5"/>
  <c r="N526" i="5"/>
  <c r="M526" i="5"/>
  <c r="P526" i="5" s="1"/>
  <c r="P525" i="5"/>
  <c r="N525" i="5"/>
  <c r="M525" i="5"/>
  <c r="P524" i="5"/>
  <c r="O524" i="5"/>
  <c r="N524" i="5"/>
  <c r="M524" i="5"/>
  <c r="L524" i="5"/>
  <c r="P523" i="5"/>
  <c r="N523" i="5"/>
  <c r="M523" i="5"/>
  <c r="K517" i="5"/>
  <c r="J517" i="5"/>
  <c r="J501" i="5" s="1"/>
  <c r="K516" i="5"/>
  <c r="P514" i="5"/>
  <c r="O514" i="5"/>
  <c r="P513" i="5"/>
  <c r="O513" i="5"/>
  <c r="P512" i="5"/>
  <c r="N512" i="5"/>
  <c r="M512" i="5"/>
  <c r="L512" i="5"/>
  <c r="O512" i="5" s="1"/>
  <c r="P507" i="5"/>
  <c r="O507" i="5"/>
  <c r="N507" i="5"/>
  <c r="P506" i="5"/>
  <c r="O506" i="5"/>
  <c r="P505" i="5"/>
  <c r="O505" i="5"/>
  <c r="N505" i="5"/>
  <c r="M505" i="5"/>
  <c r="L505" i="5"/>
  <c r="O504" i="5"/>
  <c r="N504" i="5"/>
  <c r="M504" i="5"/>
  <c r="P504" i="5" s="1"/>
  <c r="L504" i="5"/>
  <c r="N503" i="5"/>
  <c r="M503" i="5"/>
  <c r="P503" i="5" s="1"/>
  <c r="L503" i="5"/>
  <c r="O503" i="5" s="1"/>
  <c r="N502" i="5"/>
  <c r="M502" i="5"/>
  <c r="P502" i="5" s="1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O479" i="5" s="1"/>
  <c r="P478" i="5"/>
  <c r="O478" i="5"/>
  <c r="P477" i="5"/>
  <c r="N477" i="5"/>
  <c r="M477" i="5"/>
  <c r="N472" i="5"/>
  <c r="N470" i="5" s="1"/>
  <c r="L472" i="5"/>
  <c r="L470" i="5" s="1"/>
  <c r="O470" i="5" s="1"/>
  <c r="P471" i="5"/>
  <c r="O471" i="5"/>
  <c r="P468" i="5"/>
  <c r="O468" i="5"/>
  <c r="N468" i="5"/>
  <c r="M468" i="5"/>
  <c r="L468" i="5"/>
  <c r="J466" i="5"/>
  <c r="I466" i="5"/>
  <c r="K466" i="5" s="1"/>
  <c r="J465" i="5"/>
  <c r="I465" i="5"/>
  <c r="I464" i="5"/>
  <c r="K464" i="5" s="1"/>
  <c r="I463" i="5"/>
  <c r="K463" i="5" s="1"/>
  <c r="I462" i="5"/>
  <c r="I443" i="5" s="1"/>
  <c r="I460" i="5"/>
  <c r="K460" i="5" s="1"/>
  <c r="K458" i="5"/>
  <c r="P456" i="5"/>
  <c r="L456" i="5"/>
  <c r="L454" i="5" s="1"/>
  <c r="O454" i="5" s="1"/>
  <c r="P455" i="5"/>
  <c r="O455" i="5"/>
  <c r="N454" i="5"/>
  <c r="M454" i="5"/>
  <c r="P454" i="5" s="1"/>
  <c r="N449" i="5"/>
  <c r="L449" i="5"/>
  <c r="L447" i="5" s="1"/>
  <c r="O447" i="5" s="1"/>
  <c r="P448" i="5"/>
  <c r="O448" i="5"/>
  <c r="N447" i="5"/>
  <c r="N446" i="5"/>
  <c r="N445" i="5"/>
  <c r="N444" i="5" s="1"/>
  <c r="M445" i="5"/>
  <c r="P445" i="5" s="1"/>
  <c r="L445" i="5"/>
  <c r="J443" i="5"/>
  <c r="J442" i="5"/>
  <c r="I441" i="5"/>
  <c r="K441" i="5" s="1"/>
  <c r="I440" i="5"/>
  <c r="K440" i="5" s="1"/>
  <c r="I439" i="5"/>
  <c r="K439" i="5" s="1"/>
  <c r="I438" i="5"/>
  <c r="K438" i="5" s="1"/>
  <c r="I437" i="5"/>
  <c r="K437" i="5" s="1"/>
  <c r="I435" i="5"/>
  <c r="J434" i="5"/>
  <c r="J418" i="5" s="1"/>
  <c r="P431" i="5"/>
  <c r="L431" i="5"/>
  <c r="L429" i="5" s="1"/>
  <c r="O429" i="5" s="1"/>
  <c r="P430" i="5"/>
  <c r="O430" i="5"/>
  <c r="P429" i="5"/>
  <c r="N429" i="5"/>
  <c r="M429" i="5"/>
  <c r="N424" i="5"/>
  <c r="L424" i="5"/>
  <c r="L422" i="5" s="1"/>
  <c r="P423" i="5"/>
  <c r="O423" i="5"/>
  <c r="N422" i="5"/>
  <c r="N421" i="5"/>
  <c r="O420" i="5"/>
  <c r="N420" i="5"/>
  <c r="M420" i="5"/>
  <c r="P420" i="5" s="1"/>
  <c r="L420" i="5"/>
  <c r="K413" i="5"/>
  <c r="K412" i="5"/>
  <c r="N410" i="5"/>
  <c r="N408" i="5" s="1"/>
  <c r="M410" i="5"/>
  <c r="P410" i="5" s="1"/>
  <c r="L410" i="5"/>
  <c r="O410" i="5" s="1"/>
  <c r="P409" i="5"/>
  <c r="O409" i="5"/>
  <c r="N407" i="5"/>
  <c r="N405" i="5" s="1"/>
  <c r="M407" i="5"/>
  <c r="L407" i="5"/>
  <c r="O407" i="5" s="1"/>
  <c r="P406" i="5"/>
  <c r="O406" i="5"/>
  <c r="N403" i="5"/>
  <c r="M403" i="5"/>
  <c r="L403" i="5"/>
  <c r="O403" i="5" s="1"/>
  <c r="J401" i="5"/>
  <c r="I401" i="5"/>
  <c r="K401" i="5" s="1"/>
  <c r="K400" i="5"/>
  <c r="K399" i="5"/>
  <c r="N397" i="5"/>
  <c r="N395" i="5" s="1"/>
  <c r="M397" i="5"/>
  <c r="M395" i="5" s="1"/>
  <c r="P395" i="5" s="1"/>
  <c r="L397" i="5"/>
  <c r="P396" i="5"/>
  <c r="O396" i="5"/>
  <c r="N394" i="5"/>
  <c r="M394" i="5"/>
  <c r="M392" i="5" s="1"/>
  <c r="P392" i="5" s="1"/>
  <c r="L394" i="5"/>
  <c r="L392" i="5" s="1"/>
  <c r="O392" i="5" s="1"/>
  <c r="P393" i="5"/>
  <c r="O393" i="5"/>
  <c r="O390" i="5"/>
  <c r="N390" i="5"/>
  <c r="M390" i="5"/>
  <c r="P390" i="5" s="1"/>
  <c r="L390" i="5"/>
  <c r="K388" i="5"/>
  <c r="J388" i="5"/>
  <c r="I388" i="5"/>
  <c r="J385" i="5"/>
  <c r="I385" i="5"/>
  <c r="D384" i="5"/>
  <c r="K382" i="5"/>
  <c r="J382" i="5"/>
  <c r="A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A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M351" i="5" s="1"/>
  <c r="L353" i="5"/>
  <c r="P352" i="5"/>
  <c r="O352" i="5"/>
  <c r="N350" i="5"/>
  <c r="N348" i="5" s="1"/>
  <c r="M350" i="5"/>
  <c r="L350" i="5"/>
  <c r="P349" i="5"/>
  <c r="O349" i="5"/>
  <c r="P346" i="5"/>
  <c r="N346" i="5"/>
  <c r="M346" i="5"/>
  <c r="L346" i="5"/>
  <c r="J343" i="5"/>
  <c r="J342" i="5"/>
  <c r="J341" i="5"/>
  <c r="J340" i="5"/>
  <c r="I340" i="5"/>
  <c r="J338" i="5"/>
  <c r="I338" i="5"/>
  <c r="D337" i="5"/>
  <c r="N336" i="5"/>
  <c r="N334" i="5" s="1"/>
  <c r="M336" i="5"/>
  <c r="P336" i="5" s="1"/>
  <c r="L336" i="5"/>
  <c r="O336" i="5" s="1"/>
  <c r="P335" i="5"/>
  <c r="O335" i="5"/>
  <c r="N333" i="5"/>
  <c r="M333" i="5"/>
  <c r="M331" i="5" s="1"/>
  <c r="L333" i="5"/>
  <c r="P332" i="5"/>
  <c r="O332" i="5"/>
  <c r="P329" i="5"/>
  <c r="N329" i="5"/>
  <c r="M329" i="5"/>
  <c r="L329" i="5"/>
  <c r="O329" i="5" s="1"/>
  <c r="I327" i="5"/>
  <c r="I325" i="5"/>
  <c r="I314" i="5" s="1"/>
  <c r="K314" i="5" s="1"/>
  <c r="N323" i="5"/>
  <c r="N321" i="5" s="1"/>
  <c r="M323" i="5"/>
  <c r="L323" i="5"/>
  <c r="P322" i="5"/>
  <c r="O322" i="5"/>
  <c r="N320" i="5"/>
  <c r="M320" i="5"/>
  <c r="M318" i="5" s="1"/>
  <c r="P318" i="5" s="1"/>
  <c r="L320" i="5"/>
  <c r="L318" i="5" s="1"/>
  <c r="O318" i="5" s="1"/>
  <c r="P319" i="5"/>
  <c r="O319" i="5"/>
  <c r="O316" i="5"/>
  <c r="N316" i="5"/>
  <c r="M316" i="5"/>
  <c r="P316" i="5" s="1"/>
  <c r="L316" i="5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P306" i="5" s="1"/>
  <c r="L306" i="5"/>
  <c r="P305" i="5"/>
  <c r="O305" i="5"/>
  <c r="N303" i="5"/>
  <c r="M303" i="5"/>
  <c r="M301" i="5" s="1"/>
  <c r="L303" i="5"/>
  <c r="P302" i="5"/>
  <c r="O302" i="5"/>
  <c r="O299" i="5"/>
  <c r="N299" i="5"/>
  <c r="M299" i="5"/>
  <c r="P299" i="5" s="1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87" i="5"/>
  <c r="K287" i="5" s="1"/>
  <c r="N285" i="5"/>
  <c r="N283" i="5" s="1"/>
  <c r="M285" i="5"/>
  <c r="L285" i="5"/>
  <c r="O285" i="5" s="1"/>
  <c r="P284" i="5"/>
  <c r="O284" i="5"/>
  <c r="N282" i="5"/>
  <c r="N280" i="5" s="1"/>
  <c r="M282" i="5"/>
  <c r="L282" i="5"/>
  <c r="P281" i="5"/>
  <c r="O281" i="5"/>
  <c r="N278" i="5"/>
  <c r="M278" i="5"/>
  <c r="P278" i="5" s="1"/>
  <c r="L278" i="5"/>
  <c r="J276" i="5"/>
  <c r="I271" i="5"/>
  <c r="K271" i="5" s="1"/>
  <c r="N269" i="5"/>
  <c r="N267" i="5" s="1"/>
  <c r="M269" i="5"/>
  <c r="P269" i="5" s="1"/>
  <c r="L269" i="5"/>
  <c r="P268" i="5"/>
  <c r="O268" i="5"/>
  <c r="N266" i="5"/>
  <c r="N264" i="5" s="1"/>
  <c r="M266" i="5"/>
  <c r="M264" i="5" s="1"/>
  <c r="L266" i="5"/>
  <c r="P265" i="5"/>
  <c r="O265" i="5"/>
  <c r="N262" i="5"/>
  <c r="M262" i="5"/>
  <c r="P262" i="5" s="1"/>
  <c r="L262" i="5"/>
  <c r="O262" i="5" s="1"/>
  <c r="J260" i="5"/>
  <c r="K258" i="5"/>
  <c r="K257" i="5"/>
  <c r="I255" i="5"/>
  <c r="L253" i="5"/>
  <c r="L252" i="5"/>
  <c r="L251" i="5"/>
  <c r="L250" i="5"/>
  <c r="P249" i="5"/>
  <c r="N249" i="5"/>
  <c r="N227" i="5" s="1"/>
  <c r="J248" i="5"/>
  <c r="K247" i="5"/>
  <c r="K246" i="5"/>
  <c r="I244" i="5"/>
  <c r="L242" i="5"/>
  <c r="L241" i="5"/>
  <c r="L240" i="5"/>
  <c r="L239" i="5"/>
  <c r="P238" i="5"/>
  <c r="N238" i="5"/>
  <c r="J237" i="5"/>
  <c r="J226" i="5" s="1"/>
  <c r="J180" i="5" s="1"/>
  <c r="J236" i="5"/>
  <c r="I236" i="5"/>
  <c r="K236" i="5" s="1"/>
  <c r="J235" i="5"/>
  <c r="I235" i="5"/>
  <c r="K235" i="5" s="1"/>
  <c r="J233" i="5"/>
  <c r="N231" i="5"/>
  <c r="N230" i="5"/>
  <c r="N229" i="5"/>
  <c r="N228" i="5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K204" i="5" s="1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P189" i="5" s="1"/>
  <c r="L189" i="5"/>
  <c r="O189" i="5" s="1"/>
  <c r="P188" i="5"/>
  <c r="O188" i="5"/>
  <c r="N186" i="5"/>
  <c r="N184" i="5" s="1"/>
  <c r="M186" i="5"/>
  <c r="L186" i="5"/>
  <c r="P185" i="5"/>
  <c r="O185" i="5"/>
  <c r="O182" i="5"/>
  <c r="N182" i="5"/>
  <c r="M182" i="5"/>
  <c r="P182" i="5" s="1"/>
  <c r="L182" i="5"/>
  <c r="J177" i="5"/>
  <c r="J164" i="5" s="1"/>
  <c r="I176" i="5"/>
  <c r="K176" i="5" s="1"/>
  <c r="J174" i="5"/>
  <c r="N173" i="5"/>
  <c r="N171" i="5" s="1"/>
  <c r="M173" i="5"/>
  <c r="P173" i="5" s="1"/>
  <c r="L173" i="5"/>
  <c r="O173" i="5" s="1"/>
  <c r="P172" i="5"/>
  <c r="O172" i="5"/>
  <c r="N170" i="5"/>
  <c r="N168" i="5" s="1"/>
  <c r="M170" i="5"/>
  <c r="L170" i="5"/>
  <c r="P169" i="5"/>
  <c r="O169" i="5"/>
  <c r="P166" i="5"/>
  <c r="O166" i="5"/>
  <c r="N166" i="5"/>
  <c r="M166" i="5"/>
  <c r="L166" i="5"/>
  <c r="I159" i="5"/>
  <c r="K159" i="5" s="1"/>
  <c r="N157" i="5"/>
  <c r="N155" i="5" s="1"/>
  <c r="M157" i="5"/>
  <c r="P157" i="5" s="1"/>
  <c r="L157" i="5"/>
  <c r="P156" i="5"/>
  <c r="O156" i="5"/>
  <c r="N154" i="5"/>
  <c r="M154" i="5"/>
  <c r="L154" i="5"/>
  <c r="P153" i="5"/>
  <c r="O153" i="5"/>
  <c r="N150" i="5"/>
  <c r="M150" i="5"/>
  <c r="P150" i="5" s="1"/>
  <c r="L150" i="5"/>
  <c r="O150" i="5" s="1"/>
  <c r="J148" i="5"/>
  <c r="I146" i="5"/>
  <c r="K146" i="5" s="1"/>
  <c r="I145" i="5"/>
  <c r="K145" i="5" s="1"/>
  <c r="I144" i="5"/>
  <c r="K144" i="5" s="1"/>
  <c r="N140" i="5"/>
  <c r="N138" i="5" s="1"/>
  <c r="M140" i="5"/>
  <c r="M138" i="5" s="1"/>
  <c r="P138" i="5" s="1"/>
  <c r="L140" i="5"/>
  <c r="L138" i="5" s="1"/>
  <c r="O138" i="5" s="1"/>
  <c r="P139" i="5"/>
  <c r="O139" i="5"/>
  <c r="N137" i="5"/>
  <c r="N135" i="5" s="1"/>
  <c r="M137" i="5"/>
  <c r="M135" i="5" s="1"/>
  <c r="P135" i="5" s="1"/>
  <c r="L137" i="5"/>
  <c r="P136" i="5"/>
  <c r="O136" i="5"/>
  <c r="N133" i="5"/>
  <c r="M133" i="5"/>
  <c r="P133" i="5" s="1"/>
  <c r="L133" i="5"/>
  <c r="O133" i="5" s="1"/>
  <c r="J130" i="5"/>
  <c r="N127" i="5"/>
  <c r="M127" i="5"/>
  <c r="P127" i="5" s="1"/>
  <c r="L127" i="5"/>
  <c r="O127" i="5" s="1"/>
  <c r="P126" i="5"/>
  <c r="O126" i="5"/>
  <c r="N124" i="5"/>
  <c r="N122" i="5" s="1"/>
  <c r="M124" i="5"/>
  <c r="L124" i="5"/>
  <c r="P123" i="5"/>
  <c r="O123" i="5"/>
  <c r="P120" i="5"/>
  <c r="N120" i="5"/>
  <c r="M120" i="5"/>
  <c r="L120" i="5"/>
  <c r="O120" i="5" s="1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J87" i="5" s="1"/>
  <c r="I99" i="5"/>
  <c r="I87" i="5" s="1"/>
  <c r="K87" i="5" s="1"/>
  <c r="J98" i="5"/>
  <c r="I98" i="5"/>
  <c r="I86" i="5" s="1"/>
  <c r="K86" i="5" s="1"/>
  <c r="N96" i="5"/>
  <c r="N94" i="5" s="1"/>
  <c r="M96" i="5"/>
  <c r="P96" i="5" s="1"/>
  <c r="L96" i="5"/>
  <c r="L94" i="5" s="1"/>
  <c r="O94" i="5" s="1"/>
  <c r="P95" i="5"/>
  <c r="O95" i="5"/>
  <c r="N93" i="5"/>
  <c r="N91" i="5" s="1"/>
  <c r="M93" i="5"/>
  <c r="M91" i="5" s="1"/>
  <c r="L93" i="5"/>
  <c r="L91" i="5" s="1"/>
  <c r="P92" i="5"/>
  <c r="O92" i="5"/>
  <c r="P89" i="5"/>
  <c r="O89" i="5"/>
  <c r="N89" i="5"/>
  <c r="M89" i="5"/>
  <c r="L89" i="5"/>
  <c r="J86" i="5"/>
  <c r="I84" i="5"/>
  <c r="K84" i="5" s="1"/>
  <c r="I83" i="5"/>
  <c r="K83" i="5" s="1"/>
  <c r="I82" i="5"/>
  <c r="K82" i="5" s="1"/>
  <c r="I81" i="5"/>
  <c r="K81" i="5" s="1"/>
  <c r="I80" i="5"/>
  <c r="I79" i="5"/>
  <c r="K79" i="5" s="1"/>
  <c r="I78" i="5"/>
  <c r="K78" i="5" s="1"/>
  <c r="J77" i="5"/>
  <c r="J65" i="5" s="1"/>
  <c r="J76" i="5"/>
  <c r="N74" i="5"/>
  <c r="N72" i="5" s="1"/>
  <c r="M74" i="5"/>
  <c r="P74" i="5" s="1"/>
  <c r="L74" i="5"/>
  <c r="L72" i="5" s="1"/>
  <c r="O72" i="5" s="1"/>
  <c r="P73" i="5"/>
  <c r="O73" i="5"/>
  <c r="N71" i="5"/>
  <c r="M71" i="5"/>
  <c r="M69" i="5" s="1"/>
  <c r="L71" i="5"/>
  <c r="L69" i="5" s="1"/>
  <c r="P70" i="5"/>
  <c r="O70" i="5"/>
  <c r="N67" i="5"/>
  <c r="M67" i="5"/>
  <c r="P67" i="5" s="1"/>
  <c r="L67" i="5"/>
  <c r="O67" i="5" s="1"/>
  <c r="J64" i="5"/>
  <c r="N61" i="5"/>
  <c r="M61" i="5"/>
  <c r="L61" i="5"/>
  <c r="L59" i="5" s="1"/>
  <c r="P60" i="5"/>
  <c r="O60" i="5"/>
  <c r="N58" i="5"/>
  <c r="N56" i="5" s="1"/>
  <c r="M58" i="5"/>
  <c r="M56" i="5" s="1"/>
  <c r="L58" i="5"/>
  <c r="P57" i="5"/>
  <c r="O57" i="5"/>
  <c r="P54" i="5"/>
  <c r="N54" i="5"/>
  <c r="M54" i="5"/>
  <c r="L54" i="5"/>
  <c r="O54" i="5" s="1"/>
  <c r="N49" i="5"/>
  <c r="N47" i="5" s="1"/>
  <c r="M49" i="5"/>
  <c r="P49" i="5" s="1"/>
  <c r="L49" i="5"/>
  <c r="L47" i="5" s="1"/>
  <c r="O47" i="5" s="1"/>
  <c r="P48" i="5"/>
  <c r="O48" i="5"/>
  <c r="N46" i="5"/>
  <c r="N44" i="5" s="1"/>
  <c r="M46" i="5"/>
  <c r="M44" i="5" s="1"/>
  <c r="L46" i="5"/>
  <c r="P45" i="5"/>
  <c r="O45" i="5"/>
  <c r="P42" i="5"/>
  <c r="N42" i="5"/>
  <c r="M42" i="5"/>
  <c r="L42" i="5"/>
  <c r="O42" i="5" s="1"/>
  <c r="N36" i="5"/>
  <c r="N30" i="5" s="1"/>
  <c r="M36" i="5"/>
  <c r="P36" i="5" s="1"/>
  <c r="N35" i="5"/>
  <c r="N34" i="5" s="1"/>
  <c r="M35" i="5"/>
  <c r="M29" i="5" s="1"/>
  <c r="L35" i="5"/>
  <c r="O35" i="5" s="1"/>
  <c r="N33" i="5"/>
  <c r="P32" i="5"/>
  <c r="O32" i="5"/>
  <c r="N32" i="5"/>
  <c r="M32" i="5"/>
  <c r="L32" i="5"/>
  <c r="N31" i="5"/>
  <c r="L29" i="5"/>
  <c r="O29" i="5" s="1"/>
  <c r="P25" i="5"/>
  <c r="O25" i="5"/>
  <c r="N25" i="5"/>
  <c r="M25" i="5"/>
  <c r="L25" i="5"/>
  <c r="N22" i="5"/>
  <c r="N19" i="5" s="1"/>
  <c r="M22" i="5"/>
  <c r="P22" i="5" s="1"/>
  <c r="L22" i="5"/>
  <c r="O22" i="5" s="1"/>
  <c r="N15" i="5"/>
  <c r="M15" i="5"/>
  <c r="L15" i="5"/>
  <c r="O15" i="5" s="1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N807" i="4" s="1"/>
  <c r="N805" i="4" s="1"/>
  <c r="P809" i="4"/>
  <c r="O809" i="4"/>
  <c r="N808" i="4"/>
  <c r="M808" i="4"/>
  <c r="P808" i="4" s="1"/>
  <c r="L808" i="4"/>
  <c r="O808" i="4" s="1"/>
  <c r="M807" i="4"/>
  <c r="P807" i="4" s="1"/>
  <c r="L807" i="4"/>
  <c r="O807" i="4" s="1"/>
  <c r="P806" i="4"/>
  <c r="N806" i="4"/>
  <c r="M806" i="4"/>
  <c r="M805" i="4" s="1"/>
  <c r="P805" i="4" s="1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N786" i="4" s="1"/>
  <c r="L791" i="4"/>
  <c r="O791" i="4" s="1"/>
  <c r="P790" i="4"/>
  <c r="O790" i="4"/>
  <c r="N789" i="4"/>
  <c r="M789" i="4"/>
  <c r="P789" i="4" s="1"/>
  <c r="M788" i="4"/>
  <c r="P788" i="4" s="1"/>
  <c r="P787" i="4"/>
  <c r="N787" i="4"/>
  <c r="M787" i="4"/>
  <c r="M786" i="4" s="1"/>
  <c r="P786" i="4" s="1"/>
  <c r="L787" i="4"/>
  <c r="P782" i="4"/>
  <c r="O782" i="4"/>
  <c r="P781" i="4"/>
  <c r="O781" i="4"/>
  <c r="P780" i="4"/>
  <c r="O780" i="4"/>
  <c r="N780" i="4"/>
  <c r="M780" i="4"/>
  <c r="L780" i="4"/>
  <c r="P775" i="4"/>
  <c r="O775" i="4"/>
  <c r="N775" i="4"/>
  <c r="N773" i="4" s="1"/>
  <c r="P774" i="4"/>
  <c r="O774" i="4"/>
  <c r="O773" i="4"/>
  <c r="M773" i="4"/>
  <c r="P773" i="4" s="1"/>
  <c r="L773" i="4"/>
  <c r="N772" i="4"/>
  <c r="M772" i="4"/>
  <c r="P772" i="4" s="1"/>
  <c r="L772" i="4"/>
  <c r="O772" i="4" s="1"/>
  <c r="N771" i="4"/>
  <c r="N770" i="4" s="1"/>
  <c r="M771" i="4"/>
  <c r="L771" i="4"/>
  <c r="O771" i="4" s="1"/>
  <c r="L770" i="4"/>
  <c r="O770" i="4" s="1"/>
  <c r="K769" i="4"/>
  <c r="J769" i="4"/>
  <c r="P766" i="4"/>
  <c r="O766" i="4"/>
  <c r="P765" i="4"/>
  <c r="O765" i="4"/>
  <c r="P764" i="4"/>
  <c r="O764" i="4"/>
  <c r="N764" i="4"/>
  <c r="M764" i="4"/>
  <c r="L764" i="4"/>
  <c r="P759" i="4"/>
  <c r="O759" i="4"/>
  <c r="N759" i="4"/>
  <c r="N757" i="4" s="1"/>
  <c r="P758" i="4"/>
  <c r="O758" i="4"/>
  <c r="O757" i="4"/>
  <c r="M757" i="4"/>
  <c r="P757" i="4" s="1"/>
  <c r="L757" i="4"/>
  <c r="N756" i="4"/>
  <c r="M756" i="4"/>
  <c r="P756" i="4" s="1"/>
  <c r="L756" i="4"/>
  <c r="O756" i="4" s="1"/>
  <c r="N755" i="4"/>
  <c r="M755" i="4"/>
  <c r="L755" i="4"/>
  <c r="O755" i="4" s="1"/>
  <c r="L754" i="4"/>
  <c r="O754" i="4" s="1"/>
  <c r="K753" i="4"/>
  <c r="J753" i="4"/>
  <c r="P749" i="4"/>
  <c r="O749" i="4"/>
  <c r="P748" i="4"/>
  <c r="O748" i="4"/>
  <c r="P747" i="4"/>
  <c r="O747" i="4"/>
  <c r="N747" i="4"/>
  <c r="M747" i="4"/>
  <c r="L747" i="4"/>
  <c r="P742" i="4"/>
  <c r="O742" i="4"/>
  <c r="N742" i="4"/>
  <c r="N740" i="4" s="1"/>
  <c r="P741" i="4"/>
  <c r="O741" i="4"/>
  <c r="O740" i="4"/>
  <c r="M740" i="4"/>
  <c r="P740" i="4" s="1"/>
  <c r="L740" i="4"/>
  <c r="N739" i="4"/>
  <c r="M739" i="4"/>
  <c r="P739" i="4" s="1"/>
  <c r="L739" i="4"/>
  <c r="O739" i="4" s="1"/>
  <c r="N738" i="4"/>
  <c r="N737" i="4" s="1"/>
  <c r="M738" i="4"/>
  <c r="L738" i="4"/>
  <c r="O738" i="4" s="1"/>
  <c r="L737" i="4"/>
  <c r="O737" i="4" s="1"/>
  <c r="K736" i="4"/>
  <c r="J736" i="4"/>
  <c r="J729" i="4"/>
  <c r="I729" i="4"/>
  <c r="J728" i="4"/>
  <c r="I728" i="4"/>
  <c r="K728" i="4" s="1"/>
  <c r="J727" i="4"/>
  <c r="J726" i="4"/>
  <c r="I726" i="4"/>
  <c r="K726" i="4" s="1"/>
  <c r="J725" i="4"/>
  <c r="I725" i="4"/>
  <c r="J724" i="4"/>
  <c r="J723" i="4"/>
  <c r="I723" i="4"/>
  <c r="I722" i="4"/>
  <c r="I721" i="4"/>
  <c r="J720" i="4"/>
  <c r="I720" i="4"/>
  <c r="K720" i="4" s="1"/>
  <c r="J719" i="4"/>
  <c r="J718" i="4"/>
  <c r="J708" i="4"/>
  <c r="I708" i="4"/>
  <c r="I707" i="4"/>
  <c r="I704" i="4"/>
  <c r="J701" i="4"/>
  <c r="I701" i="4"/>
  <c r="J700" i="4"/>
  <c r="I700" i="4"/>
  <c r="J699" i="4"/>
  <c r="I699" i="4"/>
  <c r="K699" i="4" s="1"/>
  <c r="P697" i="4"/>
  <c r="O697" i="4"/>
  <c r="P696" i="4"/>
  <c r="O696" i="4"/>
  <c r="P695" i="4"/>
  <c r="O695" i="4"/>
  <c r="N695" i="4"/>
  <c r="M695" i="4"/>
  <c r="L695" i="4"/>
  <c r="N690" i="4"/>
  <c r="L690" i="4"/>
  <c r="L687" i="4" s="1"/>
  <c r="N687" i="4"/>
  <c r="N685" i="4" s="1"/>
  <c r="N686" i="4"/>
  <c r="M686" i="4"/>
  <c r="L686" i="4"/>
  <c r="O686" i="4" s="1"/>
  <c r="J679" i="4"/>
  <c r="J678" i="4"/>
  <c r="I678" i="4"/>
  <c r="K678" i="4" s="1"/>
  <c r="J675" i="4"/>
  <c r="J669" i="4" s="1"/>
  <c r="I671" i="4"/>
  <c r="K671" i="4" s="1"/>
  <c r="I670" i="4"/>
  <c r="K670" i="4" s="1"/>
  <c r="I669" i="4"/>
  <c r="K673" i="4" s="1"/>
  <c r="P667" i="4"/>
  <c r="O667" i="4"/>
  <c r="P666" i="4"/>
  <c r="O666" i="4"/>
  <c r="N665" i="4"/>
  <c r="M665" i="4"/>
  <c r="P665" i="4" s="1"/>
  <c r="L665" i="4"/>
  <c r="O665" i="4" s="1"/>
  <c r="N664" i="4"/>
  <c r="N660" i="4" s="1"/>
  <c r="L660" i="4"/>
  <c r="O660" i="4" s="1"/>
  <c r="P659" i="4"/>
  <c r="O659" i="4"/>
  <c r="P656" i="4"/>
  <c r="N656" i="4"/>
  <c r="M656" i="4"/>
  <c r="L656" i="4"/>
  <c r="K652" i="4"/>
  <c r="J652" i="4"/>
  <c r="A652" i="4"/>
  <c r="J651" i="4"/>
  <c r="J628" i="4" s="1"/>
  <c r="I651" i="4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P639" i="4"/>
  <c r="N639" i="4"/>
  <c r="M639" i="4"/>
  <c r="N638" i="4"/>
  <c r="N634" i="4" s="1"/>
  <c r="L634" i="4"/>
  <c r="P633" i="4"/>
  <c r="O633" i="4"/>
  <c r="P630" i="4"/>
  <c r="O630" i="4"/>
  <c r="N630" i="4"/>
  <c r="M630" i="4"/>
  <c r="L630" i="4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594" i="4" s="1"/>
  <c r="J603" i="4"/>
  <c r="J593" i="4" s="1"/>
  <c r="J596" i="4"/>
  <c r="J595" i="4"/>
  <c r="I594" i="4"/>
  <c r="K594" i="4" s="1"/>
  <c r="I593" i="4"/>
  <c r="I592" i="4" s="1"/>
  <c r="J583" i="4"/>
  <c r="J582" i="4"/>
  <c r="J577" i="4"/>
  <c r="I577" i="4"/>
  <c r="J576" i="4"/>
  <c r="I576" i="4"/>
  <c r="K576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J559" i="4"/>
  <c r="J543" i="4" s="1"/>
  <c r="P557" i="4"/>
  <c r="L557" i="4"/>
  <c r="L555" i="4" s="1"/>
  <c r="O555" i="4" s="1"/>
  <c r="P556" i="4"/>
  <c r="O556" i="4"/>
  <c r="P555" i="4"/>
  <c r="N555" i="4"/>
  <c r="M555" i="4"/>
  <c r="N553" i="4"/>
  <c r="N549" i="4" s="1"/>
  <c r="L549" i="4"/>
  <c r="L547" i="4" s="1"/>
  <c r="P548" i="4"/>
  <c r="O548" i="4"/>
  <c r="P545" i="4"/>
  <c r="O545" i="4"/>
  <c r="N545" i="4"/>
  <c r="M545" i="4"/>
  <c r="L545" i="4"/>
  <c r="I542" i="4"/>
  <c r="K542" i="4" s="1"/>
  <c r="I541" i="4"/>
  <c r="K541" i="4" s="1"/>
  <c r="I540" i="4"/>
  <c r="K540" i="4" s="1"/>
  <c r="I539" i="4"/>
  <c r="K539" i="4" s="1"/>
  <c r="I538" i="4"/>
  <c r="K538" i="4" s="1"/>
  <c r="I537" i="4"/>
  <c r="I522" i="4" s="1"/>
  <c r="K522" i="4" s="1"/>
  <c r="P535" i="4"/>
  <c r="L535" i="4"/>
  <c r="O535" i="4" s="1"/>
  <c r="P534" i="4"/>
  <c r="O534" i="4"/>
  <c r="P533" i="4"/>
  <c r="N533" i="4"/>
  <c r="M533" i="4"/>
  <c r="L533" i="4"/>
  <c r="O533" i="4" s="1"/>
  <c r="P528" i="4"/>
  <c r="N528" i="4"/>
  <c r="N525" i="4" s="1"/>
  <c r="L528" i="4"/>
  <c r="O528" i="4" s="1"/>
  <c r="P527" i="4"/>
  <c r="O527" i="4"/>
  <c r="P526" i="4"/>
  <c r="N526" i="4"/>
  <c r="M526" i="4"/>
  <c r="M525" i="4"/>
  <c r="P525" i="4" s="1"/>
  <c r="N524" i="4"/>
  <c r="M524" i="4"/>
  <c r="P524" i="4" s="1"/>
  <c r="L524" i="4"/>
  <c r="M523" i="4"/>
  <c r="P523" i="4" s="1"/>
  <c r="K517" i="4"/>
  <c r="J517" i="4"/>
  <c r="J501" i="4" s="1"/>
  <c r="K516" i="4"/>
  <c r="P514" i="4"/>
  <c r="O514" i="4"/>
  <c r="P513" i="4"/>
  <c r="O513" i="4"/>
  <c r="P512" i="4"/>
  <c r="O512" i="4"/>
  <c r="N512" i="4"/>
  <c r="M512" i="4"/>
  <c r="L512" i="4"/>
  <c r="P507" i="4"/>
  <c r="O507" i="4"/>
  <c r="N507" i="4"/>
  <c r="N504" i="4" s="1"/>
  <c r="N502" i="4" s="1"/>
  <c r="P506" i="4"/>
  <c r="O506" i="4"/>
  <c r="N505" i="4"/>
  <c r="M505" i="4"/>
  <c r="P505" i="4" s="1"/>
  <c r="L505" i="4"/>
  <c r="O505" i="4" s="1"/>
  <c r="M504" i="4"/>
  <c r="L504" i="4"/>
  <c r="O504" i="4" s="1"/>
  <c r="P503" i="4"/>
  <c r="N503" i="4"/>
  <c r="M503" i="4"/>
  <c r="L503" i="4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N477" i="4"/>
  <c r="M477" i="4"/>
  <c r="P477" i="4" s="1"/>
  <c r="N476" i="4"/>
  <c r="N472" i="4"/>
  <c r="L472" i="4"/>
  <c r="L470" i="4" s="1"/>
  <c r="O470" i="4" s="1"/>
  <c r="P471" i="4"/>
  <c r="O471" i="4"/>
  <c r="N470" i="4"/>
  <c r="N469" i="4"/>
  <c r="N468" i="4"/>
  <c r="N467" i="4" s="1"/>
  <c r="M468" i="4"/>
  <c r="P468" i="4" s="1"/>
  <c r="L468" i="4"/>
  <c r="J466" i="4"/>
  <c r="I466" i="4"/>
  <c r="K466" i="4" s="1"/>
  <c r="J465" i="4"/>
  <c r="I465" i="4"/>
  <c r="K465" i="4" s="1"/>
  <c r="I464" i="4"/>
  <c r="I463" i="4"/>
  <c r="I462" i="4"/>
  <c r="K462" i="4" s="1"/>
  <c r="I460" i="4"/>
  <c r="K460" i="4" s="1"/>
  <c r="K458" i="4"/>
  <c r="P456" i="4"/>
  <c r="L456" i="4"/>
  <c r="L454" i="4" s="1"/>
  <c r="O454" i="4" s="1"/>
  <c r="P455" i="4"/>
  <c r="O455" i="4"/>
  <c r="P454" i="4"/>
  <c r="N454" i="4"/>
  <c r="M454" i="4"/>
  <c r="P449" i="4"/>
  <c r="N449" i="4"/>
  <c r="L449" i="4"/>
  <c r="P448" i="4"/>
  <c r="O448" i="4"/>
  <c r="P447" i="4"/>
  <c r="N447" i="4"/>
  <c r="M447" i="4"/>
  <c r="P446" i="4"/>
  <c r="N446" i="4"/>
  <c r="M446" i="4"/>
  <c r="O445" i="4"/>
  <c r="N445" i="4"/>
  <c r="M445" i="4"/>
  <c r="M444" i="4" s="1"/>
  <c r="P444" i="4" s="1"/>
  <c r="L445" i="4"/>
  <c r="N444" i="4"/>
  <c r="J443" i="4"/>
  <c r="J442" i="4"/>
  <c r="I441" i="4"/>
  <c r="K441" i="4" s="1"/>
  <c r="I440" i="4"/>
  <c r="K440" i="4" s="1"/>
  <c r="I439" i="4"/>
  <c r="K439" i="4" s="1"/>
  <c r="I438" i="4"/>
  <c r="K438" i="4" s="1"/>
  <c r="I437" i="4"/>
  <c r="K437" i="4" s="1"/>
  <c r="I435" i="4"/>
  <c r="J434" i="4"/>
  <c r="P431" i="4"/>
  <c r="L431" i="4"/>
  <c r="O431" i="4" s="1"/>
  <c r="P430" i="4"/>
  <c r="O430" i="4"/>
  <c r="P429" i="4"/>
  <c r="N429" i="4"/>
  <c r="M429" i="4"/>
  <c r="N424" i="4"/>
  <c r="N422" i="4" s="1"/>
  <c r="L424" i="4"/>
  <c r="M424" i="4" s="1"/>
  <c r="P423" i="4"/>
  <c r="O423" i="4"/>
  <c r="N421" i="4"/>
  <c r="P420" i="4"/>
  <c r="O420" i="4"/>
  <c r="N420" i="4"/>
  <c r="N419" i="4" s="1"/>
  <c r="M420" i="4"/>
  <c r="L420" i="4"/>
  <c r="J418" i="4"/>
  <c r="K413" i="4"/>
  <c r="K412" i="4"/>
  <c r="N410" i="4"/>
  <c r="N408" i="4" s="1"/>
  <c r="M410" i="4"/>
  <c r="P410" i="4" s="1"/>
  <c r="L410" i="4"/>
  <c r="L408" i="4" s="1"/>
  <c r="O408" i="4" s="1"/>
  <c r="P409" i="4"/>
  <c r="O409" i="4"/>
  <c r="N407" i="4"/>
  <c r="M407" i="4"/>
  <c r="P407" i="4" s="1"/>
  <c r="L407" i="4"/>
  <c r="L405" i="4" s="1"/>
  <c r="O405" i="4" s="1"/>
  <c r="P406" i="4"/>
  <c r="O406" i="4"/>
  <c r="N403" i="4"/>
  <c r="M403" i="4"/>
  <c r="P403" i="4" s="1"/>
  <c r="L403" i="4"/>
  <c r="K401" i="4"/>
  <c r="J401" i="4"/>
  <c r="I401" i="4"/>
  <c r="K400" i="4"/>
  <c r="K399" i="4"/>
  <c r="N397" i="4"/>
  <c r="N395" i="4" s="1"/>
  <c r="M397" i="4"/>
  <c r="L397" i="4"/>
  <c r="O397" i="4" s="1"/>
  <c r="P396" i="4"/>
  <c r="O396" i="4"/>
  <c r="N394" i="4"/>
  <c r="N392" i="4" s="1"/>
  <c r="M394" i="4"/>
  <c r="M392" i="4" s="1"/>
  <c r="P392" i="4" s="1"/>
  <c r="L394" i="4"/>
  <c r="L392" i="4" s="1"/>
  <c r="O392" i="4" s="1"/>
  <c r="P393" i="4"/>
  <c r="O393" i="4"/>
  <c r="P390" i="4"/>
  <c r="O390" i="4"/>
  <c r="N390" i="4"/>
  <c r="M390" i="4"/>
  <c r="L390" i="4"/>
  <c r="J388" i="4"/>
  <c r="I388" i="4"/>
  <c r="K388" i="4" s="1"/>
  <c r="J385" i="4"/>
  <c r="I385" i="4"/>
  <c r="D384" i="4"/>
  <c r="K382" i="4"/>
  <c r="J382" i="4"/>
  <c r="A382" i="4"/>
  <c r="J381" i="4"/>
  <c r="I381" i="4"/>
  <c r="K380" i="4"/>
  <c r="J380" i="4"/>
  <c r="J379" i="4"/>
  <c r="I379" i="4"/>
  <c r="J378" i="4"/>
  <c r="I378" i="4"/>
  <c r="K377" i="4"/>
  <c r="J377" i="4"/>
  <c r="I374" i="4"/>
  <c r="K373" i="4"/>
  <c r="J373" i="4"/>
  <c r="A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L353" i="4"/>
  <c r="L351" i="4" s="1"/>
  <c r="P352" i="4"/>
  <c r="O352" i="4"/>
  <c r="N350" i="4"/>
  <c r="N348" i="4" s="1"/>
  <c r="M350" i="4"/>
  <c r="L350" i="4"/>
  <c r="L348" i="4" s="1"/>
  <c r="P349" i="4"/>
  <c r="O349" i="4"/>
  <c r="P346" i="4"/>
  <c r="N346" i="4"/>
  <c r="M346" i="4"/>
  <c r="L346" i="4"/>
  <c r="J343" i="4"/>
  <c r="J342" i="4"/>
  <c r="J341" i="4"/>
  <c r="J340" i="4"/>
  <c r="I340" i="4"/>
  <c r="J338" i="4"/>
  <c r="I338" i="4"/>
  <c r="D337" i="4"/>
  <c r="N336" i="4"/>
  <c r="N334" i="4" s="1"/>
  <c r="M336" i="4"/>
  <c r="P336" i="4" s="1"/>
  <c r="L336" i="4"/>
  <c r="L334" i="4" s="1"/>
  <c r="O334" i="4" s="1"/>
  <c r="P335" i="4"/>
  <c r="O335" i="4"/>
  <c r="N333" i="4"/>
  <c r="M333" i="4"/>
  <c r="M331" i="4" s="1"/>
  <c r="L333" i="4"/>
  <c r="L331" i="4" s="1"/>
  <c r="P332" i="4"/>
  <c r="O332" i="4"/>
  <c r="P329" i="4"/>
  <c r="N329" i="4"/>
  <c r="M329" i="4"/>
  <c r="L329" i="4"/>
  <c r="I327" i="4"/>
  <c r="I325" i="4"/>
  <c r="K325" i="4" s="1"/>
  <c r="N323" i="4"/>
  <c r="N321" i="4" s="1"/>
  <c r="M323" i="4"/>
  <c r="M321" i="4" s="1"/>
  <c r="P321" i="4" s="1"/>
  <c r="L323" i="4"/>
  <c r="L321" i="4" s="1"/>
  <c r="O321" i="4" s="1"/>
  <c r="P322" i="4"/>
  <c r="O322" i="4"/>
  <c r="N320" i="4"/>
  <c r="M320" i="4"/>
  <c r="P320" i="4" s="1"/>
  <c r="L320" i="4"/>
  <c r="O320" i="4" s="1"/>
  <c r="P319" i="4"/>
  <c r="O319" i="4"/>
  <c r="N316" i="4"/>
  <c r="M316" i="4"/>
  <c r="L316" i="4"/>
  <c r="O316" i="4" s="1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P306" i="4" s="1"/>
  <c r="L306" i="4"/>
  <c r="O306" i="4" s="1"/>
  <c r="P305" i="4"/>
  <c r="O305" i="4"/>
  <c r="N303" i="4"/>
  <c r="M303" i="4"/>
  <c r="M301" i="4" s="1"/>
  <c r="P301" i="4" s="1"/>
  <c r="L303" i="4"/>
  <c r="L301" i="4" s="1"/>
  <c r="O301" i="4" s="1"/>
  <c r="P302" i="4"/>
  <c r="O302" i="4"/>
  <c r="P299" i="4"/>
  <c r="O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I287" i="4"/>
  <c r="K287" i="4" s="1"/>
  <c r="N285" i="4"/>
  <c r="N283" i="4" s="1"/>
  <c r="M285" i="4"/>
  <c r="L285" i="4"/>
  <c r="O285" i="4" s="1"/>
  <c r="P284" i="4"/>
  <c r="O284" i="4"/>
  <c r="N282" i="4"/>
  <c r="M282" i="4"/>
  <c r="L282" i="4"/>
  <c r="P281" i="4"/>
  <c r="O281" i="4"/>
  <c r="P278" i="4"/>
  <c r="O278" i="4"/>
  <c r="N278" i="4"/>
  <c r="M278" i="4"/>
  <c r="L278" i="4"/>
  <c r="J276" i="4"/>
  <c r="I271" i="4"/>
  <c r="K271" i="4" s="1"/>
  <c r="N269" i="4"/>
  <c r="N267" i="4" s="1"/>
  <c r="M269" i="4"/>
  <c r="P269" i="4" s="1"/>
  <c r="L269" i="4"/>
  <c r="L267" i="4" s="1"/>
  <c r="O267" i="4" s="1"/>
  <c r="P268" i="4"/>
  <c r="O268" i="4"/>
  <c r="N266" i="4"/>
  <c r="N264" i="4" s="1"/>
  <c r="M266" i="4"/>
  <c r="M264" i="4" s="1"/>
  <c r="L266" i="4"/>
  <c r="L264" i="4" s="1"/>
  <c r="P265" i="4"/>
  <c r="O265" i="4"/>
  <c r="P262" i="4"/>
  <c r="O262" i="4"/>
  <c r="N262" i="4"/>
  <c r="M262" i="4"/>
  <c r="L262" i="4"/>
  <c r="J260" i="4"/>
  <c r="K258" i="4"/>
  <c r="K257" i="4"/>
  <c r="I255" i="4"/>
  <c r="K255" i="4" s="1"/>
  <c r="L253" i="4"/>
  <c r="L252" i="4"/>
  <c r="L251" i="4"/>
  <c r="L250" i="4"/>
  <c r="P249" i="4"/>
  <c r="N249" i="4"/>
  <c r="J248" i="4"/>
  <c r="K247" i="4"/>
  <c r="K246" i="4"/>
  <c r="I244" i="4"/>
  <c r="L242" i="4"/>
  <c r="L241" i="4"/>
  <c r="L240" i="4"/>
  <c r="L239" i="4"/>
  <c r="P238" i="4"/>
  <c r="N238" i="4"/>
  <c r="J237" i="4"/>
  <c r="K236" i="4"/>
  <c r="J236" i="4"/>
  <c r="I236" i="4"/>
  <c r="K235" i="4"/>
  <c r="J235" i="4"/>
  <c r="I235" i="4"/>
  <c r="J233" i="4"/>
  <c r="N231" i="4"/>
  <c r="N230" i="4"/>
  <c r="N229" i="4"/>
  <c r="N228" i="4"/>
  <c r="I225" i="4"/>
  <c r="K225" i="4" s="1"/>
  <c r="I224" i="4"/>
  <c r="I223" i="4"/>
  <c r="K223" i="4" s="1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M187" i="4" s="1"/>
  <c r="P187" i="4" s="1"/>
  <c r="L189" i="4"/>
  <c r="O189" i="4" s="1"/>
  <c r="P188" i="4"/>
  <c r="O188" i="4"/>
  <c r="N186" i="4"/>
  <c r="N184" i="4" s="1"/>
  <c r="M186" i="4"/>
  <c r="L186" i="4"/>
  <c r="P185" i="4"/>
  <c r="O185" i="4"/>
  <c r="O182" i="4"/>
  <c r="N182" i="4"/>
  <c r="M182" i="4"/>
  <c r="L182" i="4"/>
  <c r="J177" i="4"/>
  <c r="J164" i="4" s="1"/>
  <c r="I176" i="4"/>
  <c r="J174" i="4"/>
  <c r="N173" i="4"/>
  <c r="N171" i="4" s="1"/>
  <c r="M173" i="4"/>
  <c r="M171" i="4" s="1"/>
  <c r="P171" i="4" s="1"/>
  <c r="L173" i="4"/>
  <c r="O173" i="4" s="1"/>
  <c r="P172" i="4"/>
  <c r="O172" i="4"/>
  <c r="N170" i="4"/>
  <c r="M170" i="4"/>
  <c r="M168" i="4" s="1"/>
  <c r="L170" i="4"/>
  <c r="L168" i="4" s="1"/>
  <c r="P169" i="4"/>
  <c r="O169" i="4"/>
  <c r="N166" i="4"/>
  <c r="M166" i="4"/>
  <c r="L166" i="4"/>
  <c r="I159" i="4"/>
  <c r="I148" i="4" s="1"/>
  <c r="K148" i="4" s="1"/>
  <c r="N157" i="4"/>
  <c r="N155" i="4" s="1"/>
  <c r="M157" i="4"/>
  <c r="P157" i="4" s="1"/>
  <c r="L157" i="4"/>
  <c r="L155" i="4" s="1"/>
  <c r="O155" i="4" s="1"/>
  <c r="P156" i="4"/>
  <c r="O156" i="4"/>
  <c r="N154" i="4"/>
  <c r="M154" i="4"/>
  <c r="M152" i="4" s="1"/>
  <c r="L154" i="4"/>
  <c r="L152" i="4" s="1"/>
  <c r="O152" i="4" s="1"/>
  <c r="P153" i="4"/>
  <c r="O153" i="4"/>
  <c r="O150" i="4"/>
  <c r="N150" i="4"/>
  <c r="M150" i="4"/>
  <c r="P150" i="4" s="1"/>
  <c r="L150" i="4"/>
  <c r="J148" i="4"/>
  <c r="I146" i="4"/>
  <c r="I130" i="4" s="1"/>
  <c r="K130" i="4" s="1"/>
  <c r="I145" i="4"/>
  <c r="K145" i="4" s="1"/>
  <c r="I144" i="4"/>
  <c r="K144" i="4" s="1"/>
  <c r="N140" i="4"/>
  <c r="N138" i="4" s="1"/>
  <c r="M140" i="4"/>
  <c r="P140" i="4" s="1"/>
  <c r="L140" i="4"/>
  <c r="L138" i="4" s="1"/>
  <c r="O138" i="4" s="1"/>
  <c r="P139" i="4"/>
  <c r="O139" i="4"/>
  <c r="N137" i="4"/>
  <c r="N135" i="4" s="1"/>
  <c r="M137" i="4"/>
  <c r="M135" i="4" s="1"/>
  <c r="P135" i="4" s="1"/>
  <c r="L137" i="4"/>
  <c r="L135" i="4" s="1"/>
  <c r="O135" i="4" s="1"/>
  <c r="P136" i="4"/>
  <c r="O136" i="4"/>
  <c r="N133" i="4"/>
  <c r="M133" i="4"/>
  <c r="P133" i="4" s="1"/>
  <c r="L133" i="4"/>
  <c r="J130" i="4"/>
  <c r="N127" i="4"/>
  <c r="N125" i="4" s="1"/>
  <c r="M127" i="4"/>
  <c r="P127" i="4" s="1"/>
  <c r="L127" i="4"/>
  <c r="L125" i="4" s="1"/>
  <c r="O125" i="4" s="1"/>
  <c r="P126" i="4"/>
  <c r="O126" i="4"/>
  <c r="N124" i="4"/>
  <c r="M124" i="4"/>
  <c r="P124" i="4" s="1"/>
  <c r="L124" i="4"/>
  <c r="L122" i="4" s="1"/>
  <c r="O122" i="4" s="1"/>
  <c r="P123" i="4"/>
  <c r="O123" i="4"/>
  <c r="P120" i="4"/>
  <c r="N120" i="4"/>
  <c r="M120" i="4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K99" i="4" s="1"/>
  <c r="J98" i="4"/>
  <c r="I98" i="4"/>
  <c r="I86" i="4" s="1"/>
  <c r="K86" i="4" s="1"/>
  <c r="N96" i="4"/>
  <c r="N94" i="4" s="1"/>
  <c r="M96" i="4"/>
  <c r="M94" i="4" s="1"/>
  <c r="P94" i="4" s="1"/>
  <c r="L96" i="4"/>
  <c r="O96" i="4" s="1"/>
  <c r="P95" i="4"/>
  <c r="O95" i="4"/>
  <c r="N93" i="4"/>
  <c r="N91" i="4" s="1"/>
  <c r="M93" i="4"/>
  <c r="M91" i="4" s="1"/>
  <c r="L93" i="4"/>
  <c r="P92" i="4"/>
  <c r="O92" i="4"/>
  <c r="N89" i="4"/>
  <c r="M89" i="4"/>
  <c r="L89" i="4"/>
  <c r="O89" i="4" s="1"/>
  <c r="J87" i="4"/>
  <c r="J86" i="4"/>
  <c r="I84" i="4"/>
  <c r="K84" i="4" s="1"/>
  <c r="I83" i="4"/>
  <c r="K83" i="4" s="1"/>
  <c r="I82" i="4"/>
  <c r="K82" i="4" s="1"/>
  <c r="I81" i="4"/>
  <c r="K81" i="4" s="1"/>
  <c r="I80" i="4"/>
  <c r="I79" i="4"/>
  <c r="I78" i="4"/>
  <c r="K78" i="4" s="1"/>
  <c r="J77" i="4"/>
  <c r="J65" i="4" s="1"/>
  <c r="J76" i="4"/>
  <c r="N74" i="4"/>
  <c r="N72" i="4" s="1"/>
  <c r="M74" i="4"/>
  <c r="P74" i="4" s="1"/>
  <c r="L74" i="4"/>
  <c r="L72" i="4" s="1"/>
  <c r="O72" i="4" s="1"/>
  <c r="P73" i="4"/>
  <c r="O73" i="4"/>
  <c r="N71" i="4"/>
  <c r="M71" i="4"/>
  <c r="L71" i="4"/>
  <c r="L69" i="4" s="1"/>
  <c r="O69" i="4" s="1"/>
  <c r="P70" i="4"/>
  <c r="O70" i="4"/>
  <c r="N67" i="4"/>
  <c r="M67" i="4"/>
  <c r="P67" i="4" s="1"/>
  <c r="L67" i="4"/>
  <c r="J64" i="4"/>
  <c r="N61" i="4"/>
  <c r="N59" i="4" s="1"/>
  <c r="M61" i="4"/>
  <c r="P61" i="4" s="1"/>
  <c r="L61" i="4"/>
  <c r="L59" i="4" s="1"/>
  <c r="O59" i="4" s="1"/>
  <c r="P60" i="4"/>
  <c r="O60" i="4"/>
  <c r="N58" i="4"/>
  <c r="M58" i="4"/>
  <c r="L58" i="4"/>
  <c r="L56" i="4" s="1"/>
  <c r="P57" i="4"/>
  <c r="O57" i="4"/>
  <c r="N54" i="4"/>
  <c r="M54" i="4"/>
  <c r="P54" i="4" s="1"/>
  <c r="L54" i="4"/>
  <c r="N49" i="4"/>
  <c r="M49" i="4"/>
  <c r="M47" i="4" s="1"/>
  <c r="P47" i="4" s="1"/>
  <c r="L49" i="4"/>
  <c r="L47" i="4" s="1"/>
  <c r="O47" i="4" s="1"/>
  <c r="P48" i="4"/>
  <c r="O48" i="4"/>
  <c r="N46" i="4"/>
  <c r="N44" i="4" s="1"/>
  <c r="M46" i="4"/>
  <c r="M44" i="4" s="1"/>
  <c r="L46" i="4"/>
  <c r="L44" i="4" s="1"/>
  <c r="P45" i="4"/>
  <c r="O45" i="4"/>
  <c r="P42" i="4"/>
  <c r="O42" i="4"/>
  <c r="N42" i="4"/>
  <c r="M42" i="4"/>
  <c r="L42" i="4"/>
  <c r="N36" i="4"/>
  <c r="M36" i="4"/>
  <c r="P35" i="4"/>
  <c r="N35" i="4"/>
  <c r="N34" i="4" s="1"/>
  <c r="M35" i="4"/>
  <c r="L35" i="4"/>
  <c r="N33" i="4"/>
  <c r="N31" i="4" s="1"/>
  <c r="O32" i="4"/>
  <c r="N32" i="4"/>
  <c r="N29" i="4" s="1"/>
  <c r="M32" i="4"/>
  <c r="L32" i="4"/>
  <c r="L29" i="4"/>
  <c r="O25" i="4"/>
  <c r="N25" i="4"/>
  <c r="N15" i="4" s="1"/>
  <c r="M25" i="4"/>
  <c r="L25" i="4"/>
  <c r="P22" i="4"/>
  <c r="N22" i="4"/>
  <c r="M22" i="4"/>
  <c r="L22" i="4"/>
  <c r="N19" i="4"/>
  <c r="L15" i="4"/>
  <c r="N12" i="4"/>
  <c r="N9" i="4" s="1"/>
  <c r="M12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P809" i="3"/>
  <c r="O809" i="3"/>
  <c r="O808" i="3"/>
  <c r="N808" i="3"/>
  <c r="M808" i="3"/>
  <c r="P808" i="3" s="1"/>
  <c r="L808" i="3"/>
  <c r="N807" i="3"/>
  <c r="N805" i="3" s="1"/>
  <c r="M807" i="3"/>
  <c r="P807" i="3" s="1"/>
  <c r="L807" i="3"/>
  <c r="O807" i="3" s="1"/>
  <c r="N806" i="3"/>
  <c r="M806" i="3"/>
  <c r="L806" i="3"/>
  <c r="O806" i="3" s="1"/>
  <c r="L805" i="3"/>
  <c r="O805" i="3" s="1"/>
  <c r="K804" i="3"/>
  <c r="J804" i="3"/>
  <c r="K802" i="3"/>
  <c r="J801" i="3"/>
  <c r="J800" i="3"/>
  <c r="J785" i="3" s="1"/>
  <c r="I800" i="3"/>
  <c r="P798" i="3"/>
  <c r="O798" i="3"/>
  <c r="P797" i="3"/>
  <c r="O797" i="3"/>
  <c r="P796" i="3"/>
  <c r="O796" i="3"/>
  <c r="N796" i="3"/>
  <c r="M796" i="3"/>
  <c r="L796" i="3"/>
  <c r="P791" i="3"/>
  <c r="N791" i="3"/>
  <c r="N788" i="3" s="1"/>
  <c r="N786" i="3" s="1"/>
  <c r="L791" i="3"/>
  <c r="L788" i="3" s="1"/>
  <c r="P790" i="3"/>
  <c r="O790" i="3"/>
  <c r="M789" i="3"/>
  <c r="P789" i="3" s="1"/>
  <c r="M788" i="3"/>
  <c r="P788" i="3" s="1"/>
  <c r="N787" i="3"/>
  <c r="M787" i="3"/>
  <c r="L787" i="3"/>
  <c r="O787" i="3" s="1"/>
  <c r="P782" i="3"/>
  <c r="O782" i="3"/>
  <c r="P781" i="3"/>
  <c r="O781" i="3"/>
  <c r="P780" i="3"/>
  <c r="N780" i="3"/>
  <c r="M780" i="3"/>
  <c r="L780" i="3"/>
  <c r="O780" i="3" s="1"/>
  <c r="P775" i="3"/>
  <c r="O775" i="3"/>
  <c r="N775" i="3"/>
  <c r="N773" i="3" s="1"/>
  <c r="P774" i="3"/>
  <c r="O774" i="3"/>
  <c r="P773" i="3"/>
  <c r="O773" i="3"/>
  <c r="M773" i="3"/>
  <c r="L773" i="3"/>
  <c r="O772" i="3"/>
  <c r="N772" i="3"/>
  <c r="M772" i="3"/>
  <c r="P772" i="3" s="1"/>
  <c r="L772" i="3"/>
  <c r="N771" i="3"/>
  <c r="N770" i="3" s="1"/>
  <c r="M771" i="3"/>
  <c r="P771" i="3" s="1"/>
  <c r="L771" i="3"/>
  <c r="O771" i="3" s="1"/>
  <c r="L770" i="3"/>
  <c r="O770" i="3" s="1"/>
  <c r="K769" i="3"/>
  <c r="J769" i="3"/>
  <c r="P766" i="3"/>
  <c r="O766" i="3"/>
  <c r="P765" i="3"/>
  <c r="O765" i="3"/>
  <c r="P764" i="3"/>
  <c r="N764" i="3"/>
  <c r="M764" i="3"/>
  <c r="L764" i="3"/>
  <c r="O764" i="3" s="1"/>
  <c r="P759" i="3"/>
  <c r="O759" i="3"/>
  <c r="N759" i="3"/>
  <c r="N757" i="3" s="1"/>
  <c r="P758" i="3"/>
  <c r="O758" i="3"/>
  <c r="P757" i="3"/>
  <c r="O757" i="3"/>
  <c r="M757" i="3"/>
  <c r="L757" i="3"/>
  <c r="O756" i="3"/>
  <c r="N756" i="3"/>
  <c r="M756" i="3"/>
  <c r="P756" i="3" s="1"/>
  <c r="L756" i="3"/>
  <c r="N755" i="3"/>
  <c r="N754" i="3" s="1"/>
  <c r="M755" i="3"/>
  <c r="L755" i="3"/>
  <c r="O755" i="3" s="1"/>
  <c r="L754" i="3"/>
  <c r="O754" i="3" s="1"/>
  <c r="K753" i="3"/>
  <c r="J753" i="3"/>
  <c r="P749" i="3"/>
  <c r="O749" i="3"/>
  <c r="P748" i="3"/>
  <c r="O748" i="3"/>
  <c r="P747" i="3"/>
  <c r="N747" i="3"/>
  <c r="M747" i="3"/>
  <c r="L747" i="3"/>
  <c r="O747" i="3" s="1"/>
  <c r="P742" i="3"/>
  <c r="O742" i="3"/>
  <c r="N742" i="3"/>
  <c r="N740" i="3" s="1"/>
  <c r="P741" i="3"/>
  <c r="O741" i="3"/>
  <c r="P740" i="3"/>
  <c r="O740" i="3"/>
  <c r="M740" i="3"/>
  <c r="L740" i="3"/>
  <c r="O739" i="3"/>
  <c r="N739" i="3"/>
  <c r="M739" i="3"/>
  <c r="P739" i="3" s="1"/>
  <c r="L739" i="3"/>
  <c r="N738" i="3"/>
  <c r="M738" i="3"/>
  <c r="P738" i="3" s="1"/>
  <c r="L738" i="3"/>
  <c r="O738" i="3" s="1"/>
  <c r="M737" i="3"/>
  <c r="P737" i="3" s="1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J700" i="3"/>
  <c r="I700" i="3"/>
  <c r="K700" i="3" s="1"/>
  <c r="J699" i="3"/>
  <c r="I699" i="3"/>
  <c r="K699" i="3" s="1"/>
  <c r="P697" i="3"/>
  <c r="O697" i="3"/>
  <c r="P696" i="3"/>
  <c r="O696" i="3"/>
  <c r="P695" i="3"/>
  <c r="N695" i="3"/>
  <c r="M695" i="3"/>
  <c r="L695" i="3"/>
  <c r="O695" i="3" s="1"/>
  <c r="N690" i="3"/>
  <c r="L690" i="3"/>
  <c r="L688" i="3" s="1"/>
  <c r="N687" i="3"/>
  <c r="N686" i="3"/>
  <c r="N685" i="3" s="1"/>
  <c r="M686" i="3"/>
  <c r="L686" i="3"/>
  <c r="O686" i="3" s="1"/>
  <c r="J679" i="3"/>
  <c r="J678" i="3"/>
  <c r="I678" i="3"/>
  <c r="K678" i="3" s="1"/>
  <c r="J675" i="3"/>
  <c r="J669" i="3" s="1"/>
  <c r="I671" i="3"/>
  <c r="K671" i="3" s="1"/>
  <c r="I670" i="3"/>
  <c r="K670" i="3" s="1"/>
  <c r="I669" i="3"/>
  <c r="K673" i="3" s="1"/>
  <c r="P667" i="3"/>
  <c r="O667" i="3"/>
  <c r="P666" i="3"/>
  <c r="O666" i="3"/>
  <c r="N665" i="3"/>
  <c r="M665" i="3"/>
  <c r="P665" i="3" s="1"/>
  <c r="L665" i="3"/>
  <c r="O665" i="3" s="1"/>
  <c r="P660" i="3"/>
  <c r="N660" i="3"/>
  <c r="L660" i="3"/>
  <c r="O660" i="3" s="1"/>
  <c r="P659" i="3"/>
  <c r="O659" i="3"/>
  <c r="N658" i="3"/>
  <c r="M658" i="3"/>
  <c r="P658" i="3" s="1"/>
  <c r="P657" i="3"/>
  <c r="N657" i="3"/>
  <c r="M657" i="3"/>
  <c r="P656" i="3"/>
  <c r="O656" i="3"/>
  <c r="N656" i="3"/>
  <c r="N655" i="3" s="1"/>
  <c r="M656" i="3"/>
  <c r="L656" i="3"/>
  <c r="P655" i="3"/>
  <c r="M655" i="3"/>
  <c r="J654" i="3"/>
  <c r="K652" i="3"/>
  <c r="J652" i="3"/>
  <c r="A652" i="3"/>
  <c r="J651" i="3"/>
  <c r="J628" i="3" s="1"/>
  <c r="I651" i="3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L639" i="3" s="1"/>
  <c r="O639" i="3" s="1"/>
  <c r="P640" i="3"/>
  <c r="O640" i="3"/>
  <c r="P639" i="3"/>
  <c r="N639" i="3"/>
  <c r="M639" i="3"/>
  <c r="N634" i="3"/>
  <c r="L634" i="3"/>
  <c r="M634" i="3" s="1"/>
  <c r="P633" i="3"/>
  <c r="O633" i="3"/>
  <c r="N632" i="3"/>
  <c r="N631" i="3"/>
  <c r="O630" i="3"/>
  <c r="N630" i="3"/>
  <c r="M630" i="3"/>
  <c r="P630" i="3" s="1"/>
  <c r="L630" i="3"/>
  <c r="N629" i="3"/>
  <c r="J621" i="3"/>
  <c r="I621" i="3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K594" i="3" s="1"/>
  <c r="I593" i="3"/>
  <c r="I592" i="3" s="1"/>
  <c r="J583" i="3"/>
  <c r="J577" i="3" s="1"/>
  <c r="J582" i="3"/>
  <c r="I577" i="3"/>
  <c r="J576" i="3"/>
  <c r="J559" i="3" s="1"/>
  <c r="J543" i="3" s="1"/>
  <c r="I576" i="3"/>
  <c r="I559" i="3" s="1"/>
  <c r="J569" i="3"/>
  <c r="I569" i="3"/>
  <c r="K569" i="3" s="1"/>
  <c r="J568" i="3"/>
  <c r="I568" i="3"/>
  <c r="K568" i="3" s="1"/>
  <c r="J561" i="3"/>
  <c r="I561" i="3"/>
  <c r="J560" i="3"/>
  <c r="I560" i="3"/>
  <c r="P557" i="3"/>
  <c r="L557" i="3"/>
  <c r="O557" i="3" s="1"/>
  <c r="P556" i="3"/>
  <c r="O556" i="3"/>
  <c r="N555" i="3"/>
  <c r="N545" i="3" s="1"/>
  <c r="M555" i="3"/>
  <c r="P555" i="3" s="1"/>
  <c r="N549" i="3"/>
  <c r="N546" i="3" s="1"/>
  <c r="L549" i="3"/>
  <c r="M549" i="3" s="1"/>
  <c r="P548" i="3"/>
  <c r="O548" i="3"/>
  <c r="N547" i="3"/>
  <c r="M545" i="3"/>
  <c r="L545" i="3"/>
  <c r="O545" i="3" s="1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K537" i="3" s="1"/>
  <c r="P535" i="3"/>
  <c r="L535" i="3"/>
  <c r="L533" i="3" s="1"/>
  <c r="O533" i="3" s="1"/>
  <c r="P534" i="3"/>
  <c r="O534" i="3"/>
  <c r="N533" i="3"/>
  <c r="M533" i="3"/>
  <c r="P533" i="3" s="1"/>
  <c r="P528" i="3"/>
  <c r="N528" i="3"/>
  <c r="L528" i="3"/>
  <c r="O528" i="3" s="1"/>
  <c r="P527" i="3"/>
  <c r="O527" i="3"/>
  <c r="N526" i="3"/>
  <c r="M526" i="3"/>
  <c r="P526" i="3" s="1"/>
  <c r="P525" i="3"/>
  <c r="N525" i="3"/>
  <c r="M525" i="3"/>
  <c r="P524" i="3"/>
  <c r="O524" i="3"/>
  <c r="N524" i="3"/>
  <c r="N523" i="3" s="1"/>
  <c r="M524" i="3"/>
  <c r="L524" i="3"/>
  <c r="P523" i="3"/>
  <c r="M523" i="3"/>
  <c r="K517" i="3"/>
  <c r="J517" i="3"/>
  <c r="K516" i="3"/>
  <c r="P514" i="3"/>
  <c r="O514" i="3"/>
  <c r="P513" i="3"/>
  <c r="O513" i="3"/>
  <c r="N512" i="3"/>
  <c r="M512" i="3"/>
  <c r="P512" i="3" s="1"/>
  <c r="L512" i="3"/>
  <c r="O512" i="3" s="1"/>
  <c r="P507" i="3"/>
  <c r="O507" i="3"/>
  <c r="N507" i="3"/>
  <c r="N504" i="3" s="1"/>
  <c r="P506" i="3"/>
  <c r="O506" i="3"/>
  <c r="P505" i="3"/>
  <c r="O505" i="3"/>
  <c r="M505" i="3"/>
  <c r="L505" i="3"/>
  <c r="P504" i="3"/>
  <c r="O504" i="3"/>
  <c r="M504" i="3"/>
  <c r="L504" i="3"/>
  <c r="O503" i="3"/>
  <c r="N503" i="3"/>
  <c r="N502" i="3" s="1"/>
  <c r="M503" i="3"/>
  <c r="P503" i="3" s="1"/>
  <c r="L503" i="3"/>
  <c r="L502" i="3" s="1"/>
  <c r="O502" i="3" s="1"/>
  <c r="M502" i="3"/>
  <c r="P502" i="3" s="1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P477" i="3"/>
  <c r="N477" i="3"/>
  <c r="M477" i="3"/>
  <c r="N472" i="3"/>
  <c r="L472" i="3"/>
  <c r="P471" i="3"/>
  <c r="O471" i="3"/>
  <c r="N470" i="3"/>
  <c r="N469" i="3"/>
  <c r="P468" i="3"/>
  <c r="O468" i="3"/>
  <c r="N468" i="3"/>
  <c r="M468" i="3"/>
  <c r="L468" i="3"/>
  <c r="N467" i="3"/>
  <c r="J466" i="3"/>
  <c r="I466" i="3"/>
  <c r="K466" i="3" s="1"/>
  <c r="J465" i="3"/>
  <c r="I465" i="3"/>
  <c r="K465" i="3" s="1"/>
  <c r="I464" i="3"/>
  <c r="K464" i="3" s="1"/>
  <c r="I463" i="3"/>
  <c r="K463" i="3" s="1"/>
  <c r="I462" i="3"/>
  <c r="K462" i="3" s="1"/>
  <c r="I460" i="3"/>
  <c r="K460" i="3" s="1"/>
  <c r="K458" i="3"/>
  <c r="P456" i="3"/>
  <c r="L456" i="3"/>
  <c r="O456" i="3" s="1"/>
  <c r="P455" i="3"/>
  <c r="O455" i="3"/>
  <c r="P454" i="3"/>
  <c r="N454" i="3"/>
  <c r="M454" i="3"/>
  <c r="N449" i="3"/>
  <c r="N447" i="3" s="1"/>
  <c r="L449" i="3"/>
  <c r="P448" i="3"/>
  <c r="O448" i="3"/>
  <c r="N446" i="3"/>
  <c r="N445" i="3"/>
  <c r="M445" i="3"/>
  <c r="P445" i="3" s="1"/>
  <c r="L445" i="3"/>
  <c r="O445" i="3" s="1"/>
  <c r="J443" i="3"/>
  <c r="J442" i="3"/>
  <c r="I441" i="3"/>
  <c r="K441" i="3" s="1"/>
  <c r="I440" i="3"/>
  <c r="K440" i="3" s="1"/>
  <c r="I439" i="3"/>
  <c r="K439" i="3" s="1"/>
  <c r="I438" i="3"/>
  <c r="K438" i="3" s="1"/>
  <c r="I437" i="3"/>
  <c r="K437" i="3" s="1"/>
  <c r="I435" i="3"/>
  <c r="K435" i="3" s="1"/>
  <c r="J434" i="3"/>
  <c r="P431" i="3"/>
  <c r="L431" i="3"/>
  <c r="O431" i="3" s="1"/>
  <c r="P430" i="3"/>
  <c r="O430" i="3"/>
  <c r="P429" i="3"/>
  <c r="N429" i="3"/>
  <c r="M429" i="3"/>
  <c r="N424" i="3"/>
  <c r="L424" i="3"/>
  <c r="P423" i="3"/>
  <c r="O423" i="3"/>
  <c r="N422" i="3"/>
  <c r="N421" i="3"/>
  <c r="O420" i="3"/>
  <c r="N420" i="3"/>
  <c r="M420" i="3"/>
  <c r="P420" i="3" s="1"/>
  <c r="L420" i="3"/>
  <c r="N419" i="3"/>
  <c r="J418" i="3"/>
  <c r="K413" i="3"/>
  <c r="K412" i="3"/>
  <c r="N410" i="3"/>
  <c r="N408" i="3" s="1"/>
  <c r="M410" i="3"/>
  <c r="L410" i="3"/>
  <c r="O410" i="3" s="1"/>
  <c r="P409" i="3"/>
  <c r="O409" i="3"/>
  <c r="N407" i="3"/>
  <c r="N405" i="3" s="1"/>
  <c r="M407" i="3"/>
  <c r="L407" i="3"/>
  <c r="O407" i="3" s="1"/>
  <c r="P406" i="3"/>
  <c r="O406" i="3"/>
  <c r="N403" i="3"/>
  <c r="M403" i="3"/>
  <c r="L403" i="3"/>
  <c r="O403" i="3" s="1"/>
  <c r="K401" i="3"/>
  <c r="J401" i="3"/>
  <c r="I401" i="3"/>
  <c r="K400" i="3"/>
  <c r="K399" i="3"/>
  <c r="N397" i="3"/>
  <c r="N395" i="3" s="1"/>
  <c r="M397" i="3"/>
  <c r="P397" i="3" s="1"/>
  <c r="L397" i="3"/>
  <c r="L395" i="3" s="1"/>
  <c r="O395" i="3" s="1"/>
  <c r="P396" i="3"/>
  <c r="O396" i="3"/>
  <c r="N394" i="3"/>
  <c r="N392" i="3" s="1"/>
  <c r="M394" i="3"/>
  <c r="M392" i="3" s="1"/>
  <c r="P392" i="3" s="1"/>
  <c r="L394" i="3"/>
  <c r="P393" i="3"/>
  <c r="O393" i="3"/>
  <c r="O390" i="3"/>
  <c r="N390" i="3"/>
  <c r="M390" i="3"/>
  <c r="P390" i="3" s="1"/>
  <c r="L390" i="3"/>
  <c r="K388" i="3"/>
  <c r="J388" i="3"/>
  <c r="I388" i="3"/>
  <c r="J385" i="3"/>
  <c r="I385" i="3"/>
  <c r="D384" i="3"/>
  <c r="K382" i="3"/>
  <c r="J382" i="3"/>
  <c r="A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A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M351" i="3" s="1"/>
  <c r="L353" i="3"/>
  <c r="P352" i="3"/>
  <c r="O352" i="3"/>
  <c r="N350" i="3"/>
  <c r="M350" i="3"/>
  <c r="M348" i="3" s="1"/>
  <c r="L350" i="3"/>
  <c r="P349" i="3"/>
  <c r="O349" i="3"/>
  <c r="N346" i="3"/>
  <c r="M346" i="3"/>
  <c r="P346" i="3" s="1"/>
  <c r="L346" i="3"/>
  <c r="J343" i="3"/>
  <c r="J342" i="3"/>
  <c r="J341" i="3"/>
  <c r="J340" i="3"/>
  <c r="I340" i="3"/>
  <c r="J338" i="3"/>
  <c r="I338" i="3"/>
  <c r="D337" i="3"/>
  <c r="N336" i="3"/>
  <c r="M336" i="3"/>
  <c r="L336" i="3"/>
  <c r="O336" i="3" s="1"/>
  <c r="P335" i="3"/>
  <c r="O335" i="3"/>
  <c r="N333" i="3"/>
  <c r="N331" i="3" s="1"/>
  <c r="M333" i="3"/>
  <c r="L333" i="3"/>
  <c r="P332" i="3"/>
  <c r="O332" i="3"/>
  <c r="P329" i="3"/>
  <c r="N329" i="3"/>
  <c r="M329" i="3"/>
  <c r="L329" i="3"/>
  <c r="I327" i="3"/>
  <c r="I325" i="3"/>
  <c r="I314" i="3" s="1"/>
  <c r="K314" i="3" s="1"/>
  <c r="N323" i="3"/>
  <c r="N321" i="3" s="1"/>
  <c r="M323" i="3"/>
  <c r="M321" i="3" s="1"/>
  <c r="P321" i="3" s="1"/>
  <c r="L323" i="3"/>
  <c r="O323" i="3" s="1"/>
  <c r="P322" i="3"/>
  <c r="O322" i="3"/>
  <c r="N320" i="3"/>
  <c r="N318" i="3" s="1"/>
  <c r="M320" i="3"/>
  <c r="M318" i="3" s="1"/>
  <c r="P318" i="3" s="1"/>
  <c r="L320" i="3"/>
  <c r="L318" i="3" s="1"/>
  <c r="O318" i="3" s="1"/>
  <c r="P319" i="3"/>
  <c r="O319" i="3"/>
  <c r="O316" i="3"/>
  <c r="N316" i="3"/>
  <c r="M316" i="3"/>
  <c r="P316" i="3" s="1"/>
  <c r="L316" i="3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M304" i="3" s="1"/>
  <c r="P304" i="3" s="1"/>
  <c r="L306" i="3"/>
  <c r="L304" i="3" s="1"/>
  <c r="O304" i="3" s="1"/>
  <c r="P305" i="3"/>
  <c r="O305" i="3"/>
  <c r="N303" i="3"/>
  <c r="M303" i="3"/>
  <c r="M301" i="3" s="1"/>
  <c r="L303" i="3"/>
  <c r="L301" i="3" s="1"/>
  <c r="P302" i="3"/>
  <c r="O302" i="3"/>
  <c r="O299" i="3"/>
  <c r="N299" i="3"/>
  <c r="M299" i="3"/>
  <c r="P299" i="3" s="1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87" i="3"/>
  <c r="K287" i="3" s="1"/>
  <c r="N285" i="3"/>
  <c r="N283" i="3" s="1"/>
  <c r="M285" i="3"/>
  <c r="M283" i="3" s="1"/>
  <c r="P283" i="3" s="1"/>
  <c r="L285" i="3"/>
  <c r="O285" i="3" s="1"/>
  <c r="P284" i="3"/>
  <c r="O284" i="3"/>
  <c r="N282" i="3"/>
  <c r="M282" i="3"/>
  <c r="M280" i="3" s="1"/>
  <c r="L282" i="3"/>
  <c r="P281" i="3"/>
  <c r="O281" i="3"/>
  <c r="P278" i="3"/>
  <c r="O278" i="3"/>
  <c r="N278" i="3"/>
  <c r="M278" i="3"/>
  <c r="L278" i="3"/>
  <c r="J276" i="3"/>
  <c r="I271" i="3"/>
  <c r="K271" i="3" s="1"/>
  <c r="N269" i="3"/>
  <c r="M269" i="3"/>
  <c r="P269" i="3" s="1"/>
  <c r="L269" i="3"/>
  <c r="L267" i="3" s="1"/>
  <c r="O267" i="3" s="1"/>
  <c r="P268" i="3"/>
  <c r="O268" i="3"/>
  <c r="N266" i="3"/>
  <c r="N264" i="3" s="1"/>
  <c r="M266" i="3"/>
  <c r="M264" i="3" s="1"/>
  <c r="L266" i="3"/>
  <c r="L264" i="3" s="1"/>
  <c r="P265" i="3"/>
  <c r="O265" i="3"/>
  <c r="O262" i="3"/>
  <c r="N262" i="3"/>
  <c r="M262" i="3"/>
  <c r="P262" i="3" s="1"/>
  <c r="L262" i="3"/>
  <c r="J260" i="3"/>
  <c r="K258" i="3"/>
  <c r="K257" i="3"/>
  <c r="I255" i="3"/>
  <c r="K255" i="3" s="1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N227" i="3" s="1"/>
  <c r="J237" i="3"/>
  <c r="J226" i="3" s="1"/>
  <c r="J180" i="3" s="1"/>
  <c r="K236" i="3"/>
  <c r="J236" i="3"/>
  <c r="I236" i="3"/>
  <c r="K235" i="3"/>
  <c r="J235" i="3"/>
  <c r="I235" i="3"/>
  <c r="J233" i="3"/>
  <c r="N231" i="3"/>
  <c r="N230" i="3"/>
  <c r="N229" i="3"/>
  <c r="N228" i="3"/>
  <c r="I225" i="3"/>
  <c r="K225" i="3" s="1"/>
  <c r="I224" i="3"/>
  <c r="I216" i="3" s="1"/>
  <c r="K216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I197" i="3" s="1"/>
  <c r="K197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L189" i="3"/>
  <c r="O189" i="3" s="1"/>
  <c r="P188" i="3"/>
  <c r="O188" i="3"/>
  <c r="N186" i="3"/>
  <c r="N184" i="3" s="1"/>
  <c r="M186" i="3"/>
  <c r="L186" i="3"/>
  <c r="L184" i="3" s="1"/>
  <c r="P185" i="3"/>
  <c r="O185" i="3"/>
  <c r="N182" i="3"/>
  <c r="M182" i="3"/>
  <c r="L182" i="3"/>
  <c r="O182" i="3" s="1"/>
  <c r="J177" i="3"/>
  <c r="J164" i="3" s="1"/>
  <c r="I176" i="3"/>
  <c r="J174" i="3"/>
  <c r="N173" i="3"/>
  <c r="N171" i="3" s="1"/>
  <c r="M173" i="3"/>
  <c r="L173" i="3"/>
  <c r="O173" i="3" s="1"/>
  <c r="P172" i="3"/>
  <c r="O172" i="3"/>
  <c r="N170" i="3"/>
  <c r="M170" i="3"/>
  <c r="L170" i="3"/>
  <c r="L168" i="3" s="1"/>
  <c r="P169" i="3"/>
  <c r="O169" i="3"/>
  <c r="N166" i="3"/>
  <c r="M166" i="3"/>
  <c r="L166" i="3"/>
  <c r="O166" i="3" s="1"/>
  <c r="I159" i="3"/>
  <c r="K159" i="3" s="1"/>
  <c r="N157" i="3"/>
  <c r="N155" i="3" s="1"/>
  <c r="M157" i="3"/>
  <c r="L157" i="3"/>
  <c r="L155" i="3" s="1"/>
  <c r="O155" i="3" s="1"/>
  <c r="P156" i="3"/>
  <c r="O156" i="3"/>
  <c r="N154" i="3"/>
  <c r="N152" i="3" s="1"/>
  <c r="M154" i="3"/>
  <c r="P154" i="3" s="1"/>
  <c r="L154" i="3"/>
  <c r="L152" i="3" s="1"/>
  <c r="O152" i="3" s="1"/>
  <c r="P153" i="3"/>
  <c r="O153" i="3"/>
  <c r="O150" i="3"/>
  <c r="N150" i="3"/>
  <c r="M150" i="3"/>
  <c r="P150" i="3" s="1"/>
  <c r="L150" i="3"/>
  <c r="J148" i="3"/>
  <c r="I146" i="3"/>
  <c r="I130" i="3" s="1"/>
  <c r="K130" i="3" s="1"/>
  <c r="I145" i="3"/>
  <c r="K145" i="3" s="1"/>
  <c r="I144" i="3"/>
  <c r="K144" i="3" s="1"/>
  <c r="N140" i="3"/>
  <c r="M140" i="3"/>
  <c r="P140" i="3" s="1"/>
  <c r="L140" i="3"/>
  <c r="P139" i="3"/>
  <c r="O139" i="3"/>
  <c r="N137" i="3"/>
  <c r="N135" i="3" s="1"/>
  <c r="M137" i="3"/>
  <c r="P137" i="3" s="1"/>
  <c r="L137" i="3"/>
  <c r="P136" i="3"/>
  <c r="O136" i="3"/>
  <c r="P133" i="3"/>
  <c r="N133" i="3"/>
  <c r="M133" i="3"/>
  <c r="L133" i="3"/>
  <c r="J130" i="3"/>
  <c r="N127" i="3"/>
  <c r="N125" i="3" s="1"/>
  <c r="M127" i="3"/>
  <c r="M125" i="3" s="1"/>
  <c r="P125" i="3" s="1"/>
  <c r="L127" i="3"/>
  <c r="L125" i="3" s="1"/>
  <c r="O125" i="3" s="1"/>
  <c r="P126" i="3"/>
  <c r="O126" i="3"/>
  <c r="N124" i="3"/>
  <c r="N122" i="3" s="1"/>
  <c r="M124" i="3"/>
  <c r="P124" i="3" s="1"/>
  <c r="L124" i="3"/>
  <c r="L122" i="3" s="1"/>
  <c r="O122" i="3" s="1"/>
  <c r="P123" i="3"/>
  <c r="O123" i="3"/>
  <c r="O120" i="3"/>
  <c r="N120" i="3"/>
  <c r="M120" i="3"/>
  <c r="P120" i="3" s="1"/>
  <c r="L120" i="3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I99" i="3"/>
  <c r="J98" i="3"/>
  <c r="J86" i="3" s="1"/>
  <c r="I98" i="3"/>
  <c r="K98" i="3" s="1"/>
  <c r="N96" i="3"/>
  <c r="N94" i="3" s="1"/>
  <c r="M96" i="3"/>
  <c r="L96" i="3"/>
  <c r="O96" i="3" s="1"/>
  <c r="P95" i="3"/>
  <c r="O95" i="3"/>
  <c r="N93" i="3"/>
  <c r="M93" i="3"/>
  <c r="L93" i="3"/>
  <c r="L91" i="3" s="1"/>
  <c r="P92" i="3"/>
  <c r="O92" i="3"/>
  <c r="O89" i="3"/>
  <c r="N89" i="3"/>
  <c r="M89" i="3"/>
  <c r="L89" i="3"/>
  <c r="J87" i="3"/>
  <c r="I84" i="3"/>
  <c r="K84" i="3" s="1"/>
  <c r="I83" i="3"/>
  <c r="K83" i="3" s="1"/>
  <c r="I82" i="3"/>
  <c r="K82" i="3" s="1"/>
  <c r="I81" i="3"/>
  <c r="K81" i="3" s="1"/>
  <c r="I80" i="3"/>
  <c r="I79" i="3"/>
  <c r="I78" i="3"/>
  <c r="K78" i="3" s="1"/>
  <c r="J77" i="3"/>
  <c r="J76" i="3"/>
  <c r="N74" i="3"/>
  <c r="N72" i="3" s="1"/>
  <c r="M74" i="3"/>
  <c r="P74" i="3" s="1"/>
  <c r="L74" i="3"/>
  <c r="L72" i="3" s="1"/>
  <c r="O72" i="3" s="1"/>
  <c r="P73" i="3"/>
  <c r="O73" i="3"/>
  <c r="N71" i="3"/>
  <c r="M71" i="3"/>
  <c r="M69" i="3" s="1"/>
  <c r="L71" i="3"/>
  <c r="L69" i="3" s="1"/>
  <c r="P70" i="3"/>
  <c r="O70" i="3"/>
  <c r="P67" i="3"/>
  <c r="O67" i="3"/>
  <c r="N67" i="3"/>
  <c r="M67" i="3"/>
  <c r="L67" i="3"/>
  <c r="J65" i="3"/>
  <c r="J64" i="3"/>
  <c r="N61" i="3"/>
  <c r="N59" i="3" s="1"/>
  <c r="M61" i="3"/>
  <c r="L61" i="3"/>
  <c r="L59" i="3" s="1"/>
  <c r="P60" i="3"/>
  <c r="O60" i="3"/>
  <c r="N58" i="3"/>
  <c r="N56" i="3" s="1"/>
  <c r="M58" i="3"/>
  <c r="L58" i="3"/>
  <c r="L56" i="3" s="1"/>
  <c r="P57" i="3"/>
  <c r="O57" i="3"/>
  <c r="O54" i="3"/>
  <c r="N54" i="3"/>
  <c r="M54" i="3"/>
  <c r="P54" i="3" s="1"/>
  <c r="L54" i="3"/>
  <c r="N49" i="3"/>
  <c r="N47" i="3" s="1"/>
  <c r="M49" i="3"/>
  <c r="L49" i="3"/>
  <c r="L47" i="3" s="1"/>
  <c r="O47" i="3" s="1"/>
  <c r="P48" i="3"/>
  <c r="O48" i="3"/>
  <c r="N46" i="3"/>
  <c r="N44" i="3" s="1"/>
  <c r="M46" i="3"/>
  <c r="L46" i="3"/>
  <c r="L44" i="3" s="1"/>
  <c r="P45" i="3"/>
  <c r="O45" i="3"/>
  <c r="P42" i="3"/>
  <c r="N42" i="3"/>
  <c r="M42" i="3"/>
  <c r="L42" i="3"/>
  <c r="N36" i="3"/>
  <c r="M36" i="3"/>
  <c r="P36" i="3" s="1"/>
  <c r="P35" i="3"/>
  <c r="N35" i="3"/>
  <c r="N34" i="3" s="1"/>
  <c r="M35" i="3"/>
  <c r="L35" i="3"/>
  <c r="O35" i="3" s="1"/>
  <c r="M34" i="3"/>
  <c r="P34" i="3" s="1"/>
  <c r="O32" i="3"/>
  <c r="N32" i="3"/>
  <c r="M32" i="3"/>
  <c r="P32" i="3" s="1"/>
  <c r="L32" i="3"/>
  <c r="M29" i="3"/>
  <c r="P29" i="3" s="1"/>
  <c r="L29" i="3"/>
  <c r="O29" i="3" s="1"/>
  <c r="O25" i="3"/>
  <c r="N25" i="3"/>
  <c r="N15" i="3" s="1"/>
  <c r="M25" i="3"/>
  <c r="M15" i="3" s="1"/>
  <c r="L25" i="3"/>
  <c r="P22" i="3"/>
  <c r="N22" i="3"/>
  <c r="N12" i="3" s="1"/>
  <c r="M22" i="3"/>
  <c r="M19" i="3" s="1"/>
  <c r="L22" i="3"/>
  <c r="L15" i="3"/>
  <c r="O15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N815" i="2"/>
  <c r="M815" i="2"/>
  <c r="P815" i="2" s="1"/>
  <c r="L815" i="2"/>
  <c r="O815" i="2" s="1"/>
  <c r="P810" i="2"/>
  <c r="O810" i="2"/>
  <c r="N810" i="2"/>
  <c r="N807" i="2" s="1"/>
  <c r="P809" i="2"/>
  <c r="O809" i="2"/>
  <c r="P808" i="2"/>
  <c r="N808" i="2"/>
  <c r="M808" i="2"/>
  <c r="L808" i="2"/>
  <c r="O808" i="2" s="1"/>
  <c r="O807" i="2"/>
  <c r="M807" i="2"/>
  <c r="M805" i="2" s="1"/>
  <c r="P805" i="2" s="1"/>
  <c r="L807" i="2"/>
  <c r="P806" i="2"/>
  <c r="N806" i="2"/>
  <c r="M806" i="2"/>
  <c r="L806" i="2"/>
  <c r="L805" i="2" s="1"/>
  <c r="O805" i="2" s="1"/>
  <c r="N805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L791" i="2"/>
  <c r="L789" i="2" s="1"/>
  <c r="O789" i="2" s="1"/>
  <c r="P790" i="2"/>
  <c r="O790" i="2"/>
  <c r="P789" i="2"/>
  <c r="M789" i="2"/>
  <c r="P788" i="2"/>
  <c r="M788" i="2"/>
  <c r="M786" i="2" s="1"/>
  <c r="P786" i="2" s="1"/>
  <c r="P787" i="2"/>
  <c r="O787" i="2"/>
  <c r="N787" i="2"/>
  <c r="M787" i="2"/>
  <c r="L787" i="2"/>
  <c r="P782" i="2"/>
  <c r="O782" i="2"/>
  <c r="P781" i="2"/>
  <c r="O781" i="2"/>
  <c r="O780" i="2"/>
  <c r="N780" i="2"/>
  <c r="M780" i="2"/>
  <c r="P780" i="2" s="1"/>
  <c r="L780" i="2"/>
  <c r="P775" i="2"/>
  <c r="O775" i="2"/>
  <c r="N775" i="2"/>
  <c r="P774" i="2"/>
  <c r="O774" i="2"/>
  <c r="O773" i="2"/>
  <c r="N773" i="2"/>
  <c r="M773" i="2"/>
  <c r="P773" i="2" s="1"/>
  <c r="L773" i="2"/>
  <c r="P772" i="2"/>
  <c r="N772" i="2"/>
  <c r="N770" i="2" s="1"/>
  <c r="M772" i="2"/>
  <c r="L772" i="2"/>
  <c r="O772" i="2" s="1"/>
  <c r="O771" i="2"/>
  <c r="N771" i="2"/>
  <c r="M771" i="2"/>
  <c r="M770" i="2" s="1"/>
  <c r="P770" i="2" s="1"/>
  <c r="L771" i="2"/>
  <c r="L770" i="2"/>
  <c r="O770" i="2" s="1"/>
  <c r="K769" i="2"/>
  <c r="J769" i="2"/>
  <c r="P766" i="2"/>
  <c r="O766" i="2"/>
  <c r="P765" i="2"/>
  <c r="O765" i="2"/>
  <c r="O764" i="2"/>
  <c r="N764" i="2"/>
  <c r="M764" i="2"/>
  <c r="P764" i="2" s="1"/>
  <c r="L764" i="2"/>
  <c r="P759" i="2"/>
  <c r="O759" i="2"/>
  <c r="N759" i="2"/>
  <c r="P758" i="2"/>
  <c r="O758" i="2"/>
  <c r="O757" i="2"/>
  <c r="N757" i="2"/>
  <c r="M757" i="2"/>
  <c r="P757" i="2" s="1"/>
  <c r="L757" i="2"/>
  <c r="N756" i="2"/>
  <c r="N754" i="2" s="1"/>
  <c r="M756" i="2"/>
  <c r="P756" i="2" s="1"/>
  <c r="L756" i="2"/>
  <c r="O756" i="2" s="1"/>
  <c r="P755" i="2"/>
  <c r="N755" i="2"/>
  <c r="M755" i="2"/>
  <c r="M754" i="2" s="1"/>
  <c r="P754" i="2" s="1"/>
  <c r="L755" i="2"/>
  <c r="O755" i="2" s="1"/>
  <c r="L754" i="2"/>
  <c r="O754" i="2" s="1"/>
  <c r="K753" i="2"/>
  <c r="J753" i="2"/>
  <c r="P749" i="2"/>
  <c r="O749" i="2"/>
  <c r="P748" i="2"/>
  <c r="O748" i="2"/>
  <c r="O747" i="2"/>
  <c r="N747" i="2"/>
  <c r="M747" i="2"/>
  <c r="P747" i="2" s="1"/>
  <c r="L747" i="2"/>
  <c r="P742" i="2"/>
  <c r="O742" i="2"/>
  <c r="N742" i="2"/>
  <c r="P741" i="2"/>
  <c r="O741" i="2"/>
  <c r="O740" i="2"/>
  <c r="N740" i="2"/>
  <c r="M740" i="2"/>
  <c r="P740" i="2" s="1"/>
  <c r="L740" i="2"/>
  <c r="N739" i="2"/>
  <c r="N737" i="2" s="1"/>
  <c r="M739" i="2"/>
  <c r="P739" i="2" s="1"/>
  <c r="L739" i="2"/>
  <c r="O739" i="2" s="1"/>
  <c r="P738" i="2"/>
  <c r="N738" i="2"/>
  <c r="M738" i="2"/>
  <c r="M737" i="2" s="1"/>
  <c r="P737" i="2" s="1"/>
  <c r="L738" i="2"/>
  <c r="O738" i="2" s="1"/>
  <c r="L737" i="2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J700" i="2"/>
  <c r="I700" i="2"/>
  <c r="J699" i="2"/>
  <c r="I699" i="2"/>
  <c r="K699" i="2" s="1"/>
  <c r="P697" i="2"/>
  <c r="O697" i="2"/>
  <c r="P696" i="2"/>
  <c r="O696" i="2"/>
  <c r="O695" i="2"/>
  <c r="N695" i="2"/>
  <c r="M695" i="2"/>
  <c r="P695" i="2" s="1"/>
  <c r="L695" i="2"/>
  <c r="N694" i="2"/>
  <c r="N690" i="2"/>
  <c r="L690" i="2"/>
  <c r="L688" i="2" s="1"/>
  <c r="P686" i="2"/>
  <c r="N686" i="2"/>
  <c r="M686" i="2"/>
  <c r="L686" i="2"/>
  <c r="J679" i="2"/>
  <c r="J678" i="2"/>
  <c r="I678" i="2"/>
  <c r="K678" i="2" s="1"/>
  <c r="J675" i="2"/>
  <c r="I671" i="2"/>
  <c r="K671" i="2" s="1"/>
  <c r="I670" i="2"/>
  <c r="K670" i="2" s="1"/>
  <c r="J669" i="2"/>
  <c r="I669" i="2"/>
  <c r="K674" i="2" s="1"/>
  <c r="P667" i="2"/>
  <c r="O667" i="2"/>
  <c r="P666" i="2"/>
  <c r="O666" i="2"/>
  <c r="P665" i="2"/>
  <c r="N665" i="2"/>
  <c r="M665" i="2"/>
  <c r="L665" i="2"/>
  <c r="O665" i="2" s="1"/>
  <c r="N664" i="2"/>
  <c r="N660" i="2" s="1"/>
  <c r="L660" i="2"/>
  <c r="L658" i="2" s="1"/>
  <c r="P659" i="2"/>
  <c r="O659" i="2"/>
  <c r="O656" i="2"/>
  <c r="N656" i="2"/>
  <c r="M656" i="2"/>
  <c r="L656" i="2"/>
  <c r="J654" i="2"/>
  <c r="K652" i="2"/>
  <c r="J652" i="2"/>
  <c r="A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P640" i="2"/>
  <c r="O640" i="2"/>
  <c r="P639" i="2"/>
  <c r="N639" i="2"/>
  <c r="M639" i="2"/>
  <c r="N638" i="2"/>
  <c r="N634" i="2" s="1"/>
  <c r="L634" i="2"/>
  <c r="L632" i="2" s="1"/>
  <c r="O632" i="2" s="1"/>
  <c r="P633" i="2"/>
  <c r="O633" i="2"/>
  <c r="N632" i="2"/>
  <c r="P630" i="2"/>
  <c r="N630" i="2"/>
  <c r="M630" i="2"/>
  <c r="L630" i="2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594" i="2" s="1"/>
  <c r="J603" i="2"/>
  <c r="J596" i="2"/>
  <c r="J595" i="2"/>
  <c r="J593" i="2" s="1"/>
  <c r="J592" i="2" s="1"/>
  <c r="I594" i="2"/>
  <c r="K594" i="2" s="1"/>
  <c r="I593" i="2"/>
  <c r="I592" i="2" s="1"/>
  <c r="J583" i="2"/>
  <c r="J577" i="2" s="1"/>
  <c r="J582" i="2"/>
  <c r="I577" i="2"/>
  <c r="K577" i="2" s="1"/>
  <c r="J576" i="2"/>
  <c r="J559" i="2" s="1"/>
  <c r="J543" i="2" s="1"/>
  <c r="I576" i="2"/>
  <c r="I559" i="2" s="1"/>
  <c r="K559" i="2" s="1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O557" i="2" s="1"/>
  <c r="P556" i="2"/>
  <c r="O556" i="2"/>
  <c r="P555" i="2"/>
  <c r="N555" i="2"/>
  <c r="M555" i="2"/>
  <c r="N549" i="2"/>
  <c r="L549" i="2"/>
  <c r="M549" i="2" s="1"/>
  <c r="M546" i="2" s="1"/>
  <c r="P548" i="2"/>
  <c r="O548" i="2"/>
  <c r="N545" i="2"/>
  <c r="M545" i="2"/>
  <c r="L545" i="2"/>
  <c r="O545" i="2" s="1"/>
  <c r="I542" i="2"/>
  <c r="K542" i="2" s="1"/>
  <c r="I541" i="2"/>
  <c r="K541" i="2" s="1"/>
  <c r="I540" i="2"/>
  <c r="K540" i="2" s="1"/>
  <c r="I539" i="2"/>
  <c r="I538" i="2"/>
  <c r="K538" i="2" s="1"/>
  <c r="I537" i="2"/>
  <c r="I522" i="2" s="1"/>
  <c r="P535" i="2"/>
  <c r="L535" i="2"/>
  <c r="O535" i="2" s="1"/>
  <c r="P534" i="2"/>
  <c r="O534" i="2"/>
  <c r="N533" i="2"/>
  <c r="M533" i="2"/>
  <c r="P533" i="2" s="1"/>
  <c r="N528" i="2"/>
  <c r="L528" i="2"/>
  <c r="O528" i="2" s="1"/>
  <c r="P527" i="2"/>
  <c r="O527" i="2"/>
  <c r="N526" i="2"/>
  <c r="N525" i="2"/>
  <c r="O524" i="2"/>
  <c r="N524" i="2"/>
  <c r="M524" i="2"/>
  <c r="L524" i="2"/>
  <c r="N523" i="2"/>
  <c r="K517" i="2"/>
  <c r="J517" i="2"/>
  <c r="K516" i="2"/>
  <c r="P514" i="2"/>
  <c r="O514" i="2"/>
  <c r="P513" i="2"/>
  <c r="O513" i="2"/>
  <c r="O512" i="2"/>
  <c r="N512" i="2"/>
  <c r="M512" i="2"/>
  <c r="P512" i="2" s="1"/>
  <c r="L512" i="2"/>
  <c r="P507" i="2"/>
  <c r="O507" i="2"/>
  <c r="N507" i="2"/>
  <c r="N505" i="2" s="1"/>
  <c r="P506" i="2"/>
  <c r="O506" i="2"/>
  <c r="O505" i="2"/>
  <c r="M505" i="2"/>
  <c r="P505" i="2" s="1"/>
  <c r="L505" i="2"/>
  <c r="N504" i="2"/>
  <c r="N502" i="2" s="1"/>
  <c r="M504" i="2"/>
  <c r="P504" i="2" s="1"/>
  <c r="L504" i="2"/>
  <c r="O504" i="2" s="1"/>
  <c r="P503" i="2"/>
  <c r="O503" i="2"/>
  <c r="N503" i="2"/>
  <c r="M503" i="2"/>
  <c r="M502" i="2" s="1"/>
  <c r="P502" i="2" s="1"/>
  <c r="L503" i="2"/>
  <c r="O502" i="2"/>
  <c r="L502" i="2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P478" i="2"/>
  <c r="O478" i="2"/>
  <c r="P477" i="2"/>
  <c r="N477" i="2"/>
  <c r="M477" i="2"/>
  <c r="N476" i="2"/>
  <c r="N474" i="2"/>
  <c r="N472" i="2"/>
  <c r="L472" i="2"/>
  <c r="P471" i="2"/>
  <c r="O471" i="2"/>
  <c r="N469" i="2"/>
  <c r="P468" i="2"/>
  <c r="O468" i="2"/>
  <c r="N468" i="2"/>
  <c r="M468" i="2"/>
  <c r="L468" i="2"/>
  <c r="J466" i="2"/>
  <c r="I466" i="2"/>
  <c r="K466" i="2" s="1"/>
  <c r="J465" i="2"/>
  <c r="I465" i="2"/>
  <c r="K465" i="2" s="1"/>
  <c r="I464" i="2"/>
  <c r="K464" i="2" s="1"/>
  <c r="I463" i="2"/>
  <c r="K463" i="2" s="1"/>
  <c r="I462" i="2"/>
  <c r="I460" i="2"/>
  <c r="K458" i="2"/>
  <c r="P456" i="2"/>
  <c r="L456" i="2"/>
  <c r="P455" i="2"/>
  <c r="O455" i="2"/>
  <c r="N454" i="2"/>
  <c r="M454" i="2"/>
  <c r="P454" i="2" s="1"/>
  <c r="N449" i="2"/>
  <c r="L449" i="2"/>
  <c r="O449" i="2" s="1"/>
  <c r="P448" i="2"/>
  <c r="O448" i="2"/>
  <c r="N447" i="2"/>
  <c r="N446" i="2"/>
  <c r="N445" i="2"/>
  <c r="N444" i="2" s="1"/>
  <c r="M445" i="2"/>
  <c r="P445" i="2" s="1"/>
  <c r="L445" i="2"/>
  <c r="J443" i="2"/>
  <c r="J442" i="2"/>
  <c r="I441" i="2"/>
  <c r="K441" i="2" s="1"/>
  <c r="I440" i="2"/>
  <c r="K440" i="2" s="1"/>
  <c r="I439" i="2"/>
  <c r="K439" i="2" s="1"/>
  <c r="I438" i="2"/>
  <c r="I437" i="2"/>
  <c r="K437" i="2" s="1"/>
  <c r="I435" i="2"/>
  <c r="I433" i="2" s="1"/>
  <c r="I417" i="2" s="1"/>
  <c r="J434" i="2"/>
  <c r="P431" i="2"/>
  <c r="L431" i="2"/>
  <c r="O431" i="2" s="1"/>
  <c r="P430" i="2"/>
  <c r="O430" i="2"/>
  <c r="N429" i="2"/>
  <c r="M429" i="2"/>
  <c r="P429" i="2" s="1"/>
  <c r="N428" i="2"/>
  <c r="N424" i="2" s="1"/>
  <c r="N425" i="2"/>
  <c r="L424" i="2"/>
  <c r="O424" i="2" s="1"/>
  <c r="P423" i="2"/>
  <c r="O423" i="2"/>
  <c r="O420" i="2"/>
  <c r="N420" i="2"/>
  <c r="M420" i="2"/>
  <c r="P420" i="2" s="1"/>
  <c r="L420" i="2"/>
  <c r="J418" i="2"/>
  <c r="K413" i="2"/>
  <c r="K412" i="2"/>
  <c r="N410" i="2"/>
  <c r="N408" i="2" s="1"/>
  <c r="M410" i="2"/>
  <c r="M408" i="2" s="1"/>
  <c r="P408" i="2" s="1"/>
  <c r="L410" i="2"/>
  <c r="O410" i="2" s="1"/>
  <c r="P409" i="2"/>
  <c r="O409" i="2"/>
  <c r="N407" i="2"/>
  <c r="M407" i="2"/>
  <c r="L407" i="2"/>
  <c r="O407" i="2" s="1"/>
  <c r="P406" i="2"/>
  <c r="O406" i="2"/>
  <c r="O403" i="2"/>
  <c r="N403" i="2"/>
  <c r="M403" i="2"/>
  <c r="L403" i="2"/>
  <c r="K401" i="2"/>
  <c r="J401" i="2"/>
  <c r="I401" i="2"/>
  <c r="K400" i="2"/>
  <c r="K399" i="2"/>
  <c r="N397" i="2"/>
  <c r="N395" i="2" s="1"/>
  <c r="M397" i="2"/>
  <c r="P397" i="2" s="1"/>
  <c r="L397" i="2"/>
  <c r="P396" i="2"/>
  <c r="O396" i="2"/>
  <c r="N394" i="2"/>
  <c r="M394" i="2"/>
  <c r="P394" i="2" s="1"/>
  <c r="L394" i="2"/>
  <c r="L392" i="2" s="1"/>
  <c r="O392" i="2" s="1"/>
  <c r="P393" i="2"/>
  <c r="O393" i="2"/>
  <c r="O390" i="2"/>
  <c r="N390" i="2"/>
  <c r="M390" i="2"/>
  <c r="P390" i="2" s="1"/>
  <c r="L390" i="2"/>
  <c r="K388" i="2"/>
  <c r="J388" i="2"/>
  <c r="I388" i="2"/>
  <c r="J385" i="2"/>
  <c r="I385" i="2"/>
  <c r="D384" i="2"/>
  <c r="K382" i="2"/>
  <c r="J382" i="2"/>
  <c r="A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A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M351" i="2" s="1"/>
  <c r="L353" i="2"/>
  <c r="P352" i="2"/>
  <c r="O352" i="2"/>
  <c r="N350" i="2"/>
  <c r="M350" i="2"/>
  <c r="M348" i="2" s="1"/>
  <c r="L350" i="2"/>
  <c r="L348" i="2" s="1"/>
  <c r="P349" i="2"/>
  <c r="O349" i="2"/>
  <c r="P346" i="2"/>
  <c r="N346" i="2"/>
  <c r="M346" i="2"/>
  <c r="L346" i="2"/>
  <c r="J343" i="2"/>
  <c r="J342" i="2"/>
  <c r="J341" i="2"/>
  <c r="J340" i="2"/>
  <c r="I340" i="2"/>
  <c r="J338" i="2"/>
  <c r="I338" i="2"/>
  <c r="D337" i="2"/>
  <c r="N336" i="2"/>
  <c r="N334" i="2" s="1"/>
  <c r="M336" i="2"/>
  <c r="M334" i="2" s="1"/>
  <c r="P334" i="2" s="1"/>
  <c r="L336" i="2"/>
  <c r="O336" i="2" s="1"/>
  <c r="P335" i="2"/>
  <c r="O335" i="2"/>
  <c r="N333" i="2"/>
  <c r="M333" i="2"/>
  <c r="M331" i="2" s="1"/>
  <c r="L333" i="2"/>
  <c r="P332" i="2"/>
  <c r="O332" i="2"/>
  <c r="O329" i="2"/>
  <c r="N329" i="2"/>
  <c r="M329" i="2"/>
  <c r="L329" i="2"/>
  <c r="I327" i="2"/>
  <c r="I325" i="2"/>
  <c r="K325" i="2" s="1"/>
  <c r="N323" i="2"/>
  <c r="N321" i="2" s="1"/>
  <c r="M323" i="2"/>
  <c r="M321" i="2" s="1"/>
  <c r="P321" i="2" s="1"/>
  <c r="L323" i="2"/>
  <c r="L321" i="2" s="1"/>
  <c r="O321" i="2" s="1"/>
  <c r="P322" i="2"/>
  <c r="O322" i="2"/>
  <c r="N320" i="2"/>
  <c r="M320" i="2"/>
  <c r="L320" i="2"/>
  <c r="L318" i="2" s="1"/>
  <c r="P319" i="2"/>
  <c r="O319" i="2"/>
  <c r="N316" i="2"/>
  <c r="M316" i="2"/>
  <c r="L316" i="2"/>
  <c r="O316" i="2" s="1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P306" i="2" s="1"/>
  <c r="L306" i="2"/>
  <c r="L304" i="2" s="1"/>
  <c r="O304" i="2" s="1"/>
  <c r="P305" i="2"/>
  <c r="O305" i="2"/>
  <c r="N303" i="2"/>
  <c r="N301" i="2" s="1"/>
  <c r="M303" i="2"/>
  <c r="L303" i="2"/>
  <c r="L301" i="2" s="1"/>
  <c r="O301" i="2" s="1"/>
  <c r="P302" i="2"/>
  <c r="O302" i="2"/>
  <c r="N299" i="2"/>
  <c r="M299" i="2"/>
  <c r="L299" i="2"/>
  <c r="O299" i="2" s="1"/>
  <c r="J297" i="2"/>
  <c r="I294" i="2"/>
  <c r="K294" i="2" s="1"/>
  <c r="I293" i="2"/>
  <c r="K293" i="2" s="1"/>
  <c r="I291" i="2"/>
  <c r="K291" i="2" s="1"/>
  <c r="I290" i="2"/>
  <c r="K290" i="2" s="1"/>
  <c r="I288" i="2"/>
  <c r="J288" i="2" s="1"/>
  <c r="K288" i="2" s="1"/>
  <c r="I287" i="2"/>
  <c r="N285" i="2"/>
  <c r="N283" i="2" s="1"/>
  <c r="M285" i="2"/>
  <c r="M283" i="2" s="1"/>
  <c r="P283" i="2" s="1"/>
  <c r="L285" i="2"/>
  <c r="O285" i="2" s="1"/>
  <c r="P284" i="2"/>
  <c r="O284" i="2"/>
  <c r="N282" i="2"/>
  <c r="N280" i="2" s="1"/>
  <c r="M282" i="2"/>
  <c r="M280" i="2" s="1"/>
  <c r="L282" i="2"/>
  <c r="P281" i="2"/>
  <c r="O281" i="2"/>
  <c r="N278" i="2"/>
  <c r="M278" i="2"/>
  <c r="P278" i="2" s="1"/>
  <c r="L278" i="2"/>
  <c r="J276" i="2"/>
  <c r="I271" i="2"/>
  <c r="I260" i="2" s="1"/>
  <c r="N269" i="2"/>
  <c r="N267" i="2" s="1"/>
  <c r="M269" i="2"/>
  <c r="P269" i="2" s="1"/>
  <c r="L269" i="2"/>
  <c r="L267" i="2" s="1"/>
  <c r="O267" i="2" s="1"/>
  <c r="P268" i="2"/>
  <c r="O268" i="2"/>
  <c r="N266" i="2"/>
  <c r="N264" i="2" s="1"/>
  <c r="M266" i="2"/>
  <c r="L266" i="2"/>
  <c r="L264" i="2" s="1"/>
  <c r="P265" i="2"/>
  <c r="O265" i="2"/>
  <c r="N262" i="2"/>
  <c r="M262" i="2"/>
  <c r="L262" i="2"/>
  <c r="O262" i="2" s="1"/>
  <c r="J260" i="2"/>
  <c r="K258" i="2"/>
  <c r="K257" i="2"/>
  <c r="I255" i="2"/>
  <c r="L253" i="2"/>
  <c r="L252" i="2"/>
  <c r="L251" i="2"/>
  <c r="L250" i="2"/>
  <c r="P249" i="2"/>
  <c r="N249" i="2"/>
  <c r="N227" i="2" s="1"/>
  <c r="J248" i="2"/>
  <c r="K247" i="2"/>
  <c r="K246" i="2"/>
  <c r="I244" i="2"/>
  <c r="I237" i="2" s="1"/>
  <c r="K237" i="2" s="1"/>
  <c r="L242" i="2"/>
  <c r="L241" i="2"/>
  <c r="L240" i="2"/>
  <c r="L239" i="2"/>
  <c r="P238" i="2"/>
  <c r="N238" i="2"/>
  <c r="J237" i="2"/>
  <c r="J236" i="2"/>
  <c r="I236" i="2"/>
  <c r="K236" i="2" s="1"/>
  <c r="K235" i="2"/>
  <c r="J235" i="2"/>
  <c r="I235" i="2"/>
  <c r="J233" i="2"/>
  <c r="N231" i="2"/>
  <c r="N230" i="2"/>
  <c r="N229" i="2"/>
  <c r="N228" i="2"/>
  <c r="J226" i="2"/>
  <c r="J180" i="2" s="1"/>
  <c r="I225" i="2"/>
  <c r="K225" i="2" s="1"/>
  <c r="I224" i="2"/>
  <c r="I223" i="2"/>
  <c r="K223" i="2" s="1"/>
  <c r="L220" i="2"/>
  <c r="N219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L189" i="2"/>
  <c r="O189" i="2" s="1"/>
  <c r="P188" i="2"/>
  <c r="O188" i="2"/>
  <c r="N186" i="2"/>
  <c r="M186" i="2"/>
  <c r="L186" i="2"/>
  <c r="L184" i="2" s="1"/>
  <c r="P185" i="2"/>
  <c r="O185" i="2"/>
  <c r="P182" i="2"/>
  <c r="N182" i="2"/>
  <c r="M182" i="2"/>
  <c r="L182" i="2"/>
  <c r="J177" i="2"/>
  <c r="I176" i="2"/>
  <c r="J174" i="2"/>
  <c r="N173" i="2"/>
  <c r="N171" i="2" s="1"/>
  <c r="M173" i="2"/>
  <c r="L173" i="2"/>
  <c r="O173" i="2" s="1"/>
  <c r="P172" i="2"/>
  <c r="O172" i="2"/>
  <c r="N170" i="2"/>
  <c r="N168" i="2" s="1"/>
  <c r="M170" i="2"/>
  <c r="L170" i="2"/>
  <c r="P169" i="2"/>
  <c r="O169" i="2"/>
  <c r="P166" i="2"/>
  <c r="N166" i="2"/>
  <c r="M166" i="2"/>
  <c r="L166" i="2"/>
  <c r="J164" i="2"/>
  <c r="I159" i="2"/>
  <c r="N157" i="2"/>
  <c r="N155" i="2" s="1"/>
  <c r="M157" i="2"/>
  <c r="L157" i="2"/>
  <c r="L155" i="2" s="1"/>
  <c r="O155" i="2" s="1"/>
  <c r="P156" i="2"/>
  <c r="O156" i="2"/>
  <c r="N154" i="2"/>
  <c r="M154" i="2"/>
  <c r="L154" i="2"/>
  <c r="L152" i="2" s="1"/>
  <c r="P153" i="2"/>
  <c r="O153" i="2"/>
  <c r="N150" i="2"/>
  <c r="M150" i="2"/>
  <c r="P150" i="2" s="1"/>
  <c r="L150" i="2"/>
  <c r="J148" i="2"/>
  <c r="I146" i="2"/>
  <c r="I145" i="2"/>
  <c r="I144" i="2"/>
  <c r="K144" i="2" s="1"/>
  <c r="N140" i="2"/>
  <c r="M140" i="2"/>
  <c r="P140" i="2" s="1"/>
  <c r="L140" i="2"/>
  <c r="P139" i="2"/>
  <c r="O139" i="2"/>
  <c r="N137" i="2"/>
  <c r="N135" i="2" s="1"/>
  <c r="M137" i="2"/>
  <c r="P137" i="2" s="1"/>
  <c r="L137" i="2"/>
  <c r="P136" i="2"/>
  <c r="O136" i="2"/>
  <c r="P133" i="2"/>
  <c r="O133" i="2"/>
  <c r="N133" i="2"/>
  <c r="M133" i="2"/>
  <c r="L133" i="2"/>
  <c r="J130" i="2"/>
  <c r="N127" i="2"/>
  <c r="N125" i="2" s="1"/>
  <c r="M127" i="2"/>
  <c r="L127" i="2"/>
  <c r="L125" i="2" s="1"/>
  <c r="O125" i="2" s="1"/>
  <c r="P126" i="2"/>
  <c r="O126" i="2"/>
  <c r="N124" i="2"/>
  <c r="N122" i="2" s="1"/>
  <c r="M124" i="2"/>
  <c r="L124" i="2"/>
  <c r="L122" i="2" s="1"/>
  <c r="O122" i="2" s="1"/>
  <c r="P123" i="2"/>
  <c r="O123" i="2"/>
  <c r="N120" i="2"/>
  <c r="M120" i="2"/>
  <c r="P120" i="2" s="1"/>
  <c r="L120" i="2"/>
  <c r="O120" i="2" s="1"/>
  <c r="I116" i="2"/>
  <c r="K116" i="2" s="1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I99" i="2"/>
  <c r="K99" i="2" s="1"/>
  <c r="J98" i="2"/>
  <c r="J86" i="2" s="1"/>
  <c r="I98" i="2"/>
  <c r="I86" i="2" s="1"/>
  <c r="N96" i="2"/>
  <c r="N94" i="2" s="1"/>
  <c r="M96" i="2"/>
  <c r="L96" i="2"/>
  <c r="O96" i="2" s="1"/>
  <c r="P95" i="2"/>
  <c r="O95" i="2"/>
  <c r="N93" i="2"/>
  <c r="M93" i="2"/>
  <c r="M91" i="2" s="1"/>
  <c r="L93" i="2"/>
  <c r="P92" i="2"/>
  <c r="O92" i="2"/>
  <c r="P89" i="2"/>
  <c r="N89" i="2"/>
  <c r="M89" i="2"/>
  <c r="L89" i="2"/>
  <c r="J87" i="2"/>
  <c r="I84" i="2"/>
  <c r="K84" i="2" s="1"/>
  <c r="I83" i="2"/>
  <c r="K83" i="2" s="1"/>
  <c r="I82" i="2"/>
  <c r="K82" i="2" s="1"/>
  <c r="I81" i="2"/>
  <c r="K81" i="2" s="1"/>
  <c r="I80" i="2"/>
  <c r="I79" i="2"/>
  <c r="K79" i="2" s="1"/>
  <c r="I78" i="2"/>
  <c r="K78" i="2" s="1"/>
  <c r="J77" i="2"/>
  <c r="J65" i="2" s="1"/>
  <c r="J76" i="2"/>
  <c r="N74" i="2"/>
  <c r="N72" i="2" s="1"/>
  <c r="M74" i="2"/>
  <c r="M72" i="2" s="1"/>
  <c r="P72" i="2" s="1"/>
  <c r="L74" i="2"/>
  <c r="O74" i="2" s="1"/>
  <c r="P73" i="2"/>
  <c r="O73" i="2"/>
  <c r="N71" i="2"/>
  <c r="N69" i="2" s="1"/>
  <c r="M71" i="2"/>
  <c r="M69" i="2" s="1"/>
  <c r="P69" i="2" s="1"/>
  <c r="L71" i="2"/>
  <c r="L69" i="2" s="1"/>
  <c r="O69" i="2" s="1"/>
  <c r="P70" i="2"/>
  <c r="O70" i="2"/>
  <c r="N67" i="2"/>
  <c r="M67" i="2"/>
  <c r="P67" i="2" s="1"/>
  <c r="L67" i="2"/>
  <c r="J64" i="2"/>
  <c r="N61" i="2"/>
  <c r="N59" i="2" s="1"/>
  <c r="M61" i="2"/>
  <c r="L61" i="2"/>
  <c r="L59" i="2" s="1"/>
  <c r="O59" i="2" s="1"/>
  <c r="P60" i="2"/>
  <c r="O60" i="2"/>
  <c r="N58" i="2"/>
  <c r="N56" i="2" s="1"/>
  <c r="M58" i="2"/>
  <c r="L58" i="2"/>
  <c r="L56" i="2" s="1"/>
  <c r="P57" i="2"/>
  <c r="O57" i="2"/>
  <c r="P54" i="2"/>
  <c r="O54" i="2"/>
  <c r="N54" i="2"/>
  <c r="M54" i="2"/>
  <c r="L54" i="2"/>
  <c r="N49" i="2"/>
  <c r="N47" i="2" s="1"/>
  <c r="M49" i="2"/>
  <c r="L49" i="2"/>
  <c r="O49" i="2" s="1"/>
  <c r="P48" i="2"/>
  <c r="O48" i="2"/>
  <c r="N46" i="2"/>
  <c r="M46" i="2"/>
  <c r="L46" i="2"/>
  <c r="L44" i="2" s="1"/>
  <c r="P45" i="2"/>
  <c r="O45" i="2"/>
  <c r="N42" i="2"/>
  <c r="M42" i="2"/>
  <c r="P42" i="2" s="1"/>
  <c r="L42" i="2"/>
  <c r="P36" i="2"/>
  <c r="N36" i="2"/>
  <c r="M36" i="2"/>
  <c r="P35" i="2"/>
  <c r="O35" i="2"/>
  <c r="N35" i="2"/>
  <c r="N34" i="2" s="1"/>
  <c r="M35" i="2"/>
  <c r="L35" i="2"/>
  <c r="M34" i="2"/>
  <c r="P34" i="2" s="1"/>
  <c r="N33" i="2"/>
  <c r="N30" i="2" s="1"/>
  <c r="N32" i="2"/>
  <c r="M32" i="2"/>
  <c r="P32" i="2" s="1"/>
  <c r="L32" i="2"/>
  <c r="O32" i="2" s="1"/>
  <c r="N29" i="2"/>
  <c r="N28" i="2" s="1"/>
  <c r="N25" i="2"/>
  <c r="M25" i="2"/>
  <c r="P25" i="2" s="1"/>
  <c r="L25" i="2"/>
  <c r="O25" i="2" s="1"/>
  <c r="P22" i="2"/>
  <c r="O22" i="2"/>
  <c r="N22" i="2"/>
  <c r="M22" i="2"/>
  <c r="L22" i="2"/>
  <c r="M19" i="2"/>
  <c r="P19" i="2" s="1"/>
  <c r="L19" i="2"/>
  <c r="O19" i="2" s="1"/>
  <c r="N15" i="2"/>
  <c r="M12" i="2"/>
  <c r="P12" i="2" s="1"/>
  <c r="L12" i="2"/>
  <c r="O12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O815" i="1"/>
  <c r="N815" i="1"/>
  <c r="M815" i="1"/>
  <c r="P815" i="1" s="1"/>
  <c r="L815" i="1"/>
  <c r="P810" i="1"/>
  <c r="O810" i="1"/>
  <c r="N810" i="1"/>
  <c r="P809" i="1"/>
  <c r="O809" i="1"/>
  <c r="O808" i="1"/>
  <c r="N808" i="1"/>
  <c r="M808" i="1"/>
  <c r="P808" i="1" s="1"/>
  <c r="L808" i="1"/>
  <c r="P807" i="1"/>
  <c r="N807" i="1"/>
  <c r="M807" i="1"/>
  <c r="L807" i="1"/>
  <c r="O807" i="1" s="1"/>
  <c r="O806" i="1"/>
  <c r="N806" i="1"/>
  <c r="M806" i="1"/>
  <c r="P806" i="1" s="1"/>
  <c r="L806" i="1"/>
  <c r="N805" i="1"/>
  <c r="L805" i="1"/>
  <c r="O805" i="1" s="1"/>
  <c r="K804" i="1"/>
  <c r="J804" i="1"/>
  <c r="J803" i="1"/>
  <c r="I803" i="1"/>
  <c r="J802" i="1"/>
  <c r="J801" i="1"/>
  <c r="I801" i="1"/>
  <c r="J800" i="1"/>
  <c r="P798" i="1"/>
  <c r="O798" i="1"/>
  <c r="P797" i="1"/>
  <c r="O797" i="1"/>
  <c r="O796" i="1"/>
  <c r="N796" i="1"/>
  <c r="M796" i="1"/>
  <c r="P796" i="1" s="1"/>
  <c r="L796" i="1"/>
  <c r="N795" i="1"/>
  <c r="N794" i="1"/>
  <c r="N793" i="1"/>
  <c r="N792" i="1"/>
  <c r="M791" i="1"/>
  <c r="M788" i="1" s="1"/>
  <c r="L791" i="1"/>
  <c r="P790" i="1"/>
  <c r="O790" i="1"/>
  <c r="P787" i="1"/>
  <c r="N787" i="1"/>
  <c r="M787" i="1"/>
  <c r="L787" i="1"/>
  <c r="P782" i="1"/>
  <c r="O782" i="1"/>
  <c r="P781" i="1"/>
  <c r="O781" i="1"/>
  <c r="P780" i="1"/>
  <c r="O780" i="1"/>
  <c r="N780" i="1"/>
  <c r="M780" i="1"/>
  <c r="L780" i="1"/>
  <c r="P775" i="1"/>
  <c r="O775" i="1"/>
  <c r="N775" i="1"/>
  <c r="P774" i="1"/>
  <c r="O774" i="1"/>
  <c r="N773" i="1"/>
  <c r="M773" i="1"/>
  <c r="P773" i="1" s="1"/>
  <c r="L773" i="1"/>
  <c r="O773" i="1" s="1"/>
  <c r="N772" i="1"/>
  <c r="N770" i="1" s="1"/>
  <c r="M772" i="1"/>
  <c r="P772" i="1" s="1"/>
  <c r="L772" i="1"/>
  <c r="O772" i="1" s="1"/>
  <c r="N771" i="1"/>
  <c r="M771" i="1"/>
  <c r="L771" i="1"/>
  <c r="K769" i="1"/>
  <c r="J769" i="1"/>
  <c r="P766" i="1"/>
  <c r="O766" i="1"/>
  <c r="P765" i="1"/>
  <c r="O765" i="1"/>
  <c r="P764" i="1"/>
  <c r="O764" i="1"/>
  <c r="N764" i="1"/>
  <c r="M764" i="1"/>
  <c r="L764" i="1"/>
  <c r="P759" i="1"/>
  <c r="O759" i="1"/>
  <c r="N759" i="1"/>
  <c r="P758" i="1"/>
  <c r="O758" i="1"/>
  <c r="N757" i="1"/>
  <c r="M757" i="1"/>
  <c r="P757" i="1" s="1"/>
  <c r="L757" i="1"/>
  <c r="O757" i="1" s="1"/>
  <c r="N756" i="1"/>
  <c r="N754" i="1" s="1"/>
  <c r="M756" i="1"/>
  <c r="P756" i="1" s="1"/>
  <c r="L756" i="1"/>
  <c r="O756" i="1" s="1"/>
  <c r="N755" i="1"/>
  <c r="M755" i="1"/>
  <c r="L755" i="1"/>
  <c r="K753" i="1"/>
  <c r="J753" i="1"/>
  <c r="P749" i="1"/>
  <c r="O749" i="1"/>
  <c r="P748" i="1"/>
  <c r="O748" i="1"/>
  <c r="P747" i="1"/>
  <c r="O747" i="1"/>
  <c r="N747" i="1"/>
  <c r="M747" i="1"/>
  <c r="L747" i="1"/>
  <c r="P742" i="1"/>
  <c r="O742" i="1"/>
  <c r="N742" i="1"/>
  <c r="P741" i="1"/>
  <c r="O741" i="1"/>
  <c r="N740" i="1"/>
  <c r="M740" i="1"/>
  <c r="P740" i="1" s="1"/>
  <c r="L740" i="1"/>
  <c r="O740" i="1" s="1"/>
  <c r="N739" i="1"/>
  <c r="N737" i="1" s="1"/>
  <c r="M739" i="1"/>
  <c r="P739" i="1" s="1"/>
  <c r="L739" i="1"/>
  <c r="O739" i="1" s="1"/>
  <c r="N738" i="1"/>
  <c r="M738" i="1"/>
  <c r="L738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N695" i="1"/>
  <c r="M695" i="1"/>
  <c r="P695" i="1" s="1"/>
  <c r="L695" i="1"/>
  <c r="O695" i="1" s="1"/>
  <c r="N694" i="1"/>
  <c r="N693" i="1"/>
  <c r="N692" i="1"/>
  <c r="N691" i="1"/>
  <c r="M690" i="1"/>
  <c r="M687" i="1" s="1"/>
  <c r="L690" i="1"/>
  <c r="L688" i="1" s="1"/>
  <c r="P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M657" i="1" s="1"/>
  <c r="L660" i="1"/>
  <c r="P659" i="1"/>
  <c r="O659" i="1"/>
  <c r="N656" i="1"/>
  <c r="M656" i="1"/>
  <c r="L656" i="1"/>
  <c r="O656" i="1" s="1"/>
  <c r="K652" i="1"/>
  <c r="J652" i="1"/>
  <c r="A652" i="1"/>
  <c r="J651" i="1"/>
  <c r="J628" i="1" s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O641" i="1" s="1"/>
  <c r="P640" i="1"/>
  <c r="O640" i="1"/>
  <c r="N639" i="1"/>
  <c r="M639" i="1"/>
  <c r="P639" i="1" s="1"/>
  <c r="N638" i="1"/>
  <c r="N637" i="1"/>
  <c r="N636" i="1"/>
  <c r="N635" i="1"/>
  <c r="M634" i="1"/>
  <c r="M632" i="1" s="1"/>
  <c r="L634" i="1"/>
  <c r="P633" i="1"/>
  <c r="O633" i="1"/>
  <c r="P630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O557" i="1" s="1"/>
  <c r="P556" i="1"/>
  <c r="O556" i="1"/>
  <c r="P555" i="1"/>
  <c r="N555" i="1"/>
  <c r="M555" i="1"/>
  <c r="N554" i="1"/>
  <c r="N553" i="1"/>
  <c r="N552" i="1"/>
  <c r="N551" i="1"/>
  <c r="N550" i="1"/>
  <c r="M549" i="1"/>
  <c r="M546" i="1" s="1"/>
  <c r="M544" i="1" s="1"/>
  <c r="L549" i="1"/>
  <c r="L547" i="1" s="1"/>
  <c r="P548" i="1"/>
  <c r="O548" i="1"/>
  <c r="N545" i="1"/>
  <c r="M545" i="1"/>
  <c r="P545" i="1" s="1"/>
  <c r="L545" i="1"/>
  <c r="O545" i="1" s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I522" i="1" s="1"/>
  <c r="P535" i="1"/>
  <c r="L535" i="1"/>
  <c r="P534" i="1"/>
  <c r="O534" i="1"/>
  <c r="N533" i="1"/>
  <c r="M533" i="1"/>
  <c r="P533" i="1" s="1"/>
  <c r="N532" i="1"/>
  <c r="N531" i="1"/>
  <c r="N530" i="1"/>
  <c r="N529" i="1"/>
  <c r="L528" i="1"/>
  <c r="L526" i="1" s="1"/>
  <c r="P527" i="1"/>
  <c r="O527" i="1"/>
  <c r="P524" i="1"/>
  <c r="O524" i="1"/>
  <c r="N524" i="1"/>
  <c r="M524" i="1"/>
  <c r="L524" i="1"/>
  <c r="K517" i="1"/>
  <c r="J517" i="1"/>
  <c r="J501" i="1" s="1"/>
  <c r="K516" i="1"/>
  <c r="P514" i="1"/>
  <c r="O514" i="1"/>
  <c r="P513" i="1"/>
  <c r="O513" i="1"/>
  <c r="P512" i="1"/>
  <c r="N512" i="1"/>
  <c r="M512" i="1"/>
  <c r="L512" i="1"/>
  <c r="O512" i="1" s="1"/>
  <c r="P507" i="1"/>
  <c r="O507" i="1"/>
  <c r="N507" i="1"/>
  <c r="P506" i="1"/>
  <c r="O506" i="1"/>
  <c r="P505" i="1"/>
  <c r="O505" i="1"/>
  <c r="N505" i="1"/>
  <c r="M505" i="1"/>
  <c r="L505" i="1"/>
  <c r="O504" i="1"/>
  <c r="N504" i="1"/>
  <c r="M504" i="1"/>
  <c r="P504" i="1" s="1"/>
  <c r="L504" i="1"/>
  <c r="N503" i="1"/>
  <c r="N502" i="1" s="1"/>
  <c r="M503" i="1"/>
  <c r="P503" i="1" s="1"/>
  <c r="L503" i="1"/>
  <c r="O503" i="1" s="1"/>
  <c r="M502" i="1"/>
  <c r="P502" i="1" s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O479" i="1" s="1"/>
  <c r="P478" i="1"/>
  <c r="O478" i="1"/>
  <c r="P477" i="1"/>
  <c r="N477" i="1"/>
  <c r="M477" i="1"/>
  <c r="N476" i="1"/>
  <c r="N475" i="1"/>
  <c r="N474" i="1"/>
  <c r="N473" i="1"/>
  <c r="M472" i="1"/>
  <c r="M469" i="1" s="1"/>
  <c r="L472" i="1"/>
  <c r="P471" i="1"/>
  <c r="O471" i="1"/>
  <c r="N468" i="1"/>
  <c r="M468" i="1"/>
  <c r="L468" i="1"/>
  <c r="O468" i="1" s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I442" i="1" s="1"/>
  <c r="K458" i="1"/>
  <c r="P456" i="1"/>
  <c r="L456" i="1"/>
  <c r="O456" i="1" s="1"/>
  <c r="P455" i="1"/>
  <c r="O455" i="1"/>
  <c r="P454" i="1"/>
  <c r="N454" i="1"/>
  <c r="M454" i="1"/>
  <c r="N453" i="1"/>
  <c r="N452" i="1"/>
  <c r="N451" i="1"/>
  <c r="N450" i="1"/>
  <c r="M449" i="1"/>
  <c r="M446" i="1" s="1"/>
  <c r="L449" i="1"/>
  <c r="P448" i="1"/>
  <c r="O448" i="1"/>
  <c r="N445" i="1"/>
  <c r="M445" i="1"/>
  <c r="L445" i="1"/>
  <c r="O445" i="1" s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L429" i="1" s="1"/>
  <c r="O429" i="1" s="1"/>
  <c r="P430" i="1"/>
  <c r="O430" i="1"/>
  <c r="N429" i="1"/>
  <c r="M429" i="1"/>
  <c r="P429" i="1" s="1"/>
  <c r="N428" i="1"/>
  <c r="N427" i="1"/>
  <c r="N426" i="1"/>
  <c r="N425" i="1"/>
  <c r="M424" i="1"/>
  <c r="M422" i="1" s="1"/>
  <c r="L424" i="1"/>
  <c r="L422" i="1" s="1"/>
  <c r="P423" i="1"/>
  <c r="O423" i="1"/>
  <c r="P420" i="1"/>
  <c r="O420" i="1"/>
  <c r="N420" i="1"/>
  <c r="M420" i="1"/>
  <c r="L420" i="1"/>
  <c r="J413" i="1"/>
  <c r="I413" i="1"/>
  <c r="K413" i="1" s="1"/>
  <c r="J412" i="1"/>
  <c r="J401" i="1" s="1"/>
  <c r="I412" i="1"/>
  <c r="K412" i="1" s="1"/>
  <c r="N410" i="1"/>
  <c r="N408" i="1" s="1"/>
  <c r="M410" i="1"/>
  <c r="P410" i="1" s="1"/>
  <c r="L410" i="1"/>
  <c r="P409" i="1"/>
  <c r="O409" i="1"/>
  <c r="N407" i="1"/>
  <c r="N405" i="1" s="1"/>
  <c r="M407" i="1"/>
  <c r="P407" i="1" s="1"/>
  <c r="L407" i="1"/>
  <c r="P406" i="1"/>
  <c r="O406" i="1"/>
  <c r="N403" i="1"/>
  <c r="M403" i="1"/>
  <c r="L403" i="1"/>
  <c r="O403" i="1" s="1"/>
  <c r="J400" i="1"/>
  <c r="J388" i="1" s="1"/>
  <c r="I400" i="1"/>
  <c r="J399" i="1"/>
  <c r="I399" i="1"/>
  <c r="K399" i="1" s="1"/>
  <c r="N397" i="1"/>
  <c r="M397" i="1"/>
  <c r="L397" i="1"/>
  <c r="P396" i="1"/>
  <c r="O396" i="1"/>
  <c r="N394" i="1"/>
  <c r="N392" i="1" s="1"/>
  <c r="M394" i="1"/>
  <c r="P394" i="1" s="1"/>
  <c r="L394" i="1"/>
  <c r="L392" i="1" s="1"/>
  <c r="O392" i="1" s="1"/>
  <c r="P393" i="1"/>
  <c r="O393" i="1"/>
  <c r="N390" i="1"/>
  <c r="M390" i="1"/>
  <c r="P390" i="1" s="1"/>
  <c r="L390" i="1"/>
  <c r="O390" i="1" s="1"/>
  <c r="J385" i="1"/>
  <c r="I385" i="1"/>
  <c r="D384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A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A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P352" i="1"/>
  <c r="O352" i="1"/>
  <c r="N350" i="1"/>
  <c r="N348" i="1" s="1"/>
  <c r="M350" i="1"/>
  <c r="M348" i="1" s="1"/>
  <c r="L350" i="1"/>
  <c r="P349" i="1"/>
  <c r="O349" i="1"/>
  <c r="N346" i="1"/>
  <c r="M346" i="1"/>
  <c r="L346" i="1"/>
  <c r="O346" i="1" s="1"/>
  <c r="I340" i="1"/>
  <c r="I338" i="1"/>
  <c r="D337" i="1"/>
  <c r="N336" i="1"/>
  <c r="N334" i="1" s="1"/>
  <c r="M336" i="1"/>
  <c r="M334" i="1" s="1"/>
  <c r="L336" i="1"/>
  <c r="L334" i="1" s="1"/>
  <c r="P335" i="1"/>
  <c r="O335" i="1"/>
  <c r="N333" i="1"/>
  <c r="N331" i="1" s="1"/>
  <c r="M333" i="1"/>
  <c r="M331" i="1" s="1"/>
  <c r="L333" i="1"/>
  <c r="L331" i="1" s="1"/>
  <c r="P332" i="1"/>
  <c r="O332" i="1"/>
  <c r="N329" i="1"/>
  <c r="M329" i="1"/>
  <c r="P329" i="1" s="1"/>
  <c r="L329" i="1"/>
  <c r="I327" i="1"/>
  <c r="J325" i="1"/>
  <c r="J314" i="1" s="1"/>
  <c r="I325" i="1"/>
  <c r="I314" i="1" s="1"/>
  <c r="N323" i="1"/>
  <c r="N321" i="1" s="1"/>
  <c r="M323" i="1"/>
  <c r="P323" i="1" s="1"/>
  <c r="L323" i="1"/>
  <c r="P322" i="1"/>
  <c r="O322" i="1"/>
  <c r="N320" i="1"/>
  <c r="N318" i="1" s="1"/>
  <c r="M320" i="1"/>
  <c r="M318" i="1" s="1"/>
  <c r="L320" i="1"/>
  <c r="P319" i="1"/>
  <c r="O319" i="1"/>
  <c r="P316" i="1"/>
  <c r="O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M306" i="1"/>
  <c r="L306" i="1"/>
  <c r="O306" i="1" s="1"/>
  <c r="P305" i="1"/>
  <c r="O305" i="1"/>
  <c r="N303" i="1"/>
  <c r="N301" i="1" s="1"/>
  <c r="M303" i="1"/>
  <c r="L303" i="1"/>
  <c r="P302" i="1"/>
  <c r="O302" i="1"/>
  <c r="P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I275" i="1" s="1"/>
  <c r="J287" i="1"/>
  <c r="J276" i="1" s="1"/>
  <c r="I287" i="1"/>
  <c r="I276" i="1" s="1"/>
  <c r="N285" i="1"/>
  <c r="N283" i="1" s="1"/>
  <c r="M285" i="1"/>
  <c r="L285" i="1"/>
  <c r="O285" i="1" s="1"/>
  <c r="P284" i="1"/>
  <c r="O284" i="1"/>
  <c r="N282" i="1"/>
  <c r="N280" i="1" s="1"/>
  <c r="M282" i="1"/>
  <c r="L282" i="1"/>
  <c r="P281" i="1"/>
  <c r="O281" i="1"/>
  <c r="P278" i="1"/>
  <c r="N278" i="1"/>
  <c r="M278" i="1"/>
  <c r="L278" i="1"/>
  <c r="J271" i="1"/>
  <c r="I271" i="1"/>
  <c r="I260" i="1" s="1"/>
  <c r="N269" i="1"/>
  <c r="M269" i="1"/>
  <c r="L269" i="1"/>
  <c r="O269" i="1" s="1"/>
  <c r="P268" i="1"/>
  <c r="O268" i="1"/>
  <c r="N266" i="1"/>
  <c r="N264" i="1" s="1"/>
  <c r="M266" i="1"/>
  <c r="L266" i="1"/>
  <c r="P265" i="1"/>
  <c r="O265" i="1"/>
  <c r="P262" i="1"/>
  <c r="N262" i="1"/>
  <c r="M262" i="1"/>
  <c r="L262" i="1"/>
  <c r="J258" i="1"/>
  <c r="I258" i="1"/>
  <c r="K258" i="1" s="1"/>
  <c r="J257" i="1"/>
  <c r="I257" i="1"/>
  <c r="K257" i="1" s="1"/>
  <c r="J255" i="1"/>
  <c r="J248" i="1" s="1"/>
  <c r="I255" i="1"/>
  <c r="K255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P189" i="1" s="1"/>
  <c r="L189" i="1"/>
  <c r="O189" i="1" s="1"/>
  <c r="P188" i="1"/>
  <c r="O188" i="1"/>
  <c r="N186" i="1"/>
  <c r="M186" i="1"/>
  <c r="M184" i="1" s="1"/>
  <c r="L186" i="1"/>
  <c r="P185" i="1"/>
  <c r="O185" i="1"/>
  <c r="P182" i="1"/>
  <c r="O182" i="1"/>
  <c r="N182" i="1"/>
  <c r="M182" i="1"/>
  <c r="L182" i="1"/>
  <c r="J177" i="1"/>
  <c r="J176" i="1"/>
  <c r="J174" i="1" s="1"/>
  <c r="J164" i="1" s="1"/>
  <c r="I176" i="1"/>
  <c r="I174" i="1" s="1"/>
  <c r="N173" i="1"/>
  <c r="N171" i="1" s="1"/>
  <c r="M173" i="1"/>
  <c r="P173" i="1" s="1"/>
  <c r="L173" i="1"/>
  <c r="L171" i="1" s="1"/>
  <c r="O171" i="1" s="1"/>
  <c r="P172" i="1"/>
  <c r="O172" i="1"/>
  <c r="N170" i="1"/>
  <c r="N168" i="1" s="1"/>
  <c r="M170" i="1"/>
  <c r="L170" i="1"/>
  <c r="L168" i="1" s="1"/>
  <c r="P169" i="1"/>
  <c r="O169" i="1"/>
  <c r="P166" i="1"/>
  <c r="N166" i="1"/>
  <c r="M166" i="1"/>
  <c r="L166" i="1"/>
  <c r="J159" i="1"/>
  <c r="J148" i="1" s="1"/>
  <c r="I159" i="1"/>
  <c r="I148" i="1" s="1"/>
  <c r="N157" i="1"/>
  <c r="N155" i="1" s="1"/>
  <c r="M157" i="1"/>
  <c r="P157" i="1" s="1"/>
  <c r="L157" i="1"/>
  <c r="P156" i="1"/>
  <c r="O156" i="1"/>
  <c r="N154" i="1"/>
  <c r="M154" i="1"/>
  <c r="M152" i="1" s="1"/>
  <c r="L154" i="1"/>
  <c r="P153" i="1"/>
  <c r="O153" i="1"/>
  <c r="N150" i="1"/>
  <c r="M150" i="1"/>
  <c r="L150" i="1"/>
  <c r="O150" i="1" s="1"/>
  <c r="J146" i="1"/>
  <c r="J130" i="1" s="1"/>
  <c r="I146" i="1"/>
  <c r="J145" i="1"/>
  <c r="I145" i="1"/>
  <c r="J144" i="1"/>
  <c r="I144" i="1"/>
  <c r="J143" i="1"/>
  <c r="J131" i="1" s="1"/>
  <c r="J142" i="1"/>
  <c r="N140" i="1"/>
  <c r="M140" i="1"/>
  <c r="L140" i="1"/>
  <c r="L138" i="1" s="1"/>
  <c r="P139" i="1"/>
  <c r="O139" i="1"/>
  <c r="N137" i="1"/>
  <c r="N135" i="1" s="1"/>
  <c r="M137" i="1"/>
  <c r="L137" i="1"/>
  <c r="L135" i="1" s="1"/>
  <c r="P136" i="1"/>
  <c r="O136" i="1"/>
  <c r="N133" i="1"/>
  <c r="M133" i="1"/>
  <c r="P133" i="1" s="1"/>
  <c r="L133" i="1"/>
  <c r="O133" i="1" s="1"/>
  <c r="N127" i="1"/>
  <c r="N125" i="1" s="1"/>
  <c r="M127" i="1"/>
  <c r="L127" i="1"/>
  <c r="L125" i="1" s="1"/>
  <c r="P126" i="1"/>
  <c r="O126" i="1"/>
  <c r="N124" i="1"/>
  <c r="N122" i="1" s="1"/>
  <c r="M124" i="1"/>
  <c r="P124" i="1" s="1"/>
  <c r="L124" i="1"/>
  <c r="O124" i="1" s="1"/>
  <c r="P123" i="1"/>
  <c r="O123" i="1"/>
  <c r="P120" i="1"/>
  <c r="O120" i="1"/>
  <c r="N120" i="1"/>
  <c r="M120" i="1"/>
  <c r="L120" i="1"/>
  <c r="J118" i="1"/>
  <c r="I118" i="1"/>
  <c r="K118" i="1" s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I104" i="1"/>
  <c r="J103" i="1"/>
  <c r="I103" i="1"/>
  <c r="J102" i="1"/>
  <c r="J98" i="1" s="1"/>
  <c r="J86" i="1" s="1"/>
  <c r="I102" i="1"/>
  <c r="I100" i="1"/>
  <c r="I99" i="1"/>
  <c r="I87" i="1" s="1"/>
  <c r="I98" i="1"/>
  <c r="N96" i="1"/>
  <c r="N94" i="1" s="1"/>
  <c r="M96" i="1"/>
  <c r="P96" i="1" s="1"/>
  <c r="L96" i="1"/>
  <c r="L94" i="1" s="1"/>
  <c r="O94" i="1" s="1"/>
  <c r="P95" i="1"/>
  <c r="O95" i="1"/>
  <c r="N93" i="1"/>
  <c r="N91" i="1" s="1"/>
  <c r="M93" i="1"/>
  <c r="M91" i="1" s="1"/>
  <c r="L93" i="1"/>
  <c r="L91" i="1" s="1"/>
  <c r="P92" i="1"/>
  <c r="O92" i="1"/>
  <c r="O89" i="1"/>
  <c r="N89" i="1"/>
  <c r="M89" i="1"/>
  <c r="P89" i="1" s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L72" i="1" s="1"/>
  <c r="O72" i="1" s="1"/>
  <c r="P73" i="1"/>
  <c r="O73" i="1"/>
  <c r="N71" i="1"/>
  <c r="N69" i="1" s="1"/>
  <c r="M71" i="1"/>
  <c r="L71" i="1"/>
  <c r="P70" i="1"/>
  <c r="O70" i="1"/>
  <c r="P67" i="1"/>
  <c r="O67" i="1"/>
  <c r="N67" i="1"/>
  <c r="M67" i="1"/>
  <c r="L67" i="1"/>
  <c r="N61" i="1"/>
  <c r="N59" i="1" s="1"/>
  <c r="M61" i="1"/>
  <c r="M59" i="1" s="1"/>
  <c r="L61" i="1"/>
  <c r="P60" i="1"/>
  <c r="O60" i="1"/>
  <c r="N58" i="1"/>
  <c r="N56" i="1" s="1"/>
  <c r="M58" i="1"/>
  <c r="M56" i="1" s="1"/>
  <c r="L58" i="1"/>
  <c r="P57" i="1"/>
  <c r="O57" i="1"/>
  <c r="N54" i="1"/>
  <c r="M54" i="1"/>
  <c r="P54" i="1" s="1"/>
  <c r="L54" i="1"/>
  <c r="O54" i="1" s="1"/>
  <c r="N49" i="1"/>
  <c r="N47" i="1" s="1"/>
  <c r="M49" i="1"/>
  <c r="P49" i="1" s="1"/>
  <c r="L49" i="1"/>
  <c r="P48" i="1"/>
  <c r="O48" i="1"/>
  <c r="N46" i="1"/>
  <c r="N44" i="1" s="1"/>
  <c r="M46" i="1"/>
  <c r="L46" i="1"/>
  <c r="P45" i="1"/>
  <c r="O45" i="1"/>
  <c r="O42" i="1"/>
  <c r="N42" i="1"/>
  <c r="M42" i="1"/>
  <c r="L42" i="1"/>
  <c r="P36" i="1"/>
  <c r="N36" i="1"/>
  <c r="N34" i="1" s="1"/>
  <c r="M36" i="1"/>
  <c r="O35" i="1"/>
  <c r="N35" i="1"/>
  <c r="M35" i="1"/>
  <c r="M34" i="1" s="1"/>
  <c r="P34" i="1" s="1"/>
  <c r="L35" i="1"/>
  <c r="L29" i="1" s="1"/>
  <c r="O32" i="1"/>
  <c r="N32" i="1"/>
  <c r="N29" i="1" s="1"/>
  <c r="M32" i="1"/>
  <c r="L32" i="1"/>
  <c r="P25" i="1"/>
  <c r="O25" i="1"/>
  <c r="N25" i="1"/>
  <c r="N15" i="1" s="1"/>
  <c r="M25" i="1"/>
  <c r="L25" i="1"/>
  <c r="P22" i="1"/>
  <c r="N22" i="1"/>
  <c r="M22" i="1"/>
  <c r="L22" i="1"/>
  <c r="O22" i="1" s="1"/>
  <c r="M19" i="1"/>
  <c r="P19" i="1" s="1"/>
  <c r="L19" i="1"/>
  <c r="O19" i="1" s="1"/>
  <c r="L15" i="1"/>
  <c r="O15" i="1" s="1"/>
  <c r="M12" i="1"/>
  <c r="P12" i="1" s="1"/>
  <c r="L12" i="1"/>
  <c r="L9" i="1"/>
  <c r="L429" i="14" l="1"/>
  <c r="O429" i="14" s="1"/>
  <c r="L454" i="16"/>
  <c r="O454" i="16" s="1"/>
  <c r="L639" i="15"/>
  <c r="O639" i="15" s="1"/>
  <c r="I130" i="13"/>
  <c r="K130" i="13" s="1"/>
  <c r="L454" i="8"/>
  <c r="O454" i="8" s="1"/>
  <c r="L429" i="4"/>
  <c r="O429" i="4" s="1"/>
  <c r="I654" i="5"/>
  <c r="K654" i="5" s="1"/>
  <c r="L789" i="9"/>
  <c r="O789" i="9" s="1"/>
  <c r="L555" i="14"/>
  <c r="O555" i="14" s="1"/>
  <c r="L533" i="10"/>
  <c r="O533" i="10" s="1"/>
  <c r="N121" i="21"/>
  <c r="N119" i="21" s="1"/>
  <c r="K826" i="21"/>
  <c r="L639" i="12"/>
  <c r="O639" i="12" s="1"/>
  <c r="L658" i="20"/>
  <c r="O658" i="20" s="1"/>
  <c r="L121" i="21"/>
  <c r="O121" i="21" s="1"/>
  <c r="L555" i="2"/>
  <c r="O555" i="2" s="1"/>
  <c r="I364" i="20"/>
  <c r="M43" i="19"/>
  <c r="M41" i="19" s="1"/>
  <c r="M55" i="20"/>
  <c r="M53" i="20" s="1"/>
  <c r="M43" i="21"/>
  <c r="M41" i="21" s="1"/>
  <c r="K701" i="20"/>
  <c r="M391" i="21"/>
  <c r="P391" i="21" s="1"/>
  <c r="I314" i="20"/>
  <c r="K314" i="20" s="1"/>
  <c r="M347" i="21"/>
  <c r="M345" i="21" s="1"/>
  <c r="L43" i="21"/>
  <c r="L41" i="21" s="1"/>
  <c r="L55" i="21"/>
  <c r="L53" i="21" s="1"/>
  <c r="N43" i="21"/>
  <c r="N41" i="21" s="1"/>
  <c r="N183" i="21"/>
  <c r="N181" i="21" s="1"/>
  <c r="M300" i="21"/>
  <c r="M298" i="21" s="1"/>
  <c r="L43" i="20"/>
  <c r="L41" i="20" s="1"/>
  <c r="L68" i="20"/>
  <c r="L66" i="20" s="1"/>
  <c r="O269" i="20"/>
  <c r="L231" i="21"/>
  <c r="I276" i="21"/>
  <c r="K276" i="21" s="1"/>
  <c r="K824" i="21"/>
  <c r="P44" i="21"/>
  <c r="I130" i="21"/>
  <c r="K130" i="21" s="1"/>
  <c r="L470" i="21"/>
  <c r="M43" i="20"/>
  <c r="M41" i="20" s="1"/>
  <c r="O58" i="21"/>
  <c r="O61" i="21"/>
  <c r="M68" i="21"/>
  <c r="M317" i="21"/>
  <c r="P317" i="21" s="1"/>
  <c r="K378" i="21"/>
  <c r="K385" i="21"/>
  <c r="L56" i="21"/>
  <c r="L94" i="21"/>
  <c r="O94" i="21" s="1"/>
  <c r="K215" i="21"/>
  <c r="O350" i="21"/>
  <c r="L68" i="21"/>
  <c r="L66" i="21" s="1"/>
  <c r="P69" i="21"/>
  <c r="M47" i="21"/>
  <c r="P47" i="21" s="1"/>
  <c r="N56" i="21"/>
  <c r="M72" i="21"/>
  <c r="P72" i="21" s="1"/>
  <c r="M94" i="21"/>
  <c r="P94" i="21" s="1"/>
  <c r="I148" i="21"/>
  <c r="K148" i="21" s="1"/>
  <c r="I442" i="21"/>
  <c r="K442" i="21" s="1"/>
  <c r="N317" i="20"/>
  <c r="N315" i="20" s="1"/>
  <c r="O44" i="21"/>
  <c r="K649" i="21"/>
  <c r="K822" i="21"/>
  <c r="K828" i="21"/>
  <c r="I275" i="19"/>
  <c r="K275" i="19" s="1"/>
  <c r="M134" i="21"/>
  <c r="P134" i="21" s="1"/>
  <c r="M151" i="21"/>
  <c r="P151" i="21" s="1"/>
  <c r="N167" i="21"/>
  <c r="N165" i="21" s="1"/>
  <c r="I216" i="21"/>
  <c r="K216" i="21" s="1"/>
  <c r="M321" i="21"/>
  <c r="P321" i="21" s="1"/>
  <c r="K700" i="21"/>
  <c r="N263" i="20"/>
  <c r="N261" i="20" s="1"/>
  <c r="L167" i="21"/>
  <c r="L165" i="21" s="1"/>
  <c r="L229" i="21"/>
  <c r="L151" i="21"/>
  <c r="O151" i="21" s="1"/>
  <c r="O472" i="21"/>
  <c r="K360" i="21"/>
  <c r="I77" i="21"/>
  <c r="K77" i="21" s="1"/>
  <c r="N151" i="21"/>
  <c r="N149" i="21" s="1"/>
  <c r="J327" i="21"/>
  <c r="K327" i="21" s="1"/>
  <c r="P348" i="21"/>
  <c r="L36" i="21"/>
  <c r="O36" i="21" s="1"/>
  <c r="L183" i="16"/>
  <c r="L181" i="16" s="1"/>
  <c r="L167" i="20"/>
  <c r="L165" i="20" s="1"/>
  <c r="L183" i="20"/>
  <c r="L181" i="20" s="1"/>
  <c r="M66" i="21"/>
  <c r="L187" i="21"/>
  <c r="O187" i="21" s="1"/>
  <c r="O331" i="21"/>
  <c r="K369" i="21"/>
  <c r="L304" i="20"/>
  <c r="O304" i="20" s="1"/>
  <c r="L23" i="21"/>
  <c r="L21" i="21" s="1"/>
  <c r="L138" i="21"/>
  <c r="O138" i="21" s="1"/>
  <c r="N90" i="21"/>
  <c r="N88" i="21" s="1"/>
  <c r="L198" i="21"/>
  <c r="O198" i="21" s="1"/>
  <c r="M404" i="21"/>
  <c r="P404" i="21" s="1"/>
  <c r="J721" i="21"/>
  <c r="I364" i="17"/>
  <c r="K374" i="17"/>
  <c r="I87" i="18"/>
  <c r="K87" i="18" s="1"/>
  <c r="K360" i="19"/>
  <c r="P407" i="20"/>
  <c r="O549" i="20"/>
  <c r="K720" i="20"/>
  <c r="K821" i="20"/>
  <c r="K824" i="20"/>
  <c r="K827" i="20"/>
  <c r="L230" i="21"/>
  <c r="I433" i="21"/>
  <c r="I417" i="21" s="1"/>
  <c r="L469" i="21"/>
  <c r="L467" i="21" s="1"/>
  <c r="K699" i="21"/>
  <c r="P71" i="17"/>
  <c r="P282" i="17"/>
  <c r="J722" i="21"/>
  <c r="K174" i="21"/>
  <c r="I164" i="21"/>
  <c r="K164" i="21" s="1"/>
  <c r="N167" i="20"/>
  <c r="M138" i="21"/>
  <c r="P138" i="21" s="1"/>
  <c r="K176" i="21"/>
  <c r="K244" i="21"/>
  <c r="I275" i="21"/>
  <c r="P333" i="21"/>
  <c r="J433" i="21"/>
  <c r="J417" i="21" s="1"/>
  <c r="O456" i="21"/>
  <c r="K462" i="21"/>
  <c r="K576" i="21"/>
  <c r="M280" i="19"/>
  <c r="P280" i="19" s="1"/>
  <c r="I443" i="20"/>
  <c r="K443" i="20" s="1"/>
  <c r="L122" i="21"/>
  <c r="O122" i="21" s="1"/>
  <c r="L152" i="21"/>
  <c r="O152" i="21" s="1"/>
  <c r="I190" i="21"/>
  <c r="K190" i="21" s="1"/>
  <c r="L263" i="21"/>
  <c r="L261" i="21" s="1"/>
  <c r="K325" i="21"/>
  <c r="M334" i="21"/>
  <c r="P334" i="21" s="1"/>
  <c r="L391" i="21"/>
  <c r="O391" i="21" s="1"/>
  <c r="M56" i="20"/>
  <c r="P56" i="20" s="1"/>
  <c r="P58" i="20"/>
  <c r="L90" i="21"/>
  <c r="L88" i="21" s="1"/>
  <c r="N122" i="21"/>
  <c r="O124" i="21"/>
  <c r="L155" i="21"/>
  <c r="O155" i="21" s="1"/>
  <c r="N168" i="21"/>
  <c r="P168" i="21" s="1"/>
  <c r="L171" i="21"/>
  <c r="O171" i="21" s="1"/>
  <c r="I233" i="21"/>
  <c r="K233" i="21" s="1"/>
  <c r="I260" i="21"/>
  <c r="K260" i="21" s="1"/>
  <c r="L267" i="21"/>
  <c r="O267" i="21" s="1"/>
  <c r="M279" i="21"/>
  <c r="M277" i="21" s="1"/>
  <c r="M283" i="21"/>
  <c r="P283" i="21" s="1"/>
  <c r="L318" i="21"/>
  <c r="O318" i="21" s="1"/>
  <c r="L317" i="21"/>
  <c r="L315" i="21" s="1"/>
  <c r="O315" i="21" s="1"/>
  <c r="L348" i="21"/>
  <c r="O348" i="21" s="1"/>
  <c r="M405" i="21"/>
  <c r="P405" i="21" s="1"/>
  <c r="P407" i="21"/>
  <c r="L33" i="21"/>
  <c r="O33" i="21" s="1"/>
  <c r="O449" i="21"/>
  <c r="K577" i="21"/>
  <c r="M791" i="21"/>
  <c r="M789" i="21" s="1"/>
  <c r="P789" i="21" s="1"/>
  <c r="K145" i="20"/>
  <c r="L405" i="20"/>
  <c r="O405" i="20" s="1"/>
  <c r="L125" i="21"/>
  <c r="O125" i="21" s="1"/>
  <c r="I248" i="21"/>
  <c r="K248" i="21" s="1"/>
  <c r="O303" i="21"/>
  <c r="N300" i="21"/>
  <c r="N298" i="21" s="1"/>
  <c r="L321" i="21"/>
  <c r="O321" i="21" s="1"/>
  <c r="N347" i="21"/>
  <c r="N345" i="21" s="1"/>
  <c r="O353" i="21"/>
  <c r="K381" i="21"/>
  <c r="M408" i="21"/>
  <c r="P408" i="21" s="1"/>
  <c r="O479" i="21"/>
  <c r="O528" i="21"/>
  <c r="K647" i="21"/>
  <c r="L789" i="21"/>
  <c r="O789" i="21" s="1"/>
  <c r="P301" i="20"/>
  <c r="K340" i="20"/>
  <c r="L69" i="21"/>
  <c r="O69" i="21" s="1"/>
  <c r="M90" i="21"/>
  <c r="M88" i="21" s="1"/>
  <c r="L217" i="21"/>
  <c r="O217" i="21" s="1"/>
  <c r="P353" i="21"/>
  <c r="K379" i="21"/>
  <c r="N391" i="21"/>
  <c r="N389" i="21" s="1"/>
  <c r="M395" i="21"/>
  <c r="P395" i="21" s="1"/>
  <c r="I434" i="21"/>
  <c r="I418" i="21" s="1"/>
  <c r="K418" i="21" s="1"/>
  <c r="L525" i="21"/>
  <c r="O525" i="21" s="1"/>
  <c r="K569" i="21"/>
  <c r="O791" i="21"/>
  <c r="J785" i="21"/>
  <c r="M447" i="21"/>
  <c r="M446" i="21"/>
  <c r="M444" i="21" s="1"/>
  <c r="P444" i="21" s="1"/>
  <c r="O301" i="21"/>
  <c r="M187" i="19"/>
  <c r="P187" i="19" s="1"/>
  <c r="M347" i="19"/>
  <c r="M345" i="19" s="1"/>
  <c r="M183" i="20"/>
  <c r="M304" i="20"/>
  <c r="P304" i="20" s="1"/>
  <c r="K360" i="20"/>
  <c r="I433" i="20"/>
  <c r="I417" i="20" s="1"/>
  <c r="M26" i="21"/>
  <c r="M24" i="21" s="1"/>
  <c r="N59" i="21"/>
  <c r="O59" i="21" s="1"/>
  <c r="I76" i="21"/>
  <c r="K76" i="21" s="1"/>
  <c r="K81" i="21"/>
  <c r="N91" i="21"/>
  <c r="P91" i="21" s="1"/>
  <c r="K99" i="21"/>
  <c r="I112" i="21"/>
  <c r="K112" i="21" s="1"/>
  <c r="J143" i="21"/>
  <c r="J131" i="21" s="1"/>
  <c r="M171" i="21"/>
  <c r="P171" i="21" s="1"/>
  <c r="N184" i="21"/>
  <c r="P184" i="21" s="1"/>
  <c r="O266" i="21"/>
  <c r="J275" i="21"/>
  <c r="N279" i="21"/>
  <c r="N277" i="21" s="1"/>
  <c r="I297" i="21"/>
  <c r="K297" i="21" s="1"/>
  <c r="L300" i="21"/>
  <c r="L298" i="21" s="1"/>
  <c r="L304" i="21"/>
  <c r="O304" i="21" s="1"/>
  <c r="M318" i="21"/>
  <c r="P318" i="21" s="1"/>
  <c r="O323" i="21"/>
  <c r="K438" i="21"/>
  <c r="L447" i="21"/>
  <c r="M469" i="21"/>
  <c r="M467" i="21" s="1"/>
  <c r="K561" i="21"/>
  <c r="K823" i="21"/>
  <c r="N183" i="20"/>
  <c r="N181" i="20" s="1"/>
  <c r="L317" i="20"/>
  <c r="O317" i="20" s="1"/>
  <c r="L657" i="20"/>
  <c r="O657" i="20" s="1"/>
  <c r="N23" i="21"/>
  <c r="N21" i="21" s="1"/>
  <c r="M135" i="21"/>
  <c r="P135" i="21" s="1"/>
  <c r="O264" i="21"/>
  <c r="O351" i="21"/>
  <c r="K370" i="21"/>
  <c r="M392" i="21"/>
  <c r="P392" i="21" s="1"/>
  <c r="P394" i="21"/>
  <c r="L404" i="21"/>
  <c r="O404" i="21" s="1"/>
  <c r="L657" i="21"/>
  <c r="O657" i="21" s="1"/>
  <c r="L687" i="21"/>
  <c r="L685" i="21" s="1"/>
  <c r="L267" i="19"/>
  <c r="O267" i="19" s="1"/>
  <c r="K100" i="21"/>
  <c r="O170" i="21"/>
  <c r="O285" i="21"/>
  <c r="P320" i="21"/>
  <c r="P331" i="21"/>
  <c r="K338" i="21"/>
  <c r="P351" i="21"/>
  <c r="K359" i="21"/>
  <c r="L446" i="21"/>
  <c r="L444" i="21" s="1"/>
  <c r="O444" i="21" s="1"/>
  <c r="K593" i="21"/>
  <c r="I785" i="21"/>
  <c r="K821" i="21"/>
  <c r="K827" i="21"/>
  <c r="K821" i="17"/>
  <c r="K824" i="17"/>
  <c r="K827" i="17"/>
  <c r="O634" i="20"/>
  <c r="M23" i="21"/>
  <c r="M21" i="21" s="1"/>
  <c r="N68" i="21"/>
  <c r="O93" i="21"/>
  <c r="P170" i="21"/>
  <c r="O186" i="21"/>
  <c r="N330" i="21"/>
  <c r="N328" i="21" s="1"/>
  <c r="N404" i="21"/>
  <c r="N402" i="21" s="1"/>
  <c r="K628" i="21"/>
  <c r="K673" i="21"/>
  <c r="M408" i="19"/>
  <c r="P408" i="19" s="1"/>
  <c r="K699" i="19"/>
  <c r="K649" i="20"/>
  <c r="L91" i="21"/>
  <c r="P93" i="21"/>
  <c r="P186" i="21"/>
  <c r="L279" i="21"/>
  <c r="L277" i="21" s="1"/>
  <c r="O333" i="21"/>
  <c r="P350" i="21"/>
  <c r="K355" i="21"/>
  <c r="K372" i="21"/>
  <c r="K651" i="21"/>
  <c r="K669" i="21"/>
  <c r="K825" i="21"/>
  <c r="O29" i="21"/>
  <c r="N9" i="21"/>
  <c r="L44" i="20"/>
  <c r="L47" i="20"/>
  <c r="O47" i="20" s="1"/>
  <c r="I112" i="20"/>
  <c r="K112" i="20" s="1"/>
  <c r="K378" i="20"/>
  <c r="K385" i="20"/>
  <c r="I654" i="20"/>
  <c r="K654" i="20" s="1"/>
  <c r="O12" i="21"/>
  <c r="L15" i="21"/>
  <c r="O19" i="21"/>
  <c r="O25" i="21"/>
  <c r="N31" i="21"/>
  <c r="O35" i="21"/>
  <c r="L47" i="21"/>
  <c r="O47" i="21" s="1"/>
  <c r="N55" i="21"/>
  <c r="L72" i="21"/>
  <c r="O72" i="21" s="1"/>
  <c r="J87" i="21"/>
  <c r="K87" i="21" s="1"/>
  <c r="L134" i="21"/>
  <c r="M183" i="21"/>
  <c r="K204" i="21"/>
  <c r="I197" i="21"/>
  <c r="K197" i="21" s="1"/>
  <c r="L249" i="21"/>
  <c r="O249" i="21" s="1"/>
  <c r="L228" i="21"/>
  <c r="N263" i="21"/>
  <c r="N261" i="21" s="1"/>
  <c r="O331" i="19"/>
  <c r="I77" i="20"/>
  <c r="K77" i="20" s="1"/>
  <c r="O152" i="20"/>
  <c r="K379" i="20"/>
  <c r="N47" i="21"/>
  <c r="N26" i="21"/>
  <c r="N16" i="21" s="1"/>
  <c r="N14" i="21" s="1"/>
  <c r="P61" i="21"/>
  <c r="M59" i="21"/>
  <c r="P127" i="21"/>
  <c r="M125" i="21"/>
  <c r="P125" i="21" s="1"/>
  <c r="P154" i="21"/>
  <c r="M152" i="21"/>
  <c r="P152" i="21" s="1"/>
  <c r="O182" i="21"/>
  <c r="P269" i="21"/>
  <c r="M267" i="21"/>
  <c r="P267" i="21" s="1"/>
  <c r="N317" i="21"/>
  <c r="N315" i="21" s="1"/>
  <c r="M68" i="20"/>
  <c r="M66" i="20" s="1"/>
  <c r="M134" i="20"/>
  <c r="P134" i="20" s="1"/>
  <c r="P154" i="20"/>
  <c r="K355" i="20"/>
  <c r="J721" i="20"/>
  <c r="K721" i="20" s="1"/>
  <c r="L26" i="21"/>
  <c r="L24" i="21" s="1"/>
  <c r="O46" i="21"/>
  <c r="O71" i="21"/>
  <c r="N134" i="21"/>
  <c r="N132" i="21" s="1"/>
  <c r="K145" i="21"/>
  <c r="M167" i="21"/>
  <c r="L184" i="21"/>
  <c r="L209" i="21"/>
  <c r="O209" i="21" s="1"/>
  <c r="L238" i="21"/>
  <c r="P306" i="21"/>
  <c r="M304" i="21"/>
  <c r="P304" i="21" s="1"/>
  <c r="P316" i="21"/>
  <c r="N134" i="20"/>
  <c r="N132" i="20" s="1"/>
  <c r="P58" i="21"/>
  <c r="M56" i="21"/>
  <c r="P124" i="21"/>
  <c r="M122" i="21"/>
  <c r="P122" i="21" s="1"/>
  <c r="O166" i="21"/>
  <c r="P266" i="21"/>
  <c r="M264" i="21"/>
  <c r="P264" i="21" s="1"/>
  <c r="O282" i="21"/>
  <c r="N280" i="21"/>
  <c r="P280" i="21" s="1"/>
  <c r="O299" i="21"/>
  <c r="L138" i="20"/>
  <c r="O138" i="20" s="1"/>
  <c r="M151" i="20"/>
  <c r="M149" i="20" s="1"/>
  <c r="M167" i="20"/>
  <c r="O350" i="20"/>
  <c r="K369" i="20"/>
  <c r="K669" i="20"/>
  <c r="M12" i="21"/>
  <c r="M19" i="21"/>
  <c r="M34" i="21"/>
  <c r="P34" i="21" s="1"/>
  <c r="P35" i="21"/>
  <c r="P42" i="21"/>
  <c r="P67" i="21"/>
  <c r="L135" i="21"/>
  <c r="O135" i="21" s="1"/>
  <c r="I143" i="21"/>
  <c r="P282" i="21"/>
  <c r="P303" i="21"/>
  <c r="M301" i="21"/>
  <c r="P301" i="21" s="1"/>
  <c r="M171" i="20"/>
  <c r="P171" i="20" s="1"/>
  <c r="M187" i="20"/>
  <c r="P187" i="20" s="1"/>
  <c r="L229" i="20"/>
  <c r="I276" i="20"/>
  <c r="K276" i="20" s="1"/>
  <c r="J288" i="20"/>
  <c r="J275" i="20" s="1"/>
  <c r="K275" i="20" s="1"/>
  <c r="M29" i="21"/>
  <c r="P46" i="21"/>
  <c r="M55" i="21"/>
  <c r="P71" i="21"/>
  <c r="O89" i="21"/>
  <c r="K98" i="21"/>
  <c r="M121" i="21"/>
  <c r="P121" i="21" s="1"/>
  <c r="P157" i="21"/>
  <c r="M155" i="21"/>
  <c r="P155" i="21" s="1"/>
  <c r="L183" i="21"/>
  <c r="M187" i="21"/>
  <c r="P187" i="21" s="1"/>
  <c r="M263" i="21"/>
  <c r="M330" i="21"/>
  <c r="O336" i="21"/>
  <c r="K340" i="21"/>
  <c r="L347" i="21"/>
  <c r="L345" i="21" s="1"/>
  <c r="K362" i="21"/>
  <c r="N446" i="21"/>
  <c r="N447" i="21"/>
  <c r="O504" i="21"/>
  <c r="L502" i="21"/>
  <c r="O502" i="21" s="1"/>
  <c r="P524" i="21"/>
  <c r="M523" i="21"/>
  <c r="P523" i="21" s="1"/>
  <c r="J594" i="21"/>
  <c r="K594" i="21" s="1"/>
  <c r="N444" i="21"/>
  <c r="I522" i="21"/>
  <c r="K522" i="21" s="1"/>
  <c r="K537" i="21"/>
  <c r="K559" i="21"/>
  <c r="I543" i="21"/>
  <c r="K543" i="21" s="1"/>
  <c r="O346" i="21"/>
  <c r="I364" i="21"/>
  <c r="K465" i="21"/>
  <c r="N504" i="21"/>
  <c r="N502" i="21" s="1"/>
  <c r="N505" i="21"/>
  <c r="J537" i="21"/>
  <c r="J522" i="21" s="1"/>
  <c r="L422" i="21"/>
  <c r="O424" i="21"/>
  <c r="M424" i="21"/>
  <c r="N469" i="21"/>
  <c r="N470" i="21"/>
  <c r="K365" i="21"/>
  <c r="L392" i="21"/>
  <c r="O392" i="21" s="1"/>
  <c r="O394" i="21"/>
  <c r="N467" i="21"/>
  <c r="P690" i="21"/>
  <c r="M687" i="21"/>
  <c r="P687" i="21" s="1"/>
  <c r="L330" i="21"/>
  <c r="L395" i="21"/>
  <c r="O395" i="21" s="1"/>
  <c r="O397" i="21"/>
  <c r="L421" i="21"/>
  <c r="N421" i="21"/>
  <c r="N419" i="21" s="1"/>
  <c r="N414" i="21" s="1"/>
  <c r="N422" i="21"/>
  <c r="N687" i="21"/>
  <c r="N685" i="21" s="1"/>
  <c r="N688" i="21"/>
  <c r="J374" i="21"/>
  <c r="J364" i="21" s="1"/>
  <c r="P403" i="21"/>
  <c r="L405" i="21"/>
  <c r="O405" i="21" s="1"/>
  <c r="L408" i="21"/>
  <c r="O408" i="21" s="1"/>
  <c r="L429" i="21"/>
  <c r="O429" i="21" s="1"/>
  <c r="O445" i="21"/>
  <c r="P449" i="21"/>
  <c r="O468" i="21"/>
  <c r="P472" i="21"/>
  <c r="P545" i="21"/>
  <c r="L547" i="21"/>
  <c r="O547" i="21" s="1"/>
  <c r="J592" i="21"/>
  <c r="K592" i="21" s="1"/>
  <c r="P630" i="21"/>
  <c r="L632" i="21"/>
  <c r="O632" i="21" s="1"/>
  <c r="I654" i="21"/>
  <c r="K654" i="21" s="1"/>
  <c r="P656" i="21"/>
  <c r="L658" i="21"/>
  <c r="O658" i="21" s="1"/>
  <c r="K674" i="21"/>
  <c r="O690" i="21"/>
  <c r="K801" i="21"/>
  <c r="L546" i="21"/>
  <c r="L631" i="21"/>
  <c r="M502" i="21"/>
  <c r="P502" i="21" s="1"/>
  <c r="M549" i="21"/>
  <c r="L555" i="21"/>
  <c r="O555" i="21" s="1"/>
  <c r="M634" i="21"/>
  <c r="L639" i="21"/>
  <c r="O639" i="21" s="1"/>
  <c r="M660" i="21"/>
  <c r="K675" i="21"/>
  <c r="M737" i="21"/>
  <c r="P737" i="21" s="1"/>
  <c r="M754" i="21"/>
  <c r="P754" i="21" s="1"/>
  <c r="M770" i="21"/>
  <c r="P770" i="21" s="1"/>
  <c r="L786" i="21"/>
  <c r="O786" i="21" s="1"/>
  <c r="M805" i="21"/>
  <c r="P805" i="21" s="1"/>
  <c r="L688" i="21"/>
  <c r="O688" i="21" s="1"/>
  <c r="L330" i="20"/>
  <c r="L328" i="20" s="1"/>
  <c r="L331" i="20"/>
  <c r="L279" i="18"/>
  <c r="L277" i="18" s="1"/>
  <c r="L330" i="18"/>
  <c r="L328" i="18" s="1"/>
  <c r="K359" i="20"/>
  <c r="M449" i="20"/>
  <c r="M446" i="20" s="1"/>
  <c r="L447" i="20"/>
  <c r="O447" i="20" s="1"/>
  <c r="O449" i="20"/>
  <c r="K823" i="20"/>
  <c r="K826" i="20"/>
  <c r="N183" i="16"/>
  <c r="N181" i="16" s="1"/>
  <c r="P96" i="20"/>
  <c r="M94" i="20"/>
  <c r="P94" i="20" s="1"/>
  <c r="O127" i="20"/>
  <c r="L125" i="20"/>
  <c r="O125" i="20" s="1"/>
  <c r="M91" i="20"/>
  <c r="M90" i="20"/>
  <c r="M88" i="20" s="1"/>
  <c r="M347" i="20"/>
  <c r="M345" i="20" s="1"/>
  <c r="K438" i="20"/>
  <c r="I434" i="20"/>
  <c r="K434" i="20" s="1"/>
  <c r="M690" i="20"/>
  <c r="M688" i="20" s="1"/>
  <c r="P688" i="20" s="1"/>
  <c r="L687" i="20"/>
  <c r="O687" i="20" s="1"/>
  <c r="O690" i="20"/>
  <c r="K699" i="20"/>
  <c r="I442" i="18"/>
  <c r="K442" i="18" s="1"/>
  <c r="P59" i="20"/>
  <c r="P61" i="20"/>
  <c r="N138" i="20"/>
  <c r="K146" i="20"/>
  <c r="N348" i="20"/>
  <c r="O348" i="20" s="1"/>
  <c r="L392" i="20"/>
  <c r="O392" i="20" s="1"/>
  <c r="L391" i="20"/>
  <c r="O391" i="20" s="1"/>
  <c r="L187" i="19"/>
  <c r="O187" i="19" s="1"/>
  <c r="L90" i="20"/>
  <c r="L88" i="20" s="1"/>
  <c r="N122" i="20"/>
  <c r="N121" i="20"/>
  <c r="N119" i="20" s="1"/>
  <c r="K215" i="20"/>
  <c r="I208" i="20"/>
  <c r="K208" i="20" s="1"/>
  <c r="L238" i="20"/>
  <c r="O238" i="20" s="1"/>
  <c r="O336" i="20"/>
  <c r="L334" i="20"/>
  <c r="O334" i="20" s="1"/>
  <c r="M391" i="20"/>
  <c r="P391" i="20" s="1"/>
  <c r="L69" i="20"/>
  <c r="I76" i="20"/>
  <c r="O93" i="20"/>
  <c r="L230" i="20"/>
  <c r="M279" i="20"/>
  <c r="M277" i="20" s="1"/>
  <c r="P350" i="20"/>
  <c r="N347" i="20"/>
  <c r="N345" i="20" s="1"/>
  <c r="J722" i="18"/>
  <c r="K98" i="19"/>
  <c r="N300" i="19"/>
  <c r="N298" i="19" s="1"/>
  <c r="M125" i="20"/>
  <c r="P125" i="20" s="1"/>
  <c r="L198" i="20"/>
  <c r="O198" i="20" s="1"/>
  <c r="O266" i="20"/>
  <c r="M300" i="20"/>
  <c r="M298" i="20" s="1"/>
  <c r="N351" i="20"/>
  <c r="P351" i="20" s="1"/>
  <c r="O641" i="20"/>
  <c r="J722" i="20"/>
  <c r="K722" i="20" s="1"/>
  <c r="M152" i="20"/>
  <c r="P152" i="20" s="1"/>
  <c r="L217" i="20"/>
  <c r="O217" i="20" s="1"/>
  <c r="L263" i="20"/>
  <c r="M283" i="20"/>
  <c r="P283" i="20" s="1"/>
  <c r="K822" i="20"/>
  <c r="K825" i="20"/>
  <c r="K828" i="20"/>
  <c r="K370" i="20"/>
  <c r="K647" i="20"/>
  <c r="K723" i="20"/>
  <c r="O137" i="20"/>
  <c r="L134" i="20"/>
  <c r="L135" i="20"/>
  <c r="O135" i="20" s="1"/>
  <c r="M151" i="13"/>
  <c r="M149" i="13" s="1"/>
  <c r="N55" i="16"/>
  <c r="N53" i="16" s="1"/>
  <c r="N55" i="19"/>
  <c r="N68" i="19"/>
  <c r="N66" i="19" s="1"/>
  <c r="N391" i="19"/>
  <c r="N389" i="19" s="1"/>
  <c r="O479" i="19"/>
  <c r="I190" i="20"/>
  <c r="K190" i="20" s="1"/>
  <c r="K193" i="20"/>
  <c r="O333" i="20"/>
  <c r="N330" i="20"/>
  <c r="P333" i="20"/>
  <c r="I522" i="20"/>
  <c r="K522" i="20" s="1"/>
  <c r="K537" i="20"/>
  <c r="L788" i="20"/>
  <c r="O788" i="20" s="1"/>
  <c r="L33" i="20"/>
  <c r="L31" i="20" s="1"/>
  <c r="O31" i="20" s="1"/>
  <c r="O791" i="20"/>
  <c r="M47" i="19"/>
  <c r="P47" i="19" s="1"/>
  <c r="M138" i="19"/>
  <c r="P138" i="19" s="1"/>
  <c r="K577" i="19"/>
  <c r="O71" i="20"/>
  <c r="N68" i="20"/>
  <c r="N69" i="20"/>
  <c r="M23" i="20"/>
  <c r="M121" i="20"/>
  <c r="P121" i="20" s="1"/>
  <c r="P124" i="20"/>
  <c r="M122" i="20"/>
  <c r="P122" i="20" s="1"/>
  <c r="O74" i="20"/>
  <c r="L72" i="20"/>
  <c r="O72" i="20" s="1"/>
  <c r="L555" i="20"/>
  <c r="O555" i="20" s="1"/>
  <c r="L546" i="20"/>
  <c r="L36" i="20"/>
  <c r="O36" i="20" s="1"/>
  <c r="O557" i="20"/>
  <c r="L135" i="18"/>
  <c r="O135" i="18" s="1"/>
  <c r="M90" i="19"/>
  <c r="M88" i="19" s="1"/>
  <c r="M94" i="19"/>
  <c r="P94" i="19" s="1"/>
  <c r="I143" i="19"/>
  <c r="K143" i="19" s="1"/>
  <c r="J288" i="19"/>
  <c r="J275" i="19" s="1"/>
  <c r="O424" i="19"/>
  <c r="N391" i="20"/>
  <c r="N389" i="20" s="1"/>
  <c r="N405" i="20"/>
  <c r="N404" i="20"/>
  <c r="N402" i="20" s="1"/>
  <c r="J785" i="18"/>
  <c r="O56" i="19"/>
  <c r="O157" i="20"/>
  <c r="L151" i="20"/>
  <c r="L149" i="20" s="1"/>
  <c r="L155" i="20"/>
  <c r="O155" i="20" s="1"/>
  <c r="O285" i="20"/>
  <c r="L279" i="20"/>
  <c r="L277" i="20" s="1"/>
  <c r="L283" i="20"/>
  <c r="O283" i="20" s="1"/>
  <c r="L301" i="20"/>
  <c r="O301" i="20" s="1"/>
  <c r="L300" i="20"/>
  <c r="O303" i="20"/>
  <c r="L351" i="20"/>
  <c r="O353" i="20"/>
  <c r="L347" i="20"/>
  <c r="M334" i="20"/>
  <c r="P334" i="20" s="1"/>
  <c r="M330" i="20"/>
  <c r="P336" i="20"/>
  <c r="N330" i="19"/>
  <c r="N328" i="19" s="1"/>
  <c r="N347" i="19"/>
  <c r="N345" i="19" s="1"/>
  <c r="N23" i="20"/>
  <c r="N21" i="20" s="1"/>
  <c r="M26" i="20"/>
  <c r="M16" i="20" s="1"/>
  <c r="O61" i="20"/>
  <c r="L26" i="20"/>
  <c r="L24" i="20" s="1"/>
  <c r="L55" i="20"/>
  <c r="L53" i="20" s="1"/>
  <c r="L59" i="20"/>
  <c r="O59" i="20" s="1"/>
  <c r="I131" i="20"/>
  <c r="K131" i="20" s="1"/>
  <c r="K143" i="20"/>
  <c r="K338" i="20"/>
  <c r="J327" i="20"/>
  <c r="K327" i="20" s="1"/>
  <c r="O410" i="20"/>
  <c r="L408" i="20"/>
  <c r="O408" i="20" s="1"/>
  <c r="L404" i="20"/>
  <c r="L122" i="20"/>
  <c r="O122" i="20" s="1"/>
  <c r="I148" i="20"/>
  <c r="K148" i="20" s="1"/>
  <c r="L209" i="20"/>
  <c r="O209" i="20" s="1"/>
  <c r="N300" i="20"/>
  <c r="N298" i="20" s="1"/>
  <c r="P303" i="20"/>
  <c r="K700" i="20"/>
  <c r="K729" i="20"/>
  <c r="M155" i="20"/>
  <c r="P155" i="20" s="1"/>
  <c r="J364" i="20"/>
  <c r="L446" i="20"/>
  <c r="K460" i="20"/>
  <c r="L525" i="20"/>
  <c r="O525" i="20" s="1"/>
  <c r="J537" i="20"/>
  <c r="J522" i="20" s="1"/>
  <c r="K577" i="20"/>
  <c r="K673" i="20"/>
  <c r="L23" i="20"/>
  <c r="L121" i="20"/>
  <c r="O154" i="20"/>
  <c r="L231" i="20"/>
  <c r="L264" i="20"/>
  <c r="O264" i="20" s="1"/>
  <c r="P285" i="20"/>
  <c r="K362" i="20"/>
  <c r="M404" i="20"/>
  <c r="K674" i="20"/>
  <c r="L228" i="20"/>
  <c r="O282" i="20"/>
  <c r="P353" i="20"/>
  <c r="P410" i="20"/>
  <c r="M424" i="20"/>
  <c r="M422" i="20" s="1"/>
  <c r="P422" i="20" s="1"/>
  <c r="K465" i="20"/>
  <c r="M472" i="20"/>
  <c r="M469" i="20" s="1"/>
  <c r="P469" i="20" s="1"/>
  <c r="O535" i="20"/>
  <c r="M549" i="20"/>
  <c r="P549" i="20" s="1"/>
  <c r="L56" i="20"/>
  <c r="O56" i="20" s="1"/>
  <c r="I216" i="20"/>
  <c r="K216" i="20" s="1"/>
  <c r="I260" i="20"/>
  <c r="K260" i="20" s="1"/>
  <c r="I297" i="20"/>
  <c r="K297" i="20" s="1"/>
  <c r="K374" i="20"/>
  <c r="K381" i="20"/>
  <c r="J433" i="20"/>
  <c r="J417" i="20" s="1"/>
  <c r="K576" i="20"/>
  <c r="M634" i="20"/>
  <c r="K651" i="20"/>
  <c r="K725" i="20"/>
  <c r="P12" i="20"/>
  <c r="J143" i="19"/>
  <c r="J131" i="19" s="1"/>
  <c r="I237" i="19"/>
  <c r="K237" i="19" s="1"/>
  <c r="N334" i="19"/>
  <c r="K379" i="19"/>
  <c r="P394" i="19"/>
  <c r="L788" i="19"/>
  <c r="O788" i="19" s="1"/>
  <c r="N9" i="20"/>
  <c r="L15" i="20"/>
  <c r="L19" i="20"/>
  <c r="N44" i="20"/>
  <c r="P46" i="20"/>
  <c r="M44" i="20"/>
  <c r="N55" i="20"/>
  <c r="N151" i="20"/>
  <c r="L171" i="20"/>
  <c r="O171" i="20" s="1"/>
  <c r="O173" i="20"/>
  <c r="M264" i="20"/>
  <c r="P264" i="20" s="1"/>
  <c r="P266" i="20"/>
  <c r="N280" i="20"/>
  <c r="O280" i="20" s="1"/>
  <c r="P282" i="20"/>
  <c r="L446" i="18"/>
  <c r="L444" i="18" s="1"/>
  <c r="K99" i="19"/>
  <c r="M395" i="19"/>
  <c r="P395" i="19" s="1"/>
  <c r="P32" i="20"/>
  <c r="M29" i="20"/>
  <c r="P93" i="20"/>
  <c r="N91" i="20"/>
  <c r="K98" i="20"/>
  <c r="K144" i="20"/>
  <c r="J143" i="20"/>
  <c r="J131" i="20" s="1"/>
  <c r="P166" i="20"/>
  <c r="P170" i="20"/>
  <c r="N168" i="20"/>
  <c r="P168" i="20" s="1"/>
  <c r="J721" i="18"/>
  <c r="L47" i="19"/>
  <c r="O47" i="19" s="1"/>
  <c r="O96" i="19"/>
  <c r="N348" i="19"/>
  <c r="O348" i="19" s="1"/>
  <c r="I443" i="19"/>
  <c r="K443" i="19" s="1"/>
  <c r="K673" i="19"/>
  <c r="L789" i="19"/>
  <c r="O789" i="19" s="1"/>
  <c r="O46" i="20"/>
  <c r="P140" i="20"/>
  <c r="M138" i="20"/>
  <c r="P138" i="20" s="1"/>
  <c r="M267" i="20"/>
  <c r="P267" i="20" s="1"/>
  <c r="P269" i="20"/>
  <c r="L304" i="18"/>
  <c r="O304" i="18" s="1"/>
  <c r="L36" i="19"/>
  <c r="O36" i="19" s="1"/>
  <c r="N43" i="19"/>
  <c r="P61" i="19"/>
  <c r="I77" i="19"/>
  <c r="K77" i="19" s="1"/>
  <c r="L249" i="19"/>
  <c r="O249" i="19" s="1"/>
  <c r="I297" i="19"/>
  <c r="K297" i="19" s="1"/>
  <c r="P331" i="19"/>
  <c r="K381" i="19"/>
  <c r="K385" i="19"/>
  <c r="N26" i="20"/>
  <c r="N29" i="20"/>
  <c r="N28" i="20" s="1"/>
  <c r="N43" i="20"/>
  <c r="P71" i="20"/>
  <c r="M69" i="20"/>
  <c r="K79" i="20"/>
  <c r="I87" i="20"/>
  <c r="K87" i="20" s="1"/>
  <c r="K99" i="20"/>
  <c r="L184" i="20"/>
  <c r="O186" i="20"/>
  <c r="M187" i="16"/>
  <c r="P187" i="16" s="1"/>
  <c r="M135" i="18"/>
  <c r="P135" i="18" s="1"/>
  <c r="K370" i="18"/>
  <c r="P71" i="19"/>
  <c r="K87" i="19"/>
  <c r="I148" i="19"/>
  <c r="K148" i="19" s="1"/>
  <c r="L238" i="19"/>
  <c r="O238" i="19" s="1"/>
  <c r="O264" i="19"/>
  <c r="I592" i="19"/>
  <c r="K592" i="19" s="1"/>
  <c r="P25" i="20"/>
  <c r="M15" i="20"/>
  <c r="P49" i="20"/>
  <c r="M47" i="20"/>
  <c r="P47" i="20" s="1"/>
  <c r="K86" i="20"/>
  <c r="N90" i="20"/>
  <c r="L187" i="20"/>
  <c r="O187" i="20" s="1"/>
  <c r="O189" i="20"/>
  <c r="M263" i="20"/>
  <c r="N279" i="20"/>
  <c r="L12" i="20"/>
  <c r="P67" i="20"/>
  <c r="P74" i="20"/>
  <c r="M72" i="20"/>
  <c r="P72" i="20" s="1"/>
  <c r="O96" i="20"/>
  <c r="K100" i="20"/>
  <c r="P137" i="20"/>
  <c r="M135" i="20"/>
  <c r="P135" i="20" s="1"/>
  <c r="L168" i="20"/>
  <c r="O170" i="20"/>
  <c r="I174" i="20"/>
  <c r="K176" i="20"/>
  <c r="P182" i="20"/>
  <c r="P186" i="20"/>
  <c r="N184" i="20"/>
  <c r="P184" i="20" s="1"/>
  <c r="K255" i="20"/>
  <c r="I248" i="20"/>
  <c r="K248" i="20" s="1"/>
  <c r="O262" i="20"/>
  <c r="P278" i="20"/>
  <c r="L429" i="20"/>
  <c r="O429" i="20" s="1"/>
  <c r="L421" i="20"/>
  <c r="O421" i="20" s="1"/>
  <c r="O431" i="20"/>
  <c r="O470" i="20"/>
  <c r="P525" i="20"/>
  <c r="M523" i="20"/>
  <c r="P523" i="20" s="1"/>
  <c r="O58" i="20"/>
  <c r="I233" i="20"/>
  <c r="K233" i="20" s="1"/>
  <c r="M317" i="20"/>
  <c r="L318" i="20"/>
  <c r="O318" i="20" s="1"/>
  <c r="O320" i="20"/>
  <c r="K365" i="20"/>
  <c r="N414" i="20"/>
  <c r="L477" i="20"/>
  <c r="O477" i="20" s="1"/>
  <c r="L469" i="20"/>
  <c r="O469" i="20" s="1"/>
  <c r="O479" i="20"/>
  <c r="O524" i="20"/>
  <c r="L321" i="20"/>
  <c r="O321" i="20" s="1"/>
  <c r="O323" i="20"/>
  <c r="N526" i="20"/>
  <c r="K593" i="20"/>
  <c r="J592" i="20"/>
  <c r="K592" i="20" s="1"/>
  <c r="I197" i="20"/>
  <c r="K197" i="20" s="1"/>
  <c r="O316" i="20"/>
  <c r="M318" i="20"/>
  <c r="P318" i="20" s="1"/>
  <c r="O420" i="20"/>
  <c r="N470" i="20"/>
  <c r="K559" i="20"/>
  <c r="I543" i="20"/>
  <c r="K543" i="20" s="1"/>
  <c r="I237" i="20"/>
  <c r="L249" i="20"/>
  <c r="O249" i="20" s="1"/>
  <c r="M321" i="20"/>
  <c r="P321" i="20" s="1"/>
  <c r="M392" i="20"/>
  <c r="P392" i="20" s="1"/>
  <c r="P394" i="20"/>
  <c r="M395" i="20"/>
  <c r="P395" i="20" s="1"/>
  <c r="P397" i="20"/>
  <c r="O468" i="20"/>
  <c r="O632" i="20"/>
  <c r="K372" i="20"/>
  <c r="O390" i="20"/>
  <c r="O422" i="20"/>
  <c r="K594" i="20"/>
  <c r="O528" i="20"/>
  <c r="I628" i="20"/>
  <c r="K628" i="20" s="1"/>
  <c r="K675" i="20"/>
  <c r="M737" i="20"/>
  <c r="P737" i="20" s="1"/>
  <c r="M754" i="20"/>
  <c r="P754" i="20" s="1"/>
  <c r="M770" i="20"/>
  <c r="P770" i="20" s="1"/>
  <c r="L805" i="20"/>
  <c r="O805" i="20" s="1"/>
  <c r="N331" i="20"/>
  <c r="P331" i="20" s="1"/>
  <c r="O394" i="20"/>
  <c r="O397" i="20"/>
  <c r="O424" i="20"/>
  <c r="O472" i="20"/>
  <c r="L631" i="20"/>
  <c r="M786" i="20"/>
  <c r="P786" i="20" s="1"/>
  <c r="K800" i="20"/>
  <c r="M805" i="20"/>
  <c r="P805" i="20" s="1"/>
  <c r="L688" i="20"/>
  <c r="O688" i="20" s="1"/>
  <c r="O61" i="19"/>
  <c r="L59" i="19"/>
  <c r="O59" i="19" s="1"/>
  <c r="O186" i="19"/>
  <c r="L184" i="19"/>
  <c r="O184" i="19" s="1"/>
  <c r="L447" i="19"/>
  <c r="O447" i="19" s="1"/>
  <c r="L33" i="19"/>
  <c r="O33" i="19" s="1"/>
  <c r="O449" i="19"/>
  <c r="N90" i="19"/>
  <c r="P323" i="19"/>
  <c r="M321" i="19"/>
  <c r="P321" i="19" s="1"/>
  <c r="P353" i="19"/>
  <c r="J433" i="19"/>
  <c r="J417" i="19" s="1"/>
  <c r="M55" i="19"/>
  <c r="M53" i="19" s="1"/>
  <c r="M56" i="19"/>
  <c r="P56" i="19" s="1"/>
  <c r="N167" i="18"/>
  <c r="N165" i="18" s="1"/>
  <c r="N168" i="18"/>
  <c r="P168" i="18" s="1"/>
  <c r="O660" i="18"/>
  <c r="L657" i="18"/>
  <c r="O657" i="18" s="1"/>
  <c r="P124" i="19"/>
  <c r="M122" i="19"/>
  <c r="P122" i="19" s="1"/>
  <c r="P336" i="19"/>
  <c r="M334" i="19"/>
  <c r="P334" i="19" s="1"/>
  <c r="M43" i="18"/>
  <c r="M41" i="18" s="1"/>
  <c r="K372" i="18"/>
  <c r="L229" i="19"/>
  <c r="M279" i="19"/>
  <c r="L300" i="19"/>
  <c r="O300" i="19" s="1"/>
  <c r="O320" i="19"/>
  <c r="M351" i="19"/>
  <c r="K362" i="19"/>
  <c r="K651" i="19"/>
  <c r="K821" i="19"/>
  <c r="K824" i="19"/>
  <c r="K827" i="19"/>
  <c r="I112" i="19"/>
  <c r="K112" i="19" s="1"/>
  <c r="M134" i="19"/>
  <c r="P134" i="19" s="1"/>
  <c r="P184" i="19"/>
  <c r="L198" i="19"/>
  <c r="O198" i="19" s="1"/>
  <c r="M472" i="19"/>
  <c r="P472" i="19" s="1"/>
  <c r="L404" i="18"/>
  <c r="O404" i="18" s="1"/>
  <c r="M135" i="19"/>
  <c r="P135" i="19" s="1"/>
  <c r="L217" i="19"/>
  <c r="O217" i="19" s="1"/>
  <c r="M300" i="19"/>
  <c r="P300" i="19" s="1"/>
  <c r="O350" i="19"/>
  <c r="J364" i="19"/>
  <c r="M424" i="19"/>
  <c r="M422" i="19" s="1"/>
  <c r="P422" i="19" s="1"/>
  <c r="K569" i="19"/>
  <c r="L687" i="19"/>
  <c r="L685" i="19" s="1"/>
  <c r="O685" i="19" s="1"/>
  <c r="O170" i="18"/>
  <c r="M283" i="19"/>
  <c r="P283" i="19" s="1"/>
  <c r="O303" i="19"/>
  <c r="P350" i="19"/>
  <c r="L631" i="19"/>
  <c r="J721" i="19"/>
  <c r="M90" i="18"/>
  <c r="K362" i="18"/>
  <c r="M395" i="18"/>
  <c r="P395" i="18" s="1"/>
  <c r="L55" i="19"/>
  <c r="N183" i="19"/>
  <c r="N181" i="19" s="1"/>
  <c r="L228" i="19"/>
  <c r="M317" i="19"/>
  <c r="M315" i="19" s="1"/>
  <c r="P315" i="19" s="1"/>
  <c r="L317" i="19"/>
  <c r="O317" i="19" s="1"/>
  <c r="K823" i="19"/>
  <c r="N90" i="18"/>
  <c r="N88" i="18" s="1"/>
  <c r="M23" i="19"/>
  <c r="N23" i="19"/>
  <c r="M69" i="19"/>
  <c r="K79" i="19"/>
  <c r="O170" i="19"/>
  <c r="L167" i="19"/>
  <c r="L165" i="19" s="1"/>
  <c r="L231" i="19"/>
  <c r="L408" i="19"/>
  <c r="O408" i="19" s="1"/>
  <c r="L72" i="18"/>
  <c r="O72" i="18" s="1"/>
  <c r="M167" i="18"/>
  <c r="M165" i="18" s="1"/>
  <c r="M187" i="18"/>
  <c r="P187" i="18" s="1"/>
  <c r="L209" i="18"/>
  <c r="O209" i="18" s="1"/>
  <c r="I237" i="18"/>
  <c r="K237" i="18" s="1"/>
  <c r="L347" i="18"/>
  <c r="L345" i="18" s="1"/>
  <c r="P353" i="18"/>
  <c r="I364" i="18"/>
  <c r="M44" i="19"/>
  <c r="O46" i="19"/>
  <c r="N69" i="19"/>
  <c r="O69" i="19" s="1"/>
  <c r="M72" i="19"/>
  <c r="P72" i="19" s="1"/>
  <c r="N26" i="19"/>
  <c r="N24" i="19" s="1"/>
  <c r="P93" i="19"/>
  <c r="K100" i="19"/>
  <c r="L122" i="19"/>
  <c r="O122" i="19" s="1"/>
  <c r="L151" i="19"/>
  <c r="P186" i="19"/>
  <c r="M183" i="19"/>
  <c r="M181" i="19" s="1"/>
  <c r="I190" i="19"/>
  <c r="K190" i="19" s="1"/>
  <c r="K287" i="19"/>
  <c r="K338" i="19"/>
  <c r="J327" i="19"/>
  <c r="K327" i="19" s="1"/>
  <c r="K369" i="19"/>
  <c r="K372" i="19"/>
  <c r="L392" i="19"/>
  <c r="O392" i="19" s="1"/>
  <c r="O394" i="19"/>
  <c r="N404" i="19"/>
  <c r="N402" i="19" s="1"/>
  <c r="I442" i="19"/>
  <c r="K442" i="19" s="1"/>
  <c r="K822" i="19"/>
  <c r="K828" i="19"/>
  <c r="M152" i="18"/>
  <c r="P152" i="18" s="1"/>
  <c r="M404" i="18"/>
  <c r="P404" i="18" s="1"/>
  <c r="O93" i="19"/>
  <c r="O127" i="19"/>
  <c r="L152" i="19"/>
  <c r="O152" i="19" s="1"/>
  <c r="O157" i="19"/>
  <c r="O138" i="17"/>
  <c r="O56" i="18"/>
  <c r="L168" i="18"/>
  <c r="K340" i="18"/>
  <c r="I654" i="18"/>
  <c r="K654" i="18" s="1"/>
  <c r="O58" i="19"/>
  <c r="I130" i="19"/>
  <c r="K130" i="19" s="1"/>
  <c r="O137" i="19"/>
  <c r="L135" i="19"/>
  <c r="O135" i="19" s="1"/>
  <c r="N167" i="19"/>
  <c r="N165" i="19" s="1"/>
  <c r="O173" i="19"/>
  <c r="K224" i="19"/>
  <c r="I216" i="19"/>
  <c r="K216" i="19" s="1"/>
  <c r="I260" i="19"/>
  <c r="K260" i="19" s="1"/>
  <c r="L263" i="19"/>
  <c r="L261" i="19" s="1"/>
  <c r="L283" i="19"/>
  <c r="O283" i="19" s="1"/>
  <c r="O285" i="19"/>
  <c r="N301" i="19"/>
  <c r="M348" i="19"/>
  <c r="K438" i="19"/>
  <c r="I434" i="19"/>
  <c r="I418" i="19" s="1"/>
  <c r="K418" i="19" s="1"/>
  <c r="P140" i="17"/>
  <c r="I174" i="18"/>
  <c r="I164" i="18" s="1"/>
  <c r="K164" i="18" s="1"/>
  <c r="N263" i="18"/>
  <c r="N261" i="18" s="1"/>
  <c r="L43" i="19"/>
  <c r="L68" i="19"/>
  <c r="L66" i="19" s="1"/>
  <c r="I174" i="19"/>
  <c r="O266" i="19"/>
  <c r="O306" i="19"/>
  <c r="K325" i="19"/>
  <c r="I314" i="19"/>
  <c r="K314" i="19" s="1"/>
  <c r="O353" i="19"/>
  <c r="N351" i="19"/>
  <c r="K359" i="19"/>
  <c r="L469" i="19"/>
  <c r="L470" i="19"/>
  <c r="O470" i="19" s="1"/>
  <c r="K208" i="19"/>
  <c r="K340" i="19"/>
  <c r="K647" i="19"/>
  <c r="J722" i="19"/>
  <c r="K669" i="19"/>
  <c r="K378" i="19"/>
  <c r="K561" i="19"/>
  <c r="M171" i="19"/>
  <c r="P171" i="19" s="1"/>
  <c r="L209" i="19"/>
  <c r="O209" i="19" s="1"/>
  <c r="L347" i="19"/>
  <c r="K355" i="19"/>
  <c r="O422" i="19"/>
  <c r="K649" i="19"/>
  <c r="L230" i="17"/>
  <c r="M347" i="17"/>
  <c r="M345" i="17" s="1"/>
  <c r="M134" i="18"/>
  <c r="P134" i="18" s="1"/>
  <c r="K146" i="18"/>
  <c r="L152" i="18"/>
  <c r="O152" i="18" s="1"/>
  <c r="L167" i="18"/>
  <c r="L165" i="18" s="1"/>
  <c r="P173" i="18"/>
  <c r="L187" i="18"/>
  <c r="O187" i="18" s="1"/>
  <c r="L301" i="18"/>
  <c r="O301" i="18" s="1"/>
  <c r="O456" i="18"/>
  <c r="I785" i="18"/>
  <c r="N28" i="19"/>
  <c r="K193" i="16"/>
  <c r="P264" i="17"/>
  <c r="L429" i="17"/>
  <c r="O429" i="17" s="1"/>
  <c r="J722" i="17"/>
  <c r="K722" i="17" s="1"/>
  <c r="M72" i="18"/>
  <c r="P72" i="18" s="1"/>
  <c r="M267" i="18"/>
  <c r="P267" i="18" s="1"/>
  <c r="L395" i="18"/>
  <c r="O395" i="18" s="1"/>
  <c r="K465" i="18"/>
  <c r="L526" i="18"/>
  <c r="O526" i="18" s="1"/>
  <c r="P29" i="19"/>
  <c r="M152" i="16"/>
  <c r="P152" i="16" s="1"/>
  <c r="N43" i="18"/>
  <c r="N41" i="18" s="1"/>
  <c r="M138" i="18"/>
  <c r="P138" i="18" s="1"/>
  <c r="L229" i="18"/>
  <c r="L788" i="18"/>
  <c r="O788" i="18" s="1"/>
  <c r="P135" i="17"/>
  <c r="K701" i="17"/>
  <c r="M449" i="18"/>
  <c r="M446" i="18" s="1"/>
  <c r="P446" i="18" s="1"/>
  <c r="O472" i="18"/>
  <c r="L658" i="18"/>
  <c r="O658" i="18" s="1"/>
  <c r="L55" i="18"/>
  <c r="L53" i="18" s="1"/>
  <c r="P184" i="18"/>
  <c r="I314" i="18"/>
  <c r="K314" i="18" s="1"/>
  <c r="O449" i="18"/>
  <c r="K700" i="18"/>
  <c r="N19" i="19"/>
  <c r="N12" i="19"/>
  <c r="L29" i="19"/>
  <c r="N30" i="19"/>
  <c r="N34" i="19"/>
  <c r="P35" i="19"/>
  <c r="N44" i="19"/>
  <c r="P46" i="19"/>
  <c r="O71" i="19"/>
  <c r="I76" i="19"/>
  <c r="J86" i="19"/>
  <c r="K86" i="19" s="1"/>
  <c r="L90" i="19"/>
  <c r="N91" i="19"/>
  <c r="N151" i="19"/>
  <c r="N149" i="19" s="1"/>
  <c r="P157" i="19"/>
  <c r="M155" i="19"/>
  <c r="P155" i="19" s="1"/>
  <c r="K204" i="19"/>
  <c r="I197" i="19"/>
  <c r="K197" i="19" s="1"/>
  <c r="K215" i="19"/>
  <c r="N263" i="19"/>
  <c r="P269" i="19"/>
  <c r="M267" i="19"/>
  <c r="P267" i="19" s="1"/>
  <c r="L279" i="19"/>
  <c r="O299" i="19"/>
  <c r="L321" i="19"/>
  <c r="O321" i="19" s="1"/>
  <c r="O323" i="19"/>
  <c r="L72" i="19"/>
  <c r="O72" i="19" s="1"/>
  <c r="P127" i="19"/>
  <c r="M121" i="19"/>
  <c r="L183" i="19"/>
  <c r="P299" i="19"/>
  <c r="O390" i="19"/>
  <c r="L395" i="19"/>
  <c r="O395" i="19" s="1"/>
  <c r="O397" i="19"/>
  <c r="L391" i="19"/>
  <c r="O391" i="19" s="1"/>
  <c r="P154" i="19"/>
  <c r="M152" i="19"/>
  <c r="P152" i="19" s="1"/>
  <c r="P266" i="19"/>
  <c r="M264" i="19"/>
  <c r="P264" i="19" s="1"/>
  <c r="I364" i="19"/>
  <c r="K374" i="19"/>
  <c r="L12" i="19"/>
  <c r="L15" i="19"/>
  <c r="P58" i="19"/>
  <c r="N135" i="19"/>
  <c r="N134" i="19"/>
  <c r="N132" i="19" s="1"/>
  <c r="P150" i="19"/>
  <c r="O166" i="19"/>
  <c r="O182" i="19"/>
  <c r="P262" i="19"/>
  <c r="O329" i="19"/>
  <c r="P333" i="19"/>
  <c r="M330" i="19"/>
  <c r="M12" i="19"/>
  <c r="L26" i="19"/>
  <c r="L121" i="19"/>
  <c r="L168" i="19"/>
  <c r="O168" i="19" s="1"/>
  <c r="P170" i="19"/>
  <c r="M167" i="19"/>
  <c r="I233" i="19"/>
  <c r="K233" i="19" s="1"/>
  <c r="K255" i="19"/>
  <c r="N280" i="19"/>
  <c r="N279" i="19"/>
  <c r="N277" i="19" s="1"/>
  <c r="P306" i="19"/>
  <c r="M304" i="19"/>
  <c r="P304" i="19" s="1"/>
  <c r="P329" i="19"/>
  <c r="M26" i="19"/>
  <c r="P32" i="19"/>
  <c r="L23" i="19"/>
  <c r="M68" i="19"/>
  <c r="N121" i="19"/>
  <c r="N119" i="19" s="1"/>
  <c r="L134" i="19"/>
  <c r="L138" i="19"/>
  <c r="O138" i="19" s="1"/>
  <c r="M151" i="19"/>
  <c r="P151" i="19" s="1"/>
  <c r="M168" i="19"/>
  <c r="P168" i="19" s="1"/>
  <c r="M263" i="19"/>
  <c r="O282" i="19"/>
  <c r="N317" i="19"/>
  <c r="N315" i="19" s="1"/>
  <c r="O336" i="19"/>
  <c r="L330" i="19"/>
  <c r="O346" i="19"/>
  <c r="L230" i="19"/>
  <c r="P320" i="19"/>
  <c r="M318" i="19"/>
  <c r="P318" i="19" s="1"/>
  <c r="K365" i="19"/>
  <c r="K370" i="19"/>
  <c r="P420" i="19"/>
  <c r="L429" i="19"/>
  <c r="O429" i="19" s="1"/>
  <c r="L421" i="19"/>
  <c r="O431" i="19"/>
  <c r="M502" i="19"/>
  <c r="P502" i="19" s="1"/>
  <c r="P503" i="19"/>
  <c r="O445" i="19"/>
  <c r="P390" i="19"/>
  <c r="O407" i="19"/>
  <c r="L404" i="19"/>
  <c r="P445" i="19"/>
  <c r="N547" i="19"/>
  <c r="N546" i="19"/>
  <c r="N544" i="19" s="1"/>
  <c r="O557" i="19"/>
  <c r="L555" i="19"/>
  <c r="O555" i="19" s="1"/>
  <c r="L546" i="19"/>
  <c r="P407" i="19"/>
  <c r="M404" i="19"/>
  <c r="P404" i="19" s="1"/>
  <c r="M405" i="19"/>
  <c r="P405" i="19" s="1"/>
  <c r="P303" i="19"/>
  <c r="M301" i="19"/>
  <c r="P301" i="19" s="1"/>
  <c r="O316" i="19"/>
  <c r="P468" i="19"/>
  <c r="O503" i="19"/>
  <c r="L502" i="19"/>
  <c r="O502" i="19" s="1"/>
  <c r="L526" i="19"/>
  <c r="O526" i="19" s="1"/>
  <c r="O528" i="19"/>
  <c r="L525" i="19"/>
  <c r="K576" i="19"/>
  <c r="J559" i="19"/>
  <c r="J543" i="19" s="1"/>
  <c r="M391" i="19"/>
  <c r="P391" i="19" s="1"/>
  <c r="I433" i="19"/>
  <c r="L446" i="19"/>
  <c r="O446" i="19" s="1"/>
  <c r="M449" i="19"/>
  <c r="M549" i="19"/>
  <c r="L547" i="19"/>
  <c r="O547" i="19" s="1"/>
  <c r="O549" i="19"/>
  <c r="K594" i="19"/>
  <c r="P738" i="19"/>
  <c r="M737" i="19"/>
  <c r="P737" i="19" s="1"/>
  <c r="P771" i="19"/>
  <c r="M770" i="19"/>
  <c r="P770" i="19" s="1"/>
  <c r="P788" i="19"/>
  <c r="M786" i="19"/>
  <c r="P786" i="19" s="1"/>
  <c r="P807" i="19"/>
  <c r="M805" i="19"/>
  <c r="P805" i="19" s="1"/>
  <c r="O787" i="19"/>
  <c r="I785" i="19"/>
  <c r="K785" i="19" s="1"/>
  <c r="K800" i="19"/>
  <c r="O806" i="19"/>
  <c r="L805" i="19"/>
  <c r="O805" i="19" s="1"/>
  <c r="P545" i="19"/>
  <c r="K559" i="19"/>
  <c r="I543" i="19"/>
  <c r="K543" i="19" s="1"/>
  <c r="P686" i="19"/>
  <c r="P755" i="19"/>
  <c r="M754" i="19"/>
  <c r="P754" i="19" s="1"/>
  <c r="O333" i="19"/>
  <c r="N444" i="19"/>
  <c r="N414" i="19" s="1"/>
  <c r="K465" i="19"/>
  <c r="I522" i="19"/>
  <c r="K522" i="19" s="1"/>
  <c r="J537" i="19"/>
  <c r="J522" i="19" s="1"/>
  <c r="J654" i="19"/>
  <c r="L658" i="19"/>
  <c r="O658" i="19" s="1"/>
  <c r="O660" i="19"/>
  <c r="M660" i="19"/>
  <c r="N789" i="19"/>
  <c r="O657" i="19"/>
  <c r="L655" i="19"/>
  <c r="O655" i="19" s="1"/>
  <c r="I628" i="19"/>
  <c r="K628" i="19" s="1"/>
  <c r="P630" i="19"/>
  <c r="L632" i="19"/>
  <c r="O632" i="19" s="1"/>
  <c r="L639" i="19"/>
  <c r="O639" i="19" s="1"/>
  <c r="K675" i="19"/>
  <c r="M634" i="19"/>
  <c r="K672" i="19"/>
  <c r="L688" i="19"/>
  <c r="O688" i="19" s="1"/>
  <c r="M690" i="19"/>
  <c r="I654" i="19"/>
  <c r="K654" i="19" s="1"/>
  <c r="O479" i="18"/>
  <c r="L469" i="18"/>
  <c r="N125" i="18"/>
  <c r="N121" i="18"/>
  <c r="N119" i="18" s="1"/>
  <c r="K287" i="18"/>
  <c r="I276" i="18"/>
  <c r="K276" i="18" s="1"/>
  <c r="P58" i="18"/>
  <c r="M55" i="18"/>
  <c r="M53" i="18" s="1"/>
  <c r="N59" i="18"/>
  <c r="O59" i="18" s="1"/>
  <c r="N55" i="18"/>
  <c r="J143" i="18"/>
  <c r="J131" i="18" s="1"/>
  <c r="K144" i="18"/>
  <c r="K271" i="18"/>
  <c r="I260" i="18"/>
  <c r="K260" i="18" s="1"/>
  <c r="N134" i="14"/>
  <c r="N132" i="14" s="1"/>
  <c r="J722" i="15"/>
  <c r="M634" i="18"/>
  <c r="M631" i="18" s="1"/>
  <c r="P631" i="18" s="1"/>
  <c r="L632" i="18"/>
  <c r="O632" i="18" s="1"/>
  <c r="L33" i="18"/>
  <c r="L31" i="18" s="1"/>
  <c r="O31" i="18" s="1"/>
  <c r="O49" i="18"/>
  <c r="L47" i="18"/>
  <c r="O47" i="18" s="1"/>
  <c r="M300" i="16"/>
  <c r="M298" i="16" s="1"/>
  <c r="J721" i="16"/>
  <c r="N90" i="17"/>
  <c r="N88" i="17" s="1"/>
  <c r="M330" i="17"/>
  <c r="M328" i="17" s="1"/>
  <c r="K628" i="17"/>
  <c r="P46" i="18"/>
  <c r="M26" i="18"/>
  <c r="M24" i="18" s="1"/>
  <c r="O71" i="18"/>
  <c r="M304" i="18"/>
  <c r="P304" i="18" s="1"/>
  <c r="L318" i="18"/>
  <c r="O318" i="18" s="1"/>
  <c r="L321" i="18"/>
  <c r="O321" i="18" s="1"/>
  <c r="K649" i="18"/>
  <c r="L687" i="18"/>
  <c r="L685" i="18" s="1"/>
  <c r="O685" i="18" s="1"/>
  <c r="K801" i="18"/>
  <c r="K822" i="18"/>
  <c r="K828" i="18"/>
  <c r="K362" i="17"/>
  <c r="O69" i="18"/>
  <c r="P71" i="18"/>
  <c r="P170" i="18"/>
  <c r="L183" i="18"/>
  <c r="L181" i="18" s="1"/>
  <c r="O186" i="18"/>
  <c r="P323" i="18"/>
  <c r="P333" i="18"/>
  <c r="K378" i="18"/>
  <c r="M391" i="18"/>
  <c r="M389" i="18" s="1"/>
  <c r="P389" i="18" s="1"/>
  <c r="O266" i="17"/>
  <c r="J721" i="17"/>
  <c r="K721" i="17" s="1"/>
  <c r="P69" i="18"/>
  <c r="N68" i="18"/>
  <c r="N66" i="18" s="1"/>
  <c r="O184" i="18"/>
  <c r="M263" i="18"/>
  <c r="M261" i="18" s="1"/>
  <c r="P266" i="18"/>
  <c r="K647" i="18"/>
  <c r="K823" i="18"/>
  <c r="M134" i="17"/>
  <c r="M132" i="17" s="1"/>
  <c r="K728" i="17"/>
  <c r="K647" i="17"/>
  <c r="K725" i="17"/>
  <c r="P61" i="18"/>
  <c r="P127" i="18"/>
  <c r="N300" i="18"/>
  <c r="N298" i="18" s="1"/>
  <c r="L317" i="18"/>
  <c r="L470" i="18"/>
  <c r="O470" i="18" s="1"/>
  <c r="K673" i="18"/>
  <c r="O641" i="18"/>
  <c r="L639" i="18"/>
  <c r="O639" i="18" s="1"/>
  <c r="L631" i="18"/>
  <c r="L629" i="18" s="1"/>
  <c r="N134" i="13"/>
  <c r="N132" i="13" s="1"/>
  <c r="N347" i="17"/>
  <c r="N345" i="17" s="1"/>
  <c r="L404" i="17"/>
  <c r="O404" i="17" s="1"/>
  <c r="M47" i="18"/>
  <c r="P47" i="18" s="1"/>
  <c r="L68" i="18"/>
  <c r="L66" i="18" s="1"/>
  <c r="M91" i="18"/>
  <c r="N279" i="18"/>
  <c r="N277" i="18" s="1"/>
  <c r="N280" i="18"/>
  <c r="P280" i="18" s="1"/>
  <c r="P320" i="18"/>
  <c r="M317" i="18"/>
  <c r="M59" i="13"/>
  <c r="P59" i="13" s="1"/>
  <c r="I276" i="16"/>
  <c r="K276" i="16" s="1"/>
  <c r="N391" i="16"/>
  <c r="N389" i="16" s="1"/>
  <c r="L264" i="17"/>
  <c r="O264" i="17" s="1"/>
  <c r="O690" i="17"/>
  <c r="L36" i="18"/>
  <c r="L34" i="18" s="1"/>
  <c r="O34" i="18" s="1"/>
  <c r="L23" i="18"/>
  <c r="L21" i="18" s="1"/>
  <c r="P49" i="18"/>
  <c r="M68" i="18"/>
  <c r="N91" i="18"/>
  <c r="O91" i="18" s="1"/>
  <c r="P93" i="18"/>
  <c r="K204" i="18"/>
  <c r="I197" i="18"/>
  <c r="K197" i="18" s="1"/>
  <c r="N404" i="18"/>
  <c r="N402" i="18" s="1"/>
  <c r="L405" i="15"/>
  <c r="O405" i="15" s="1"/>
  <c r="L171" i="17"/>
  <c r="O171" i="17" s="1"/>
  <c r="M317" i="17"/>
  <c r="P317" i="17" s="1"/>
  <c r="M321" i="17"/>
  <c r="P321" i="17" s="1"/>
  <c r="M331" i="17"/>
  <c r="M334" i="17"/>
  <c r="P334" i="17" s="1"/>
  <c r="N391" i="17"/>
  <c r="N389" i="17" s="1"/>
  <c r="K669" i="17"/>
  <c r="L687" i="17"/>
  <c r="L685" i="17" s="1"/>
  <c r="O685" i="17" s="1"/>
  <c r="M23" i="18"/>
  <c r="L44" i="18"/>
  <c r="O44" i="18" s="1"/>
  <c r="M94" i="18"/>
  <c r="P94" i="18" s="1"/>
  <c r="N151" i="18"/>
  <c r="N149" i="18" s="1"/>
  <c r="N152" i="18"/>
  <c r="P186" i="18"/>
  <c r="M183" i="18"/>
  <c r="O266" i="18"/>
  <c r="L264" i="18"/>
  <c r="O264" i="18" s="1"/>
  <c r="M318" i="18"/>
  <c r="P318" i="18" s="1"/>
  <c r="I434" i="18"/>
  <c r="L122" i="17"/>
  <c r="O122" i="17" s="1"/>
  <c r="N134" i="17"/>
  <c r="N132" i="17" s="1"/>
  <c r="M280" i="17"/>
  <c r="P280" i="17" s="1"/>
  <c r="O353" i="17"/>
  <c r="K359" i="17"/>
  <c r="O535" i="17"/>
  <c r="N23" i="18"/>
  <c r="N21" i="18" s="1"/>
  <c r="M44" i="18"/>
  <c r="P44" i="18" s="1"/>
  <c r="M56" i="18"/>
  <c r="P56" i="18" s="1"/>
  <c r="M59" i="18"/>
  <c r="M125" i="18"/>
  <c r="L138" i="18"/>
  <c r="O138" i="18" s="1"/>
  <c r="N183" i="18"/>
  <c r="N181" i="18" s="1"/>
  <c r="I443" i="18"/>
  <c r="K443" i="18" s="1"/>
  <c r="K462" i="18"/>
  <c r="P44" i="16"/>
  <c r="P280" i="16"/>
  <c r="K338" i="16"/>
  <c r="O69" i="17"/>
  <c r="L229" i="17"/>
  <c r="L267" i="17"/>
  <c r="O267" i="17" s="1"/>
  <c r="L43" i="18"/>
  <c r="O93" i="18"/>
  <c r="L230" i="18"/>
  <c r="L249" i="18"/>
  <c r="O249" i="18" s="1"/>
  <c r="L231" i="18"/>
  <c r="M300" i="18"/>
  <c r="P300" i="18" s="1"/>
  <c r="N330" i="18"/>
  <c r="N328" i="18" s="1"/>
  <c r="M347" i="18"/>
  <c r="O350" i="18"/>
  <c r="K365" i="18"/>
  <c r="O394" i="18"/>
  <c r="L171" i="18"/>
  <c r="O171" i="18" s="1"/>
  <c r="L198" i="18"/>
  <c r="O198" i="18" s="1"/>
  <c r="I216" i="18"/>
  <c r="K216" i="18" s="1"/>
  <c r="M264" i="18"/>
  <c r="P264" i="18" s="1"/>
  <c r="N347" i="18"/>
  <c r="N345" i="18" s="1"/>
  <c r="P350" i="18"/>
  <c r="O353" i="18"/>
  <c r="L391" i="18"/>
  <c r="P394" i="18"/>
  <c r="K821" i="18"/>
  <c r="K824" i="18"/>
  <c r="K827" i="18"/>
  <c r="L134" i="18"/>
  <c r="I190" i="18"/>
  <c r="K190" i="18" s="1"/>
  <c r="L217" i="18"/>
  <c r="O217" i="18" s="1"/>
  <c r="P348" i="18"/>
  <c r="K537" i="18"/>
  <c r="O127" i="18"/>
  <c r="L238" i="18"/>
  <c r="O238" i="18" s="1"/>
  <c r="M301" i="18"/>
  <c r="P301" i="18" s="1"/>
  <c r="J327" i="18"/>
  <c r="K327" i="18" s="1"/>
  <c r="M351" i="18"/>
  <c r="P351" i="18" s="1"/>
  <c r="K359" i="18"/>
  <c r="K385" i="18"/>
  <c r="L421" i="18"/>
  <c r="L419" i="18" s="1"/>
  <c r="P282" i="18"/>
  <c r="K338" i="18"/>
  <c r="K355" i="18"/>
  <c r="K360" i="18"/>
  <c r="K369" i="18"/>
  <c r="K374" i="18"/>
  <c r="O557" i="18"/>
  <c r="K674" i="18"/>
  <c r="N9" i="18"/>
  <c r="K340" i="16"/>
  <c r="O44" i="17"/>
  <c r="M94" i="17"/>
  <c r="P94" i="17" s="1"/>
  <c r="N151" i="17"/>
  <c r="N149" i="17" s="1"/>
  <c r="M171" i="17"/>
  <c r="P171" i="17" s="1"/>
  <c r="K271" i="17"/>
  <c r="M391" i="17"/>
  <c r="P391" i="17" s="1"/>
  <c r="O58" i="18"/>
  <c r="O61" i="18"/>
  <c r="L122" i="18"/>
  <c r="O122" i="18" s="1"/>
  <c r="O329" i="18"/>
  <c r="J592" i="18"/>
  <c r="K593" i="18"/>
  <c r="M72" i="17"/>
  <c r="P72" i="17" s="1"/>
  <c r="M187" i="17"/>
  <c r="P187" i="17" s="1"/>
  <c r="M392" i="17"/>
  <c r="P392" i="17" s="1"/>
  <c r="L26" i="18"/>
  <c r="M34" i="18"/>
  <c r="P34" i="18" s="1"/>
  <c r="I76" i="18"/>
  <c r="L90" i="18"/>
  <c r="M122" i="18"/>
  <c r="P122" i="18" s="1"/>
  <c r="K145" i="18"/>
  <c r="I143" i="18"/>
  <c r="L155" i="18"/>
  <c r="O155" i="18" s="1"/>
  <c r="I208" i="18"/>
  <c r="K208" i="18" s="1"/>
  <c r="K225" i="18"/>
  <c r="L267" i="18"/>
  <c r="O267" i="18" s="1"/>
  <c r="M279" i="18"/>
  <c r="L280" i="18"/>
  <c r="O282" i="18"/>
  <c r="J288" i="18"/>
  <c r="J275" i="18" s="1"/>
  <c r="I275" i="18"/>
  <c r="I297" i="18"/>
  <c r="K297" i="18" s="1"/>
  <c r="O44" i="16"/>
  <c r="N300" i="16"/>
  <c r="M391" i="16"/>
  <c r="P391" i="16" s="1"/>
  <c r="M138" i="17"/>
  <c r="P138" i="17" s="1"/>
  <c r="M395" i="17"/>
  <c r="P395" i="17" s="1"/>
  <c r="P397" i="17"/>
  <c r="K462" i="17"/>
  <c r="L525" i="17"/>
  <c r="O525" i="17" s="1"/>
  <c r="L12" i="18"/>
  <c r="L19" i="18"/>
  <c r="L94" i="18"/>
  <c r="O94" i="18" s="1"/>
  <c r="L125" i="18"/>
  <c r="L151" i="18"/>
  <c r="O151" i="18" s="1"/>
  <c r="M155" i="18"/>
  <c r="P155" i="18" s="1"/>
  <c r="K255" i="18"/>
  <c r="I248" i="18"/>
  <c r="K248" i="18" s="1"/>
  <c r="I233" i="18"/>
  <c r="K233" i="18" s="1"/>
  <c r="L263" i="18"/>
  <c r="L283" i="18"/>
  <c r="O283" i="18" s="1"/>
  <c r="O285" i="18"/>
  <c r="M395" i="16"/>
  <c r="P395" i="16" s="1"/>
  <c r="P170" i="17"/>
  <c r="L301" i="17"/>
  <c r="O301" i="17" s="1"/>
  <c r="K340" i="17"/>
  <c r="M404" i="17"/>
  <c r="M12" i="18"/>
  <c r="M19" i="18"/>
  <c r="N26" i="18"/>
  <c r="O46" i="18"/>
  <c r="L121" i="18"/>
  <c r="M151" i="18"/>
  <c r="P151" i="18" s="1"/>
  <c r="O278" i="18"/>
  <c r="L300" i="18"/>
  <c r="O300" i="18" s="1"/>
  <c r="K708" i="16"/>
  <c r="M26" i="17"/>
  <c r="M24" i="17" s="1"/>
  <c r="L134" i="17"/>
  <c r="L132" i="17" s="1"/>
  <c r="K826" i="17"/>
  <c r="K100" i="18"/>
  <c r="M121" i="18"/>
  <c r="N134" i="18"/>
  <c r="N132" i="18" s="1"/>
  <c r="I148" i="18"/>
  <c r="K148" i="18" s="1"/>
  <c r="O150" i="18"/>
  <c r="L228" i="18"/>
  <c r="M283" i="18"/>
  <c r="P283" i="18" s="1"/>
  <c r="N318" i="18"/>
  <c r="N317" i="18"/>
  <c r="N315" i="18" s="1"/>
  <c r="I86" i="18"/>
  <c r="K86" i="18" s="1"/>
  <c r="K98" i="18"/>
  <c r="O120" i="18"/>
  <c r="P331" i="18"/>
  <c r="P336" i="18"/>
  <c r="M330" i="18"/>
  <c r="I112" i="18"/>
  <c r="K112" i="18" s="1"/>
  <c r="L348" i="18"/>
  <c r="O348" i="18" s="1"/>
  <c r="L408" i="18"/>
  <c r="O408" i="18" s="1"/>
  <c r="O410" i="18"/>
  <c r="K592" i="18"/>
  <c r="K669" i="18"/>
  <c r="N740" i="18"/>
  <c r="L331" i="18"/>
  <c r="O331" i="18" s="1"/>
  <c r="O333" i="18"/>
  <c r="N391" i="18"/>
  <c r="N389" i="18" s="1"/>
  <c r="O403" i="18"/>
  <c r="M405" i="18"/>
  <c r="P405" i="18" s="1"/>
  <c r="O424" i="18"/>
  <c r="P445" i="18"/>
  <c r="M469" i="18"/>
  <c r="M470" i="18"/>
  <c r="P470" i="18" s="1"/>
  <c r="L547" i="18"/>
  <c r="O547" i="18" s="1"/>
  <c r="O549" i="18"/>
  <c r="I559" i="18"/>
  <c r="K576" i="18"/>
  <c r="O690" i="18"/>
  <c r="N737" i="18"/>
  <c r="O755" i="18"/>
  <c r="L754" i="18"/>
  <c r="O754" i="18" s="1"/>
  <c r="P806" i="18"/>
  <c r="M805" i="18"/>
  <c r="P805" i="18" s="1"/>
  <c r="I77" i="18"/>
  <c r="L334" i="18"/>
  <c r="O334" i="18" s="1"/>
  <c r="O336" i="18"/>
  <c r="L351" i="18"/>
  <c r="O351" i="18" s="1"/>
  <c r="J364" i="18"/>
  <c r="K379" i="18"/>
  <c r="K381" i="18"/>
  <c r="M408" i="18"/>
  <c r="P408" i="18" s="1"/>
  <c r="N419" i="18"/>
  <c r="K435" i="18"/>
  <c r="J433" i="18"/>
  <c r="J417" i="18" s="1"/>
  <c r="K417" i="18" s="1"/>
  <c r="N444" i="18"/>
  <c r="J537" i="18"/>
  <c r="J522" i="18" s="1"/>
  <c r="K538" i="18"/>
  <c r="M549" i="18"/>
  <c r="N631" i="18"/>
  <c r="M687" i="18"/>
  <c r="P687" i="18" s="1"/>
  <c r="N757" i="18"/>
  <c r="N805" i="18"/>
  <c r="K568" i="18"/>
  <c r="K577" i="18"/>
  <c r="M688" i="18"/>
  <c r="P688" i="18" s="1"/>
  <c r="N754" i="18"/>
  <c r="O771" i="18"/>
  <c r="L770" i="18"/>
  <c r="O770" i="18" s="1"/>
  <c r="O535" i="18"/>
  <c r="L525" i="18"/>
  <c r="O525" i="18" s="1"/>
  <c r="P555" i="18"/>
  <c r="M545" i="18"/>
  <c r="O686" i="18"/>
  <c r="L405" i="18"/>
  <c r="O405" i="18" s="1"/>
  <c r="O407" i="18"/>
  <c r="M421" i="18"/>
  <c r="M422" i="18"/>
  <c r="P422" i="18" s="1"/>
  <c r="P424" i="18"/>
  <c r="L533" i="18"/>
  <c r="O533" i="18" s="1"/>
  <c r="O545" i="18"/>
  <c r="L544" i="18"/>
  <c r="O544" i="18" s="1"/>
  <c r="O634" i="18"/>
  <c r="K651" i="18"/>
  <c r="I628" i="18"/>
  <c r="K628" i="18" s="1"/>
  <c r="O738" i="18"/>
  <c r="L737" i="18"/>
  <c r="O737" i="18" s="1"/>
  <c r="O791" i="18"/>
  <c r="M791" i="18"/>
  <c r="L422" i="18"/>
  <c r="O422" i="18" s="1"/>
  <c r="L429" i="18"/>
  <c r="O429" i="18" s="1"/>
  <c r="M660" i="18"/>
  <c r="K675" i="18"/>
  <c r="M737" i="18"/>
  <c r="P737" i="18" s="1"/>
  <c r="M754" i="18"/>
  <c r="P754" i="18" s="1"/>
  <c r="M770" i="18"/>
  <c r="P770" i="18" s="1"/>
  <c r="L688" i="18"/>
  <c r="O688" i="18" s="1"/>
  <c r="M347" i="16"/>
  <c r="M345" i="16" s="1"/>
  <c r="N91" i="17"/>
  <c r="P91" i="17" s="1"/>
  <c r="P93" i="17"/>
  <c r="L90" i="17"/>
  <c r="I112" i="17"/>
  <c r="K112" i="17" s="1"/>
  <c r="J143" i="17"/>
  <c r="J131" i="17" s="1"/>
  <c r="I190" i="17"/>
  <c r="K190" i="17" s="1"/>
  <c r="I276" i="17"/>
  <c r="K276" i="17" s="1"/>
  <c r="M318" i="17"/>
  <c r="P318" i="17" s="1"/>
  <c r="L447" i="17"/>
  <c r="O447" i="17" s="1"/>
  <c r="O449" i="17"/>
  <c r="L230" i="16"/>
  <c r="M405" i="16"/>
  <c r="P405" i="16" s="1"/>
  <c r="N26" i="17"/>
  <c r="N16" i="17" s="1"/>
  <c r="M69" i="17"/>
  <c r="P69" i="17" s="1"/>
  <c r="L300" i="17"/>
  <c r="O300" i="17" s="1"/>
  <c r="L321" i="17"/>
  <c r="O321" i="17" s="1"/>
  <c r="J364" i="17"/>
  <c r="L788" i="4"/>
  <c r="O788" i="4" s="1"/>
  <c r="O44" i="15"/>
  <c r="M321" i="16"/>
  <c r="P321" i="16" s="1"/>
  <c r="L26" i="17"/>
  <c r="L24" i="17" s="1"/>
  <c r="N167" i="17"/>
  <c r="N165" i="17" s="1"/>
  <c r="I314" i="17"/>
  <c r="K314" i="17" s="1"/>
  <c r="K372" i="17"/>
  <c r="O456" i="17"/>
  <c r="I522" i="17"/>
  <c r="K522" i="17" s="1"/>
  <c r="L546" i="17"/>
  <c r="L544" i="17" s="1"/>
  <c r="O544" i="17" s="1"/>
  <c r="I654" i="17"/>
  <c r="K654" i="17" s="1"/>
  <c r="K720" i="17"/>
  <c r="O280" i="15"/>
  <c r="N317" i="15"/>
  <c r="N315" i="15" s="1"/>
  <c r="K338" i="15"/>
  <c r="O93" i="17"/>
  <c r="L121" i="17"/>
  <c r="N183" i="17"/>
  <c r="N181" i="17" s="1"/>
  <c r="M279" i="17"/>
  <c r="M277" i="17" s="1"/>
  <c r="L639" i="4"/>
  <c r="O639" i="4" s="1"/>
  <c r="L121" i="16"/>
  <c r="O121" i="16" s="1"/>
  <c r="I260" i="16"/>
  <c r="K260" i="16" s="1"/>
  <c r="L23" i="17"/>
  <c r="L21" i="17" s="1"/>
  <c r="L91" i="17"/>
  <c r="M90" i="17"/>
  <c r="I143" i="17"/>
  <c r="N184" i="17"/>
  <c r="L187" i="17"/>
  <c r="O187" i="17" s="1"/>
  <c r="L317" i="17"/>
  <c r="J327" i="17"/>
  <c r="K327" i="17" s="1"/>
  <c r="K378" i="17"/>
  <c r="K385" i="17"/>
  <c r="K828" i="17"/>
  <c r="K237" i="17"/>
  <c r="O479" i="17"/>
  <c r="L477" i="17"/>
  <c r="O477" i="17" s="1"/>
  <c r="I314" i="14"/>
  <c r="K314" i="14" s="1"/>
  <c r="M68" i="16"/>
  <c r="P68" i="16" s="1"/>
  <c r="L167" i="16"/>
  <c r="L165" i="16" s="1"/>
  <c r="L279" i="16"/>
  <c r="L277" i="16" s="1"/>
  <c r="L43" i="17"/>
  <c r="L41" i="17" s="1"/>
  <c r="L47" i="17"/>
  <c r="O47" i="17" s="1"/>
  <c r="K99" i="17"/>
  <c r="M125" i="17"/>
  <c r="P125" i="17" s="1"/>
  <c r="L168" i="17"/>
  <c r="O168" i="17" s="1"/>
  <c r="K176" i="17"/>
  <c r="K244" i="17"/>
  <c r="M283" i="17"/>
  <c r="P283" i="17" s="1"/>
  <c r="L304" i="17"/>
  <c r="O304" i="17" s="1"/>
  <c r="N317" i="17"/>
  <c r="N315" i="17" s="1"/>
  <c r="L330" i="17"/>
  <c r="L328" i="17" s="1"/>
  <c r="K338" i="17"/>
  <c r="L351" i="17"/>
  <c r="O351" i="17" s="1"/>
  <c r="O394" i="17"/>
  <c r="L391" i="17"/>
  <c r="L421" i="17"/>
  <c r="L419" i="17" s="1"/>
  <c r="L469" i="17"/>
  <c r="O469" i="17" s="1"/>
  <c r="I559" i="17"/>
  <c r="I543" i="17" s="1"/>
  <c r="K543" i="17" s="1"/>
  <c r="L631" i="17"/>
  <c r="N90" i="15"/>
  <c r="N88" i="15" s="1"/>
  <c r="M151" i="15"/>
  <c r="M149" i="15" s="1"/>
  <c r="J785" i="15"/>
  <c r="M69" i="16"/>
  <c r="P69" i="16" s="1"/>
  <c r="M167" i="16"/>
  <c r="M165" i="16" s="1"/>
  <c r="K537" i="16"/>
  <c r="L631" i="16"/>
  <c r="L629" i="16" s="1"/>
  <c r="O629" i="16" s="1"/>
  <c r="L33" i="17"/>
  <c r="M47" i="17"/>
  <c r="P47" i="17" s="1"/>
  <c r="L55" i="17"/>
  <c r="L53" i="17" s="1"/>
  <c r="O58" i="17"/>
  <c r="I76" i="17"/>
  <c r="K76" i="17" s="1"/>
  <c r="O127" i="17"/>
  <c r="O157" i="17"/>
  <c r="M168" i="17"/>
  <c r="P168" i="17" s="1"/>
  <c r="K215" i="17"/>
  <c r="P285" i="17"/>
  <c r="M304" i="17"/>
  <c r="P304" i="17" s="1"/>
  <c r="K360" i="17"/>
  <c r="I433" i="17"/>
  <c r="I417" i="17" s="1"/>
  <c r="L446" i="17"/>
  <c r="O446" i="17" s="1"/>
  <c r="M549" i="17"/>
  <c r="P549" i="17" s="1"/>
  <c r="M267" i="16"/>
  <c r="P267" i="16" s="1"/>
  <c r="M301" i="16"/>
  <c r="M304" i="16"/>
  <c r="P304" i="16" s="1"/>
  <c r="I314" i="16"/>
  <c r="K314" i="16" s="1"/>
  <c r="M330" i="16"/>
  <c r="M328" i="16" s="1"/>
  <c r="L446" i="16"/>
  <c r="O446" i="16" s="1"/>
  <c r="O528" i="16"/>
  <c r="O49" i="17"/>
  <c r="L59" i="17"/>
  <c r="O59" i="17" s="1"/>
  <c r="O71" i="17"/>
  <c r="M121" i="17"/>
  <c r="P121" i="17" s="1"/>
  <c r="O140" i="17"/>
  <c r="M183" i="17"/>
  <c r="O186" i="17"/>
  <c r="L209" i="17"/>
  <c r="O209" i="17" s="1"/>
  <c r="I216" i="17"/>
  <c r="K216" i="17" s="1"/>
  <c r="L217" i="17"/>
  <c r="O217" i="17" s="1"/>
  <c r="I233" i="17"/>
  <c r="K233" i="17" s="1"/>
  <c r="N263" i="17"/>
  <c r="N261" i="17" s="1"/>
  <c r="M300" i="17"/>
  <c r="P300" i="17" s="1"/>
  <c r="O306" i="17"/>
  <c r="L318" i="17"/>
  <c r="O318" i="17" s="1"/>
  <c r="K355" i="17"/>
  <c r="K379" i="17"/>
  <c r="L392" i="17"/>
  <c r="O392" i="17" s="1"/>
  <c r="O397" i="17"/>
  <c r="L395" i="17"/>
  <c r="O395" i="17" s="1"/>
  <c r="M405" i="17"/>
  <c r="P405" i="17" s="1"/>
  <c r="M408" i="17"/>
  <c r="P408" i="17" s="1"/>
  <c r="J433" i="17"/>
  <c r="J417" i="17" s="1"/>
  <c r="K672" i="17"/>
  <c r="K674" i="17"/>
  <c r="K822" i="17"/>
  <c r="L408" i="17"/>
  <c r="O408" i="17" s="1"/>
  <c r="O410" i="17"/>
  <c r="L134" i="16"/>
  <c r="O134" i="16" s="1"/>
  <c r="L217" i="16"/>
  <c r="O217" i="16" s="1"/>
  <c r="L321" i="16"/>
  <c r="O321" i="16" s="1"/>
  <c r="K822" i="16"/>
  <c r="L36" i="17"/>
  <c r="P49" i="17"/>
  <c r="M68" i="17"/>
  <c r="M66" i="17" s="1"/>
  <c r="L68" i="17"/>
  <c r="L66" i="17" s="1"/>
  <c r="N121" i="17"/>
  <c r="N119" i="17" s="1"/>
  <c r="P137" i="17"/>
  <c r="M167" i="17"/>
  <c r="P186" i="17"/>
  <c r="L198" i="17"/>
  <c r="O198" i="17" s="1"/>
  <c r="I248" i="17"/>
  <c r="K248" i="17" s="1"/>
  <c r="N279" i="17"/>
  <c r="N277" i="17" s="1"/>
  <c r="N300" i="17"/>
  <c r="N298" i="17" s="1"/>
  <c r="O424" i="17"/>
  <c r="L422" i="17"/>
  <c r="O422" i="17" s="1"/>
  <c r="L555" i="17"/>
  <c r="O555" i="17" s="1"/>
  <c r="K649" i="17"/>
  <c r="L789" i="17"/>
  <c r="O789" i="17" s="1"/>
  <c r="L788" i="17"/>
  <c r="O788" i="17" s="1"/>
  <c r="M634" i="17"/>
  <c r="P634" i="17" s="1"/>
  <c r="L632" i="17"/>
  <c r="O632" i="17" s="1"/>
  <c r="I654" i="14"/>
  <c r="K654" i="14" s="1"/>
  <c r="M404" i="15"/>
  <c r="P404" i="15" s="1"/>
  <c r="P58" i="16"/>
  <c r="K360" i="16"/>
  <c r="K369" i="16"/>
  <c r="N68" i="17"/>
  <c r="I77" i="17"/>
  <c r="L167" i="17"/>
  <c r="O167" i="17" s="1"/>
  <c r="L231" i="17"/>
  <c r="L347" i="17"/>
  <c r="K370" i="17"/>
  <c r="K823" i="17"/>
  <c r="K726" i="17"/>
  <c r="K825" i="17"/>
  <c r="P44" i="17"/>
  <c r="O56" i="17"/>
  <c r="P29" i="17"/>
  <c r="K821" i="15"/>
  <c r="K827" i="15"/>
  <c r="L33" i="16"/>
  <c r="O33" i="16" s="1"/>
  <c r="L36" i="16"/>
  <c r="O36" i="16" s="1"/>
  <c r="M121" i="16"/>
  <c r="P121" i="16" s="1"/>
  <c r="M125" i="16"/>
  <c r="P125" i="16" s="1"/>
  <c r="L151" i="16"/>
  <c r="N167" i="16"/>
  <c r="N165" i="16" s="1"/>
  <c r="M171" i="16"/>
  <c r="P171" i="16" s="1"/>
  <c r="I197" i="16"/>
  <c r="K197" i="16" s="1"/>
  <c r="M334" i="16"/>
  <c r="P334" i="16" s="1"/>
  <c r="O336" i="16"/>
  <c r="K651" i="16"/>
  <c r="M15" i="17"/>
  <c r="N23" i="17"/>
  <c r="M34" i="17"/>
  <c r="P34" i="17" s="1"/>
  <c r="N43" i="17"/>
  <c r="N55" i="17"/>
  <c r="N53" i="17" s="1"/>
  <c r="K81" i="17"/>
  <c r="O96" i="17"/>
  <c r="P120" i="17"/>
  <c r="L151" i="17"/>
  <c r="O151" i="17" s="1"/>
  <c r="O154" i="17"/>
  <c r="O166" i="17"/>
  <c r="M184" i="17"/>
  <c r="L238" i="17"/>
  <c r="L228" i="17"/>
  <c r="L263" i="17"/>
  <c r="O278" i="17"/>
  <c r="N348" i="17"/>
  <c r="O348" i="17" s="1"/>
  <c r="N405" i="17"/>
  <c r="N404" i="17"/>
  <c r="N402" i="17" s="1"/>
  <c r="N421" i="17"/>
  <c r="N419" i="17" s="1"/>
  <c r="O333" i="15"/>
  <c r="I130" i="16"/>
  <c r="K130" i="16" s="1"/>
  <c r="K828" i="16"/>
  <c r="N15" i="17"/>
  <c r="P35" i="17"/>
  <c r="O54" i="17"/>
  <c r="M151" i="17"/>
  <c r="P157" i="17"/>
  <c r="M155" i="17"/>
  <c r="P155" i="17" s="1"/>
  <c r="L183" i="17"/>
  <c r="L249" i="17"/>
  <c r="O249" i="17" s="1"/>
  <c r="P316" i="17"/>
  <c r="P346" i="17"/>
  <c r="K440" i="17"/>
  <c r="I434" i="17"/>
  <c r="L279" i="14"/>
  <c r="L277" i="14" s="1"/>
  <c r="K309" i="14"/>
  <c r="L90" i="16"/>
  <c r="L88" i="16" s="1"/>
  <c r="N134" i="16"/>
  <c r="N132" i="16" s="1"/>
  <c r="J143" i="16"/>
  <c r="J131" i="16" s="1"/>
  <c r="P186" i="16"/>
  <c r="K720" i="16"/>
  <c r="L12" i="17"/>
  <c r="P54" i="17"/>
  <c r="P58" i="17"/>
  <c r="M56" i="17"/>
  <c r="P56" i="17" s="1"/>
  <c r="I86" i="17"/>
  <c r="K86" i="17" s="1"/>
  <c r="K98" i="17"/>
  <c r="K116" i="17"/>
  <c r="L125" i="17"/>
  <c r="O125" i="17" s="1"/>
  <c r="O150" i="17"/>
  <c r="L280" i="17"/>
  <c r="O280" i="17" s="1"/>
  <c r="L279" i="17"/>
  <c r="N546" i="17"/>
  <c r="I297" i="16"/>
  <c r="K297" i="16" s="1"/>
  <c r="J327" i="16"/>
  <c r="K327" i="16" s="1"/>
  <c r="K823" i="16"/>
  <c r="P46" i="17"/>
  <c r="L135" i="17"/>
  <c r="O135" i="17" s="1"/>
  <c r="I148" i="17"/>
  <c r="K148" i="17" s="1"/>
  <c r="M152" i="17"/>
  <c r="P152" i="17" s="1"/>
  <c r="K369" i="17"/>
  <c r="O524" i="17"/>
  <c r="K593" i="17"/>
  <c r="J592" i="17"/>
  <c r="K592" i="17" s="1"/>
  <c r="K174" i="17"/>
  <c r="I164" i="17"/>
  <c r="K164" i="17" s="1"/>
  <c r="P269" i="17"/>
  <c r="M263" i="17"/>
  <c r="N331" i="17"/>
  <c r="N330" i="17"/>
  <c r="L334" i="17"/>
  <c r="O334" i="17" s="1"/>
  <c r="O336" i="17"/>
  <c r="M348" i="17"/>
  <c r="P350" i="17"/>
  <c r="P390" i="17"/>
  <c r="O266" i="15"/>
  <c r="M318" i="15"/>
  <c r="P318" i="15" s="1"/>
  <c r="M72" i="16"/>
  <c r="P72" i="16" s="1"/>
  <c r="I76" i="16"/>
  <c r="K76" i="16" s="1"/>
  <c r="N90" i="16"/>
  <c r="N88" i="16" s="1"/>
  <c r="I443" i="16"/>
  <c r="K443" i="16" s="1"/>
  <c r="L788" i="16"/>
  <c r="O788" i="16" s="1"/>
  <c r="L15" i="17"/>
  <c r="M23" i="17"/>
  <c r="M43" i="17"/>
  <c r="O46" i="17"/>
  <c r="M55" i="17"/>
  <c r="M53" i="17" s="1"/>
  <c r="O74" i="17"/>
  <c r="I130" i="17"/>
  <c r="K130" i="17" s="1"/>
  <c r="O137" i="17"/>
  <c r="O182" i="17"/>
  <c r="L184" i="17"/>
  <c r="K204" i="17"/>
  <c r="I197" i="17"/>
  <c r="K197" i="17" s="1"/>
  <c r="M267" i="17"/>
  <c r="P267" i="17" s="1"/>
  <c r="O282" i="17"/>
  <c r="L283" i="17"/>
  <c r="O283" i="17" s="1"/>
  <c r="O285" i="17"/>
  <c r="J288" i="17"/>
  <c r="J275" i="17" s="1"/>
  <c r="K275" i="17" s="1"/>
  <c r="I297" i="17"/>
  <c r="K297" i="17" s="1"/>
  <c r="P299" i="17"/>
  <c r="O333" i="17"/>
  <c r="O445" i="17"/>
  <c r="N544" i="17"/>
  <c r="O549" i="17"/>
  <c r="P333" i="17"/>
  <c r="L405" i="17"/>
  <c r="O405" i="17" s="1"/>
  <c r="O407" i="17"/>
  <c r="N525" i="17"/>
  <c r="N523" i="17" s="1"/>
  <c r="N526" i="17"/>
  <c r="K594" i="17"/>
  <c r="M59" i="17"/>
  <c r="P59" i="17" s="1"/>
  <c r="M122" i="17"/>
  <c r="P122" i="17" s="1"/>
  <c r="P266" i="17"/>
  <c r="M301" i="17"/>
  <c r="P301" i="17" s="1"/>
  <c r="M351" i="17"/>
  <c r="P351" i="17" s="1"/>
  <c r="P353" i="17"/>
  <c r="K365" i="17"/>
  <c r="M447" i="17"/>
  <c r="P447" i="17" s="1"/>
  <c r="M446" i="17"/>
  <c r="L526" i="17"/>
  <c r="O526" i="17" s="1"/>
  <c r="O528" i="17"/>
  <c r="J537" i="17"/>
  <c r="J522" i="17" s="1"/>
  <c r="O350" i="17"/>
  <c r="K381" i="17"/>
  <c r="K675" i="17"/>
  <c r="M737" i="17"/>
  <c r="P737" i="17" s="1"/>
  <c r="L658" i="17"/>
  <c r="O658" i="17" s="1"/>
  <c r="O660" i="17"/>
  <c r="N788" i="17"/>
  <c r="N786" i="17" s="1"/>
  <c r="O656" i="17"/>
  <c r="L655" i="17"/>
  <c r="O655" i="17" s="1"/>
  <c r="M660" i="17"/>
  <c r="K723" i="17"/>
  <c r="I785" i="17"/>
  <c r="K785" i="17" s="1"/>
  <c r="K800" i="17"/>
  <c r="M687" i="17"/>
  <c r="P687" i="17" s="1"/>
  <c r="M688" i="17"/>
  <c r="P688" i="17" s="1"/>
  <c r="P787" i="17"/>
  <c r="M786" i="17"/>
  <c r="P786" i="17" s="1"/>
  <c r="P806" i="17"/>
  <c r="M805" i="17"/>
  <c r="P805" i="17" s="1"/>
  <c r="I442" i="17"/>
  <c r="K442" i="17" s="1"/>
  <c r="K460" i="17"/>
  <c r="O472" i="17"/>
  <c r="M472" i="17"/>
  <c r="M523" i="17"/>
  <c r="P523" i="17" s="1"/>
  <c r="K651" i="17"/>
  <c r="M754" i="17"/>
  <c r="P754" i="17" s="1"/>
  <c r="M424" i="17"/>
  <c r="N505" i="17"/>
  <c r="L688" i="17"/>
  <c r="O688" i="17" s="1"/>
  <c r="N331" i="16"/>
  <c r="O331" i="16" s="1"/>
  <c r="N23" i="16"/>
  <c r="N21" i="16" s="1"/>
  <c r="N134" i="15"/>
  <c r="N132" i="15" s="1"/>
  <c r="P140" i="15"/>
  <c r="N167" i="15"/>
  <c r="N165" i="15" s="1"/>
  <c r="N318" i="15"/>
  <c r="P331" i="15"/>
  <c r="L228" i="16"/>
  <c r="N26" i="16"/>
  <c r="N24" i="16" s="1"/>
  <c r="N317" i="16"/>
  <c r="N315" i="16" s="1"/>
  <c r="I148" i="16"/>
  <c r="K148" i="16" s="1"/>
  <c r="K159" i="16"/>
  <c r="L264" i="16"/>
  <c r="L263" i="16"/>
  <c r="L261" i="16" s="1"/>
  <c r="N317" i="14"/>
  <c r="N315" i="14" s="1"/>
  <c r="L55" i="15"/>
  <c r="L53" i="15" s="1"/>
  <c r="N330" i="15"/>
  <c r="N328" i="15" s="1"/>
  <c r="L68" i="15"/>
  <c r="L66" i="15" s="1"/>
  <c r="M279" i="15"/>
  <c r="M277" i="15" s="1"/>
  <c r="J433" i="16"/>
  <c r="J417" i="16" s="1"/>
  <c r="I433" i="16"/>
  <c r="I417" i="16" s="1"/>
  <c r="K435" i="16"/>
  <c r="N55" i="15"/>
  <c r="M68" i="15"/>
  <c r="M66" i="15" s="1"/>
  <c r="L167" i="15"/>
  <c r="M183" i="15"/>
  <c r="M181" i="15" s="1"/>
  <c r="L238" i="15"/>
  <c r="O238" i="15" s="1"/>
  <c r="I77" i="16"/>
  <c r="I65" i="16" s="1"/>
  <c r="K65" i="16" s="1"/>
  <c r="K79" i="16"/>
  <c r="J722" i="16"/>
  <c r="N279" i="16"/>
  <c r="K385" i="16"/>
  <c r="J537" i="16"/>
  <c r="J522" i="16" s="1"/>
  <c r="L657" i="16"/>
  <c r="I112" i="16"/>
  <c r="K112" i="16" s="1"/>
  <c r="K224" i="16"/>
  <c r="L229" i="16"/>
  <c r="I248" i="16"/>
  <c r="K248" i="16" s="1"/>
  <c r="M263" i="16"/>
  <c r="M261" i="16" s="1"/>
  <c r="L283" i="16"/>
  <c r="O283" i="16" s="1"/>
  <c r="L318" i="16"/>
  <c r="O318" i="16" s="1"/>
  <c r="K379" i="16"/>
  <c r="K460" i="16"/>
  <c r="L404" i="15"/>
  <c r="L402" i="15" s="1"/>
  <c r="O402" i="15" s="1"/>
  <c r="M56" i="16"/>
  <c r="L138" i="16"/>
  <c r="O138" i="16" s="1"/>
  <c r="L231" i="16"/>
  <c r="L347" i="16"/>
  <c r="L345" i="16" s="1"/>
  <c r="O353" i="16"/>
  <c r="K374" i="16"/>
  <c r="I434" i="16"/>
  <c r="I418" i="16" s="1"/>
  <c r="K418" i="16" s="1"/>
  <c r="O472" i="16"/>
  <c r="M791" i="16"/>
  <c r="P791" i="16" s="1"/>
  <c r="J785" i="16"/>
  <c r="M347" i="15"/>
  <c r="M345" i="15" s="1"/>
  <c r="K359" i="15"/>
  <c r="K362" i="15"/>
  <c r="J537" i="15"/>
  <c r="J522" i="15" s="1"/>
  <c r="L43" i="16"/>
  <c r="L41" i="16" s="1"/>
  <c r="L94" i="16"/>
  <c r="O94" i="16" s="1"/>
  <c r="M151" i="16"/>
  <c r="P151" i="16" s="1"/>
  <c r="I233" i="16"/>
  <c r="K233" i="16" s="1"/>
  <c r="L392" i="16"/>
  <c r="O392" i="16" s="1"/>
  <c r="K594" i="16"/>
  <c r="K649" i="16"/>
  <c r="L687" i="16"/>
  <c r="O687" i="16" s="1"/>
  <c r="O791" i="16"/>
  <c r="I143" i="16"/>
  <c r="L198" i="16"/>
  <c r="O198" i="16" s="1"/>
  <c r="O282" i="16"/>
  <c r="M280" i="15"/>
  <c r="P280" i="15" s="1"/>
  <c r="M43" i="16"/>
  <c r="M41" i="16" s="1"/>
  <c r="N56" i="16"/>
  <c r="O56" i="16" s="1"/>
  <c r="P61" i="16"/>
  <c r="M122" i="16"/>
  <c r="P122" i="16" s="1"/>
  <c r="K673" i="16"/>
  <c r="K340" i="15"/>
  <c r="P59" i="16"/>
  <c r="M23" i="16"/>
  <c r="M155" i="16"/>
  <c r="P155" i="16" s="1"/>
  <c r="L209" i="16"/>
  <c r="O209" i="16" s="1"/>
  <c r="K215" i="16"/>
  <c r="J275" i="16"/>
  <c r="L280" i="16"/>
  <c r="O280" i="16" s="1"/>
  <c r="P333" i="16"/>
  <c r="M392" i="16"/>
  <c r="P392" i="16" s="1"/>
  <c r="M404" i="16"/>
  <c r="K438" i="16"/>
  <c r="M449" i="16"/>
  <c r="M446" i="16" s="1"/>
  <c r="P446" i="16" s="1"/>
  <c r="O479" i="16"/>
  <c r="K592" i="16"/>
  <c r="K669" i="16"/>
  <c r="M47" i="16"/>
  <c r="P47" i="16" s="1"/>
  <c r="K80" i="16"/>
  <c r="L91" i="16"/>
  <c r="O91" i="16" s="1"/>
  <c r="L135" i="16"/>
  <c r="O135" i="16" s="1"/>
  <c r="K144" i="16"/>
  <c r="P157" i="16"/>
  <c r="M168" i="16"/>
  <c r="P168" i="16" s="1"/>
  <c r="P170" i="16"/>
  <c r="M183" i="16"/>
  <c r="N263" i="16"/>
  <c r="K372" i="16"/>
  <c r="N404" i="16"/>
  <c r="N402" i="16" s="1"/>
  <c r="L447" i="16"/>
  <c r="O447" i="16" s="1"/>
  <c r="L469" i="16"/>
  <c r="O469" i="16" s="1"/>
  <c r="L525" i="16"/>
  <c r="K647" i="16"/>
  <c r="I785" i="16"/>
  <c r="K379" i="13"/>
  <c r="N391" i="15"/>
  <c r="N389" i="15" s="1"/>
  <c r="L422" i="15"/>
  <c r="O422" i="15" s="1"/>
  <c r="O424" i="15"/>
  <c r="I522" i="15"/>
  <c r="K522" i="15" s="1"/>
  <c r="O58" i="16"/>
  <c r="O93" i="16"/>
  <c r="K216" i="16"/>
  <c r="O449" i="16"/>
  <c r="M43" i="13"/>
  <c r="M41" i="13" s="1"/>
  <c r="K725" i="13"/>
  <c r="P397" i="15"/>
  <c r="K647" i="15"/>
  <c r="N151" i="16"/>
  <c r="N149" i="16" s="1"/>
  <c r="L249" i="16"/>
  <c r="O249" i="16" s="1"/>
  <c r="M279" i="16"/>
  <c r="N283" i="16"/>
  <c r="L300" i="16"/>
  <c r="L298" i="16" s="1"/>
  <c r="L317" i="16"/>
  <c r="O317" i="16" s="1"/>
  <c r="O333" i="16"/>
  <c r="M472" i="16"/>
  <c r="P472" i="16" s="1"/>
  <c r="K539" i="16"/>
  <c r="K801" i="16"/>
  <c r="M321" i="14"/>
  <c r="P321" i="14" s="1"/>
  <c r="N68" i="15"/>
  <c r="N66" i="15" s="1"/>
  <c r="L171" i="15"/>
  <c r="O171" i="15" s="1"/>
  <c r="P269" i="15"/>
  <c r="L300" i="15"/>
  <c r="L298" i="15" s="1"/>
  <c r="O61" i="16"/>
  <c r="M134" i="16"/>
  <c r="K359" i="16"/>
  <c r="K381" i="16"/>
  <c r="M408" i="16"/>
  <c r="P408" i="16" s="1"/>
  <c r="K628" i="16"/>
  <c r="K700" i="16"/>
  <c r="K821" i="16"/>
  <c r="K824" i="16"/>
  <c r="K827" i="16"/>
  <c r="O19" i="16"/>
  <c r="P15" i="16"/>
  <c r="P19" i="16"/>
  <c r="M263" i="13"/>
  <c r="M261" i="13" s="1"/>
  <c r="L317" i="13"/>
  <c r="O317" i="13" s="1"/>
  <c r="J721" i="13"/>
  <c r="K721" i="13" s="1"/>
  <c r="L121" i="15"/>
  <c r="N168" i="15"/>
  <c r="P168" i="15" s="1"/>
  <c r="K193" i="15"/>
  <c r="L36" i="15"/>
  <c r="O36" i="15" s="1"/>
  <c r="N31" i="16"/>
  <c r="N29" i="16"/>
  <c r="N28" i="16" s="1"/>
  <c r="L72" i="16"/>
  <c r="O72" i="16" s="1"/>
  <c r="O74" i="16"/>
  <c r="P150" i="16"/>
  <c r="N348" i="16"/>
  <c r="O348" i="16" s="1"/>
  <c r="N347" i="16"/>
  <c r="O350" i="16"/>
  <c r="O397" i="16"/>
  <c r="L395" i="16"/>
  <c r="O395" i="16" s="1"/>
  <c r="P807" i="16"/>
  <c r="M805" i="16"/>
  <c r="P805" i="16" s="1"/>
  <c r="I148" i="13"/>
  <c r="K148" i="13" s="1"/>
  <c r="M43" i="15"/>
  <c r="M41" i="15" s="1"/>
  <c r="M72" i="15"/>
  <c r="P72" i="15" s="1"/>
  <c r="O157" i="15"/>
  <c r="M184" i="15"/>
  <c r="P184" i="15" s="1"/>
  <c r="M187" i="15"/>
  <c r="P187" i="15" s="1"/>
  <c r="L230" i="15"/>
  <c r="I364" i="15"/>
  <c r="K385" i="15"/>
  <c r="M29" i="16"/>
  <c r="P32" i="16"/>
  <c r="O46" i="16"/>
  <c r="K98" i="16"/>
  <c r="L184" i="16"/>
  <c r="O184" i="16" s="1"/>
  <c r="O186" i="16"/>
  <c r="L238" i="16"/>
  <c r="L405" i="16"/>
  <c r="O405" i="16" s="1"/>
  <c r="O407" i="16"/>
  <c r="L404" i="16"/>
  <c r="M631" i="16"/>
  <c r="P631" i="16" s="1"/>
  <c r="M632" i="16"/>
  <c r="P632" i="16" s="1"/>
  <c r="P634" i="16"/>
  <c r="L229" i="14"/>
  <c r="N43" i="15"/>
  <c r="L122" i="15"/>
  <c r="O122" i="15" s="1"/>
  <c r="L26" i="15"/>
  <c r="L24" i="15" s="1"/>
  <c r="I148" i="15"/>
  <c r="K148" i="15" s="1"/>
  <c r="P157" i="15"/>
  <c r="L231" i="15"/>
  <c r="N263" i="15"/>
  <c r="N261" i="15" s="1"/>
  <c r="L347" i="15"/>
  <c r="L345" i="15" s="1"/>
  <c r="L408" i="15"/>
  <c r="O408" i="15" s="1"/>
  <c r="O410" i="15"/>
  <c r="L657" i="15"/>
  <c r="O657" i="15" s="1"/>
  <c r="K801" i="15"/>
  <c r="P22" i="16"/>
  <c r="O25" i="16"/>
  <c r="P35" i="16"/>
  <c r="N43" i="16"/>
  <c r="P46" i="16"/>
  <c r="L47" i="16"/>
  <c r="O47" i="16" s="1"/>
  <c r="L26" i="16"/>
  <c r="L55" i="16"/>
  <c r="L68" i="16"/>
  <c r="M90" i="16"/>
  <c r="M94" i="16"/>
  <c r="P94" i="16" s="1"/>
  <c r="P96" i="16"/>
  <c r="N121" i="16"/>
  <c r="N119" i="16" s="1"/>
  <c r="L122" i="16"/>
  <c r="O122" i="16" s="1"/>
  <c r="O124" i="16"/>
  <c r="L187" i="16"/>
  <c r="O187" i="16" s="1"/>
  <c r="O189" i="16"/>
  <c r="K365" i="16"/>
  <c r="I364" i="16"/>
  <c r="L391" i="16"/>
  <c r="P690" i="16"/>
  <c r="M687" i="16"/>
  <c r="M688" i="16"/>
  <c r="N739" i="16"/>
  <c r="N737" i="16" s="1"/>
  <c r="N740" i="16"/>
  <c r="J785" i="13"/>
  <c r="L47" i="14"/>
  <c r="O47" i="14" s="1"/>
  <c r="L122" i="14"/>
  <c r="O122" i="14" s="1"/>
  <c r="I276" i="14"/>
  <c r="K276" i="14" s="1"/>
  <c r="I522" i="14"/>
  <c r="K522" i="14" s="1"/>
  <c r="L125" i="15"/>
  <c r="O125" i="15" s="1"/>
  <c r="O138" i="15"/>
  <c r="I216" i="15"/>
  <c r="K216" i="15" s="1"/>
  <c r="L264" i="15"/>
  <c r="O264" i="15" s="1"/>
  <c r="K560" i="15"/>
  <c r="K701" i="15"/>
  <c r="M12" i="16"/>
  <c r="L15" i="16"/>
  <c r="L23" i="16"/>
  <c r="P25" i="16"/>
  <c r="M55" i="16"/>
  <c r="O89" i="16"/>
  <c r="J87" i="16"/>
  <c r="K87" i="16" s="1"/>
  <c r="K99" i="16"/>
  <c r="P120" i="16"/>
  <c r="L168" i="16"/>
  <c r="O168" i="16" s="1"/>
  <c r="O170" i="16"/>
  <c r="I164" i="16"/>
  <c r="K164" i="16" s="1"/>
  <c r="K174" i="16"/>
  <c r="P262" i="16"/>
  <c r="N264" i="16"/>
  <c r="P266" i="16"/>
  <c r="P320" i="16"/>
  <c r="M317" i="16"/>
  <c r="P317" i="16" s="1"/>
  <c r="L632" i="12"/>
  <c r="O632" i="12" s="1"/>
  <c r="M138" i="15"/>
  <c r="P138" i="15" s="1"/>
  <c r="L168" i="15"/>
  <c r="O184" i="15"/>
  <c r="K204" i="15"/>
  <c r="L209" i="15"/>
  <c r="O209" i="15" s="1"/>
  <c r="I297" i="15"/>
  <c r="K297" i="15" s="1"/>
  <c r="N12" i="16"/>
  <c r="M26" i="16"/>
  <c r="O54" i="16"/>
  <c r="O59" i="16"/>
  <c r="N68" i="16"/>
  <c r="N66" i="16" s="1"/>
  <c r="L69" i="16"/>
  <c r="O69" i="16" s="1"/>
  <c r="O71" i="16"/>
  <c r="L171" i="16"/>
  <c r="O171" i="16" s="1"/>
  <c r="O173" i="16"/>
  <c r="P184" i="16"/>
  <c r="M91" i="16"/>
  <c r="P91" i="16" s="1"/>
  <c r="P93" i="16"/>
  <c r="P299" i="16"/>
  <c r="N301" i="16"/>
  <c r="O301" i="16" s="1"/>
  <c r="P303" i="16"/>
  <c r="J355" i="16"/>
  <c r="K355" i="16" s="1"/>
  <c r="K362" i="16"/>
  <c r="O127" i="16"/>
  <c r="M135" i="16"/>
  <c r="P135" i="16" s="1"/>
  <c r="M138" i="16"/>
  <c r="P138" i="16" s="1"/>
  <c r="O154" i="16"/>
  <c r="O157" i="16"/>
  <c r="O266" i="16"/>
  <c r="O269" i="16"/>
  <c r="O278" i="16"/>
  <c r="P282" i="16"/>
  <c r="P285" i="16"/>
  <c r="O303" i="16"/>
  <c r="O306" i="16"/>
  <c r="J364" i="16"/>
  <c r="K370" i="16"/>
  <c r="L419" i="16"/>
  <c r="I559" i="16"/>
  <c r="K576" i="16"/>
  <c r="K593" i="16"/>
  <c r="N687" i="16"/>
  <c r="N685" i="16" s="1"/>
  <c r="N414" i="16" s="1"/>
  <c r="N688" i="16"/>
  <c r="O756" i="16"/>
  <c r="L754" i="16"/>
  <c r="O754" i="16" s="1"/>
  <c r="O806" i="16"/>
  <c r="L805" i="16"/>
  <c r="O805" i="16" s="1"/>
  <c r="L408" i="16"/>
  <c r="O408" i="16" s="1"/>
  <c r="O410" i="16"/>
  <c r="M424" i="16"/>
  <c r="L422" i="16"/>
  <c r="O422" i="16" s="1"/>
  <c r="O424" i="16"/>
  <c r="K176" i="16"/>
  <c r="I237" i="16"/>
  <c r="L330" i="16"/>
  <c r="N351" i="16"/>
  <c r="O351" i="16" s="1"/>
  <c r="P353" i="16"/>
  <c r="M351" i="16"/>
  <c r="K378" i="16"/>
  <c r="O431" i="16"/>
  <c r="L429" i="16"/>
  <c r="O429" i="16" s="1"/>
  <c r="L547" i="16"/>
  <c r="O547" i="16" s="1"/>
  <c r="O549" i="16"/>
  <c r="M549" i="16"/>
  <c r="L555" i="16"/>
  <c r="O555" i="16" s="1"/>
  <c r="O557" i="16"/>
  <c r="N756" i="16"/>
  <c r="N754" i="16" s="1"/>
  <c r="N757" i="16"/>
  <c r="O772" i="16"/>
  <c r="L770" i="16"/>
  <c r="O770" i="16" s="1"/>
  <c r="O445" i="16"/>
  <c r="O546" i="16"/>
  <c r="L544" i="16"/>
  <c r="O544" i="16" s="1"/>
  <c r="P630" i="16"/>
  <c r="O739" i="16"/>
  <c r="L737" i="16"/>
  <c r="O737" i="16" s="1"/>
  <c r="I275" i="16"/>
  <c r="N330" i="16"/>
  <c r="P350" i="16"/>
  <c r="M348" i="16"/>
  <c r="P390" i="16"/>
  <c r="P420" i="16"/>
  <c r="P503" i="16"/>
  <c r="M502" i="16"/>
  <c r="P502" i="16" s="1"/>
  <c r="P555" i="16"/>
  <c r="M545" i="16"/>
  <c r="N772" i="16"/>
  <c r="N770" i="16" s="1"/>
  <c r="N773" i="16"/>
  <c r="O468" i="16"/>
  <c r="P524" i="16"/>
  <c r="O634" i="16"/>
  <c r="I654" i="16"/>
  <c r="K654" i="16" s="1"/>
  <c r="P656" i="16"/>
  <c r="L658" i="16"/>
  <c r="O658" i="16" s="1"/>
  <c r="K674" i="16"/>
  <c r="O690" i="16"/>
  <c r="L632" i="16"/>
  <c r="O632" i="16" s="1"/>
  <c r="L639" i="16"/>
  <c r="O639" i="16" s="1"/>
  <c r="M660" i="16"/>
  <c r="K675" i="16"/>
  <c r="M770" i="16"/>
  <c r="P770" i="16" s="1"/>
  <c r="L688" i="16"/>
  <c r="O688" i="16" s="1"/>
  <c r="L183" i="15"/>
  <c r="L181" i="15" s="1"/>
  <c r="J364" i="15"/>
  <c r="N43" i="13"/>
  <c r="N41" i="13" s="1"/>
  <c r="N279" i="14"/>
  <c r="N277" i="14" s="1"/>
  <c r="N267" i="15"/>
  <c r="O282" i="15"/>
  <c r="L304" i="15"/>
  <c r="O304" i="15" s="1"/>
  <c r="L318" i="15"/>
  <c r="O318" i="15" s="1"/>
  <c r="K355" i="15"/>
  <c r="O394" i="15"/>
  <c r="K538" i="15"/>
  <c r="I543" i="15"/>
  <c r="K543" i="15" s="1"/>
  <c r="K568" i="15"/>
  <c r="K593" i="15"/>
  <c r="J721" i="15"/>
  <c r="M44" i="13"/>
  <c r="M187" i="14"/>
  <c r="P187" i="14" s="1"/>
  <c r="I112" i="15"/>
  <c r="K112" i="15" s="1"/>
  <c r="L229" i="15"/>
  <c r="K378" i="15"/>
  <c r="K381" i="15"/>
  <c r="L632" i="15"/>
  <c r="O632" i="15" s="1"/>
  <c r="L43" i="15"/>
  <c r="L41" i="15" s="1"/>
  <c r="N121" i="15"/>
  <c r="N119" i="15" s="1"/>
  <c r="L134" i="15"/>
  <c r="L132" i="15" s="1"/>
  <c r="I275" i="15"/>
  <c r="L421" i="15"/>
  <c r="O421" i="15" s="1"/>
  <c r="N330" i="14"/>
  <c r="N328" i="14" s="1"/>
  <c r="N404" i="14"/>
  <c r="N402" i="14" s="1"/>
  <c r="M657" i="14"/>
  <c r="P282" i="15"/>
  <c r="O301" i="15"/>
  <c r="K325" i="15"/>
  <c r="K374" i="15"/>
  <c r="N404" i="15"/>
  <c r="N402" i="15" s="1"/>
  <c r="L470" i="13"/>
  <c r="K672" i="14"/>
  <c r="I174" i="15"/>
  <c r="I164" i="15" s="1"/>
  <c r="K164" i="15" s="1"/>
  <c r="M283" i="15"/>
  <c r="P283" i="15" s="1"/>
  <c r="K379" i="15"/>
  <c r="L547" i="15"/>
  <c r="J275" i="15"/>
  <c r="K288" i="15"/>
  <c r="M422" i="15"/>
  <c r="P422" i="15" s="1"/>
  <c r="P424" i="15"/>
  <c r="L134" i="14"/>
  <c r="O134" i="14" s="1"/>
  <c r="L138" i="14"/>
  <c r="O138" i="14" s="1"/>
  <c r="N151" i="14"/>
  <c r="N149" i="14" s="1"/>
  <c r="I208" i="14"/>
  <c r="K208" i="14" s="1"/>
  <c r="M26" i="15"/>
  <c r="M16" i="15" s="1"/>
  <c r="N56" i="15"/>
  <c r="O56" i="15" s="1"/>
  <c r="O58" i="15"/>
  <c r="P69" i="15"/>
  <c r="P93" i="15"/>
  <c r="M122" i="15"/>
  <c r="P122" i="15" s="1"/>
  <c r="P127" i="15"/>
  <c r="L151" i="15"/>
  <c r="L149" i="15" s="1"/>
  <c r="I208" i="15"/>
  <c r="K208" i="15" s="1"/>
  <c r="P266" i="15"/>
  <c r="O303" i="15"/>
  <c r="L351" i="15"/>
  <c r="O351" i="15" s="1"/>
  <c r="L395" i="15"/>
  <c r="O395" i="15" s="1"/>
  <c r="O431" i="15"/>
  <c r="O634" i="15"/>
  <c r="M791" i="15"/>
  <c r="P791" i="15" s="1"/>
  <c r="L55" i="14"/>
  <c r="L53" i="14" s="1"/>
  <c r="O634" i="14"/>
  <c r="L658" i="14"/>
  <c r="O658" i="14" s="1"/>
  <c r="O660" i="14"/>
  <c r="L59" i="15"/>
  <c r="O59" i="15" s="1"/>
  <c r="M121" i="15"/>
  <c r="P121" i="15" s="1"/>
  <c r="I130" i="15"/>
  <c r="K130" i="15" s="1"/>
  <c r="M134" i="15"/>
  <c r="M132" i="15" s="1"/>
  <c r="O152" i="15"/>
  <c r="P170" i="15"/>
  <c r="L198" i="15"/>
  <c r="O198" i="15" s="1"/>
  <c r="L267" i="15"/>
  <c r="O267" i="15" s="1"/>
  <c r="M321" i="15"/>
  <c r="P321" i="15" s="1"/>
  <c r="M334" i="15"/>
  <c r="P334" i="15" s="1"/>
  <c r="M351" i="15"/>
  <c r="P351" i="15" s="1"/>
  <c r="L391" i="15"/>
  <c r="O391" i="15" s="1"/>
  <c r="L546" i="15"/>
  <c r="L544" i="15" s="1"/>
  <c r="O544" i="15" s="1"/>
  <c r="K628" i="15"/>
  <c r="L789" i="15"/>
  <c r="O789" i="15" s="1"/>
  <c r="O791" i="15"/>
  <c r="K828" i="15"/>
  <c r="O61" i="14"/>
  <c r="L94" i="14"/>
  <c r="O94" i="14" s="1"/>
  <c r="L231" i="14"/>
  <c r="O348" i="14"/>
  <c r="M549" i="14"/>
  <c r="M547" i="14" s="1"/>
  <c r="P547" i="14" s="1"/>
  <c r="K592" i="14"/>
  <c r="L33" i="15"/>
  <c r="L31" i="15" s="1"/>
  <c r="M47" i="15"/>
  <c r="P47" i="15" s="1"/>
  <c r="M55" i="15"/>
  <c r="I77" i="15"/>
  <c r="K77" i="15" s="1"/>
  <c r="O96" i="15"/>
  <c r="L135" i="15"/>
  <c r="L263" i="15"/>
  <c r="K360" i="15"/>
  <c r="L631" i="15"/>
  <c r="O631" i="15" s="1"/>
  <c r="K823" i="15"/>
  <c r="I233" i="14"/>
  <c r="K233" i="14" s="1"/>
  <c r="O333" i="14"/>
  <c r="L217" i="15"/>
  <c r="O217" i="15" s="1"/>
  <c r="N279" i="15"/>
  <c r="L279" i="15"/>
  <c r="M90" i="10"/>
  <c r="M88" i="10" s="1"/>
  <c r="L209" i="14"/>
  <c r="O209" i="14" s="1"/>
  <c r="M330" i="14"/>
  <c r="M328" i="14" s="1"/>
  <c r="L657" i="14"/>
  <c r="O657" i="14" s="1"/>
  <c r="P58" i="15"/>
  <c r="N135" i="15"/>
  <c r="P135" i="15" s="1"/>
  <c r="L187" i="15"/>
  <c r="O187" i="15" s="1"/>
  <c r="P264" i="15"/>
  <c r="L283" i="15"/>
  <c r="O283" i="15" s="1"/>
  <c r="J327" i="15"/>
  <c r="K327" i="15" s="1"/>
  <c r="K370" i="15"/>
  <c r="K824" i="15"/>
  <c r="O69" i="15"/>
  <c r="O470" i="15"/>
  <c r="K86" i="15"/>
  <c r="P44" i="15"/>
  <c r="K244" i="15"/>
  <c r="I237" i="15"/>
  <c r="N348" i="15"/>
  <c r="P350" i="15"/>
  <c r="I443" i="15"/>
  <c r="K443" i="15" s="1"/>
  <c r="K462" i="15"/>
  <c r="O656" i="15"/>
  <c r="K672" i="15"/>
  <c r="K674" i="15"/>
  <c r="K675" i="15"/>
  <c r="I654" i="15"/>
  <c r="K654" i="15" s="1"/>
  <c r="K669" i="15"/>
  <c r="M300" i="12"/>
  <c r="M298" i="12" s="1"/>
  <c r="L43" i="13"/>
  <c r="L41" i="13" s="1"/>
  <c r="I208" i="13"/>
  <c r="K208" i="13" s="1"/>
  <c r="I260" i="13"/>
  <c r="K260" i="13" s="1"/>
  <c r="I442" i="13"/>
  <c r="K442" i="13" s="1"/>
  <c r="P168" i="14"/>
  <c r="M331" i="14"/>
  <c r="P331" i="14" s="1"/>
  <c r="K362" i="14"/>
  <c r="K674" i="14"/>
  <c r="K821" i="14"/>
  <c r="M12" i="15"/>
  <c r="M19" i="15"/>
  <c r="N26" i="15"/>
  <c r="N16" i="15" s="1"/>
  <c r="N14" i="15" s="1"/>
  <c r="N33" i="15"/>
  <c r="P35" i="15"/>
  <c r="O46" i="15"/>
  <c r="O49" i="15"/>
  <c r="M56" i="15"/>
  <c r="M59" i="15"/>
  <c r="P59" i="15" s="1"/>
  <c r="O71" i="15"/>
  <c r="O74" i="15"/>
  <c r="M94" i="15"/>
  <c r="P94" i="15" s="1"/>
  <c r="K98" i="15"/>
  <c r="O140" i="15"/>
  <c r="I143" i="15"/>
  <c r="K145" i="15"/>
  <c r="O154" i="15"/>
  <c r="O186" i="15"/>
  <c r="K255" i="15"/>
  <c r="M304" i="15"/>
  <c r="P304" i="15" s="1"/>
  <c r="P306" i="15"/>
  <c r="P316" i="15"/>
  <c r="L331" i="15"/>
  <c r="O331" i="15" s="1"/>
  <c r="P333" i="15"/>
  <c r="M330" i="15"/>
  <c r="O350" i="15"/>
  <c r="K369" i="15"/>
  <c r="K372" i="15"/>
  <c r="L446" i="15"/>
  <c r="N470" i="15"/>
  <c r="N469" i="15"/>
  <c r="N467" i="15" s="1"/>
  <c r="O479" i="15"/>
  <c r="L469" i="15"/>
  <c r="O528" i="15"/>
  <c r="L525" i="15"/>
  <c r="O525" i="15" s="1"/>
  <c r="L754" i="15"/>
  <c r="O754" i="15" s="1"/>
  <c r="O756" i="15"/>
  <c r="L231" i="12"/>
  <c r="I276" i="12"/>
  <c r="K276" i="12" s="1"/>
  <c r="I112" i="14"/>
  <c r="K112" i="14" s="1"/>
  <c r="L280" i="14"/>
  <c r="O280" i="14" s="1"/>
  <c r="P333" i="14"/>
  <c r="L408" i="14"/>
  <c r="O408" i="14" s="1"/>
  <c r="O528" i="14"/>
  <c r="N12" i="15"/>
  <c r="L23" i="15"/>
  <c r="P46" i="15"/>
  <c r="P71" i="15"/>
  <c r="I87" i="15"/>
  <c r="K87" i="15" s="1"/>
  <c r="K99" i="15"/>
  <c r="N183" i="15"/>
  <c r="L228" i="15"/>
  <c r="L249" i="15"/>
  <c r="O249" i="15" s="1"/>
  <c r="I276" i="15"/>
  <c r="K276" i="15" s="1"/>
  <c r="K287" i="15"/>
  <c r="L454" i="15"/>
  <c r="O454" i="15" s="1"/>
  <c r="O456" i="15"/>
  <c r="L502" i="15"/>
  <c r="O502" i="15" s="1"/>
  <c r="O503" i="15"/>
  <c r="L533" i="15"/>
  <c r="O533" i="15" s="1"/>
  <c r="O535" i="15"/>
  <c r="N546" i="15"/>
  <c r="N547" i="15"/>
  <c r="M632" i="15"/>
  <c r="P632" i="15" s="1"/>
  <c r="P634" i="15"/>
  <c r="M631" i="15"/>
  <c r="M94" i="12"/>
  <c r="P94" i="12" s="1"/>
  <c r="L72" i="13"/>
  <c r="O72" i="13" s="1"/>
  <c r="M404" i="13"/>
  <c r="P404" i="13" s="1"/>
  <c r="L187" i="14"/>
  <c r="O187" i="14" s="1"/>
  <c r="I260" i="14"/>
  <c r="K260" i="14" s="1"/>
  <c r="K338" i="14"/>
  <c r="M347" i="14"/>
  <c r="M345" i="14" s="1"/>
  <c r="K360" i="14"/>
  <c r="K372" i="14"/>
  <c r="L391" i="14"/>
  <c r="L389" i="14" s="1"/>
  <c r="O389" i="14" s="1"/>
  <c r="I434" i="14"/>
  <c r="K434" i="14" s="1"/>
  <c r="K822" i="14"/>
  <c r="K825" i="14"/>
  <c r="K828" i="14"/>
  <c r="L9" i="15"/>
  <c r="L15" i="15"/>
  <c r="M23" i="15"/>
  <c r="L29" i="15"/>
  <c r="I76" i="15"/>
  <c r="L90" i="15"/>
  <c r="N91" i="15"/>
  <c r="O91" i="15" s="1"/>
  <c r="O150" i="15"/>
  <c r="N151" i="15"/>
  <c r="O170" i="15"/>
  <c r="L321" i="15"/>
  <c r="O321" i="15" s="1"/>
  <c r="L334" i="15"/>
  <c r="O334" i="15" s="1"/>
  <c r="N347" i="15"/>
  <c r="O449" i="15"/>
  <c r="P545" i="15"/>
  <c r="M544" i="15"/>
  <c r="O549" i="15"/>
  <c r="P56" i="14"/>
  <c r="I76" i="14"/>
  <c r="K76" i="14" s="1"/>
  <c r="L228" i="14"/>
  <c r="L688" i="14"/>
  <c r="O688" i="14" s="1"/>
  <c r="N23" i="15"/>
  <c r="M90" i="15"/>
  <c r="O137" i="15"/>
  <c r="J143" i="15"/>
  <c r="J131" i="15" s="1"/>
  <c r="K271" i="15"/>
  <c r="I260" i="15"/>
  <c r="K260" i="15" s="1"/>
  <c r="L330" i="15"/>
  <c r="P346" i="15"/>
  <c r="M392" i="15"/>
  <c r="P392" i="15" s="1"/>
  <c r="M391" i="15"/>
  <c r="P394" i="15"/>
  <c r="P468" i="15"/>
  <c r="N544" i="15"/>
  <c r="K673" i="15"/>
  <c r="O787" i="15"/>
  <c r="L786" i="15"/>
  <c r="O786" i="15" s="1"/>
  <c r="O56" i="14"/>
  <c r="K340" i="14"/>
  <c r="K381" i="14"/>
  <c r="K385" i="14"/>
  <c r="K649" i="14"/>
  <c r="O93" i="15"/>
  <c r="P137" i="15"/>
  <c r="M152" i="15"/>
  <c r="P152" i="15" s="1"/>
  <c r="P154" i="15"/>
  <c r="M171" i="15"/>
  <c r="P171" i="15" s="1"/>
  <c r="P182" i="15"/>
  <c r="O189" i="15"/>
  <c r="I233" i="15"/>
  <c r="K233" i="15" s="1"/>
  <c r="M301" i="15"/>
  <c r="P301" i="15" s="1"/>
  <c r="P303" i="15"/>
  <c r="M300" i="15"/>
  <c r="L317" i="15"/>
  <c r="O317" i="15" s="1"/>
  <c r="P353" i="15"/>
  <c r="I433" i="15"/>
  <c r="J433" i="15"/>
  <c r="J417" i="15" s="1"/>
  <c r="P410" i="15"/>
  <c r="M408" i="15"/>
  <c r="P408" i="15" s="1"/>
  <c r="K592" i="15"/>
  <c r="N300" i="15"/>
  <c r="O353" i="15"/>
  <c r="K365" i="15"/>
  <c r="I434" i="15"/>
  <c r="K438" i="15"/>
  <c r="N444" i="15"/>
  <c r="P546" i="15"/>
  <c r="K576" i="15"/>
  <c r="N739" i="15"/>
  <c r="N756" i="15"/>
  <c r="N754" i="15" s="1"/>
  <c r="M167" i="15"/>
  <c r="P186" i="15"/>
  <c r="M263" i="15"/>
  <c r="M317" i="15"/>
  <c r="P317" i="15" s="1"/>
  <c r="P407" i="15"/>
  <c r="M405" i="15"/>
  <c r="P405" i="15" s="1"/>
  <c r="M421" i="15"/>
  <c r="K460" i="15"/>
  <c r="I442" i="15"/>
  <c r="K442" i="15" s="1"/>
  <c r="M472" i="15"/>
  <c r="O472" i="15"/>
  <c r="O524" i="15"/>
  <c r="K651" i="15"/>
  <c r="N685" i="15"/>
  <c r="M690" i="15"/>
  <c r="L688" i="15"/>
  <c r="O688" i="15" s="1"/>
  <c r="O690" i="15"/>
  <c r="L687" i="15"/>
  <c r="I785" i="15"/>
  <c r="N737" i="15"/>
  <c r="P771" i="15"/>
  <c r="M770" i="15"/>
  <c r="P770" i="15" s="1"/>
  <c r="P807" i="15"/>
  <c r="M805" i="15"/>
  <c r="P805" i="15" s="1"/>
  <c r="L805" i="15"/>
  <c r="O805" i="15" s="1"/>
  <c r="O806" i="15"/>
  <c r="K466" i="15"/>
  <c r="P549" i="15"/>
  <c r="M547" i="15"/>
  <c r="K649" i="15"/>
  <c r="N772" i="15"/>
  <c r="N770" i="15" s="1"/>
  <c r="K822" i="15"/>
  <c r="L447" i="15"/>
  <c r="O447" i="15" s="1"/>
  <c r="M449" i="15"/>
  <c r="N786" i="15"/>
  <c r="J364" i="14"/>
  <c r="K369" i="12"/>
  <c r="L658" i="13"/>
  <c r="L33" i="14"/>
  <c r="L31" i="14" s="1"/>
  <c r="O31" i="14" s="1"/>
  <c r="M68" i="14"/>
  <c r="M66" i="14" s="1"/>
  <c r="P71" i="14"/>
  <c r="I86" i="14"/>
  <c r="K86" i="14" s="1"/>
  <c r="L283" i="14"/>
  <c r="O283" i="14" s="1"/>
  <c r="M279" i="12"/>
  <c r="M277" i="12" s="1"/>
  <c r="L59" i="13"/>
  <c r="O59" i="13" s="1"/>
  <c r="M69" i="13"/>
  <c r="P69" i="13" s="1"/>
  <c r="M155" i="13"/>
  <c r="P155" i="13" s="1"/>
  <c r="M23" i="14"/>
  <c r="M21" i="14" s="1"/>
  <c r="K193" i="14"/>
  <c r="L446" i="14"/>
  <c r="L444" i="14" s="1"/>
  <c r="O444" i="14" s="1"/>
  <c r="J721" i="14"/>
  <c r="M47" i="13"/>
  <c r="P47" i="13" s="1"/>
  <c r="M267" i="13"/>
  <c r="P267" i="13" s="1"/>
  <c r="L283" i="13"/>
  <c r="O283" i="13" s="1"/>
  <c r="M317" i="13"/>
  <c r="P317" i="13" s="1"/>
  <c r="L321" i="13"/>
  <c r="O321" i="13" s="1"/>
  <c r="L392" i="14"/>
  <c r="O392" i="14" s="1"/>
  <c r="M395" i="14"/>
  <c r="P395" i="14" s="1"/>
  <c r="L546" i="14"/>
  <c r="O546" i="14" s="1"/>
  <c r="M283" i="13"/>
  <c r="P283" i="13" s="1"/>
  <c r="L217" i="14"/>
  <c r="O217" i="14" s="1"/>
  <c r="L331" i="14"/>
  <c r="O331" i="14" s="1"/>
  <c r="K824" i="14"/>
  <c r="K827" i="14"/>
  <c r="I248" i="13"/>
  <c r="K248" i="13" s="1"/>
  <c r="L26" i="14"/>
  <c r="L24" i="14" s="1"/>
  <c r="I148" i="14"/>
  <c r="K148" i="14" s="1"/>
  <c r="N152" i="14"/>
  <c r="L155" i="14"/>
  <c r="O155" i="14" s="1"/>
  <c r="L171" i="14"/>
  <c r="O171" i="14" s="1"/>
  <c r="P44" i="14"/>
  <c r="L151" i="14"/>
  <c r="L152" i="14"/>
  <c r="O152" i="14" s="1"/>
  <c r="L347" i="11"/>
  <c r="L345" i="11" s="1"/>
  <c r="L391" i="11"/>
  <c r="O391" i="11" s="1"/>
  <c r="K378" i="12"/>
  <c r="O264" i="13"/>
  <c r="L36" i="14"/>
  <c r="O36" i="14" s="1"/>
  <c r="N43" i="14"/>
  <c r="N41" i="14" s="1"/>
  <c r="N59" i="14"/>
  <c r="O59" i="14" s="1"/>
  <c r="O71" i="14"/>
  <c r="M90" i="14"/>
  <c r="M88" i="14" s="1"/>
  <c r="K115" i="14"/>
  <c r="I143" i="14"/>
  <c r="K143" i="14" s="1"/>
  <c r="P269" i="14"/>
  <c r="M267" i="14"/>
  <c r="P267" i="14" s="1"/>
  <c r="O456" i="14"/>
  <c r="L454" i="14"/>
  <c r="O454" i="14" s="1"/>
  <c r="O641" i="14"/>
  <c r="L631" i="14"/>
  <c r="O631" i="14" s="1"/>
  <c r="P168" i="13"/>
  <c r="I233" i="13"/>
  <c r="K233" i="13" s="1"/>
  <c r="L300" i="13"/>
  <c r="O300" i="13" s="1"/>
  <c r="L347" i="13"/>
  <c r="L345" i="13" s="1"/>
  <c r="K369" i="13"/>
  <c r="K372" i="13"/>
  <c r="N47" i="14"/>
  <c r="M55" i="14"/>
  <c r="M53" i="14" s="1"/>
  <c r="L69" i="14"/>
  <c r="O127" i="14"/>
  <c r="L121" i="14"/>
  <c r="O121" i="14" s="1"/>
  <c r="L125" i="14"/>
  <c r="O125" i="14" s="1"/>
  <c r="P306" i="14"/>
  <c r="M304" i="14"/>
  <c r="P304" i="14" s="1"/>
  <c r="M317" i="14"/>
  <c r="P317" i="14" s="1"/>
  <c r="P320" i="14"/>
  <c r="M318" i="14"/>
  <c r="P318" i="14" s="1"/>
  <c r="P394" i="14"/>
  <c r="M392" i="14"/>
  <c r="P392" i="14" s="1"/>
  <c r="L167" i="13"/>
  <c r="L165" i="13" s="1"/>
  <c r="O154" i="14"/>
  <c r="L230" i="14"/>
  <c r="L238" i="14"/>
  <c r="O238" i="14" s="1"/>
  <c r="N263" i="14"/>
  <c r="N261" i="14" s="1"/>
  <c r="N264" i="14"/>
  <c r="P264" i="14" s="1"/>
  <c r="L477" i="14"/>
  <c r="O477" i="14" s="1"/>
  <c r="O479" i="14"/>
  <c r="N300" i="8"/>
  <c r="N298" i="8" s="1"/>
  <c r="K720" i="12"/>
  <c r="N183" i="13"/>
  <c r="N181" i="13" s="1"/>
  <c r="O189" i="13"/>
  <c r="N300" i="13"/>
  <c r="N298" i="13" s="1"/>
  <c r="M43" i="14"/>
  <c r="L23" i="14"/>
  <c r="L21" i="14" s="1"/>
  <c r="N69" i="14"/>
  <c r="P69" i="14" s="1"/>
  <c r="L72" i="14"/>
  <c r="O72" i="14" s="1"/>
  <c r="M94" i="14"/>
  <c r="P94" i="14" s="1"/>
  <c r="N121" i="14"/>
  <c r="N119" i="14" s="1"/>
  <c r="N300" i="14"/>
  <c r="N298" i="14" s="1"/>
  <c r="N301" i="14"/>
  <c r="P301" i="14" s="1"/>
  <c r="K365" i="12"/>
  <c r="I143" i="13"/>
  <c r="I131" i="13" s="1"/>
  <c r="M279" i="13"/>
  <c r="M277" i="13" s="1"/>
  <c r="K365" i="13"/>
  <c r="M408" i="13"/>
  <c r="P408" i="13" s="1"/>
  <c r="L44" i="14"/>
  <c r="O44" i="14" s="1"/>
  <c r="P46" i="14"/>
  <c r="P58" i="14"/>
  <c r="M72" i="14"/>
  <c r="P72" i="14" s="1"/>
  <c r="N125" i="14"/>
  <c r="M138" i="14"/>
  <c r="P138" i="14" s="1"/>
  <c r="P140" i="14"/>
  <c r="M171" i="14"/>
  <c r="P171" i="14" s="1"/>
  <c r="N183" i="14"/>
  <c r="N181" i="14" s="1"/>
  <c r="J288" i="14"/>
  <c r="J275" i="14" s="1"/>
  <c r="I275" i="14"/>
  <c r="P336" i="14"/>
  <c r="M334" i="14"/>
  <c r="P334" i="14" s="1"/>
  <c r="P410" i="14"/>
  <c r="M408" i="14"/>
  <c r="P408" i="14" s="1"/>
  <c r="M151" i="14"/>
  <c r="M149" i="14" s="1"/>
  <c r="P348" i="14"/>
  <c r="K647" i="14"/>
  <c r="I174" i="14"/>
  <c r="I164" i="14" s="1"/>
  <c r="K164" i="14" s="1"/>
  <c r="K255" i="14"/>
  <c r="N318" i="14"/>
  <c r="K374" i="14"/>
  <c r="K379" i="14"/>
  <c r="O424" i="14"/>
  <c r="K111" i="14"/>
  <c r="J143" i="14"/>
  <c r="J131" i="14" s="1"/>
  <c r="N167" i="14"/>
  <c r="N165" i="14" s="1"/>
  <c r="O350" i="14"/>
  <c r="O353" i="14"/>
  <c r="K369" i="14"/>
  <c r="N391" i="14"/>
  <c r="N389" i="14" s="1"/>
  <c r="M404" i="14"/>
  <c r="P404" i="14" s="1"/>
  <c r="L422" i="14"/>
  <c r="I443" i="14"/>
  <c r="K443" i="14" s="1"/>
  <c r="L547" i="14"/>
  <c r="O547" i="14" s="1"/>
  <c r="J722" i="14"/>
  <c r="L788" i="14"/>
  <c r="O788" i="14" s="1"/>
  <c r="I248" i="14"/>
  <c r="K248" i="14" s="1"/>
  <c r="J327" i="14"/>
  <c r="K327" i="14" s="1"/>
  <c r="K359" i="14"/>
  <c r="K370" i="14"/>
  <c r="N392" i="14"/>
  <c r="L395" i="14"/>
  <c r="O395" i="14" s="1"/>
  <c r="M405" i="14"/>
  <c r="P405" i="14" s="1"/>
  <c r="O447" i="14"/>
  <c r="K620" i="14"/>
  <c r="K675" i="14"/>
  <c r="K823" i="14"/>
  <c r="K826" i="14"/>
  <c r="P15" i="14"/>
  <c r="M43" i="12"/>
  <c r="M41" i="12" s="1"/>
  <c r="M90" i="12"/>
  <c r="N167" i="12"/>
  <c r="N165" i="12" s="1"/>
  <c r="N317" i="12"/>
  <c r="N315" i="12" s="1"/>
  <c r="K340" i="12"/>
  <c r="P353" i="12"/>
  <c r="I785" i="12"/>
  <c r="K823" i="12"/>
  <c r="N90" i="13"/>
  <c r="N88" i="13" s="1"/>
  <c r="M125" i="13"/>
  <c r="P125" i="13" s="1"/>
  <c r="I216" i="13"/>
  <c r="K216" i="13" s="1"/>
  <c r="P333" i="13"/>
  <c r="K360" i="13"/>
  <c r="O690" i="13"/>
  <c r="K708" i="13"/>
  <c r="N23" i="14"/>
  <c r="N21" i="14" s="1"/>
  <c r="N26" i="14"/>
  <c r="M29" i="14"/>
  <c r="O42" i="14"/>
  <c r="O58" i="14"/>
  <c r="N55" i="14"/>
  <c r="N68" i="14"/>
  <c r="N66" i="14" s="1"/>
  <c r="I87" i="14"/>
  <c r="K87" i="14" s="1"/>
  <c r="N91" i="14"/>
  <c r="O91" i="14" s="1"/>
  <c r="N90" i="14"/>
  <c r="N88" i="14" s="1"/>
  <c r="K146" i="14"/>
  <c r="M155" i="14"/>
  <c r="P155" i="14" s="1"/>
  <c r="P157" i="14"/>
  <c r="N184" i="14"/>
  <c r="P184" i="14" s="1"/>
  <c r="P303" i="14"/>
  <c r="M300" i="14"/>
  <c r="O22" i="14"/>
  <c r="L19" i="14"/>
  <c r="L12" i="14"/>
  <c r="N28" i="14"/>
  <c r="P67" i="14"/>
  <c r="K79" i="14"/>
  <c r="I77" i="14"/>
  <c r="L43" i="12"/>
  <c r="L41" i="12" s="1"/>
  <c r="P58" i="12"/>
  <c r="N347" i="12"/>
  <c r="N345" i="12" s="1"/>
  <c r="K99" i="13"/>
  <c r="M134" i="13"/>
  <c r="M132" i="13" s="1"/>
  <c r="M167" i="13"/>
  <c r="M165" i="13" s="1"/>
  <c r="M347" i="13"/>
  <c r="M345" i="13" s="1"/>
  <c r="M12" i="14"/>
  <c r="M122" i="14"/>
  <c r="P122" i="14" s="1"/>
  <c r="M121" i="14"/>
  <c r="P124" i="14"/>
  <c r="L135" i="14"/>
  <c r="O135" i="14" s="1"/>
  <c r="P137" i="14"/>
  <c r="M134" i="14"/>
  <c r="P134" i="14" s="1"/>
  <c r="M152" i="14"/>
  <c r="P154" i="14"/>
  <c r="K204" i="14"/>
  <c r="I197" i="14"/>
  <c r="K197" i="14" s="1"/>
  <c r="M47" i="11"/>
  <c r="P47" i="11" s="1"/>
  <c r="P397" i="12"/>
  <c r="N19" i="14"/>
  <c r="N12" i="14"/>
  <c r="M59" i="14"/>
  <c r="P61" i="14"/>
  <c r="O186" i="14"/>
  <c r="L183" i="14"/>
  <c r="O262" i="14"/>
  <c r="O299" i="14"/>
  <c r="N90" i="12"/>
  <c r="N88" i="12" s="1"/>
  <c r="L279" i="12"/>
  <c r="L277" i="12" s="1"/>
  <c r="M304" i="12"/>
  <c r="P304" i="12" s="1"/>
  <c r="L44" i="13"/>
  <c r="L55" i="13"/>
  <c r="L53" i="13" s="1"/>
  <c r="M90" i="13"/>
  <c r="M88" i="13" s="1"/>
  <c r="P154" i="13"/>
  <c r="I297" i="13"/>
  <c r="K297" i="13" s="1"/>
  <c r="L301" i="13"/>
  <c r="O301" i="13" s="1"/>
  <c r="O306" i="13"/>
  <c r="K362" i="13"/>
  <c r="K374" i="13"/>
  <c r="L533" i="13"/>
  <c r="O533" i="13" s="1"/>
  <c r="K822" i="13"/>
  <c r="K825" i="13"/>
  <c r="K828" i="13"/>
  <c r="M19" i="14"/>
  <c r="P25" i="14"/>
  <c r="L43" i="14"/>
  <c r="O46" i="14"/>
  <c r="L68" i="14"/>
  <c r="L90" i="14"/>
  <c r="O93" i="14"/>
  <c r="N135" i="14"/>
  <c r="P166" i="14"/>
  <c r="O170" i="14"/>
  <c r="L167" i="14"/>
  <c r="L184" i="14"/>
  <c r="P186" i="14"/>
  <c r="M183" i="14"/>
  <c r="P262" i="14"/>
  <c r="O278" i="14"/>
  <c r="P285" i="14"/>
  <c r="M283" i="14"/>
  <c r="P283" i="14" s="1"/>
  <c r="M279" i="14"/>
  <c r="I216" i="12"/>
  <c r="K216" i="12" s="1"/>
  <c r="O353" i="12"/>
  <c r="L29" i="14"/>
  <c r="N34" i="14"/>
  <c r="P49" i="14"/>
  <c r="M26" i="14"/>
  <c r="M125" i="14"/>
  <c r="P125" i="14" s="1"/>
  <c r="P127" i="14"/>
  <c r="O168" i="14"/>
  <c r="P170" i="14"/>
  <c r="M167" i="14"/>
  <c r="L198" i="14"/>
  <c r="O198" i="14" s="1"/>
  <c r="P266" i="14"/>
  <c r="M263" i="14"/>
  <c r="O269" i="14"/>
  <c r="L267" i="14"/>
  <c r="O267" i="14" s="1"/>
  <c r="L263" i="14"/>
  <c r="I216" i="14"/>
  <c r="K216" i="14" s="1"/>
  <c r="L249" i="14"/>
  <c r="O249" i="14" s="1"/>
  <c r="O266" i="14"/>
  <c r="L264" i="14"/>
  <c r="O282" i="14"/>
  <c r="L321" i="14"/>
  <c r="O321" i="14" s="1"/>
  <c r="K378" i="14"/>
  <c r="P390" i="14"/>
  <c r="O303" i="14"/>
  <c r="L301" i="14"/>
  <c r="P424" i="14"/>
  <c r="M421" i="14"/>
  <c r="P421" i="14" s="1"/>
  <c r="M422" i="14"/>
  <c r="P422" i="14" s="1"/>
  <c r="P299" i="14"/>
  <c r="O306" i="14"/>
  <c r="L304" i="14"/>
  <c r="O304" i="14" s="1"/>
  <c r="L318" i="14"/>
  <c r="O318" i="14" s="1"/>
  <c r="L334" i="14"/>
  <c r="O334" i="14" s="1"/>
  <c r="L351" i="14"/>
  <c r="I364" i="14"/>
  <c r="J543" i="14"/>
  <c r="K559" i="14"/>
  <c r="P93" i="14"/>
  <c r="N227" i="14"/>
  <c r="P282" i="14"/>
  <c r="M280" i="14"/>
  <c r="P280" i="14" s="1"/>
  <c r="L330" i="14"/>
  <c r="N351" i="14"/>
  <c r="P351" i="14" s="1"/>
  <c r="P353" i="14"/>
  <c r="O407" i="14"/>
  <c r="L404" i="14"/>
  <c r="O404" i="14" s="1"/>
  <c r="L300" i="14"/>
  <c r="L317" i="14"/>
  <c r="O317" i="14" s="1"/>
  <c r="L347" i="14"/>
  <c r="K365" i="14"/>
  <c r="K543" i="14"/>
  <c r="N347" i="14"/>
  <c r="M391" i="14"/>
  <c r="P391" i="14" s="1"/>
  <c r="P407" i="14"/>
  <c r="I417" i="14"/>
  <c r="O445" i="14"/>
  <c r="O449" i="14"/>
  <c r="N523" i="14"/>
  <c r="M631" i="14"/>
  <c r="M632" i="14"/>
  <c r="P632" i="14" s="1"/>
  <c r="P634" i="14"/>
  <c r="P687" i="14"/>
  <c r="M685" i="14"/>
  <c r="P685" i="14" s="1"/>
  <c r="P738" i="14"/>
  <c r="M737" i="14"/>
  <c r="P737" i="14" s="1"/>
  <c r="P771" i="14"/>
  <c r="M770" i="14"/>
  <c r="P770" i="14" s="1"/>
  <c r="P788" i="14"/>
  <c r="M786" i="14"/>
  <c r="P786" i="14" s="1"/>
  <c r="P807" i="14"/>
  <c r="M805" i="14"/>
  <c r="P805" i="14" s="1"/>
  <c r="I237" i="14"/>
  <c r="P350" i="14"/>
  <c r="K355" i="14"/>
  <c r="O394" i="14"/>
  <c r="L421" i="14"/>
  <c r="L419" i="14" s="1"/>
  <c r="N422" i="14"/>
  <c r="K435" i="14"/>
  <c r="J433" i="14"/>
  <c r="J417" i="14" s="1"/>
  <c r="M449" i="14"/>
  <c r="L502" i="14"/>
  <c r="O502" i="14" s="1"/>
  <c r="O503" i="14"/>
  <c r="J537" i="14"/>
  <c r="J522" i="14" s="1"/>
  <c r="K576" i="14"/>
  <c r="O787" i="14"/>
  <c r="I785" i="14"/>
  <c r="K785" i="14" s="1"/>
  <c r="K800" i="14"/>
  <c r="O806" i="14"/>
  <c r="L805" i="14"/>
  <c r="O805" i="14" s="1"/>
  <c r="K651" i="14"/>
  <c r="I628" i="14"/>
  <c r="K628" i="14" s="1"/>
  <c r="O686" i="14"/>
  <c r="N421" i="14"/>
  <c r="N419" i="14" s="1"/>
  <c r="N414" i="14" s="1"/>
  <c r="K460" i="14"/>
  <c r="N502" i="14"/>
  <c r="P755" i="14"/>
  <c r="M754" i="14"/>
  <c r="P754" i="14" s="1"/>
  <c r="O472" i="14"/>
  <c r="L470" i="14"/>
  <c r="O470" i="14" s="1"/>
  <c r="N505" i="14"/>
  <c r="L533" i="14"/>
  <c r="O533" i="14" s="1"/>
  <c r="O535" i="14"/>
  <c r="L525" i="14"/>
  <c r="O525" i="14" s="1"/>
  <c r="O545" i="14"/>
  <c r="L469" i="14"/>
  <c r="M472" i="14"/>
  <c r="K593" i="14"/>
  <c r="O630" i="14"/>
  <c r="M658" i="14"/>
  <c r="P658" i="14" s="1"/>
  <c r="L632" i="14"/>
  <c r="O632" i="14" s="1"/>
  <c r="L639" i="14"/>
  <c r="O639" i="14" s="1"/>
  <c r="K669" i="14"/>
  <c r="L687" i="14"/>
  <c r="O687" i="14" s="1"/>
  <c r="P71" i="12"/>
  <c r="N318" i="12"/>
  <c r="M449" i="12"/>
  <c r="M446" i="12" s="1"/>
  <c r="M444" i="12" s="1"/>
  <c r="K87" i="13"/>
  <c r="O93" i="13"/>
  <c r="M121" i="13"/>
  <c r="P121" i="13" s="1"/>
  <c r="L152" i="13"/>
  <c r="O152" i="13" s="1"/>
  <c r="O170" i="13"/>
  <c r="I174" i="13"/>
  <c r="I164" i="13" s="1"/>
  <c r="K164" i="13" s="1"/>
  <c r="I190" i="13"/>
  <c r="K190" i="13" s="1"/>
  <c r="L229" i="13"/>
  <c r="P282" i="13"/>
  <c r="P306" i="13"/>
  <c r="N330" i="13"/>
  <c r="N328" i="13" s="1"/>
  <c r="J327" i="13"/>
  <c r="K327" i="13" s="1"/>
  <c r="I522" i="13"/>
  <c r="K522" i="13" s="1"/>
  <c r="K649" i="13"/>
  <c r="K723" i="13"/>
  <c r="N391" i="11"/>
  <c r="N389" i="11" s="1"/>
  <c r="M26" i="13"/>
  <c r="M16" i="13" s="1"/>
  <c r="M14" i="13" s="1"/>
  <c r="M122" i="13"/>
  <c r="P122" i="13" s="1"/>
  <c r="L125" i="13"/>
  <c r="O125" i="13" s="1"/>
  <c r="M152" i="13"/>
  <c r="P152" i="13" s="1"/>
  <c r="I237" i="13"/>
  <c r="M264" i="13"/>
  <c r="P264" i="13" s="1"/>
  <c r="M334" i="13"/>
  <c r="P334" i="13" s="1"/>
  <c r="M391" i="13"/>
  <c r="P391" i="13" s="1"/>
  <c r="M405" i="13"/>
  <c r="P405" i="13" s="1"/>
  <c r="P407" i="13"/>
  <c r="J433" i="13"/>
  <c r="J417" i="13" s="1"/>
  <c r="K674" i="13"/>
  <c r="N68" i="12"/>
  <c r="N66" i="12" s="1"/>
  <c r="N68" i="13"/>
  <c r="N66" i="13" s="1"/>
  <c r="I77" i="13"/>
  <c r="K77" i="13" s="1"/>
  <c r="K98" i="13"/>
  <c r="L238" i="13"/>
  <c r="O238" i="13" s="1"/>
  <c r="O269" i="13"/>
  <c r="L477" i="3"/>
  <c r="O477" i="3" s="1"/>
  <c r="K176" i="12"/>
  <c r="L348" i="13"/>
  <c r="P350" i="13"/>
  <c r="P353" i="13"/>
  <c r="M392" i="13"/>
  <c r="P392" i="13" s="1"/>
  <c r="I443" i="13"/>
  <c r="K443" i="13" s="1"/>
  <c r="L555" i="13"/>
  <c r="O555" i="13" s="1"/>
  <c r="M55" i="12"/>
  <c r="M53" i="12" s="1"/>
  <c r="M283" i="12"/>
  <c r="P283" i="12" s="1"/>
  <c r="K338" i="12"/>
  <c r="I76" i="13"/>
  <c r="K76" i="13" s="1"/>
  <c r="M183" i="13"/>
  <c r="L228" i="13"/>
  <c r="L263" i="13"/>
  <c r="L261" i="13" s="1"/>
  <c r="P280" i="13"/>
  <c r="N317" i="13"/>
  <c r="N315" i="13" s="1"/>
  <c r="O320" i="13"/>
  <c r="L330" i="13"/>
  <c r="L328" i="13" s="1"/>
  <c r="K340" i="13"/>
  <c r="K355" i="13"/>
  <c r="M395" i="13"/>
  <c r="P395" i="13" s="1"/>
  <c r="L422" i="13"/>
  <c r="L421" i="13"/>
  <c r="L419" i="13" s="1"/>
  <c r="O419" i="13" s="1"/>
  <c r="L546" i="13"/>
  <c r="L544" i="13" s="1"/>
  <c r="J722" i="13"/>
  <c r="K722" i="13" s="1"/>
  <c r="K823" i="13"/>
  <c r="K826" i="13"/>
  <c r="O184" i="13"/>
  <c r="P333" i="10"/>
  <c r="N43" i="12"/>
  <c r="N41" i="12" s="1"/>
  <c r="M56" i="12"/>
  <c r="P56" i="12" s="1"/>
  <c r="L330" i="12"/>
  <c r="L328" i="12" s="1"/>
  <c r="M55" i="13"/>
  <c r="M53" i="13" s="1"/>
  <c r="K79" i="13"/>
  <c r="L121" i="13"/>
  <c r="O124" i="13"/>
  <c r="L134" i="13"/>
  <c r="L132" i="13" s="1"/>
  <c r="N151" i="13"/>
  <c r="O157" i="13"/>
  <c r="N167" i="13"/>
  <c r="O168" i="13"/>
  <c r="P184" i="13"/>
  <c r="L249" i="13"/>
  <c r="O249" i="13" s="1"/>
  <c r="O266" i="13"/>
  <c r="J288" i="13"/>
  <c r="J275" i="13" s="1"/>
  <c r="K275" i="13" s="1"/>
  <c r="N301" i="13"/>
  <c r="O303" i="13"/>
  <c r="N334" i="13"/>
  <c r="O431" i="13"/>
  <c r="K435" i="13"/>
  <c r="M634" i="13"/>
  <c r="O449" i="12"/>
  <c r="O56" i="13"/>
  <c r="M68" i="13"/>
  <c r="P68" i="13" s="1"/>
  <c r="P303" i="13"/>
  <c r="K338" i="13"/>
  <c r="J364" i="13"/>
  <c r="L391" i="13"/>
  <c r="L395" i="13"/>
  <c r="O395" i="13" s="1"/>
  <c r="L632" i="13"/>
  <c r="O632" i="13" s="1"/>
  <c r="K647" i="13"/>
  <c r="I785" i="13"/>
  <c r="I87" i="12"/>
  <c r="K87" i="12" s="1"/>
  <c r="N183" i="12"/>
  <c r="N181" i="12" s="1"/>
  <c r="O96" i="13"/>
  <c r="I112" i="13"/>
  <c r="K112" i="13" s="1"/>
  <c r="N121" i="13"/>
  <c r="N119" i="13" s="1"/>
  <c r="O186" i="13"/>
  <c r="L279" i="13"/>
  <c r="L277" i="13" s="1"/>
  <c r="N279" i="13"/>
  <c r="M300" i="13"/>
  <c r="M298" i="13" s="1"/>
  <c r="P298" i="13" s="1"/>
  <c r="L318" i="13"/>
  <c r="O318" i="13" s="1"/>
  <c r="M330" i="13"/>
  <c r="I364" i="13"/>
  <c r="L404" i="13"/>
  <c r="O404" i="13" s="1"/>
  <c r="I433" i="13"/>
  <c r="I417" i="13" s="1"/>
  <c r="I654" i="13"/>
  <c r="K654" i="13" s="1"/>
  <c r="O61" i="12"/>
  <c r="L134" i="12"/>
  <c r="O134" i="12" s="1"/>
  <c r="K86" i="13"/>
  <c r="N263" i="13"/>
  <c r="O350" i="13"/>
  <c r="O353" i="13"/>
  <c r="N404" i="13"/>
  <c r="N402" i="13" s="1"/>
  <c r="L526" i="13"/>
  <c r="O526" i="13" s="1"/>
  <c r="K576" i="13"/>
  <c r="L657" i="13"/>
  <c r="L655" i="13" s="1"/>
  <c r="O655" i="13" s="1"/>
  <c r="O660" i="13"/>
  <c r="K801" i="13"/>
  <c r="L167" i="11"/>
  <c r="L165" i="11" s="1"/>
  <c r="M347" i="11"/>
  <c r="M345" i="11" s="1"/>
  <c r="M391" i="11"/>
  <c r="P391" i="11" s="1"/>
  <c r="P61" i="12"/>
  <c r="L304" i="12"/>
  <c r="O304" i="12" s="1"/>
  <c r="K379" i="12"/>
  <c r="M72" i="13"/>
  <c r="P72" i="13" s="1"/>
  <c r="L90" i="13"/>
  <c r="L88" i="13" s="1"/>
  <c r="L151" i="13"/>
  <c r="O173" i="13"/>
  <c r="L183" i="13"/>
  <c r="L198" i="13"/>
  <c r="O198" i="13" s="1"/>
  <c r="L209" i="13"/>
  <c r="O209" i="13" s="1"/>
  <c r="L217" i="13"/>
  <c r="O217" i="13" s="1"/>
  <c r="L230" i="13"/>
  <c r="P266" i="13"/>
  <c r="I314" i="13"/>
  <c r="K314" i="13" s="1"/>
  <c r="M331" i="13"/>
  <c r="P331" i="13" s="1"/>
  <c r="N347" i="13"/>
  <c r="N345" i="13" s="1"/>
  <c r="K378" i="13"/>
  <c r="K381" i="13"/>
  <c r="K385" i="13"/>
  <c r="L392" i="13"/>
  <c r="O392" i="13" s="1"/>
  <c r="O549" i="13"/>
  <c r="K821" i="13"/>
  <c r="K824" i="13"/>
  <c r="K827" i="13"/>
  <c r="P12" i="13"/>
  <c r="M9" i="13"/>
  <c r="P15" i="13"/>
  <c r="O19" i="13"/>
  <c r="J143" i="13"/>
  <c r="J131" i="13" s="1"/>
  <c r="K144" i="13"/>
  <c r="M135" i="12"/>
  <c r="P135" i="12" s="1"/>
  <c r="O137" i="12"/>
  <c r="L171" i="12"/>
  <c r="O171" i="12" s="1"/>
  <c r="M183" i="12"/>
  <c r="O266" i="12"/>
  <c r="P320" i="12"/>
  <c r="L331" i="12"/>
  <c r="L334" i="12"/>
  <c r="O334" i="12" s="1"/>
  <c r="K537" i="12"/>
  <c r="K701" i="12"/>
  <c r="L12" i="13"/>
  <c r="O22" i="13"/>
  <c r="O29" i="13"/>
  <c r="O35" i="13"/>
  <c r="N44" i="13"/>
  <c r="P46" i="13"/>
  <c r="L26" i="13"/>
  <c r="O49" i="13"/>
  <c r="P56" i="13"/>
  <c r="O58" i="13"/>
  <c r="L69" i="13"/>
  <c r="O69" i="13" s="1"/>
  <c r="N392" i="13"/>
  <c r="N391" i="13"/>
  <c r="N389" i="13" s="1"/>
  <c r="M470" i="13"/>
  <c r="P472" i="13"/>
  <c r="L477" i="13"/>
  <c r="O477" i="13" s="1"/>
  <c r="L469" i="13"/>
  <c r="L467" i="13" s="1"/>
  <c r="O479" i="13"/>
  <c r="L36" i="13"/>
  <c r="O36" i="13" s="1"/>
  <c r="O524" i="13"/>
  <c r="M94" i="13"/>
  <c r="P94" i="13" s="1"/>
  <c r="P96" i="13"/>
  <c r="L229" i="11"/>
  <c r="M405" i="11"/>
  <c r="P405" i="11" s="1"/>
  <c r="M408" i="11"/>
  <c r="P408" i="11" s="1"/>
  <c r="P173" i="12"/>
  <c r="P266" i="12"/>
  <c r="O303" i="12"/>
  <c r="L631" i="12"/>
  <c r="L629" i="12" s="1"/>
  <c r="M634" i="12"/>
  <c r="M632" i="12" s="1"/>
  <c r="P632" i="12" s="1"/>
  <c r="K647" i="12"/>
  <c r="M23" i="13"/>
  <c r="M21" i="13" s="1"/>
  <c r="P42" i="13"/>
  <c r="L47" i="13"/>
  <c r="O47" i="13" s="1"/>
  <c r="N55" i="13"/>
  <c r="L447" i="13"/>
  <c r="O447" i="13" s="1"/>
  <c r="O449" i="13"/>
  <c r="M449" i="13"/>
  <c r="L33" i="13"/>
  <c r="L446" i="13"/>
  <c r="M469" i="13"/>
  <c r="K649" i="11"/>
  <c r="P282" i="12"/>
  <c r="P303" i="12"/>
  <c r="L351" i="12"/>
  <c r="O351" i="12" s="1"/>
  <c r="P19" i="13"/>
  <c r="N23" i="13"/>
  <c r="N47" i="13"/>
  <c r="N26" i="13"/>
  <c r="P67" i="13"/>
  <c r="O89" i="13"/>
  <c r="O91" i="13"/>
  <c r="P133" i="13"/>
  <c r="N135" i="13"/>
  <c r="O135" i="13" s="1"/>
  <c r="P137" i="13"/>
  <c r="K225" i="13"/>
  <c r="O738" i="13"/>
  <c r="L737" i="13"/>
  <c r="O737" i="13" s="1"/>
  <c r="P756" i="13"/>
  <c r="M754" i="13"/>
  <c r="P754" i="13" s="1"/>
  <c r="N330" i="12"/>
  <c r="N328" i="12" s="1"/>
  <c r="L789" i="13"/>
  <c r="O791" i="13"/>
  <c r="M791" i="13"/>
  <c r="L788" i="13"/>
  <c r="O74" i="11"/>
  <c r="N279" i="12"/>
  <c r="N277" i="12" s="1"/>
  <c r="M317" i="12"/>
  <c r="M315" i="12" s="1"/>
  <c r="P315" i="12" s="1"/>
  <c r="I433" i="12"/>
  <c r="I417" i="12" s="1"/>
  <c r="L68" i="13"/>
  <c r="M91" i="13"/>
  <c r="P91" i="13" s="1"/>
  <c r="P93" i="13"/>
  <c r="N138" i="13"/>
  <c r="O138" i="13" s="1"/>
  <c r="P140" i="13"/>
  <c r="L280" i="13"/>
  <c r="O280" i="13" s="1"/>
  <c r="O282" i="13"/>
  <c r="N525" i="13"/>
  <c r="N523" i="13" s="1"/>
  <c r="N526" i="13"/>
  <c r="M23" i="12"/>
  <c r="M21" i="12" s="1"/>
  <c r="K370" i="12"/>
  <c r="M391" i="12"/>
  <c r="P391" i="12" s="1"/>
  <c r="K803" i="12"/>
  <c r="P22" i="13"/>
  <c r="P29" i="13"/>
  <c r="M34" i="13"/>
  <c r="P34" i="13" s="1"/>
  <c r="P35" i="13"/>
  <c r="L23" i="13"/>
  <c r="L21" i="13" s="1"/>
  <c r="O46" i="13"/>
  <c r="P58" i="13"/>
  <c r="N422" i="13"/>
  <c r="N33" i="13"/>
  <c r="O137" i="13"/>
  <c r="O140" i="13"/>
  <c r="O166" i="13"/>
  <c r="P170" i="13"/>
  <c r="P173" i="13"/>
  <c r="O182" i="13"/>
  <c r="P186" i="13"/>
  <c r="P189" i="13"/>
  <c r="L231" i="13"/>
  <c r="O299" i="13"/>
  <c r="L331" i="13"/>
  <c r="O331" i="13" s="1"/>
  <c r="O333" i="13"/>
  <c r="O472" i="13"/>
  <c r="N469" i="13"/>
  <c r="N467" i="13" s="1"/>
  <c r="J594" i="13"/>
  <c r="O755" i="13"/>
  <c r="L754" i="13"/>
  <c r="O754" i="13" s="1"/>
  <c r="P772" i="13"/>
  <c r="M770" i="13"/>
  <c r="P770" i="13" s="1"/>
  <c r="N788" i="13"/>
  <c r="N786" i="13" s="1"/>
  <c r="N789" i="13"/>
  <c r="L334" i="13"/>
  <c r="O334" i="13" s="1"/>
  <c r="O336" i="13"/>
  <c r="K370" i="13"/>
  <c r="P420" i="13"/>
  <c r="O468" i="13"/>
  <c r="N470" i="13"/>
  <c r="O470" i="13" s="1"/>
  <c r="K559" i="13"/>
  <c r="I543" i="13"/>
  <c r="K543" i="13" s="1"/>
  <c r="P660" i="13"/>
  <c r="M657" i="13"/>
  <c r="P657" i="13" s="1"/>
  <c r="M658" i="13"/>
  <c r="O771" i="13"/>
  <c r="L770" i="13"/>
  <c r="O770" i="13" s="1"/>
  <c r="O806" i="13"/>
  <c r="L805" i="13"/>
  <c r="O805" i="13" s="1"/>
  <c r="K359" i="13"/>
  <c r="N544" i="13"/>
  <c r="M546" i="13"/>
  <c r="M547" i="13"/>
  <c r="P549" i="13"/>
  <c r="K592" i="13"/>
  <c r="K651" i="13"/>
  <c r="I628" i="13"/>
  <c r="K628" i="13" s="1"/>
  <c r="P390" i="13"/>
  <c r="L405" i="13"/>
  <c r="O405" i="13" s="1"/>
  <c r="O407" i="13"/>
  <c r="P525" i="13"/>
  <c r="M523" i="13"/>
  <c r="P523" i="13" s="1"/>
  <c r="K593" i="13"/>
  <c r="O686" i="13"/>
  <c r="L685" i="13"/>
  <c r="O685" i="13" s="1"/>
  <c r="I197" i="13"/>
  <c r="K197" i="13" s="1"/>
  <c r="I276" i="13"/>
  <c r="K276" i="13" s="1"/>
  <c r="P316" i="13"/>
  <c r="L408" i="13"/>
  <c r="O408" i="13" s="1"/>
  <c r="O410" i="13"/>
  <c r="M421" i="13"/>
  <c r="P421" i="13" s="1"/>
  <c r="M422" i="13"/>
  <c r="P422" i="13" s="1"/>
  <c r="P424" i="13"/>
  <c r="I434" i="13"/>
  <c r="K438" i="13"/>
  <c r="N546" i="13"/>
  <c r="N547" i="13"/>
  <c r="K594" i="13"/>
  <c r="P739" i="13"/>
  <c r="M737" i="13"/>
  <c r="P737" i="13" s="1"/>
  <c r="O424" i="13"/>
  <c r="O545" i="13"/>
  <c r="P555" i="13"/>
  <c r="P630" i="13"/>
  <c r="P320" i="13"/>
  <c r="P323" i="13"/>
  <c r="N348" i="13"/>
  <c r="P348" i="13" s="1"/>
  <c r="N351" i="13"/>
  <c r="P351" i="13" s="1"/>
  <c r="J537" i="13"/>
  <c r="J522" i="13" s="1"/>
  <c r="L547" i="13"/>
  <c r="L631" i="13"/>
  <c r="O631" i="13" s="1"/>
  <c r="L639" i="13"/>
  <c r="O639" i="13" s="1"/>
  <c r="N658" i="13"/>
  <c r="K675" i="13"/>
  <c r="K672" i="13"/>
  <c r="L688" i="13"/>
  <c r="O688" i="13" s="1"/>
  <c r="M690" i="13"/>
  <c r="L525" i="13"/>
  <c r="O525" i="13" s="1"/>
  <c r="K669" i="13"/>
  <c r="K674" i="12"/>
  <c r="I148" i="9"/>
  <c r="K148" i="9" s="1"/>
  <c r="L347" i="10"/>
  <c r="L345" i="10" s="1"/>
  <c r="P124" i="11"/>
  <c r="M317" i="11"/>
  <c r="P317" i="11" s="1"/>
  <c r="N121" i="12"/>
  <c r="N119" i="12" s="1"/>
  <c r="M138" i="12"/>
  <c r="P138" i="12" s="1"/>
  <c r="N151" i="12"/>
  <c r="N149" i="12" s="1"/>
  <c r="M155" i="12"/>
  <c r="P155" i="12" s="1"/>
  <c r="N184" i="12"/>
  <c r="P184" i="12" s="1"/>
  <c r="O186" i="12"/>
  <c r="N283" i="12"/>
  <c r="N404" i="12"/>
  <c r="N402" i="12" s="1"/>
  <c r="M408" i="12"/>
  <c r="P408" i="12" s="1"/>
  <c r="M318" i="9"/>
  <c r="P318" i="9" s="1"/>
  <c r="I86" i="11"/>
  <c r="K86" i="11" s="1"/>
  <c r="M91" i="12"/>
  <c r="P91" i="12" s="1"/>
  <c r="O93" i="12"/>
  <c r="I112" i="12"/>
  <c r="K112" i="12" s="1"/>
  <c r="O140" i="12"/>
  <c r="L167" i="12"/>
  <c r="P186" i="12"/>
  <c r="K244" i="12"/>
  <c r="L263" i="12"/>
  <c r="L261" i="12" s="1"/>
  <c r="N263" i="12"/>
  <c r="N261" i="12" s="1"/>
  <c r="N300" i="12"/>
  <c r="P350" i="12"/>
  <c r="K669" i="12"/>
  <c r="J785" i="12"/>
  <c r="P93" i="12"/>
  <c r="L267" i="12"/>
  <c r="O267" i="12" s="1"/>
  <c r="K359" i="12"/>
  <c r="L421" i="12"/>
  <c r="O421" i="12" s="1"/>
  <c r="O424" i="12"/>
  <c r="I654" i="12"/>
  <c r="K654" i="12" s="1"/>
  <c r="L789" i="5"/>
  <c r="O789" i="5" s="1"/>
  <c r="L90" i="12"/>
  <c r="L209" i="12"/>
  <c r="O209" i="12" s="1"/>
  <c r="L317" i="12"/>
  <c r="O317" i="12" s="1"/>
  <c r="L36" i="12"/>
  <c r="O36" i="12" s="1"/>
  <c r="K379" i="9"/>
  <c r="P170" i="10"/>
  <c r="P61" i="11"/>
  <c r="P93" i="11"/>
  <c r="M279" i="11"/>
  <c r="M277" i="11" s="1"/>
  <c r="N404" i="11"/>
  <c r="N402" i="11" s="1"/>
  <c r="M44" i="12"/>
  <c r="P44" i="12" s="1"/>
  <c r="O58" i="12"/>
  <c r="P154" i="12"/>
  <c r="L183" i="12"/>
  <c r="L181" i="12" s="1"/>
  <c r="L249" i="12"/>
  <c r="O249" i="12" s="1"/>
  <c r="L318" i="12"/>
  <c r="O318" i="12" s="1"/>
  <c r="M351" i="12"/>
  <c r="P351" i="12" s="1"/>
  <c r="N391" i="12"/>
  <c r="N389" i="12" s="1"/>
  <c r="I434" i="12"/>
  <c r="I418" i="12" s="1"/>
  <c r="K418" i="12" s="1"/>
  <c r="O472" i="12"/>
  <c r="K672" i="12"/>
  <c r="J722" i="12"/>
  <c r="K822" i="12"/>
  <c r="K828" i="12"/>
  <c r="L55" i="12"/>
  <c r="M151" i="12"/>
  <c r="M149" i="12" s="1"/>
  <c r="N391" i="9"/>
  <c r="N389" i="9" s="1"/>
  <c r="N134" i="11"/>
  <c r="N132" i="11" s="1"/>
  <c r="K466" i="11"/>
  <c r="N23" i="12"/>
  <c r="N13" i="12" s="1"/>
  <c r="M69" i="12"/>
  <c r="P69" i="12" s="1"/>
  <c r="N168" i="12"/>
  <c r="P168" i="12" s="1"/>
  <c r="O170" i="12"/>
  <c r="L217" i="12"/>
  <c r="O217" i="12" s="1"/>
  <c r="M267" i="12"/>
  <c r="P267" i="12" s="1"/>
  <c r="N331" i="12"/>
  <c r="K438" i="12"/>
  <c r="O557" i="12"/>
  <c r="L687" i="12"/>
  <c r="O687" i="12" s="1"/>
  <c r="M690" i="12"/>
  <c r="K801" i="12"/>
  <c r="O447" i="12"/>
  <c r="M55" i="11"/>
  <c r="M53" i="11" s="1"/>
  <c r="N167" i="11"/>
  <c r="N165" i="11" s="1"/>
  <c r="N330" i="11"/>
  <c r="N328" i="11" s="1"/>
  <c r="K577" i="11"/>
  <c r="K821" i="11"/>
  <c r="K824" i="11"/>
  <c r="K827" i="11"/>
  <c r="O44" i="12"/>
  <c r="N55" i="12"/>
  <c r="L59" i="12"/>
  <c r="O59" i="12" s="1"/>
  <c r="M72" i="12"/>
  <c r="P72" i="12" s="1"/>
  <c r="O91" i="12"/>
  <c r="M134" i="12"/>
  <c r="P134" i="12" s="1"/>
  <c r="L155" i="12"/>
  <c r="O155" i="12" s="1"/>
  <c r="M167" i="12"/>
  <c r="P170" i="12"/>
  <c r="L187" i="12"/>
  <c r="O187" i="12" s="1"/>
  <c r="N267" i="12"/>
  <c r="M280" i="12"/>
  <c r="P280" i="12" s="1"/>
  <c r="M301" i="12"/>
  <c r="P301" i="12" s="1"/>
  <c r="L321" i="12"/>
  <c r="O321" i="12" s="1"/>
  <c r="K355" i="12"/>
  <c r="K381" i="12"/>
  <c r="K385" i="12"/>
  <c r="M392" i="12"/>
  <c r="P392" i="12" s="1"/>
  <c r="J433" i="12"/>
  <c r="J417" i="12" s="1"/>
  <c r="I442" i="12"/>
  <c r="K442" i="12" s="1"/>
  <c r="K593" i="12"/>
  <c r="M660" i="12"/>
  <c r="K673" i="12"/>
  <c r="L788" i="12"/>
  <c r="O788" i="12" s="1"/>
  <c r="K821" i="12"/>
  <c r="K824" i="12"/>
  <c r="K827" i="12"/>
  <c r="L408" i="11"/>
  <c r="O408" i="11" s="1"/>
  <c r="M304" i="8"/>
  <c r="P304" i="8" s="1"/>
  <c r="P152" i="11"/>
  <c r="L217" i="11"/>
  <c r="O217" i="11" s="1"/>
  <c r="M304" i="11"/>
  <c r="P304" i="11" s="1"/>
  <c r="L330" i="11"/>
  <c r="L328" i="11" s="1"/>
  <c r="M348" i="11"/>
  <c r="I442" i="11"/>
  <c r="K442" i="11" s="1"/>
  <c r="P46" i="12"/>
  <c r="M59" i="12"/>
  <c r="P59" i="12" s="1"/>
  <c r="I86" i="12"/>
  <c r="K86" i="12" s="1"/>
  <c r="N134" i="12"/>
  <c r="N132" i="12" s="1"/>
  <c r="M347" i="12"/>
  <c r="M345" i="12" s="1"/>
  <c r="K360" i="12"/>
  <c r="O394" i="12"/>
  <c r="L658" i="12"/>
  <c r="O658" i="12" s="1"/>
  <c r="L688" i="12"/>
  <c r="O688" i="12" s="1"/>
  <c r="J721" i="12"/>
  <c r="J364" i="12"/>
  <c r="O71" i="11"/>
  <c r="I77" i="11"/>
  <c r="I65" i="11" s="1"/>
  <c r="K65" i="11" s="1"/>
  <c r="L121" i="11"/>
  <c r="L119" i="11" s="1"/>
  <c r="I248" i="11"/>
  <c r="K248" i="11" s="1"/>
  <c r="I364" i="11"/>
  <c r="L688" i="11"/>
  <c r="O688" i="11" s="1"/>
  <c r="L68" i="12"/>
  <c r="O96" i="12"/>
  <c r="P189" i="12"/>
  <c r="L198" i="12"/>
  <c r="O198" i="12" s="1"/>
  <c r="I208" i="12"/>
  <c r="K208" i="12" s="1"/>
  <c r="L238" i="12"/>
  <c r="O238" i="12" s="1"/>
  <c r="M263" i="12"/>
  <c r="P323" i="12"/>
  <c r="P394" i="12"/>
  <c r="L657" i="12"/>
  <c r="O657" i="12" s="1"/>
  <c r="L789" i="12"/>
  <c r="O789" i="12" s="1"/>
  <c r="M125" i="10"/>
  <c r="P125" i="10" s="1"/>
  <c r="O333" i="10"/>
  <c r="K651" i="10"/>
  <c r="P140" i="11"/>
  <c r="O549" i="11"/>
  <c r="L33" i="12"/>
  <c r="O33" i="12" s="1"/>
  <c r="M47" i="12"/>
  <c r="P47" i="12" s="1"/>
  <c r="N26" i="12"/>
  <c r="N16" i="12" s="1"/>
  <c r="N14" i="12" s="1"/>
  <c r="M68" i="12"/>
  <c r="O69" i="12"/>
  <c r="I76" i="12"/>
  <c r="I64" i="12" s="1"/>
  <c r="K64" i="12" s="1"/>
  <c r="I130" i="12"/>
  <c r="K130" i="12" s="1"/>
  <c r="L151" i="12"/>
  <c r="O154" i="12"/>
  <c r="I190" i="12"/>
  <c r="K190" i="12" s="1"/>
  <c r="L229" i="12"/>
  <c r="L230" i="12"/>
  <c r="L300" i="12"/>
  <c r="L298" i="12" s="1"/>
  <c r="J327" i="12"/>
  <c r="K327" i="12" s="1"/>
  <c r="M348" i="12"/>
  <c r="P348" i="12" s="1"/>
  <c r="O397" i="12"/>
  <c r="K466" i="12"/>
  <c r="L469" i="12"/>
  <c r="L467" i="12" s="1"/>
  <c r="K577" i="12"/>
  <c r="K594" i="12"/>
  <c r="K649" i="12"/>
  <c r="K708" i="12"/>
  <c r="O71" i="10"/>
  <c r="K379" i="10"/>
  <c r="J143" i="11"/>
  <c r="J131" i="11" s="1"/>
  <c r="I208" i="11"/>
  <c r="K208" i="11" s="1"/>
  <c r="M267" i="11"/>
  <c r="P267" i="11" s="1"/>
  <c r="I314" i="11"/>
  <c r="K314" i="11" s="1"/>
  <c r="K372" i="11"/>
  <c r="N392" i="11"/>
  <c r="L395" i="11"/>
  <c r="O395" i="11" s="1"/>
  <c r="K672" i="11"/>
  <c r="O303" i="11"/>
  <c r="M68" i="11"/>
  <c r="P127" i="11"/>
  <c r="O91" i="11"/>
  <c r="M151" i="11"/>
  <c r="M149" i="11" s="1"/>
  <c r="K288" i="11"/>
  <c r="I297" i="11"/>
  <c r="K297" i="11" s="1"/>
  <c r="M330" i="11"/>
  <c r="K365" i="11"/>
  <c r="L405" i="11"/>
  <c r="O405" i="11" s="1"/>
  <c r="O660" i="11"/>
  <c r="K669" i="11"/>
  <c r="J722" i="11"/>
  <c r="L657" i="11"/>
  <c r="L655" i="11" s="1"/>
  <c r="O655" i="11" s="1"/>
  <c r="I148" i="10"/>
  <c r="K148" i="10" s="1"/>
  <c r="M300" i="10"/>
  <c r="M298" i="10" s="1"/>
  <c r="M317" i="10"/>
  <c r="P317" i="10" s="1"/>
  <c r="I364" i="10"/>
  <c r="O157" i="11"/>
  <c r="L334" i="11"/>
  <c r="O334" i="11" s="1"/>
  <c r="N405" i="11"/>
  <c r="O56" i="12"/>
  <c r="O120" i="12"/>
  <c r="K145" i="12"/>
  <c r="I143" i="12"/>
  <c r="L348" i="12"/>
  <c r="O348" i="12" s="1"/>
  <c r="O350" i="12"/>
  <c r="P407" i="12"/>
  <c r="M404" i="12"/>
  <c r="P404" i="12" s="1"/>
  <c r="L408" i="12"/>
  <c r="O408" i="12" s="1"/>
  <c r="O410" i="12"/>
  <c r="P468" i="12"/>
  <c r="O755" i="12"/>
  <c r="L754" i="12"/>
  <c r="O754" i="12" s="1"/>
  <c r="N772" i="12"/>
  <c r="N773" i="12"/>
  <c r="L26" i="12"/>
  <c r="M34" i="12"/>
  <c r="P34" i="12" s="1"/>
  <c r="L122" i="12"/>
  <c r="O122" i="12" s="1"/>
  <c r="L228" i="12"/>
  <c r="O262" i="12"/>
  <c r="K271" i="12"/>
  <c r="L280" i="12"/>
  <c r="O280" i="12" s="1"/>
  <c r="O282" i="12"/>
  <c r="I314" i="12"/>
  <c r="K314" i="12" s="1"/>
  <c r="M331" i="12"/>
  <c r="P333" i="12"/>
  <c r="M405" i="12"/>
  <c r="P405" i="12" s="1"/>
  <c r="N467" i="12"/>
  <c r="O806" i="12"/>
  <c r="L805" i="12"/>
  <c r="O805" i="12" s="1"/>
  <c r="L12" i="12"/>
  <c r="L19" i="12"/>
  <c r="M26" i="12"/>
  <c r="I77" i="12"/>
  <c r="K82" i="12"/>
  <c r="K116" i="12"/>
  <c r="M122" i="12"/>
  <c r="P122" i="12" s="1"/>
  <c r="I148" i="12"/>
  <c r="K148" i="12" s="1"/>
  <c r="O150" i="12"/>
  <c r="L264" i="12"/>
  <c r="O264" i="12" s="1"/>
  <c r="O299" i="12"/>
  <c r="K309" i="12"/>
  <c r="P346" i="12"/>
  <c r="L454" i="12"/>
  <c r="O454" i="12" s="1"/>
  <c r="L446" i="12"/>
  <c r="K462" i="12"/>
  <c r="M12" i="12"/>
  <c r="M19" i="12"/>
  <c r="O46" i="12"/>
  <c r="O49" i="12"/>
  <c r="O71" i="12"/>
  <c r="O74" i="12"/>
  <c r="L125" i="12"/>
  <c r="O125" i="12" s="1"/>
  <c r="L152" i="12"/>
  <c r="O152" i="12" s="1"/>
  <c r="I164" i="12"/>
  <c r="K164" i="12" s="1"/>
  <c r="M264" i="12"/>
  <c r="P264" i="12" s="1"/>
  <c r="P278" i="12"/>
  <c r="L283" i="12"/>
  <c r="O283" i="12" s="1"/>
  <c r="O285" i="12"/>
  <c r="J288" i="12"/>
  <c r="J275" i="12" s="1"/>
  <c r="K275" i="12" s="1"/>
  <c r="L301" i="12"/>
  <c r="O301" i="12" s="1"/>
  <c r="M330" i="12"/>
  <c r="M328" i="12" s="1"/>
  <c r="O333" i="12"/>
  <c r="K374" i="12"/>
  <c r="I364" i="12"/>
  <c r="P390" i="12"/>
  <c r="O403" i="12"/>
  <c r="O456" i="12"/>
  <c r="M469" i="12"/>
  <c r="P469" i="12" s="1"/>
  <c r="M470" i="12"/>
  <c r="P472" i="12"/>
  <c r="O535" i="12"/>
  <c r="L525" i="12"/>
  <c r="O525" i="12" s="1"/>
  <c r="O545" i="12"/>
  <c r="L544" i="12"/>
  <c r="O544" i="12" s="1"/>
  <c r="N12" i="12"/>
  <c r="L23" i="12"/>
  <c r="K111" i="12"/>
  <c r="L121" i="12"/>
  <c r="O121" i="12" s="1"/>
  <c r="M125" i="12"/>
  <c r="P125" i="12" s="1"/>
  <c r="J143" i="12"/>
  <c r="J131" i="12" s="1"/>
  <c r="M152" i="12"/>
  <c r="P152" i="12" s="1"/>
  <c r="L347" i="12"/>
  <c r="K372" i="12"/>
  <c r="P403" i="12"/>
  <c r="N470" i="12"/>
  <c r="N469" i="12"/>
  <c r="I559" i="12"/>
  <c r="K576" i="12"/>
  <c r="M121" i="12"/>
  <c r="K255" i="12"/>
  <c r="I248" i="12"/>
  <c r="I233" i="12"/>
  <c r="K233" i="12" s="1"/>
  <c r="M334" i="12"/>
  <c r="P334" i="12" s="1"/>
  <c r="P336" i="12"/>
  <c r="L405" i="12"/>
  <c r="O405" i="12" s="1"/>
  <c r="O407" i="12"/>
  <c r="L404" i="12"/>
  <c r="O404" i="12" s="1"/>
  <c r="P555" i="12"/>
  <c r="M545" i="12"/>
  <c r="K568" i="12"/>
  <c r="K651" i="12"/>
  <c r="I628" i="12"/>
  <c r="K628" i="12" s="1"/>
  <c r="N502" i="12"/>
  <c r="P739" i="12"/>
  <c r="M737" i="12"/>
  <c r="P737" i="12" s="1"/>
  <c r="M421" i="12"/>
  <c r="M422" i="12"/>
  <c r="P422" i="12" s="1"/>
  <c r="L547" i="12"/>
  <c r="O547" i="12" s="1"/>
  <c r="O549" i="12"/>
  <c r="O686" i="12"/>
  <c r="O738" i="12"/>
  <c r="L737" i="12"/>
  <c r="O737" i="12" s="1"/>
  <c r="N770" i="12"/>
  <c r="I197" i="12"/>
  <c r="K197" i="12" s="1"/>
  <c r="K362" i="12"/>
  <c r="L391" i="12"/>
  <c r="N444" i="12"/>
  <c r="N414" i="12" s="1"/>
  <c r="J537" i="12"/>
  <c r="J522" i="12" s="1"/>
  <c r="K538" i="12"/>
  <c r="M549" i="12"/>
  <c r="K592" i="12"/>
  <c r="N629" i="12"/>
  <c r="P756" i="12"/>
  <c r="M754" i="12"/>
  <c r="P754" i="12" s="1"/>
  <c r="L422" i="12"/>
  <c r="O422" i="12" s="1"/>
  <c r="L429" i="12"/>
  <c r="O429" i="12" s="1"/>
  <c r="L470" i="12"/>
  <c r="L477" i="12"/>
  <c r="O477" i="12" s="1"/>
  <c r="L770" i="12"/>
  <c r="O770" i="12" s="1"/>
  <c r="M791" i="12"/>
  <c r="M805" i="12"/>
  <c r="P805" i="12" s="1"/>
  <c r="M770" i="12"/>
  <c r="P770" i="12" s="1"/>
  <c r="K374" i="11"/>
  <c r="O56" i="11"/>
  <c r="M59" i="11"/>
  <c r="P59" i="11" s="1"/>
  <c r="N125" i="11"/>
  <c r="P125" i="11" s="1"/>
  <c r="K146" i="11"/>
  <c r="L171" i="11"/>
  <c r="O171" i="11" s="1"/>
  <c r="M183" i="11"/>
  <c r="M181" i="11" s="1"/>
  <c r="O269" i="11"/>
  <c r="K287" i="11"/>
  <c r="N331" i="11"/>
  <c r="O331" i="11" s="1"/>
  <c r="J364" i="11"/>
  <c r="L469" i="11"/>
  <c r="L467" i="11" s="1"/>
  <c r="K674" i="11"/>
  <c r="K828" i="11"/>
  <c r="M152" i="10"/>
  <c r="P152" i="10" s="1"/>
  <c r="O189" i="10"/>
  <c r="N404" i="10"/>
  <c r="N402" i="10" s="1"/>
  <c r="K79" i="11"/>
  <c r="M138" i="11"/>
  <c r="P138" i="11" s="1"/>
  <c r="L300" i="11"/>
  <c r="L298" i="11" s="1"/>
  <c r="M334" i="11"/>
  <c r="P334" i="11" s="1"/>
  <c r="L525" i="11"/>
  <c r="O525" i="11" s="1"/>
  <c r="I237" i="10"/>
  <c r="K237" i="10" s="1"/>
  <c r="L447" i="10"/>
  <c r="O447" i="10" s="1"/>
  <c r="N68" i="11"/>
  <c r="N66" i="11" s="1"/>
  <c r="L90" i="11"/>
  <c r="L88" i="11" s="1"/>
  <c r="N121" i="11"/>
  <c r="N119" i="11" s="1"/>
  <c r="L183" i="11"/>
  <c r="L181" i="11" s="1"/>
  <c r="O306" i="11"/>
  <c r="O303" i="10"/>
  <c r="M91" i="11"/>
  <c r="P91" i="11" s="1"/>
  <c r="P96" i="11"/>
  <c r="L122" i="11"/>
  <c r="O122" i="11" s="1"/>
  <c r="O127" i="11"/>
  <c r="K144" i="11"/>
  <c r="O154" i="11"/>
  <c r="P351" i="11"/>
  <c r="K362" i="11"/>
  <c r="K561" i="11"/>
  <c r="L687" i="11"/>
  <c r="O687" i="11" s="1"/>
  <c r="P336" i="10"/>
  <c r="I628" i="10"/>
  <c r="K628" i="10" s="1"/>
  <c r="K822" i="10"/>
  <c r="N43" i="11"/>
  <c r="N41" i="11" s="1"/>
  <c r="P58" i="11"/>
  <c r="O59" i="11"/>
  <c r="P264" i="11"/>
  <c r="O301" i="11"/>
  <c r="K378" i="11"/>
  <c r="K381" i="11"/>
  <c r="O456" i="11"/>
  <c r="O535" i="11"/>
  <c r="J721" i="11"/>
  <c r="K822" i="11"/>
  <c r="P303" i="11"/>
  <c r="M300" i="11"/>
  <c r="M298" i="11" s="1"/>
  <c r="M301" i="11"/>
  <c r="P301" i="11" s="1"/>
  <c r="N43" i="8"/>
  <c r="N41" i="8" s="1"/>
  <c r="N55" i="10"/>
  <c r="N53" i="10" s="1"/>
  <c r="L59" i="10"/>
  <c r="O59" i="10" s="1"/>
  <c r="L229" i="10"/>
  <c r="I248" i="10"/>
  <c r="K248" i="10" s="1"/>
  <c r="M408" i="10"/>
  <c r="P408" i="10" s="1"/>
  <c r="N44" i="11"/>
  <c r="O44" i="11" s="1"/>
  <c r="O46" i="11"/>
  <c r="N55" i="11"/>
  <c r="N53" i="11" s="1"/>
  <c r="O58" i="11"/>
  <c r="L68" i="11"/>
  <c r="L66" i="11" s="1"/>
  <c r="N122" i="11"/>
  <c r="L230" i="11"/>
  <c r="K271" i="11"/>
  <c r="N279" i="11"/>
  <c r="N277" i="11" s="1"/>
  <c r="O282" i="11"/>
  <c r="N280" i="11"/>
  <c r="O280" i="11" s="1"/>
  <c r="N317" i="11"/>
  <c r="N315" i="11" s="1"/>
  <c r="L639" i="11"/>
  <c r="O639" i="11" s="1"/>
  <c r="O641" i="11"/>
  <c r="M43" i="8"/>
  <c r="M41" i="8" s="1"/>
  <c r="I233" i="10"/>
  <c r="K233" i="10" s="1"/>
  <c r="P351" i="10"/>
  <c r="K372" i="10"/>
  <c r="O93" i="11"/>
  <c r="M121" i="11"/>
  <c r="L151" i="11"/>
  <c r="O151" i="11" s="1"/>
  <c r="O170" i="11"/>
  <c r="L168" i="11"/>
  <c r="O168" i="11" s="1"/>
  <c r="L238" i="11"/>
  <c r="O238" i="11" s="1"/>
  <c r="L231" i="11"/>
  <c r="L264" i="11"/>
  <c r="O264" i="11" s="1"/>
  <c r="O266" i="11"/>
  <c r="P282" i="11"/>
  <c r="N304" i="11"/>
  <c r="N300" i="11"/>
  <c r="K340" i="11"/>
  <c r="L526" i="11"/>
  <c r="O526" i="11" s="1"/>
  <c r="O528" i="11"/>
  <c r="L555" i="11"/>
  <c r="O555" i="11" s="1"/>
  <c r="O557" i="11"/>
  <c r="M90" i="11"/>
  <c r="O285" i="11"/>
  <c r="L422" i="11"/>
  <c r="O422" i="11" s="1"/>
  <c r="M424" i="11"/>
  <c r="M421" i="11" s="1"/>
  <c r="M419" i="11" s="1"/>
  <c r="O56" i="10"/>
  <c r="K100" i="10"/>
  <c r="M279" i="10"/>
  <c r="M277" i="10" s="1"/>
  <c r="O351" i="10"/>
  <c r="O479" i="10"/>
  <c r="L43" i="11"/>
  <c r="L41" i="11" s="1"/>
  <c r="M56" i="11"/>
  <c r="P56" i="11" s="1"/>
  <c r="L69" i="11"/>
  <c r="O69" i="11" s="1"/>
  <c r="N90" i="11"/>
  <c r="N88" i="11" s="1"/>
  <c r="K159" i="11"/>
  <c r="L263" i="11"/>
  <c r="L261" i="11" s="1"/>
  <c r="P323" i="11"/>
  <c r="M321" i="11"/>
  <c r="P321" i="11" s="1"/>
  <c r="O394" i="11"/>
  <c r="L392" i="11"/>
  <c r="O392" i="11" s="1"/>
  <c r="M404" i="11"/>
  <c r="P404" i="11" s="1"/>
  <c r="O431" i="11"/>
  <c r="L429" i="11"/>
  <c r="O429" i="11" s="1"/>
  <c r="I443" i="11"/>
  <c r="K443" i="11" s="1"/>
  <c r="K647" i="11"/>
  <c r="L279" i="11"/>
  <c r="L277" i="11" s="1"/>
  <c r="P58" i="10"/>
  <c r="I112" i="10"/>
  <c r="K112" i="10" s="1"/>
  <c r="M122" i="10"/>
  <c r="P122" i="10" s="1"/>
  <c r="M283" i="10"/>
  <c r="P283" i="10" s="1"/>
  <c r="L631" i="10"/>
  <c r="O631" i="10" s="1"/>
  <c r="O96" i="11"/>
  <c r="N151" i="11"/>
  <c r="N149" i="11" s="1"/>
  <c r="P154" i="11"/>
  <c r="K193" i="11"/>
  <c r="I190" i="11"/>
  <c r="K190" i="11" s="1"/>
  <c r="L198" i="11"/>
  <c r="O198" i="11" s="1"/>
  <c r="L209" i="11"/>
  <c r="O209" i="11" s="1"/>
  <c r="M263" i="11"/>
  <c r="M261" i="11" s="1"/>
  <c r="K370" i="11"/>
  <c r="K593" i="11"/>
  <c r="I592" i="11"/>
  <c r="K592" i="11" s="1"/>
  <c r="M634" i="11"/>
  <c r="M632" i="11" s="1"/>
  <c r="P632" i="11" s="1"/>
  <c r="O634" i="11"/>
  <c r="P157" i="11"/>
  <c r="I233" i="11"/>
  <c r="K233" i="11" s="1"/>
  <c r="I237" i="11"/>
  <c r="K237" i="11" s="1"/>
  <c r="O333" i="11"/>
  <c r="K360" i="11"/>
  <c r="K560" i="11"/>
  <c r="K569" i="11"/>
  <c r="K651" i="11"/>
  <c r="K673" i="11"/>
  <c r="M167" i="11"/>
  <c r="O184" i="11"/>
  <c r="P285" i="11"/>
  <c r="K359" i="11"/>
  <c r="K369" i="11"/>
  <c r="L33" i="11"/>
  <c r="L31" i="11" s="1"/>
  <c r="K465" i="11"/>
  <c r="K576" i="11"/>
  <c r="J628" i="11"/>
  <c r="K628" i="11" s="1"/>
  <c r="K675" i="11"/>
  <c r="L187" i="11"/>
  <c r="O187" i="11" s="1"/>
  <c r="P336" i="11"/>
  <c r="L404" i="11"/>
  <c r="O404" i="11" s="1"/>
  <c r="K568" i="11"/>
  <c r="K823" i="11"/>
  <c r="O15" i="11"/>
  <c r="P46" i="11"/>
  <c r="M43" i="11"/>
  <c r="M44" i="11"/>
  <c r="N392" i="9"/>
  <c r="M47" i="10"/>
  <c r="P47" i="10" s="1"/>
  <c r="I77" i="10"/>
  <c r="K77" i="10" s="1"/>
  <c r="L155" i="10"/>
  <c r="O155" i="10" s="1"/>
  <c r="P280" i="10"/>
  <c r="L330" i="10"/>
  <c r="L328" i="10" s="1"/>
  <c r="N405" i="10"/>
  <c r="P35" i="11"/>
  <c r="M34" i="11"/>
  <c r="P34" i="11" s="1"/>
  <c r="P42" i="11"/>
  <c r="I216" i="11"/>
  <c r="K216" i="11" s="1"/>
  <c r="P320" i="11"/>
  <c r="M318" i="11"/>
  <c r="P318" i="11" s="1"/>
  <c r="L321" i="11"/>
  <c r="O321" i="11" s="1"/>
  <c r="O323" i="11"/>
  <c r="N348" i="11"/>
  <c r="N347" i="11"/>
  <c r="P350" i="11"/>
  <c r="O787" i="11"/>
  <c r="L786" i="11"/>
  <c r="O786" i="11" s="1"/>
  <c r="P22" i="11"/>
  <c r="M19" i="11"/>
  <c r="M12" i="11"/>
  <c r="L138" i="11"/>
  <c r="O138" i="11" s="1"/>
  <c r="O140" i="11"/>
  <c r="O686" i="11"/>
  <c r="L68" i="10"/>
  <c r="L66" i="10" s="1"/>
  <c r="M91" i="10"/>
  <c r="M121" i="10"/>
  <c r="P121" i="10" s="1"/>
  <c r="N167" i="10"/>
  <c r="N165" i="10" s="1"/>
  <c r="L231" i="10"/>
  <c r="L300" i="10"/>
  <c r="L298" i="10" s="1"/>
  <c r="N330" i="10"/>
  <c r="N328" i="10" s="1"/>
  <c r="I434" i="10"/>
  <c r="K434" i="10" s="1"/>
  <c r="N19" i="11"/>
  <c r="L47" i="11"/>
  <c r="O47" i="11" s="1"/>
  <c r="L26" i="11"/>
  <c r="L24" i="11" s="1"/>
  <c r="N26" i="11"/>
  <c r="N16" i="11" s="1"/>
  <c r="N14" i="11" s="1"/>
  <c r="N72" i="11"/>
  <c r="P133" i="11"/>
  <c r="M171" i="11"/>
  <c r="P171" i="11" s="1"/>
  <c r="P173" i="11"/>
  <c r="O186" i="11"/>
  <c r="L228" i="11"/>
  <c r="L249" i="11"/>
  <c r="O249" i="11" s="1"/>
  <c r="P333" i="11"/>
  <c r="M331" i="11"/>
  <c r="N9" i="11"/>
  <c r="N135" i="11"/>
  <c r="P135" i="11" s="1"/>
  <c r="O96" i="10"/>
  <c r="L301" i="10"/>
  <c r="L304" i="10"/>
  <c r="O304" i="10" s="1"/>
  <c r="M395" i="10"/>
  <c r="P395" i="10" s="1"/>
  <c r="O410" i="10"/>
  <c r="O19" i="11"/>
  <c r="L23" i="11"/>
  <c r="L21" i="11" s="1"/>
  <c r="M26" i="11"/>
  <c r="L29" i="11"/>
  <c r="L55" i="11"/>
  <c r="P89" i="11"/>
  <c r="K99" i="11"/>
  <c r="N183" i="11"/>
  <c r="N181" i="11" s="1"/>
  <c r="O316" i="11"/>
  <c r="L43" i="8"/>
  <c r="I148" i="8"/>
  <c r="K148" i="8" s="1"/>
  <c r="L167" i="8"/>
  <c r="L165" i="8" s="1"/>
  <c r="I197" i="8"/>
  <c r="K197" i="8" s="1"/>
  <c r="P353" i="9"/>
  <c r="L405" i="9"/>
  <c r="O405" i="9" s="1"/>
  <c r="L408" i="9"/>
  <c r="O408" i="9" s="1"/>
  <c r="K146" i="10"/>
  <c r="L151" i="10"/>
  <c r="O151" i="10" s="1"/>
  <c r="K176" i="10"/>
  <c r="M187" i="10"/>
  <c r="P187" i="10" s="1"/>
  <c r="L263" i="10"/>
  <c r="L261" i="10" s="1"/>
  <c r="N263" i="10"/>
  <c r="M15" i="11"/>
  <c r="M23" i="11"/>
  <c r="M21" i="11" s="1"/>
  <c r="M29" i="11"/>
  <c r="O32" i="11"/>
  <c r="O61" i="11"/>
  <c r="M134" i="11"/>
  <c r="L134" i="11"/>
  <c r="O403" i="11"/>
  <c r="K435" i="11"/>
  <c r="J433" i="11"/>
  <c r="J417" i="11" s="1"/>
  <c r="I433" i="11"/>
  <c r="L318" i="11"/>
  <c r="O318" i="11" s="1"/>
  <c r="O320" i="11"/>
  <c r="L317" i="11"/>
  <c r="O317" i="11" s="1"/>
  <c r="L391" i="7"/>
  <c r="O391" i="7" s="1"/>
  <c r="L229" i="9"/>
  <c r="I314" i="9"/>
  <c r="K314" i="9" s="1"/>
  <c r="O333" i="9"/>
  <c r="J722" i="9"/>
  <c r="M72" i="10"/>
  <c r="P72" i="10" s="1"/>
  <c r="I76" i="10"/>
  <c r="M263" i="10"/>
  <c r="M261" i="10" s="1"/>
  <c r="I275" i="10"/>
  <c r="L321" i="10"/>
  <c r="O321" i="10" s="1"/>
  <c r="M347" i="10"/>
  <c r="M345" i="10" s="1"/>
  <c r="O353" i="10"/>
  <c r="L470" i="10"/>
  <c r="O470" i="10" s="1"/>
  <c r="L469" i="10"/>
  <c r="O469" i="10" s="1"/>
  <c r="L12" i="11"/>
  <c r="N23" i="11"/>
  <c r="I76" i="11"/>
  <c r="K80" i="11"/>
  <c r="P182" i="11"/>
  <c r="P299" i="11"/>
  <c r="K823" i="10"/>
  <c r="M72" i="11"/>
  <c r="P72" i="11" s="1"/>
  <c r="P74" i="11"/>
  <c r="M184" i="11"/>
  <c r="P184" i="11" s="1"/>
  <c r="P186" i="11"/>
  <c r="N263" i="11"/>
  <c r="O353" i="11"/>
  <c r="L351" i="11"/>
  <c r="O351" i="11" s="1"/>
  <c r="O390" i="11"/>
  <c r="P420" i="11"/>
  <c r="J722" i="10"/>
  <c r="M69" i="11"/>
  <c r="P69" i="11" s="1"/>
  <c r="P71" i="11"/>
  <c r="I112" i="11"/>
  <c r="K112" i="11" s="1"/>
  <c r="L135" i="11"/>
  <c r="O137" i="11"/>
  <c r="M168" i="11"/>
  <c r="P168" i="11" s="1"/>
  <c r="P170" i="11"/>
  <c r="I174" i="11"/>
  <c r="K176" i="11"/>
  <c r="M187" i="11"/>
  <c r="P187" i="11" s="1"/>
  <c r="P189" i="11"/>
  <c r="K204" i="11"/>
  <c r="I197" i="11"/>
  <c r="K197" i="11" s="1"/>
  <c r="P266" i="11"/>
  <c r="K379" i="11"/>
  <c r="N421" i="11"/>
  <c r="N419" i="11" s="1"/>
  <c r="O424" i="11"/>
  <c r="P445" i="11"/>
  <c r="O755" i="11"/>
  <c r="L754" i="11"/>
  <c r="O754" i="11" s="1"/>
  <c r="P137" i="11"/>
  <c r="P166" i="11"/>
  <c r="J327" i="11"/>
  <c r="K327" i="11" s="1"/>
  <c r="L421" i="11"/>
  <c r="L419" i="11" s="1"/>
  <c r="L36" i="11"/>
  <c r="L34" i="11" s="1"/>
  <c r="O34" i="11" s="1"/>
  <c r="O449" i="11"/>
  <c r="M449" i="11"/>
  <c r="L446" i="11"/>
  <c r="L447" i="11"/>
  <c r="P755" i="11"/>
  <c r="M754" i="11"/>
  <c r="P754" i="11" s="1"/>
  <c r="K338" i="11"/>
  <c r="M395" i="11"/>
  <c r="P395" i="11" s="1"/>
  <c r="P397" i="11"/>
  <c r="N449" i="11"/>
  <c r="N469" i="11"/>
  <c r="J537" i="11"/>
  <c r="J522" i="11" s="1"/>
  <c r="N685" i="11"/>
  <c r="L737" i="11"/>
  <c r="O737" i="11" s="1"/>
  <c r="L770" i="11"/>
  <c r="O770" i="11" s="1"/>
  <c r="N786" i="11"/>
  <c r="M469" i="11"/>
  <c r="P469" i="11" s="1"/>
  <c r="M470" i="11"/>
  <c r="P470" i="11" s="1"/>
  <c r="O504" i="11"/>
  <c r="L502" i="11"/>
  <c r="O502" i="11" s="1"/>
  <c r="I785" i="11"/>
  <c r="K785" i="11" s="1"/>
  <c r="K800" i="11"/>
  <c r="P807" i="11"/>
  <c r="M805" i="11"/>
  <c r="P805" i="11" s="1"/>
  <c r="O350" i="11"/>
  <c r="P353" i="11"/>
  <c r="M392" i="11"/>
  <c r="P392" i="11" s="1"/>
  <c r="P394" i="11"/>
  <c r="L477" i="11"/>
  <c r="O477" i="11" s="1"/>
  <c r="O479" i="11"/>
  <c r="N504" i="11"/>
  <c r="N502" i="11" s="1"/>
  <c r="N505" i="11"/>
  <c r="M546" i="11"/>
  <c r="M547" i="11"/>
  <c r="P547" i="11" s="1"/>
  <c r="K559" i="11"/>
  <c r="I543" i="11"/>
  <c r="K543" i="11" s="1"/>
  <c r="P738" i="11"/>
  <c r="M737" i="11"/>
  <c r="P737" i="11" s="1"/>
  <c r="P771" i="11"/>
  <c r="M770" i="11"/>
  <c r="P770" i="11" s="1"/>
  <c r="L789" i="11"/>
  <c r="O789" i="11" s="1"/>
  <c r="O791" i="11"/>
  <c r="O806" i="11"/>
  <c r="L805" i="11"/>
  <c r="O805" i="11" s="1"/>
  <c r="I143" i="11"/>
  <c r="I275" i="11"/>
  <c r="K275" i="11" s="1"/>
  <c r="L348" i="11"/>
  <c r="K355" i="11"/>
  <c r="K385" i="11"/>
  <c r="I434" i="11"/>
  <c r="O472" i="11"/>
  <c r="P524" i="11"/>
  <c r="M523" i="11"/>
  <c r="P523" i="11" s="1"/>
  <c r="I522" i="11"/>
  <c r="K522" i="11" s="1"/>
  <c r="K537" i="11"/>
  <c r="P687" i="11"/>
  <c r="M685" i="11"/>
  <c r="P685" i="11" s="1"/>
  <c r="P788" i="11"/>
  <c r="M786" i="11"/>
  <c r="P786" i="11" s="1"/>
  <c r="L470" i="11"/>
  <c r="O470" i="11" s="1"/>
  <c r="L547" i="11"/>
  <c r="O547" i="11" s="1"/>
  <c r="L632" i="11"/>
  <c r="O632" i="11" s="1"/>
  <c r="L546" i="11"/>
  <c r="L631" i="11"/>
  <c r="K288" i="10"/>
  <c r="J275" i="10"/>
  <c r="M47" i="8"/>
  <c r="P47" i="8" s="1"/>
  <c r="N121" i="9"/>
  <c r="N119" i="9" s="1"/>
  <c r="J721" i="9"/>
  <c r="L47" i="10"/>
  <c r="O47" i="10" s="1"/>
  <c r="L69" i="10"/>
  <c r="O69" i="10" s="1"/>
  <c r="P71" i="10"/>
  <c r="K115" i="10"/>
  <c r="L122" i="10"/>
  <c r="O122" i="10" s="1"/>
  <c r="I190" i="10"/>
  <c r="K190" i="10" s="1"/>
  <c r="K287" i="10"/>
  <c r="L331" i="10"/>
  <c r="O331" i="10" s="1"/>
  <c r="M391" i="10"/>
  <c r="P391" i="10" s="1"/>
  <c r="M404" i="10"/>
  <c r="M402" i="10" s="1"/>
  <c r="P402" i="10" s="1"/>
  <c r="M472" i="10"/>
  <c r="M470" i="10" s="1"/>
  <c r="P470" i="10" s="1"/>
  <c r="J537" i="10"/>
  <c r="J522" i="10" s="1"/>
  <c r="M56" i="10"/>
  <c r="P56" i="10" s="1"/>
  <c r="P69" i="10"/>
  <c r="M151" i="10"/>
  <c r="M149" i="10" s="1"/>
  <c r="P149" i="10" s="1"/>
  <c r="L348" i="10"/>
  <c r="O348" i="10" s="1"/>
  <c r="M392" i="10"/>
  <c r="P392" i="10" s="1"/>
  <c r="L395" i="10"/>
  <c r="O395" i="10" s="1"/>
  <c r="L525" i="10"/>
  <c r="O660" i="10"/>
  <c r="K828" i="10"/>
  <c r="O44" i="10"/>
  <c r="L392" i="9"/>
  <c r="O392" i="9" s="1"/>
  <c r="K174" i="10"/>
  <c r="M321" i="10"/>
  <c r="P321" i="10" s="1"/>
  <c r="K369" i="10"/>
  <c r="O472" i="10"/>
  <c r="M300" i="9"/>
  <c r="P300" i="9" s="1"/>
  <c r="O46" i="10"/>
  <c r="M55" i="10"/>
  <c r="N134" i="10"/>
  <c r="N132" i="10" s="1"/>
  <c r="N183" i="10"/>
  <c r="N181" i="10" s="1"/>
  <c r="M283" i="9"/>
  <c r="P283" i="9" s="1"/>
  <c r="I260" i="10"/>
  <c r="K260" i="10" s="1"/>
  <c r="K340" i="10"/>
  <c r="K378" i="10"/>
  <c r="K385" i="10"/>
  <c r="K674" i="10"/>
  <c r="P61" i="10"/>
  <c r="O138" i="10"/>
  <c r="P157" i="10"/>
  <c r="P306" i="10"/>
  <c r="O334" i="10"/>
  <c r="P407" i="10"/>
  <c r="N391" i="7"/>
  <c r="N389" i="7" s="1"/>
  <c r="L121" i="8"/>
  <c r="O121" i="8" s="1"/>
  <c r="N151" i="8"/>
  <c r="N149" i="8" s="1"/>
  <c r="I130" i="9"/>
  <c r="K130" i="9" s="1"/>
  <c r="L321" i="9"/>
  <c r="O321" i="9" s="1"/>
  <c r="M392" i="9"/>
  <c r="P392" i="9" s="1"/>
  <c r="N26" i="10"/>
  <c r="N16" i="10" s="1"/>
  <c r="N14" i="10" s="1"/>
  <c r="L55" i="10"/>
  <c r="L53" i="10" s="1"/>
  <c r="M68" i="10"/>
  <c r="M66" i="10" s="1"/>
  <c r="L121" i="10"/>
  <c r="L134" i="10"/>
  <c r="L132" i="10" s="1"/>
  <c r="J143" i="10"/>
  <c r="J131" i="10" s="1"/>
  <c r="M168" i="10"/>
  <c r="P168" i="10" s="1"/>
  <c r="K215" i="10"/>
  <c r="N279" i="10"/>
  <c r="N277" i="10" s="1"/>
  <c r="O280" i="10"/>
  <c r="P303" i="10"/>
  <c r="K325" i="10"/>
  <c r="M334" i="10"/>
  <c r="P334" i="10" s="1"/>
  <c r="M348" i="10"/>
  <c r="P348" i="10" s="1"/>
  <c r="K355" i="10"/>
  <c r="K362" i="10"/>
  <c r="L429" i="10"/>
  <c r="O429" i="10" s="1"/>
  <c r="J433" i="10"/>
  <c r="L446" i="10"/>
  <c r="O446" i="10" s="1"/>
  <c r="K537" i="10"/>
  <c r="L789" i="10"/>
  <c r="O789" i="10" s="1"/>
  <c r="L36" i="10"/>
  <c r="O58" i="10"/>
  <c r="O127" i="10"/>
  <c r="I143" i="10"/>
  <c r="I131" i="10" s="1"/>
  <c r="O154" i="10"/>
  <c r="M330" i="10"/>
  <c r="N330" i="7"/>
  <c r="N328" i="7" s="1"/>
  <c r="N391" i="8"/>
  <c r="N389" i="8" s="1"/>
  <c r="M43" i="10"/>
  <c r="M41" i="10" s="1"/>
  <c r="L90" i="10"/>
  <c r="L88" i="10" s="1"/>
  <c r="L135" i="10"/>
  <c r="O170" i="10"/>
  <c r="M301" i="10"/>
  <c r="O320" i="10"/>
  <c r="J327" i="10"/>
  <c r="K327" i="10" s="1"/>
  <c r="P350" i="10"/>
  <c r="K360" i="10"/>
  <c r="I433" i="10"/>
  <c r="I417" i="10" s="1"/>
  <c r="K437" i="10"/>
  <c r="M449" i="10"/>
  <c r="M446" i="10" s="1"/>
  <c r="P446" i="10" s="1"/>
  <c r="K460" i="10"/>
  <c r="O528" i="10"/>
  <c r="K594" i="10"/>
  <c r="I148" i="6"/>
  <c r="K148" i="6" s="1"/>
  <c r="K100" i="9"/>
  <c r="M330" i="9"/>
  <c r="M328" i="9" s="1"/>
  <c r="P350" i="9"/>
  <c r="L33" i="10"/>
  <c r="L31" i="10" s="1"/>
  <c r="O31" i="10" s="1"/>
  <c r="N68" i="10"/>
  <c r="N66" i="10" s="1"/>
  <c r="N135" i="10"/>
  <c r="P135" i="10" s="1"/>
  <c r="P140" i="10"/>
  <c r="P186" i="10"/>
  <c r="L228" i="10"/>
  <c r="L267" i="10"/>
  <c r="O267" i="10" s="1"/>
  <c r="O282" i="10"/>
  <c r="M331" i="10"/>
  <c r="P331" i="10" s="1"/>
  <c r="K338" i="10"/>
  <c r="L454" i="10"/>
  <c r="O454" i="10" s="1"/>
  <c r="K462" i="10"/>
  <c r="K539" i="10"/>
  <c r="K649" i="10"/>
  <c r="M43" i="9"/>
  <c r="M41" i="9" s="1"/>
  <c r="O154" i="9"/>
  <c r="N348" i="9"/>
  <c r="P348" i="9" s="1"/>
  <c r="P138" i="10"/>
  <c r="L167" i="10"/>
  <c r="P184" i="10"/>
  <c r="K208" i="10"/>
  <c r="P269" i="10"/>
  <c r="L279" i="10"/>
  <c r="L277" i="10" s="1"/>
  <c r="P282" i="10"/>
  <c r="N300" i="10"/>
  <c r="L317" i="10"/>
  <c r="O317" i="10" s="1"/>
  <c r="N317" i="10"/>
  <c r="N315" i="10" s="1"/>
  <c r="O336" i="10"/>
  <c r="K359" i="10"/>
  <c r="K370" i="10"/>
  <c r="N391" i="10"/>
  <c r="N389" i="10" s="1"/>
  <c r="O407" i="10"/>
  <c r="L421" i="10"/>
  <c r="L419" i="10" s="1"/>
  <c r="K647" i="10"/>
  <c r="L657" i="10"/>
  <c r="O657" i="10" s="1"/>
  <c r="J721" i="10"/>
  <c r="L788" i="10"/>
  <c r="O788" i="10" s="1"/>
  <c r="K821" i="10"/>
  <c r="K824" i="10"/>
  <c r="K827" i="10"/>
  <c r="L639" i="5"/>
  <c r="O639" i="5" s="1"/>
  <c r="N279" i="8"/>
  <c r="N277" i="8" s="1"/>
  <c r="O336" i="9"/>
  <c r="L334" i="9"/>
  <c r="O334" i="9" s="1"/>
  <c r="P12" i="10"/>
  <c r="M9" i="10"/>
  <c r="N43" i="10"/>
  <c r="N41" i="10" s="1"/>
  <c r="M171" i="10"/>
  <c r="P171" i="10" s="1"/>
  <c r="L283" i="10"/>
  <c r="O283" i="10" s="1"/>
  <c r="O285" i="10"/>
  <c r="J364" i="10"/>
  <c r="K824" i="7"/>
  <c r="M472" i="9"/>
  <c r="P472" i="9" s="1"/>
  <c r="L470" i="9"/>
  <c r="O470" i="9" s="1"/>
  <c r="O472" i="9"/>
  <c r="P25" i="10"/>
  <c r="M15" i="10"/>
  <c r="N122" i="10"/>
  <c r="N121" i="10"/>
  <c r="N119" i="10" s="1"/>
  <c r="K204" i="10"/>
  <c r="I197" i="10"/>
  <c r="K197" i="10" s="1"/>
  <c r="L230" i="10"/>
  <c r="L238" i="10"/>
  <c r="P173" i="9"/>
  <c r="M167" i="9"/>
  <c r="M165" i="9" s="1"/>
  <c r="P19" i="10"/>
  <c r="O42" i="10"/>
  <c r="P54" i="10"/>
  <c r="M167" i="10"/>
  <c r="L184" i="10"/>
  <c r="O184" i="10" s="1"/>
  <c r="O186" i="10"/>
  <c r="L183" i="10"/>
  <c r="L23" i="10"/>
  <c r="O182" i="10"/>
  <c r="K288" i="9"/>
  <c r="I275" i="9"/>
  <c r="K275" i="9" s="1"/>
  <c r="O74" i="10"/>
  <c r="L26" i="10"/>
  <c r="N91" i="10"/>
  <c r="N23" i="10"/>
  <c r="N90" i="10"/>
  <c r="O93" i="10"/>
  <c r="P137" i="10"/>
  <c r="M134" i="10"/>
  <c r="M132" i="10" s="1"/>
  <c r="K309" i="10"/>
  <c r="I297" i="10"/>
  <c r="K297" i="10" s="1"/>
  <c r="O269" i="9"/>
  <c r="L267" i="9"/>
  <c r="O267" i="9" s="1"/>
  <c r="O394" i="10"/>
  <c r="L391" i="10"/>
  <c r="L392" i="10"/>
  <c r="O392" i="10" s="1"/>
  <c r="K145" i="9"/>
  <c r="I143" i="9"/>
  <c r="I131" i="9" s="1"/>
  <c r="M318" i="10"/>
  <c r="P318" i="10" s="1"/>
  <c r="P320" i="10"/>
  <c r="K365" i="10"/>
  <c r="P738" i="10"/>
  <c r="M737" i="10"/>
  <c r="P737" i="10" s="1"/>
  <c r="N263" i="7"/>
  <c r="N261" i="7" s="1"/>
  <c r="J722" i="7"/>
  <c r="K355" i="8"/>
  <c r="N68" i="9"/>
  <c r="N66" i="9" s="1"/>
  <c r="I112" i="9"/>
  <c r="K112" i="9" s="1"/>
  <c r="L230" i="9"/>
  <c r="P266" i="9"/>
  <c r="L279" i="9"/>
  <c r="L277" i="9" s="1"/>
  <c r="O277" i="9" s="1"/>
  <c r="K823" i="9"/>
  <c r="L15" i="10"/>
  <c r="M23" i="10"/>
  <c r="P44" i="10"/>
  <c r="P46" i="10"/>
  <c r="K86" i="10"/>
  <c r="M94" i="10"/>
  <c r="P94" i="10" s="1"/>
  <c r="K98" i="10"/>
  <c r="O140" i="10"/>
  <c r="N151" i="10"/>
  <c r="N149" i="10" s="1"/>
  <c r="O166" i="10"/>
  <c r="O168" i="10"/>
  <c r="O173" i="10"/>
  <c r="L198" i="10"/>
  <c r="O198" i="10" s="1"/>
  <c r="L209" i="10"/>
  <c r="O209" i="10" s="1"/>
  <c r="I216" i="10"/>
  <c r="K216" i="10" s="1"/>
  <c r="L217" i="10"/>
  <c r="O217" i="10" s="1"/>
  <c r="K225" i="10"/>
  <c r="L249" i="10"/>
  <c r="O249" i="10" s="1"/>
  <c r="K276" i="10"/>
  <c r="O316" i="10"/>
  <c r="P503" i="10"/>
  <c r="M502" i="10"/>
  <c r="P502" i="10" s="1"/>
  <c r="O686" i="10"/>
  <c r="P154" i="8"/>
  <c r="K823" i="8"/>
  <c r="K826" i="8"/>
  <c r="L231" i="9"/>
  <c r="K442" i="9"/>
  <c r="P42" i="10"/>
  <c r="I87" i="10"/>
  <c r="K87" i="10" s="1"/>
  <c r="K99" i="10"/>
  <c r="O91" i="8"/>
  <c r="L29" i="10"/>
  <c r="L43" i="10"/>
  <c r="J164" i="10"/>
  <c r="K164" i="10" s="1"/>
  <c r="M183" i="10"/>
  <c r="P266" i="10"/>
  <c r="N264" i="10"/>
  <c r="O264" i="10" s="1"/>
  <c r="M631" i="10"/>
  <c r="P631" i="10" s="1"/>
  <c r="M632" i="10"/>
  <c r="P632" i="10" s="1"/>
  <c r="P634" i="10"/>
  <c r="I130" i="8"/>
  <c r="K130" i="8" s="1"/>
  <c r="K381" i="8"/>
  <c r="K385" i="8"/>
  <c r="M47" i="9"/>
  <c r="P47" i="9" s="1"/>
  <c r="M55" i="9"/>
  <c r="M53" i="9" s="1"/>
  <c r="M279" i="9"/>
  <c r="P279" i="9" s="1"/>
  <c r="L283" i="9"/>
  <c r="O283" i="9" s="1"/>
  <c r="L300" i="9"/>
  <c r="O300" i="9" s="1"/>
  <c r="I364" i="9"/>
  <c r="K378" i="9"/>
  <c r="K827" i="9"/>
  <c r="L12" i="10"/>
  <c r="M26" i="10"/>
  <c r="M24" i="10" s="1"/>
  <c r="M29" i="10"/>
  <c r="P67" i="10"/>
  <c r="P93" i="10"/>
  <c r="O137" i="10"/>
  <c r="O266" i="10"/>
  <c r="K374" i="10"/>
  <c r="P555" i="10"/>
  <c r="M545" i="10"/>
  <c r="N737" i="10"/>
  <c r="N301" i="10"/>
  <c r="K592" i="10"/>
  <c r="P755" i="10"/>
  <c r="M754" i="10"/>
  <c r="P754" i="10" s="1"/>
  <c r="I785" i="10"/>
  <c r="K785" i="10" s="1"/>
  <c r="K800" i="10"/>
  <c r="O806" i="10"/>
  <c r="L805" i="10"/>
  <c r="O805" i="10" s="1"/>
  <c r="N421" i="10"/>
  <c r="N419" i="10" s="1"/>
  <c r="N414" i="10" s="1"/>
  <c r="M424" i="10"/>
  <c r="O424" i="10"/>
  <c r="O445" i="10"/>
  <c r="I559" i="10"/>
  <c r="K576" i="10"/>
  <c r="N754" i="10"/>
  <c r="P687" i="10"/>
  <c r="M685" i="10"/>
  <c r="P685" i="10" s="1"/>
  <c r="P771" i="10"/>
  <c r="M770" i="10"/>
  <c r="P770" i="10" s="1"/>
  <c r="O787" i="10"/>
  <c r="N347" i="10"/>
  <c r="O350" i="10"/>
  <c r="P353" i="10"/>
  <c r="K381" i="10"/>
  <c r="L404" i="10"/>
  <c r="O546" i="10"/>
  <c r="L544" i="10"/>
  <c r="O544" i="10" s="1"/>
  <c r="L547" i="10"/>
  <c r="O547" i="10" s="1"/>
  <c r="O549" i="10"/>
  <c r="M549" i="10"/>
  <c r="L555" i="10"/>
  <c r="O555" i="10" s="1"/>
  <c r="O557" i="10"/>
  <c r="P630" i="10"/>
  <c r="M786" i="10"/>
  <c r="P786" i="10" s="1"/>
  <c r="O468" i="10"/>
  <c r="P524" i="10"/>
  <c r="K593" i="10"/>
  <c r="O634" i="10"/>
  <c r="I654" i="10"/>
  <c r="K654" i="10" s="1"/>
  <c r="P656" i="10"/>
  <c r="K675" i="10"/>
  <c r="L632" i="10"/>
  <c r="O632" i="10" s="1"/>
  <c r="L639" i="10"/>
  <c r="O639" i="10" s="1"/>
  <c r="K672" i="10"/>
  <c r="L688" i="10"/>
  <c r="O688" i="10" s="1"/>
  <c r="K669" i="10"/>
  <c r="L687" i="10"/>
  <c r="O687" i="10" s="1"/>
  <c r="P184" i="9"/>
  <c r="L279" i="6"/>
  <c r="L277" i="6" s="1"/>
  <c r="L347" i="8"/>
  <c r="L345" i="8" s="1"/>
  <c r="N90" i="9"/>
  <c r="N88" i="9" s="1"/>
  <c r="J288" i="9"/>
  <c r="J275" i="9" s="1"/>
  <c r="L395" i="9"/>
  <c r="O395" i="9" s="1"/>
  <c r="O535" i="9"/>
  <c r="L546" i="9"/>
  <c r="L544" i="9" s="1"/>
  <c r="O353" i="8"/>
  <c r="M59" i="9"/>
  <c r="P59" i="9" s="1"/>
  <c r="N91" i="9"/>
  <c r="O91" i="9" s="1"/>
  <c r="K115" i="9"/>
  <c r="L187" i="9"/>
  <c r="O187" i="9" s="1"/>
  <c r="K244" i="9"/>
  <c r="L263" i="9"/>
  <c r="L261" i="9" s="1"/>
  <c r="M280" i="9"/>
  <c r="P280" i="9" s="1"/>
  <c r="L301" i="9"/>
  <c r="O301" i="9" s="1"/>
  <c r="M395" i="9"/>
  <c r="P395" i="9" s="1"/>
  <c r="K821" i="9"/>
  <c r="I276" i="5"/>
  <c r="K276" i="5" s="1"/>
  <c r="K561" i="8"/>
  <c r="O61" i="9"/>
  <c r="O140" i="9"/>
  <c r="O282" i="9"/>
  <c r="L304" i="9"/>
  <c r="O304" i="9" s="1"/>
  <c r="M317" i="9"/>
  <c r="P317" i="9" s="1"/>
  <c r="L331" i="9"/>
  <c r="O331" i="9" s="1"/>
  <c r="K362" i="9"/>
  <c r="K460" i="9"/>
  <c r="N69" i="9"/>
  <c r="P69" i="9" s="1"/>
  <c r="L72" i="9"/>
  <c r="O72" i="9" s="1"/>
  <c r="O124" i="9"/>
  <c r="P306" i="9"/>
  <c r="K355" i="9"/>
  <c r="K537" i="9"/>
  <c r="M321" i="9"/>
  <c r="P321" i="9" s="1"/>
  <c r="I233" i="9"/>
  <c r="K233" i="9" s="1"/>
  <c r="I248" i="9"/>
  <c r="K248" i="9" s="1"/>
  <c r="J327" i="9"/>
  <c r="K327" i="9" s="1"/>
  <c r="K369" i="9"/>
  <c r="K372" i="9"/>
  <c r="I592" i="9"/>
  <c r="K592" i="9" s="1"/>
  <c r="K828" i="9"/>
  <c r="O320" i="9"/>
  <c r="L317" i="9"/>
  <c r="K271" i="9"/>
  <c r="I260" i="9"/>
  <c r="K260" i="9" s="1"/>
  <c r="L318" i="9"/>
  <c r="O318" i="9" s="1"/>
  <c r="L348" i="9"/>
  <c r="L347" i="9"/>
  <c r="L345" i="9" s="1"/>
  <c r="I434" i="9"/>
  <c r="K434" i="9" s="1"/>
  <c r="K440" i="9"/>
  <c r="L657" i="9"/>
  <c r="O657" i="9" s="1"/>
  <c r="O285" i="8"/>
  <c r="L283" i="8"/>
  <c r="O283" i="8" s="1"/>
  <c r="L68" i="9"/>
  <c r="O168" i="9"/>
  <c r="I174" i="9"/>
  <c r="I164" i="9" s="1"/>
  <c r="K164" i="9" s="1"/>
  <c r="K176" i="9"/>
  <c r="N183" i="9"/>
  <c r="N181" i="9" s="1"/>
  <c r="M331" i="9"/>
  <c r="P331" i="9" s="1"/>
  <c r="K287" i="9"/>
  <c r="I276" i="9"/>
  <c r="K276" i="9" s="1"/>
  <c r="O557" i="8"/>
  <c r="L555" i="8"/>
  <c r="O555" i="8" s="1"/>
  <c r="P410" i="9"/>
  <c r="M408" i="9"/>
  <c r="P408" i="9" s="1"/>
  <c r="J433" i="9"/>
  <c r="J417" i="9" s="1"/>
  <c r="K437" i="9"/>
  <c r="O449" i="9"/>
  <c r="L33" i="9"/>
  <c r="L31" i="9" s="1"/>
  <c r="O31" i="9" s="1"/>
  <c r="M449" i="9"/>
  <c r="L447" i="9"/>
  <c r="O447" i="9" s="1"/>
  <c r="O791" i="8"/>
  <c r="L788" i="8"/>
  <c r="O788" i="8" s="1"/>
  <c r="N47" i="9"/>
  <c r="N26" i="9"/>
  <c r="N16" i="9" s="1"/>
  <c r="N14" i="9" s="1"/>
  <c r="L167" i="9"/>
  <c r="L165" i="9" s="1"/>
  <c r="O173" i="9"/>
  <c r="L171" i="9"/>
  <c r="O171" i="9" s="1"/>
  <c r="L525" i="9"/>
  <c r="O525" i="9" s="1"/>
  <c r="P168" i="8"/>
  <c r="K460" i="8"/>
  <c r="I442" i="8"/>
  <c r="K442" i="8" s="1"/>
  <c r="P96" i="9"/>
  <c r="M94" i="9"/>
  <c r="P94" i="9" s="1"/>
  <c r="O157" i="9"/>
  <c r="L155" i="9"/>
  <c r="O155" i="9" s="1"/>
  <c r="O264" i="9"/>
  <c r="N304" i="9"/>
  <c r="N300" i="9"/>
  <c r="N298" i="9" s="1"/>
  <c r="N134" i="8"/>
  <c r="N132" i="8" s="1"/>
  <c r="L187" i="8"/>
  <c r="O187" i="8" s="1"/>
  <c r="L470" i="8"/>
  <c r="L55" i="9"/>
  <c r="L53" i="9" s="1"/>
  <c r="L90" i="9"/>
  <c r="L88" i="9" s="1"/>
  <c r="O127" i="9"/>
  <c r="O184" i="9"/>
  <c r="I197" i="9"/>
  <c r="K197" i="9" s="1"/>
  <c r="N279" i="9"/>
  <c r="N277" i="9" s="1"/>
  <c r="K338" i="9"/>
  <c r="M404" i="9"/>
  <c r="L422" i="9"/>
  <c r="O422" i="9" s="1"/>
  <c r="I433" i="9"/>
  <c r="I417" i="9" s="1"/>
  <c r="M55" i="8"/>
  <c r="M53" i="8" s="1"/>
  <c r="O140" i="8"/>
  <c r="L209" i="8"/>
  <c r="O209" i="8" s="1"/>
  <c r="O333" i="8"/>
  <c r="J721" i="8"/>
  <c r="K721" i="8" s="1"/>
  <c r="K821" i="8"/>
  <c r="K824" i="8"/>
  <c r="K827" i="8"/>
  <c r="O96" i="9"/>
  <c r="L121" i="9"/>
  <c r="O125" i="9"/>
  <c r="N134" i="9"/>
  <c r="N132" i="9" s="1"/>
  <c r="L151" i="9"/>
  <c r="M171" i="9"/>
  <c r="P171" i="9" s="1"/>
  <c r="O350" i="9"/>
  <c r="K359" i="9"/>
  <c r="L391" i="9"/>
  <c r="K824" i="9"/>
  <c r="M23" i="9"/>
  <c r="O135" i="9"/>
  <c r="L228" i="9"/>
  <c r="L43" i="6"/>
  <c r="L41" i="6" s="1"/>
  <c r="M90" i="7"/>
  <c r="M88" i="7" s="1"/>
  <c r="L134" i="7"/>
  <c r="O134" i="7" s="1"/>
  <c r="O170" i="8"/>
  <c r="O184" i="8"/>
  <c r="N301" i="8"/>
  <c r="O301" i="8" s="1"/>
  <c r="N347" i="8"/>
  <c r="N345" i="8" s="1"/>
  <c r="N351" i="8"/>
  <c r="P351" i="8" s="1"/>
  <c r="K360" i="8"/>
  <c r="K369" i="8"/>
  <c r="O44" i="9"/>
  <c r="L26" i="9"/>
  <c r="L24" i="9" s="1"/>
  <c r="K98" i="9"/>
  <c r="L138" i="9"/>
  <c r="O138" i="9" s="1"/>
  <c r="P140" i="9"/>
  <c r="O186" i="9"/>
  <c r="L280" i="9"/>
  <c r="O280" i="9" s="1"/>
  <c r="N317" i="9"/>
  <c r="N315" i="9" s="1"/>
  <c r="N330" i="9"/>
  <c r="N328" i="9" s="1"/>
  <c r="M334" i="9"/>
  <c r="P334" i="9" s="1"/>
  <c r="M405" i="9"/>
  <c r="P405" i="9" s="1"/>
  <c r="L446" i="9"/>
  <c r="O446" i="9" s="1"/>
  <c r="K576" i="9"/>
  <c r="L639" i="9"/>
  <c r="O639" i="9" s="1"/>
  <c r="L217" i="8"/>
  <c r="O217" i="8" s="1"/>
  <c r="N263" i="8"/>
  <c r="N261" i="8" s="1"/>
  <c r="N330" i="8"/>
  <c r="N328" i="8" s="1"/>
  <c r="M405" i="8"/>
  <c r="P405" i="8" s="1"/>
  <c r="K725" i="8"/>
  <c r="P138" i="9"/>
  <c r="L249" i="9"/>
  <c r="O249" i="9" s="1"/>
  <c r="P264" i="9"/>
  <c r="P269" i="9"/>
  <c r="L330" i="9"/>
  <c r="K374" i="9"/>
  <c r="K381" i="9"/>
  <c r="K385" i="9"/>
  <c r="L404" i="9"/>
  <c r="O404" i="9" s="1"/>
  <c r="J537" i="9"/>
  <c r="J522" i="9" s="1"/>
  <c r="K649" i="9"/>
  <c r="L788" i="9"/>
  <c r="O788" i="9" s="1"/>
  <c r="N31" i="9"/>
  <c r="N30" i="9"/>
  <c r="L454" i="7"/>
  <c r="O454" i="7" s="1"/>
  <c r="P19" i="9"/>
  <c r="P166" i="9"/>
  <c r="O170" i="9"/>
  <c r="N167" i="9"/>
  <c r="N405" i="9"/>
  <c r="N404" i="9"/>
  <c r="N402" i="9" s="1"/>
  <c r="N68" i="3"/>
  <c r="N66" i="3" s="1"/>
  <c r="N68" i="4"/>
  <c r="N66" i="4" s="1"/>
  <c r="N151" i="5"/>
  <c r="N149" i="5" s="1"/>
  <c r="K651" i="5"/>
  <c r="M300" i="6"/>
  <c r="M298" i="6" s="1"/>
  <c r="L347" i="6"/>
  <c r="L345" i="6" s="1"/>
  <c r="J721" i="6"/>
  <c r="P351" i="7"/>
  <c r="K593" i="7"/>
  <c r="K826" i="7"/>
  <c r="J143" i="8"/>
  <c r="J131" i="8" s="1"/>
  <c r="L168" i="8"/>
  <c r="O168" i="8" s="1"/>
  <c r="P269" i="8"/>
  <c r="M15" i="9"/>
  <c r="O49" i="9"/>
  <c r="O58" i="9"/>
  <c r="O71" i="9"/>
  <c r="I77" i="9"/>
  <c r="M90" i="9"/>
  <c r="M151" i="9"/>
  <c r="P154" i="9"/>
  <c r="L183" i="9"/>
  <c r="L181" i="9" s="1"/>
  <c r="P189" i="9"/>
  <c r="M187" i="9"/>
  <c r="P187" i="9" s="1"/>
  <c r="M263" i="9"/>
  <c r="I297" i="9"/>
  <c r="K297" i="9" s="1"/>
  <c r="P316" i="9"/>
  <c r="O431" i="9"/>
  <c r="L36" i="9"/>
  <c r="O36" i="9" s="1"/>
  <c r="L429" i="9"/>
  <c r="O429" i="9" s="1"/>
  <c r="I443" i="4"/>
  <c r="K443" i="4" s="1"/>
  <c r="L405" i="8"/>
  <c r="O405" i="8" s="1"/>
  <c r="I443" i="8"/>
  <c r="K443" i="8" s="1"/>
  <c r="M29" i="9"/>
  <c r="P46" i="9"/>
  <c r="M44" i="9"/>
  <c r="P44" i="9" s="1"/>
  <c r="P74" i="9"/>
  <c r="M72" i="9"/>
  <c r="P72" i="9" s="1"/>
  <c r="P125" i="9"/>
  <c r="P137" i="9"/>
  <c r="M134" i="9"/>
  <c r="M132" i="9" s="1"/>
  <c r="K224" i="9"/>
  <c r="I216" i="9"/>
  <c r="K216" i="9" s="1"/>
  <c r="O503" i="9"/>
  <c r="L502" i="9"/>
  <c r="O502" i="9" s="1"/>
  <c r="L263" i="7"/>
  <c r="O557" i="7"/>
  <c r="O61" i="8"/>
  <c r="L171" i="8"/>
  <c r="O171" i="8" s="1"/>
  <c r="N280" i="8"/>
  <c r="O280" i="8" s="1"/>
  <c r="M318" i="8"/>
  <c r="P318" i="8" s="1"/>
  <c r="N317" i="8"/>
  <c r="N315" i="8" s="1"/>
  <c r="L391" i="8"/>
  <c r="O391" i="8" s="1"/>
  <c r="K647" i="8"/>
  <c r="L9" i="9"/>
  <c r="O25" i="9"/>
  <c r="M34" i="9"/>
  <c r="P34" i="9" s="1"/>
  <c r="P42" i="9"/>
  <c r="N43" i="9"/>
  <c r="N23" i="9"/>
  <c r="N21" i="9" s="1"/>
  <c r="N56" i="9"/>
  <c r="O56" i="9" s="1"/>
  <c r="N55" i="9"/>
  <c r="P89" i="9"/>
  <c r="P135" i="9"/>
  <c r="O182" i="9"/>
  <c r="K215" i="9"/>
  <c r="K225" i="9"/>
  <c r="L238" i="9"/>
  <c r="O445" i="9"/>
  <c r="N525" i="9"/>
  <c r="N523" i="9" s="1"/>
  <c r="N526" i="9"/>
  <c r="M754" i="9"/>
  <c r="P754" i="9" s="1"/>
  <c r="P755" i="9"/>
  <c r="L183" i="7"/>
  <c r="L181" i="7" s="1"/>
  <c r="L228" i="7"/>
  <c r="P186" i="8"/>
  <c r="I208" i="8"/>
  <c r="K208" i="8" s="1"/>
  <c r="O266" i="8"/>
  <c r="L300" i="8"/>
  <c r="L298" i="8" s="1"/>
  <c r="P303" i="8"/>
  <c r="M321" i="8"/>
  <c r="P321" i="8" s="1"/>
  <c r="M330" i="8"/>
  <c r="M9" i="9"/>
  <c r="O12" i="9"/>
  <c r="P58" i="9"/>
  <c r="O67" i="9"/>
  <c r="M122" i="9"/>
  <c r="P122" i="9" s="1"/>
  <c r="M121" i="9"/>
  <c r="P127" i="9"/>
  <c r="P133" i="9"/>
  <c r="K144" i="9"/>
  <c r="J143" i="9"/>
  <c r="P186" i="9"/>
  <c r="M183" i="9"/>
  <c r="I190" i="9"/>
  <c r="K190" i="9" s="1"/>
  <c r="L209" i="9"/>
  <c r="O209" i="9" s="1"/>
  <c r="K828" i="7"/>
  <c r="M94" i="8"/>
  <c r="P94" i="8" s="1"/>
  <c r="P264" i="8"/>
  <c r="L334" i="8"/>
  <c r="O334" i="8" s="1"/>
  <c r="M391" i="8"/>
  <c r="P391" i="8" s="1"/>
  <c r="L525" i="8"/>
  <c r="O525" i="8" s="1"/>
  <c r="K620" i="8"/>
  <c r="K701" i="8"/>
  <c r="P12" i="9"/>
  <c r="L19" i="9"/>
  <c r="N19" i="9"/>
  <c r="N12" i="9"/>
  <c r="M26" i="9"/>
  <c r="M24" i="9" s="1"/>
  <c r="N28" i="9"/>
  <c r="P32" i="9"/>
  <c r="L43" i="9"/>
  <c r="P71" i="9"/>
  <c r="M68" i="9"/>
  <c r="I76" i="9"/>
  <c r="P93" i="9"/>
  <c r="I87" i="9"/>
  <c r="K87" i="9" s="1"/>
  <c r="K99" i="9"/>
  <c r="L134" i="9"/>
  <c r="N151" i="9"/>
  <c r="N149" i="9" s="1"/>
  <c r="P170" i="9"/>
  <c r="M168" i="9"/>
  <c r="P168" i="9" s="1"/>
  <c r="L198" i="9"/>
  <c r="O198" i="9" s="1"/>
  <c r="O266" i="9"/>
  <c r="N263" i="9"/>
  <c r="P420" i="9"/>
  <c r="L23" i="9"/>
  <c r="L217" i="9"/>
  <c r="O217" i="9" s="1"/>
  <c r="P329" i="9"/>
  <c r="K360" i="9"/>
  <c r="O468" i="9"/>
  <c r="P545" i="9"/>
  <c r="K651" i="9"/>
  <c r="J628" i="9"/>
  <c r="K628" i="9" s="1"/>
  <c r="N740" i="9"/>
  <c r="N739" i="9"/>
  <c r="N737" i="9" s="1"/>
  <c r="O46" i="9"/>
  <c r="O93" i="9"/>
  <c r="O137" i="9"/>
  <c r="P157" i="9"/>
  <c r="P303" i="9"/>
  <c r="K340" i="9"/>
  <c r="K443" i="9"/>
  <c r="K594" i="9"/>
  <c r="K673" i="9"/>
  <c r="K669" i="9"/>
  <c r="I654" i="9"/>
  <c r="K654" i="9" s="1"/>
  <c r="K672" i="9"/>
  <c r="K675" i="9"/>
  <c r="J364" i="9"/>
  <c r="K466" i="9"/>
  <c r="N544" i="9"/>
  <c r="N657" i="9"/>
  <c r="N655" i="9" s="1"/>
  <c r="N658" i="9"/>
  <c r="P333" i="9"/>
  <c r="N351" i="9"/>
  <c r="P351" i="9" s="1"/>
  <c r="K365" i="9"/>
  <c r="K370" i="9"/>
  <c r="L477" i="9"/>
  <c r="O477" i="9" s="1"/>
  <c r="M502" i="9"/>
  <c r="P502" i="9" s="1"/>
  <c r="N504" i="9"/>
  <c r="N502" i="9" s="1"/>
  <c r="O528" i="9"/>
  <c r="L547" i="9"/>
  <c r="O547" i="9" s="1"/>
  <c r="M549" i="9"/>
  <c r="K559" i="9"/>
  <c r="I543" i="9"/>
  <c r="K543" i="9" s="1"/>
  <c r="M634" i="9"/>
  <c r="O634" i="9"/>
  <c r="O660" i="9"/>
  <c r="N688" i="9"/>
  <c r="L754" i="9"/>
  <c r="O754" i="9" s="1"/>
  <c r="N772" i="9"/>
  <c r="N770" i="9" s="1"/>
  <c r="I785" i="9"/>
  <c r="K785" i="9" s="1"/>
  <c r="K822" i="9"/>
  <c r="N467" i="9"/>
  <c r="N414" i="9" s="1"/>
  <c r="K647" i="9"/>
  <c r="M347" i="9"/>
  <c r="O353" i="9"/>
  <c r="M424" i="9"/>
  <c r="O549" i="9"/>
  <c r="O690" i="9"/>
  <c r="L687" i="9"/>
  <c r="O687" i="9" s="1"/>
  <c r="N347" i="9"/>
  <c r="M391" i="9"/>
  <c r="P391" i="9" s="1"/>
  <c r="L421" i="9"/>
  <c r="O421" i="9" s="1"/>
  <c r="O456" i="9"/>
  <c r="K462" i="9"/>
  <c r="L469" i="9"/>
  <c r="O469" i="9" s="1"/>
  <c r="M523" i="9"/>
  <c r="P523" i="9" s="1"/>
  <c r="P524" i="9"/>
  <c r="N546" i="9"/>
  <c r="L555" i="9"/>
  <c r="O555" i="9" s="1"/>
  <c r="O557" i="9"/>
  <c r="K569" i="9"/>
  <c r="L631" i="9"/>
  <c r="M655" i="9"/>
  <c r="P655" i="9" s="1"/>
  <c r="P656" i="9"/>
  <c r="L688" i="9"/>
  <c r="O688" i="9" s="1"/>
  <c r="P472" i="8"/>
  <c r="M469" i="8"/>
  <c r="P469" i="8" s="1"/>
  <c r="K355" i="7"/>
  <c r="K385" i="7"/>
  <c r="I77" i="8"/>
  <c r="I65" i="8" s="1"/>
  <c r="K65" i="8" s="1"/>
  <c r="M121" i="8"/>
  <c r="P121" i="8" s="1"/>
  <c r="M152" i="8"/>
  <c r="M167" i="8"/>
  <c r="M165" i="8" s="1"/>
  <c r="M171" i="8"/>
  <c r="P171" i="8" s="1"/>
  <c r="P184" i="8"/>
  <c r="L230" i="8"/>
  <c r="L264" i="8"/>
  <c r="O264" i="8" s="1"/>
  <c r="K309" i="8"/>
  <c r="N321" i="8"/>
  <c r="P331" i="8"/>
  <c r="K338" i="8"/>
  <c r="K378" i="8"/>
  <c r="J537" i="8"/>
  <c r="J522" i="8" s="1"/>
  <c r="J722" i="8"/>
  <c r="K722" i="8" s="1"/>
  <c r="N138" i="8"/>
  <c r="P189" i="6"/>
  <c r="M187" i="7"/>
  <c r="P187" i="7" s="1"/>
  <c r="N152" i="8"/>
  <c r="I190" i="8"/>
  <c r="K190" i="8" s="1"/>
  <c r="L231" i="8"/>
  <c r="P266" i="8"/>
  <c r="L547" i="8"/>
  <c r="O547" i="8" s="1"/>
  <c r="L36" i="8"/>
  <c r="O36" i="8" s="1"/>
  <c r="M125" i="8"/>
  <c r="P125" i="8" s="1"/>
  <c r="N121" i="8"/>
  <c r="N119" i="8" s="1"/>
  <c r="L155" i="8"/>
  <c r="O155" i="8" s="1"/>
  <c r="P353" i="8"/>
  <c r="K379" i="8"/>
  <c r="O168" i="7"/>
  <c r="N55" i="8"/>
  <c r="M90" i="8"/>
  <c r="M88" i="8" s="1"/>
  <c r="L263" i="8"/>
  <c r="M334" i="8"/>
  <c r="P334" i="8" s="1"/>
  <c r="K340" i="8"/>
  <c r="K720" i="8"/>
  <c r="K146" i="7"/>
  <c r="O74" i="8"/>
  <c r="N183" i="8"/>
  <c r="N181" i="8" s="1"/>
  <c r="L249" i="8"/>
  <c r="O249" i="8" s="1"/>
  <c r="M263" i="8"/>
  <c r="J327" i="8"/>
  <c r="K327" i="8" s="1"/>
  <c r="P397" i="8"/>
  <c r="L421" i="8"/>
  <c r="O421" i="8" s="1"/>
  <c r="O431" i="8"/>
  <c r="K822" i="8"/>
  <c r="K825" i="8"/>
  <c r="K828" i="8"/>
  <c r="M183" i="8"/>
  <c r="M181" i="8" s="1"/>
  <c r="P189" i="8"/>
  <c r="L658" i="7"/>
  <c r="O658" i="7" s="1"/>
  <c r="L33" i="7"/>
  <c r="O33" i="7" s="1"/>
  <c r="O96" i="8"/>
  <c r="L90" i="8"/>
  <c r="L88" i="8" s="1"/>
  <c r="L135" i="8"/>
  <c r="O135" i="8" s="1"/>
  <c r="L134" i="8"/>
  <c r="O134" i="8" s="1"/>
  <c r="O137" i="8"/>
  <c r="P157" i="8"/>
  <c r="M155" i="8"/>
  <c r="P155" i="8" s="1"/>
  <c r="M151" i="8"/>
  <c r="I216" i="8"/>
  <c r="K216" i="8" s="1"/>
  <c r="K224" i="8"/>
  <c r="P306" i="7"/>
  <c r="M304" i="7"/>
  <c r="P304" i="7" s="1"/>
  <c r="I442" i="7"/>
  <c r="K442" i="7" s="1"/>
  <c r="K460" i="7"/>
  <c r="M187" i="8"/>
  <c r="P187" i="8" s="1"/>
  <c r="L408" i="7"/>
  <c r="O408" i="7" s="1"/>
  <c r="O410" i="7"/>
  <c r="L533" i="7"/>
  <c r="O533" i="7" s="1"/>
  <c r="L36" i="7"/>
  <c r="O36" i="7" s="1"/>
  <c r="L525" i="7"/>
  <c r="O525" i="7" s="1"/>
  <c r="L55" i="8"/>
  <c r="O58" i="8"/>
  <c r="L56" i="8"/>
  <c r="O56" i="8" s="1"/>
  <c r="L94" i="8"/>
  <c r="O94" i="8" s="1"/>
  <c r="O186" i="8"/>
  <c r="L183" i="8"/>
  <c r="L181" i="8" s="1"/>
  <c r="O124" i="8"/>
  <c r="L122" i="8"/>
  <c r="O122" i="8" s="1"/>
  <c r="P348" i="8"/>
  <c r="P410" i="8"/>
  <c r="M408" i="8"/>
  <c r="P408" i="8" s="1"/>
  <c r="M392" i="6"/>
  <c r="P392" i="6" s="1"/>
  <c r="L395" i="6"/>
  <c r="O395" i="6" s="1"/>
  <c r="P71" i="7"/>
  <c r="L304" i="7"/>
  <c r="O304" i="7" s="1"/>
  <c r="M392" i="7"/>
  <c r="P392" i="7" s="1"/>
  <c r="L395" i="7"/>
  <c r="O395" i="7" s="1"/>
  <c r="K649" i="7"/>
  <c r="M23" i="8"/>
  <c r="M21" i="8" s="1"/>
  <c r="L68" i="8"/>
  <c r="L66" i="8" s="1"/>
  <c r="P71" i="8"/>
  <c r="N167" i="8"/>
  <c r="K287" i="8"/>
  <c r="M300" i="8"/>
  <c r="K325" i="8"/>
  <c r="L348" i="8"/>
  <c r="O348" i="8" s="1"/>
  <c r="I434" i="8"/>
  <c r="K434" i="8" s="1"/>
  <c r="L33" i="8"/>
  <c r="L31" i="8" s="1"/>
  <c r="O31" i="8" s="1"/>
  <c r="O154" i="8"/>
  <c r="M279" i="8"/>
  <c r="M277" i="8" s="1"/>
  <c r="O282" i="8"/>
  <c r="L331" i="8"/>
  <c r="O331" i="8" s="1"/>
  <c r="O350" i="8"/>
  <c r="L408" i="8"/>
  <c r="O408" i="8" s="1"/>
  <c r="K577" i="8"/>
  <c r="O690" i="8"/>
  <c r="L688" i="8"/>
  <c r="O688" i="8" s="1"/>
  <c r="I208" i="7"/>
  <c r="K208" i="7" s="1"/>
  <c r="P336" i="7"/>
  <c r="N23" i="8"/>
  <c r="P46" i="8"/>
  <c r="N26" i="8"/>
  <c r="N16" i="8" s="1"/>
  <c r="K99" i="8"/>
  <c r="P124" i="8"/>
  <c r="L238" i="8"/>
  <c r="P282" i="8"/>
  <c r="J364" i="8"/>
  <c r="K370" i="8"/>
  <c r="J433" i="8"/>
  <c r="J417" i="8" s="1"/>
  <c r="I433" i="8"/>
  <c r="I417" i="8" s="1"/>
  <c r="L447" i="8"/>
  <c r="O447" i="8" s="1"/>
  <c r="K649" i="8"/>
  <c r="K672" i="8"/>
  <c r="M690" i="8"/>
  <c r="M688" i="8" s="1"/>
  <c r="P688" i="8" s="1"/>
  <c r="O91" i="6"/>
  <c r="K370" i="6"/>
  <c r="P91" i="8"/>
  <c r="L330" i="8"/>
  <c r="L328" i="8" s="1"/>
  <c r="M347" i="8"/>
  <c r="K359" i="8"/>
  <c r="K362" i="8"/>
  <c r="L404" i="8"/>
  <c r="M68" i="4"/>
  <c r="P68" i="4" s="1"/>
  <c r="L121" i="7"/>
  <c r="O121" i="7" s="1"/>
  <c r="P93" i="8"/>
  <c r="M404" i="8"/>
  <c r="P404" i="8" s="1"/>
  <c r="L469" i="8"/>
  <c r="L467" i="8" s="1"/>
  <c r="O467" i="8" s="1"/>
  <c r="O479" i="8"/>
  <c r="K729" i="8"/>
  <c r="L546" i="8"/>
  <c r="K569" i="8"/>
  <c r="L631" i="8"/>
  <c r="O631" i="8" s="1"/>
  <c r="M55" i="6"/>
  <c r="M53" i="6" s="1"/>
  <c r="L47" i="7"/>
  <c r="O47" i="7" s="1"/>
  <c r="M121" i="7"/>
  <c r="P121" i="7" s="1"/>
  <c r="M167" i="7"/>
  <c r="M165" i="7" s="1"/>
  <c r="M171" i="7"/>
  <c r="P171" i="7" s="1"/>
  <c r="K204" i="7"/>
  <c r="M321" i="7"/>
  <c r="P321" i="7" s="1"/>
  <c r="I433" i="7"/>
  <c r="I417" i="7" s="1"/>
  <c r="O449" i="7"/>
  <c r="O660" i="7"/>
  <c r="K669" i="7"/>
  <c r="P35" i="8"/>
  <c r="M34" i="8"/>
  <c r="P34" i="8" s="1"/>
  <c r="I76" i="8"/>
  <c r="K80" i="8"/>
  <c r="I174" i="8"/>
  <c r="K176" i="8"/>
  <c r="I233" i="8"/>
  <c r="K233" i="8" s="1"/>
  <c r="I237" i="8"/>
  <c r="K244" i="8"/>
  <c r="I260" i="8"/>
  <c r="K260" i="8" s="1"/>
  <c r="K271" i="8"/>
  <c r="L151" i="5"/>
  <c r="O151" i="5" s="1"/>
  <c r="N26" i="7"/>
  <c r="N16" i="7" s="1"/>
  <c r="N14" i="7" s="1"/>
  <c r="M68" i="7"/>
  <c r="P68" i="7" s="1"/>
  <c r="M122" i="7"/>
  <c r="P122" i="7" s="1"/>
  <c r="I216" i="7"/>
  <c r="K216" i="7" s="1"/>
  <c r="M301" i="7"/>
  <c r="P301" i="7" s="1"/>
  <c r="O323" i="7"/>
  <c r="K340" i="7"/>
  <c r="K359" i="7"/>
  <c r="L405" i="7"/>
  <c r="O405" i="7" s="1"/>
  <c r="M408" i="7"/>
  <c r="P408" i="7" s="1"/>
  <c r="L447" i="7"/>
  <c r="O447" i="7" s="1"/>
  <c r="L657" i="7"/>
  <c r="O657" i="7" s="1"/>
  <c r="P22" i="8"/>
  <c r="M19" i="8"/>
  <c r="M12" i="8"/>
  <c r="L44" i="8"/>
  <c r="L23" i="8"/>
  <c r="O46" i="8"/>
  <c r="L47" i="8"/>
  <c r="O47" i="8" s="1"/>
  <c r="O49" i="8"/>
  <c r="L26" i="8"/>
  <c r="L24" i="8" s="1"/>
  <c r="K98" i="8"/>
  <c r="I86" i="8"/>
  <c r="K86" i="8" s="1"/>
  <c r="P140" i="8"/>
  <c r="M138" i="8"/>
  <c r="P138" i="8" s="1"/>
  <c r="N121" i="6"/>
  <c r="N119" i="6" s="1"/>
  <c r="N68" i="7"/>
  <c r="N66" i="7" s="1"/>
  <c r="K360" i="7"/>
  <c r="K369" i="7"/>
  <c r="N392" i="7"/>
  <c r="L421" i="7"/>
  <c r="O421" i="7" s="1"/>
  <c r="K466" i="7"/>
  <c r="K674" i="7"/>
  <c r="J721" i="7"/>
  <c r="L122" i="6"/>
  <c r="O122" i="6" s="1"/>
  <c r="M301" i="6"/>
  <c r="M304" i="6"/>
  <c r="P304" i="6" s="1"/>
  <c r="K359" i="6"/>
  <c r="M43" i="7"/>
  <c r="M41" i="7" s="1"/>
  <c r="L230" i="7"/>
  <c r="M72" i="8"/>
  <c r="P72" i="8" s="1"/>
  <c r="P74" i="8"/>
  <c r="M68" i="8"/>
  <c r="M26" i="8"/>
  <c r="L263" i="6"/>
  <c r="L261" i="6" s="1"/>
  <c r="L138" i="7"/>
  <c r="O138" i="7" s="1"/>
  <c r="K271" i="7"/>
  <c r="K370" i="7"/>
  <c r="L429" i="7"/>
  <c r="O429" i="7" s="1"/>
  <c r="K647" i="7"/>
  <c r="I785" i="7"/>
  <c r="M15" i="8"/>
  <c r="M29" i="8"/>
  <c r="N15" i="8"/>
  <c r="N29" i="8"/>
  <c r="N28" i="8" s="1"/>
  <c r="N44" i="8"/>
  <c r="P44" i="8" s="1"/>
  <c r="N47" i="8"/>
  <c r="O54" i="8"/>
  <c r="P58" i="8"/>
  <c r="P61" i="8"/>
  <c r="N69" i="8"/>
  <c r="L151" i="8"/>
  <c r="L198" i="8"/>
  <c r="O198" i="8" s="1"/>
  <c r="L228" i="8"/>
  <c r="O278" i="8"/>
  <c r="P137" i="8"/>
  <c r="M135" i="8"/>
  <c r="P135" i="8" s="1"/>
  <c r="J288" i="8"/>
  <c r="J275" i="8" s="1"/>
  <c r="I275" i="8"/>
  <c r="M56" i="8"/>
  <c r="P56" i="8" s="1"/>
  <c r="N68" i="8"/>
  <c r="O71" i="8"/>
  <c r="M122" i="8"/>
  <c r="P122" i="8" s="1"/>
  <c r="L229" i="8"/>
  <c r="L267" i="8"/>
  <c r="O267" i="8" s="1"/>
  <c r="M280" i="8"/>
  <c r="I112" i="8"/>
  <c r="K112" i="8" s="1"/>
  <c r="M421" i="8"/>
  <c r="P421" i="8" s="1"/>
  <c r="P424" i="8"/>
  <c r="M422" i="8"/>
  <c r="P422" i="8" s="1"/>
  <c r="L15" i="8"/>
  <c r="L29" i="8"/>
  <c r="N90" i="8"/>
  <c r="O93" i="8"/>
  <c r="K115" i="8"/>
  <c r="L125" i="8"/>
  <c r="O125" i="8" s="1"/>
  <c r="M134" i="8"/>
  <c r="K144" i="8"/>
  <c r="L152" i="8"/>
  <c r="P170" i="8"/>
  <c r="L279" i="8"/>
  <c r="M283" i="8"/>
  <c r="P283" i="8" s="1"/>
  <c r="O303" i="8"/>
  <c r="O306" i="8"/>
  <c r="M317" i="8"/>
  <c r="O323" i="8"/>
  <c r="L321" i="8"/>
  <c r="O321" i="8" s="1"/>
  <c r="O346" i="8"/>
  <c r="K374" i="8"/>
  <c r="I364" i="8"/>
  <c r="N467" i="8"/>
  <c r="P545" i="8"/>
  <c r="K576" i="8"/>
  <c r="K593" i="8"/>
  <c r="O806" i="8"/>
  <c r="L805" i="8"/>
  <c r="O805" i="8" s="1"/>
  <c r="K372" i="8"/>
  <c r="J628" i="8"/>
  <c r="K628" i="8" s="1"/>
  <c r="K651" i="8"/>
  <c r="P755" i="8"/>
  <c r="M754" i="8"/>
  <c r="P754" i="8" s="1"/>
  <c r="O394" i="8"/>
  <c r="L392" i="8"/>
  <c r="O392" i="8" s="1"/>
  <c r="M446" i="8"/>
  <c r="P449" i="8"/>
  <c r="P686" i="8"/>
  <c r="O320" i="8"/>
  <c r="L318" i="8"/>
  <c r="O318" i="8" s="1"/>
  <c r="K365" i="8"/>
  <c r="N414" i="8"/>
  <c r="M447" i="8"/>
  <c r="P447" i="8" s="1"/>
  <c r="M546" i="8"/>
  <c r="P546" i="8" s="1"/>
  <c r="M547" i="8"/>
  <c r="P547" i="8" s="1"/>
  <c r="P549" i="8"/>
  <c r="P329" i="8"/>
  <c r="P350" i="8"/>
  <c r="M392" i="8"/>
  <c r="P392" i="8" s="1"/>
  <c r="O397" i="8"/>
  <c r="L395" i="8"/>
  <c r="O395" i="8" s="1"/>
  <c r="N404" i="8"/>
  <c r="N402" i="8" s="1"/>
  <c r="O449" i="8"/>
  <c r="L658" i="8"/>
  <c r="O658" i="8" s="1"/>
  <c r="O660" i="8"/>
  <c r="M660" i="8"/>
  <c r="P738" i="8"/>
  <c r="M737" i="8"/>
  <c r="P737" i="8" s="1"/>
  <c r="P771" i="8"/>
  <c r="M770" i="8"/>
  <c r="P770" i="8" s="1"/>
  <c r="P788" i="8"/>
  <c r="M786" i="8"/>
  <c r="P786" i="8" s="1"/>
  <c r="I143" i="8"/>
  <c r="I248" i="8"/>
  <c r="K248" i="8" s="1"/>
  <c r="L317" i="8"/>
  <c r="P333" i="8"/>
  <c r="O390" i="8"/>
  <c r="O424" i="8"/>
  <c r="L422" i="8"/>
  <c r="O422" i="8" s="1"/>
  <c r="L446" i="8"/>
  <c r="O446" i="8" s="1"/>
  <c r="O472" i="8"/>
  <c r="N470" i="8"/>
  <c r="L526" i="8"/>
  <c r="O526" i="8" s="1"/>
  <c r="O528" i="8"/>
  <c r="K559" i="8"/>
  <c r="I543" i="8"/>
  <c r="K543" i="8" s="1"/>
  <c r="K592" i="8"/>
  <c r="L657" i="8"/>
  <c r="K723" i="8"/>
  <c r="O787" i="8"/>
  <c r="I785" i="8"/>
  <c r="K785" i="8" s="1"/>
  <c r="K800" i="8"/>
  <c r="P807" i="8"/>
  <c r="M805" i="8"/>
  <c r="P805" i="8" s="1"/>
  <c r="P390" i="8"/>
  <c r="P420" i="8"/>
  <c r="O445" i="8"/>
  <c r="M470" i="8"/>
  <c r="P470" i="8" s="1"/>
  <c r="P503" i="8"/>
  <c r="O549" i="8"/>
  <c r="P630" i="8"/>
  <c r="L632" i="8"/>
  <c r="O632" i="8" s="1"/>
  <c r="L639" i="8"/>
  <c r="O639" i="8" s="1"/>
  <c r="K675" i="8"/>
  <c r="M634" i="8"/>
  <c r="K537" i="8"/>
  <c r="K669" i="8"/>
  <c r="K673" i="8"/>
  <c r="L687" i="8"/>
  <c r="I654" i="8"/>
  <c r="K654" i="8" s="1"/>
  <c r="O173" i="7"/>
  <c r="L167" i="7"/>
  <c r="L165" i="7" s="1"/>
  <c r="L171" i="7"/>
  <c r="O171" i="7" s="1"/>
  <c r="O424" i="6"/>
  <c r="J722" i="6"/>
  <c r="J785" i="6"/>
  <c r="M47" i="7"/>
  <c r="P47" i="7" s="1"/>
  <c r="N55" i="7"/>
  <c r="N53" i="7" s="1"/>
  <c r="L68" i="7"/>
  <c r="L66" i="7" s="1"/>
  <c r="O66" i="7" s="1"/>
  <c r="M91" i="7"/>
  <c r="P91" i="7" s="1"/>
  <c r="N90" i="7"/>
  <c r="N88" i="7" s="1"/>
  <c r="N138" i="7"/>
  <c r="N134" i="7"/>
  <c r="N132" i="7" s="1"/>
  <c r="O59" i="6"/>
  <c r="P49" i="7"/>
  <c r="P93" i="7"/>
  <c r="L347" i="7"/>
  <c r="L345" i="7" s="1"/>
  <c r="J364" i="7"/>
  <c r="P127" i="6"/>
  <c r="N330" i="6"/>
  <c r="N328" i="6" s="1"/>
  <c r="K379" i="6"/>
  <c r="O394" i="6"/>
  <c r="L69" i="7"/>
  <c r="O69" i="7" s="1"/>
  <c r="L351" i="7"/>
  <c r="O351" i="7" s="1"/>
  <c r="O353" i="7"/>
  <c r="O394" i="7"/>
  <c r="L392" i="7"/>
  <c r="O392" i="7" s="1"/>
  <c r="M267" i="6"/>
  <c r="P267" i="6" s="1"/>
  <c r="I76" i="7"/>
  <c r="K76" i="7" s="1"/>
  <c r="L69" i="6"/>
  <c r="O69" i="6" s="1"/>
  <c r="N122" i="6"/>
  <c r="P138" i="6"/>
  <c r="L217" i="6"/>
  <c r="O217" i="6" s="1"/>
  <c r="N279" i="7"/>
  <c r="I628" i="7"/>
  <c r="K628" i="7" s="1"/>
  <c r="K651" i="7"/>
  <c r="P58" i="7"/>
  <c r="M125" i="7"/>
  <c r="P125" i="7" s="1"/>
  <c r="I237" i="7"/>
  <c r="K237" i="7" s="1"/>
  <c r="I275" i="7"/>
  <c r="L279" i="7"/>
  <c r="L277" i="7" s="1"/>
  <c r="O285" i="7"/>
  <c r="I297" i="7"/>
  <c r="K297" i="7" s="1"/>
  <c r="L446" i="7"/>
  <c r="K576" i="7"/>
  <c r="P154" i="7"/>
  <c r="L249" i="7"/>
  <c r="O249" i="7" s="1"/>
  <c r="K378" i="7"/>
  <c r="K381" i="7"/>
  <c r="L404" i="7"/>
  <c r="O404" i="7" s="1"/>
  <c r="L300" i="7"/>
  <c r="O300" i="7" s="1"/>
  <c r="N317" i="7"/>
  <c r="N315" i="7" s="1"/>
  <c r="M134" i="7"/>
  <c r="P134" i="7" s="1"/>
  <c r="M155" i="7"/>
  <c r="P155" i="7" s="1"/>
  <c r="N151" i="7"/>
  <c r="N149" i="7" s="1"/>
  <c r="J288" i="7"/>
  <c r="J275" i="7" s="1"/>
  <c r="P353" i="7"/>
  <c r="K362" i="7"/>
  <c r="M395" i="7"/>
  <c r="P395" i="7" s="1"/>
  <c r="O479" i="7"/>
  <c r="J537" i="7"/>
  <c r="J522" i="7" s="1"/>
  <c r="K577" i="7"/>
  <c r="P137" i="7"/>
  <c r="L422" i="7"/>
  <c r="O422" i="7" s="1"/>
  <c r="O528" i="7"/>
  <c r="K827" i="7"/>
  <c r="M183" i="7"/>
  <c r="P186" i="7"/>
  <c r="M184" i="7"/>
  <c r="I248" i="7"/>
  <c r="K248" i="7" s="1"/>
  <c r="I233" i="7"/>
  <c r="K233" i="7" s="1"/>
  <c r="O336" i="7"/>
  <c r="L334" i="7"/>
  <c r="O334" i="7" s="1"/>
  <c r="M791" i="7"/>
  <c r="P791" i="7" s="1"/>
  <c r="L788" i="7"/>
  <c r="O788" i="7" s="1"/>
  <c r="P61" i="6"/>
  <c r="K360" i="6"/>
  <c r="M72" i="7"/>
  <c r="P72" i="7" s="1"/>
  <c r="K82" i="7"/>
  <c r="M94" i="7"/>
  <c r="P94" i="7" s="1"/>
  <c r="K99" i="7"/>
  <c r="L135" i="7"/>
  <c r="O135" i="7" s="1"/>
  <c r="O137" i="7"/>
  <c r="K145" i="7"/>
  <c r="N184" i="7"/>
  <c r="O184" i="7" s="1"/>
  <c r="N183" i="7"/>
  <c r="N181" i="7" s="1"/>
  <c r="L217" i="7"/>
  <c r="O217" i="7" s="1"/>
  <c r="K287" i="7"/>
  <c r="M318" i="7"/>
  <c r="P318" i="7" s="1"/>
  <c r="N331" i="7"/>
  <c r="O331" i="7" s="1"/>
  <c r="O333" i="7"/>
  <c r="L348" i="7"/>
  <c r="O350" i="7"/>
  <c r="L547" i="7"/>
  <c r="O547" i="7" s="1"/>
  <c r="O549" i="7"/>
  <c r="O634" i="7"/>
  <c r="L632" i="7"/>
  <c r="O632" i="7" s="1"/>
  <c r="M634" i="7"/>
  <c r="L317" i="7"/>
  <c r="O317" i="7" s="1"/>
  <c r="O320" i="7"/>
  <c r="L238" i="7"/>
  <c r="O238" i="7" s="1"/>
  <c r="L318" i="7"/>
  <c r="O318" i="7" s="1"/>
  <c r="L408" i="6"/>
  <c r="O408" i="6" s="1"/>
  <c r="O74" i="7"/>
  <c r="O93" i="7"/>
  <c r="M348" i="7"/>
  <c r="M347" i="7"/>
  <c r="M345" i="7" s="1"/>
  <c r="P407" i="7"/>
  <c r="M404" i="7"/>
  <c r="M547" i="7"/>
  <c r="P547" i="7" s="1"/>
  <c r="P549" i="7"/>
  <c r="O189" i="7"/>
  <c r="L187" i="7"/>
  <c r="O187" i="7" s="1"/>
  <c r="M55" i="4"/>
  <c r="M53" i="4" s="1"/>
  <c r="N90" i="5"/>
  <c r="N88" i="5" s="1"/>
  <c r="L72" i="7"/>
  <c r="O72" i="7" s="1"/>
  <c r="L94" i="7"/>
  <c r="O94" i="7" s="1"/>
  <c r="K538" i="7"/>
  <c r="N68" i="6"/>
  <c r="N66" i="6" s="1"/>
  <c r="P135" i="6"/>
  <c r="O168" i="6"/>
  <c r="M263" i="6"/>
  <c r="M261" i="6" s="1"/>
  <c r="I314" i="6"/>
  <c r="K314" i="6" s="1"/>
  <c r="L43" i="7"/>
  <c r="L41" i="7" s="1"/>
  <c r="P56" i="7"/>
  <c r="P74" i="7"/>
  <c r="N405" i="7"/>
  <c r="N404" i="7"/>
  <c r="N402" i="7" s="1"/>
  <c r="L469" i="7"/>
  <c r="O469" i="7" s="1"/>
  <c r="M472" i="7"/>
  <c r="P546" i="7"/>
  <c r="M544" i="7"/>
  <c r="P544" i="7" s="1"/>
  <c r="L639" i="7"/>
  <c r="O639" i="7" s="1"/>
  <c r="O641" i="7"/>
  <c r="L688" i="7"/>
  <c r="O688" i="7" s="1"/>
  <c r="O690" i="7"/>
  <c r="L151" i="6"/>
  <c r="L149" i="6" s="1"/>
  <c r="I148" i="7"/>
  <c r="K148" i="7" s="1"/>
  <c r="K159" i="7"/>
  <c r="L198" i="7"/>
  <c r="O198" i="7" s="1"/>
  <c r="N300" i="7"/>
  <c r="N298" i="7" s="1"/>
  <c r="N301" i="7"/>
  <c r="L330" i="7"/>
  <c r="K462" i="7"/>
  <c r="I443" i="7"/>
  <c r="K443" i="7" s="1"/>
  <c r="K822" i="7"/>
  <c r="I112" i="7"/>
  <c r="K112" i="7" s="1"/>
  <c r="P140" i="7"/>
  <c r="N167" i="7"/>
  <c r="N165" i="7" s="1"/>
  <c r="O170" i="7"/>
  <c r="I174" i="7"/>
  <c r="I164" i="7" s="1"/>
  <c r="K164" i="7" s="1"/>
  <c r="K672" i="7"/>
  <c r="K825" i="7"/>
  <c r="N121" i="7"/>
  <c r="N119" i="7" s="1"/>
  <c r="M263" i="7"/>
  <c r="K374" i="7"/>
  <c r="I434" i="7"/>
  <c r="I418" i="7" s="1"/>
  <c r="K418" i="7" s="1"/>
  <c r="O535" i="7"/>
  <c r="K673" i="7"/>
  <c r="K823" i="7"/>
  <c r="L209" i="7"/>
  <c r="O209" i="7" s="1"/>
  <c r="K821" i="7"/>
  <c r="M152" i="7"/>
  <c r="P152" i="7" s="1"/>
  <c r="P168" i="7"/>
  <c r="P170" i="7"/>
  <c r="O186" i="7"/>
  <c r="L229" i="7"/>
  <c r="K260" i="7"/>
  <c r="N264" i="7"/>
  <c r="P264" i="7" s="1"/>
  <c r="M267" i="7"/>
  <c r="P267" i="7" s="1"/>
  <c r="N280" i="7"/>
  <c r="O280" i="7" s="1"/>
  <c r="K379" i="7"/>
  <c r="J433" i="7"/>
  <c r="J417" i="7" s="1"/>
  <c r="P12" i="7"/>
  <c r="L56" i="7"/>
  <c r="O56" i="7" s="1"/>
  <c r="O58" i="7"/>
  <c r="L152" i="7"/>
  <c r="O152" i="7" s="1"/>
  <c r="O154" i="7"/>
  <c r="M280" i="7"/>
  <c r="P282" i="7"/>
  <c r="P524" i="7"/>
  <c r="M523" i="7"/>
  <c r="P523" i="7" s="1"/>
  <c r="O755" i="7"/>
  <c r="L754" i="7"/>
  <c r="O754" i="7" s="1"/>
  <c r="L33" i="6"/>
  <c r="O33" i="6" s="1"/>
  <c r="O15" i="7"/>
  <c r="L23" i="7"/>
  <c r="L21" i="7" s="1"/>
  <c r="O29" i="7"/>
  <c r="N44" i="7"/>
  <c r="N23" i="7"/>
  <c r="L91" i="7"/>
  <c r="O91" i="7" s="1"/>
  <c r="I86" i="7"/>
  <c r="K86" i="7" s="1"/>
  <c r="K98" i="7"/>
  <c r="P299" i="7"/>
  <c r="K325" i="7"/>
  <c r="M331" i="7"/>
  <c r="P333" i="7"/>
  <c r="K437" i="7"/>
  <c r="P755" i="7"/>
  <c r="M754" i="7"/>
  <c r="P754" i="7" s="1"/>
  <c r="M395" i="6"/>
  <c r="P395" i="6" s="1"/>
  <c r="K701" i="4"/>
  <c r="M279" i="5"/>
  <c r="M277" i="5" s="1"/>
  <c r="M347" i="5"/>
  <c r="M345" i="5" s="1"/>
  <c r="P71" i="6"/>
  <c r="M125" i="6"/>
  <c r="P125" i="6" s="1"/>
  <c r="O127" i="6"/>
  <c r="M134" i="6"/>
  <c r="M155" i="6"/>
  <c r="P155" i="6" s="1"/>
  <c r="K224" i="6"/>
  <c r="L231" i="6"/>
  <c r="N317" i="6"/>
  <c r="N315" i="6" s="1"/>
  <c r="M23" i="7"/>
  <c r="P25" i="7"/>
  <c r="M15" i="7"/>
  <c r="N31" i="7"/>
  <c r="N43" i="7"/>
  <c r="O46" i="7"/>
  <c r="L59" i="7"/>
  <c r="O59" i="7" s="1"/>
  <c r="L26" i="7"/>
  <c r="O61" i="7"/>
  <c r="L122" i="7"/>
  <c r="O122" i="7" s="1"/>
  <c r="O124" i="7"/>
  <c r="J143" i="7"/>
  <c r="J131" i="7" s="1"/>
  <c r="P150" i="7"/>
  <c r="L155" i="7"/>
  <c r="O155" i="7" s="1"/>
  <c r="O157" i="7"/>
  <c r="I190" i="7"/>
  <c r="K190" i="7" s="1"/>
  <c r="K255" i="7"/>
  <c r="O282" i="7"/>
  <c r="M317" i="7"/>
  <c r="I364" i="7"/>
  <c r="K365" i="7"/>
  <c r="O686" i="7"/>
  <c r="L685" i="7"/>
  <c r="O685" i="7" s="1"/>
  <c r="L72" i="6"/>
  <c r="O72" i="6" s="1"/>
  <c r="L121" i="6"/>
  <c r="L119" i="6" s="1"/>
  <c r="N134" i="6"/>
  <c r="N132" i="6" s="1"/>
  <c r="L283" i="6"/>
  <c r="O283" i="6" s="1"/>
  <c r="L300" i="6"/>
  <c r="L317" i="6"/>
  <c r="L315" i="6" s="1"/>
  <c r="L321" i="6"/>
  <c r="O321" i="6" s="1"/>
  <c r="L334" i="6"/>
  <c r="O334" i="6" s="1"/>
  <c r="J364" i="6"/>
  <c r="N404" i="6"/>
  <c r="N402" i="6" s="1"/>
  <c r="L9" i="7"/>
  <c r="N12" i="7"/>
  <c r="L19" i="7"/>
  <c r="P46" i="7"/>
  <c r="P54" i="7"/>
  <c r="P59" i="7"/>
  <c r="P61" i="7"/>
  <c r="I77" i="7"/>
  <c r="K81" i="7"/>
  <c r="L90" i="7"/>
  <c r="L264" i="7"/>
  <c r="O266" i="7"/>
  <c r="M279" i="7"/>
  <c r="M283" i="7"/>
  <c r="P283" i="7" s="1"/>
  <c r="P285" i="7"/>
  <c r="N348" i="7"/>
  <c r="P350" i="7"/>
  <c r="N347" i="7"/>
  <c r="I522" i="7"/>
  <c r="K522" i="7" s="1"/>
  <c r="K537" i="7"/>
  <c r="N788" i="7"/>
  <c r="N786" i="7" s="1"/>
  <c r="N789" i="7"/>
  <c r="J785" i="7"/>
  <c r="K801" i="7"/>
  <c r="L155" i="6"/>
  <c r="O155" i="6" s="1"/>
  <c r="M267" i="4"/>
  <c r="P267" i="4" s="1"/>
  <c r="M43" i="6"/>
  <c r="M41" i="6" s="1"/>
  <c r="L47" i="6"/>
  <c r="O47" i="6" s="1"/>
  <c r="N55" i="6"/>
  <c r="N53" i="6" s="1"/>
  <c r="L68" i="6"/>
  <c r="O68" i="6" s="1"/>
  <c r="P91" i="6"/>
  <c r="M121" i="6"/>
  <c r="M183" i="6"/>
  <c r="M181" i="6" s="1"/>
  <c r="K338" i="6"/>
  <c r="N391" i="6"/>
  <c r="N389" i="6" s="1"/>
  <c r="P32" i="7"/>
  <c r="M29" i="7"/>
  <c r="L55" i="7"/>
  <c r="K87" i="7"/>
  <c r="P120" i="7"/>
  <c r="L125" i="7"/>
  <c r="O125" i="7" s="1"/>
  <c r="O127" i="7"/>
  <c r="I131" i="7"/>
  <c r="K131" i="7" s="1"/>
  <c r="L151" i="7"/>
  <c r="P266" i="7"/>
  <c r="M300" i="7"/>
  <c r="P300" i="7" s="1"/>
  <c r="M330" i="7"/>
  <c r="O787" i="7"/>
  <c r="K823" i="5"/>
  <c r="K355" i="6"/>
  <c r="K369" i="6"/>
  <c r="I443" i="6"/>
  <c r="K443" i="6" s="1"/>
  <c r="M26" i="7"/>
  <c r="M55" i="7"/>
  <c r="M151" i="7"/>
  <c r="L231" i="7"/>
  <c r="P262" i="7"/>
  <c r="L267" i="7"/>
  <c r="O267" i="7" s="1"/>
  <c r="O269" i="7"/>
  <c r="L301" i="7"/>
  <c r="O301" i="7" s="1"/>
  <c r="O303" i="7"/>
  <c r="O329" i="7"/>
  <c r="O524" i="7"/>
  <c r="O316" i="7"/>
  <c r="K372" i="7"/>
  <c r="M391" i="7"/>
  <c r="M446" i="7"/>
  <c r="M447" i="7"/>
  <c r="P447" i="7" s="1"/>
  <c r="L502" i="7"/>
  <c r="O502" i="7" s="1"/>
  <c r="N504" i="7"/>
  <c r="N502" i="7" s="1"/>
  <c r="N414" i="7" s="1"/>
  <c r="N505" i="7"/>
  <c r="N523" i="7"/>
  <c r="K559" i="7"/>
  <c r="I543" i="7"/>
  <c r="K543" i="7" s="1"/>
  <c r="L737" i="7"/>
  <c r="O737" i="7" s="1"/>
  <c r="N754" i="7"/>
  <c r="L770" i="7"/>
  <c r="O770" i="7" s="1"/>
  <c r="K338" i="7"/>
  <c r="J327" i="7"/>
  <c r="K327" i="7" s="1"/>
  <c r="O390" i="7"/>
  <c r="O424" i="7"/>
  <c r="M424" i="7"/>
  <c r="L470" i="7"/>
  <c r="O470" i="7" s="1"/>
  <c r="O472" i="7"/>
  <c r="O468" i="7"/>
  <c r="P738" i="7"/>
  <c r="M737" i="7"/>
  <c r="P737" i="7" s="1"/>
  <c r="P771" i="7"/>
  <c r="M770" i="7"/>
  <c r="P770" i="7" s="1"/>
  <c r="O806" i="7"/>
  <c r="L805" i="7"/>
  <c r="O805" i="7" s="1"/>
  <c r="K594" i="7"/>
  <c r="P687" i="7"/>
  <c r="M685" i="7"/>
  <c r="P685" i="7" s="1"/>
  <c r="L789" i="7"/>
  <c r="O789" i="7" s="1"/>
  <c r="O791" i="7"/>
  <c r="I654" i="7"/>
  <c r="K654" i="7" s="1"/>
  <c r="L546" i="7"/>
  <c r="L631" i="7"/>
  <c r="L279" i="4"/>
  <c r="L277" i="4" s="1"/>
  <c r="N317" i="4"/>
  <c r="N315" i="4" s="1"/>
  <c r="P74" i="6"/>
  <c r="P124" i="6"/>
  <c r="M279" i="6"/>
  <c r="N279" i="6"/>
  <c r="N277" i="6" s="1"/>
  <c r="M347" i="6"/>
  <c r="M345" i="6" s="1"/>
  <c r="N347" i="6"/>
  <c r="N345" i="6" s="1"/>
  <c r="L391" i="6"/>
  <c r="O391" i="6" s="1"/>
  <c r="I654" i="6"/>
  <c r="K654" i="6" s="1"/>
  <c r="K673" i="6"/>
  <c r="P186" i="5"/>
  <c r="K176" i="6"/>
  <c r="N183" i="6"/>
  <c r="N181" i="6" s="1"/>
  <c r="L183" i="6"/>
  <c r="L181" i="6" s="1"/>
  <c r="L229" i="6"/>
  <c r="N283" i="6"/>
  <c r="P285" i="6"/>
  <c r="L330" i="6"/>
  <c r="L328" i="6" s="1"/>
  <c r="K365" i="6"/>
  <c r="M391" i="6"/>
  <c r="I442" i="6"/>
  <c r="K442" i="6" s="1"/>
  <c r="K674" i="6"/>
  <c r="K822" i="6"/>
  <c r="K828" i="6"/>
  <c r="K99" i="5"/>
  <c r="O157" i="6"/>
  <c r="L230" i="6"/>
  <c r="P264" i="6"/>
  <c r="K381" i="6"/>
  <c r="I364" i="4"/>
  <c r="O282" i="6"/>
  <c r="L36" i="6"/>
  <c r="O36" i="6" s="1"/>
  <c r="K649" i="6"/>
  <c r="K669" i="6"/>
  <c r="L300" i="5"/>
  <c r="O189" i="6"/>
  <c r="K340" i="6"/>
  <c r="L135" i="6"/>
  <c r="O135" i="6" s="1"/>
  <c r="O137" i="6"/>
  <c r="P303" i="6"/>
  <c r="N300" i="6"/>
  <c r="N331" i="6"/>
  <c r="O331" i="6" s="1"/>
  <c r="O660" i="6"/>
  <c r="L658" i="6"/>
  <c r="O658" i="6" s="1"/>
  <c r="L183" i="4"/>
  <c r="L181" i="4" s="1"/>
  <c r="L283" i="4"/>
  <c r="O283" i="4" s="1"/>
  <c r="M317" i="5"/>
  <c r="M315" i="5" s="1"/>
  <c r="P315" i="5" s="1"/>
  <c r="K379" i="5"/>
  <c r="K699" i="5"/>
  <c r="L44" i="6"/>
  <c r="O46" i="6"/>
  <c r="M184" i="6"/>
  <c r="P186" i="6"/>
  <c r="O303" i="6"/>
  <c r="M317" i="6"/>
  <c r="M315" i="6" s="1"/>
  <c r="N392" i="6"/>
  <c r="L546" i="6"/>
  <c r="O546" i="6" s="1"/>
  <c r="L657" i="6"/>
  <c r="O657" i="6" s="1"/>
  <c r="N90" i="4"/>
  <c r="N88" i="4" s="1"/>
  <c r="M155" i="4"/>
  <c r="P155" i="4" s="1"/>
  <c r="M56" i="6"/>
  <c r="P56" i="6" s="1"/>
  <c r="P58" i="6"/>
  <c r="O96" i="6"/>
  <c r="L94" i="6"/>
  <c r="O94" i="6" s="1"/>
  <c r="N184" i="6"/>
  <c r="O184" i="6" s="1"/>
  <c r="O186" i="6"/>
  <c r="I260" i="6"/>
  <c r="K260" i="6" s="1"/>
  <c r="K271" i="6"/>
  <c r="L404" i="6"/>
  <c r="O404" i="6" s="1"/>
  <c r="O407" i="6"/>
  <c r="O641" i="6"/>
  <c r="L631" i="6"/>
  <c r="L629" i="6" s="1"/>
  <c r="O629" i="6" s="1"/>
  <c r="L555" i="5"/>
  <c r="O555" i="5" s="1"/>
  <c r="K821" i="5"/>
  <c r="M90" i="6"/>
  <c r="M88" i="6" s="1"/>
  <c r="P96" i="6"/>
  <c r="M94" i="6"/>
  <c r="P94" i="6" s="1"/>
  <c r="L167" i="6"/>
  <c r="L165" i="6" s="1"/>
  <c r="O173" i="6"/>
  <c r="O318" i="6"/>
  <c r="N348" i="6"/>
  <c r="P348" i="6" s="1"/>
  <c r="K437" i="6"/>
  <c r="J433" i="6"/>
  <c r="J417" i="6" s="1"/>
  <c r="I785" i="6"/>
  <c r="K801" i="6"/>
  <c r="N301" i="6"/>
  <c r="I148" i="5"/>
  <c r="K148" i="5" s="1"/>
  <c r="L231" i="5"/>
  <c r="J722" i="5"/>
  <c r="M59" i="6"/>
  <c r="P59" i="6" s="1"/>
  <c r="P154" i="6"/>
  <c r="M151" i="6"/>
  <c r="P266" i="6"/>
  <c r="N263" i="6"/>
  <c r="N261" i="6" s="1"/>
  <c r="I297" i="6"/>
  <c r="K297" i="6" s="1"/>
  <c r="K309" i="6"/>
  <c r="N321" i="6"/>
  <c r="L405" i="6"/>
  <c r="O405" i="6" s="1"/>
  <c r="K438" i="6"/>
  <c r="I434" i="6"/>
  <c r="M690" i="6"/>
  <c r="M687" i="6" s="1"/>
  <c r="P687" i="6" s="1"/>
  <c r="L688" i="6"/>
  <c r="O688" i="6" s="1"/>
  <c r="L687" i="6"/>
  <c r="O687" i="6" s="1"/>
  <c r="O690" i="6"/>
  <c r="M449" i="6"/>
  <c r="M447" i="6" s="1"/>
  <c r="L447" i="6"/>
  <c r="O449" i="6"/>
  <c r="L446" i="6"/>
  <c r="L444" i="6" s="1"/>
  <c r="M125" i="5"/>
  <c r="P125" i="5" s="1"/>
  <c r="M334" i="5"/>
  <c r="P334" i="5" s="1"/>
  <c r="M26" i="6"/>
  <c r="M16" i="6" s="1"/>
  <c r="P93" i="6"/>
  <c r="K146" i="6"/>
  <c r="I130" i="6"/>
  <c r="K130" i="6" s="1"/>
  <c r="M152" i="6"/>
  <c r="P152" i="6" s="1"/>
  <c r="N151" i="6"/>
  <c r="N149" i="6" s="1"/>
  <c r="O154" i="6"/>
  <c r="K215" i="6"/>
  <c r="I208" i="6"/>
  <c r="K208" i="6" s="1"/>
  <c r="O266" i="6"/>
  <c r="K378" i="6"/>
  <c r="O431" i="6"/>
  <c r="L421" i="6"/>
  <c r="L209" i="6"/>
  <c r="O209" i="6" s="1"/>
  <c r="K374" i="6"/>
  <c r="O125" i="6"/>
  <c r="I190" i="6"/>
  <c r="K190" i="6" s="1"/>
  <c r="I276" i="6"/>
  <c r="K276" i="6" s="1"/>
  <c r="P280" i="6"/>
  <c r="K372" i="6"/>
  <c r="K385" i="6"/>
  <c r="L469" i="6"/>
  <c r="L533" i="6"/>
  <c r="O533" i="6" s="1"/>
  <c r="K647" i="6"/>
  <c r="K700" i="6"/>
  <c r="K823" i="6"/>
  <c r="K826" i="6"/>
  <c r="O264" i="6"/>
  <c r="L280" i="6"/>
  <c r="O280" i="6" s="1"/>
  <c r="O152" i="6"/>
  <c r="M167" i="6"/>
  <c r="M165" i="6" s="1"/>
  <c r="O269" i="6"/>
  <c r="P282" i="6"/>
  <c r="O306" i="6"/>
  <c r="O320" i="6"/>
  <c r="J327" i="6"/>
  <c r="K327" i="6" s="1"/>
  <c r="P350" i="6"/>
  <c r="P353" i="6"/>
  <c r="I364" i="6"/>
  <c r="L470" i="6"/>
  <c r="O470" i="6" s="1"/>
  <c r="L477" i="6"/>
  <c r="O477" i="6" s="1"/>
  <c r="L632" i="6"/>
  <c r="O632" i="6" s="1"/>
  <c r="O634" i="6"/>
  <c r="L788" i="6"/>
  <c r="O788" i="6" s="1"/>
  <c r="K821" i="6"/>
  <c r="K824" i="6"/>
  <c r="K827" i="6"/>
  <c r="P19" i="6"/>
  <c r="O806" i="6"/>
  <c r="L805" i="6"/>
  <c r="O805" i="6" s="1"/>
  <c r="K370" i="3"/>
  <c r="P91" i="5"/>
  <c r="L134" i="5"/>
  <c r="O134" i="5" s="1"/>
  <c r="I260" i="5"/>
  <c r="K260" i="5" s="1"/>
  <c r="J721" i="5"/>
  <c r="N26" i="6"/>
  <c r="I77" i="6"/>
  <c r="K79" i="6"/>
  <c r="J143" i="6"/>
  <c r="J131" i="6" s="1"/>
  <c r="K144" i="6"/>
  <c r="O182" i="6"/>
  <c r="P756" i="6"/>
  <c r="M754" i="6"/>
  <c r="P754" i="6" s="1"/>
  <c r="O58" i="6"/>
  <c r="L23" i="6"/>
  <c r="L21" i="6" s="1"/>
  <c r="M56" i="4"/>
  <c r="M59" i="4"/>
  <c r="P59" i="4" s="1"/>
  <c r="M43" i="5"/>
  <c r="M41" i="5" s="1"/>
  <c r="O71" i="5"/>
  <c r="L228" i="5"/>
  <c r="L230" i="5"/>
  <c r="I364" i="5"/>
  <c r="L391" i="5"/>
  <c r="O391" i="5" s="1"/>
  <c r="K577" i="5"/>
  <c r="L658" i="5"/>
  <c r="O658" i="5" s="1"/>
  <c r="L19" i="6"/>
  <c r="N30" i="6"/>
  <c r="N28" i="6" s="1"/>
  <c r="N31" i="6"/>
  <c r="L56" i="6"/>
  <c r="O56" i="6" s="1"/>
  <c r="L26" i="6"/>
  <c r="O61" i="6"/>
  <c r="P182" i="6"/>
  <c r="K204" i="6"/>
  <c r="N43" i="6"/>
  <c r="M47" i="5"/>
  <c r="P47" i="5" s="1"/>
  <c r="M72" i="5"/>
  <c r="P72" i="5" s="1"/>
  <c r="L125" i="5"/>
  <c r="O125" i="5" s="1"/>
  <c r="L135" i="5"/>
  <c r="O135" i="5" s="1"/>
  <c r="O140" i="5"/>
  <c r="I216" i="5"/>
  <c r="K216" i="5" s="1"/>
  <c r="L263" i="5"/>
  <c r="L334" i="5"/>
  <c r="O334" i="5" s="1"/>
  <c r="O394" i="5"/>
  <c r="O12" i="6"/>
  <c r="O25" i="6"/>
  <c r="L15" i="6"/>
  <c r="L9" i="6" s="1"/>
  <c r="O32" i="6"/>
  <c r="L29" i="6"/>
  <c r="N44" i="6"/>
  <c r="N23" i="6"/>
  <c r="I76" i="6"/>
  <c r="O93" i="6"/>
  <c r="L90" i="6"/>
  <c r="L138" i="6"/>
  <c r="O138" i="6" s="1"/>
  <c r="L134" i="6"/>
  <c r="O140" i="6"/>
  <c r="M334" i="6"/>
  <c r="P334" i="6" s="1"/>
  <c r="P336" i="6"/>
  <c r="M330" i="6"/>
  <c r="O545" i="6"/>
  <c r="N263" i="5"/>
  <c r="N261" i="5" s="1"/>
  <c r="I148" i="3"/>
  <c r="K148" i="3" s="1"/>
  <c r="P351" i="3"/>
  <c r="O58" i="5"/>
  <c r="I130" i="5"/>
  <c r="K130" i="5" s="1"/>
  <c r="L171" i="5"/>
  <c r="O171" i="5" s="1"/>
  <c r="I174" i="5"/>
  <c r="K174" i="5" s="1"/>
  <c r="I297" i="5"/>
  <c r="K297" i="5" s="1"/>
  <c r="K360" i="5"/>
  <c r="K365" i="5"/>
  <c r="P12" i="6"/>
  <c r="M9" i="6"/>
  <c r="P25" i="6"/>
  <c r="M15" i="6"/>
  <c r="P32" i="6"/>
  <c r="M29" i="6"/>
  <c r="L55" i="6"/>
  <c r="M168" i="6"/>
  <c r="P168" i="6" s="1"/>
  <c r="P170" i="6"/>
  <c r="K164" i="6"/>
  <c r="I233" i="6"/>
  <c r="K233" i="6" s="1"/>
  <c r="K244" i="6"/>
  <c r="I237" i="6"/>
  <c r="L249" i="6"/>
  <c r="O249" i="6" s="1"/>
  <c r="L228" i="6"/>
  <c r="N447" i="6"/>
  <c r="N446" i="6"/>
  <c r="L230" i="4"/>
  <c r="O93" i="5"/>
  <c r="K370" i="5"/>
  <c r="K378" i="5"/>
  <c r="K99" i="6"/>
  <c r="I87" i="6"/>
  <c r="K87" i="6" s="1"/>
  <c r="O170" i="6"/>
  <c r="N167" i="6"/>
  <c r="N12" i="6"/>
  <c r="P46" i="6"/>
  <c r="P49" i="6"/>
  <c r="I112" i="6"/>
  <c r="K112" i="6" s="1"/>
  <c r="P140" i="6"/>
  <c r="P173" i="6"/>
  <c r="L198" i="6"/>
  <c r="O198" i="6" s="1"/>
  <c r="L238" i="6"/>
  <c r="M318" i="6"/>
  <c r="P318" i="6" s="1"/>
  <c r="P320" i="6"/>
  <c r="M421" i="6"/>
  <c r="M422" i="6"/>
  <c r="P422" i="6" s="1"/>
  <c r="P424" i="6"/>
  <c r="O738" i="6"/>
  <c r="L737" i="6"/>
  <c r="O737" i="6" s="1"/>
  <c r="M23" i="6"/>
  <c r="P316" i="6"/>
  <c r="M405" i="6"/>
  <c r="P405" i="6" s="1"/>
  <c r="P407" i="6"/>
  <c r="M404" i="6"/>
  <c r="P404" i="6" s="1"/>
  <c r="I417" i="6"/>
  <c r="P445" i="6"/>
  <c r="M68" i="6"/>
  <c r="N90" i="6"/>
  <c r="P137" i="6"/>
  <c r="K174" i="6"/>
  <c r="J226" i="6"/>
  <c r="J180" i="6" s="1"/>
  <c r="M321" i="6"/>
  <c r="P321" i="6" s="1"/>
  <c r="P323" i="6"/>
  <c r="O403" i="6"/>
  <c r="K560" i="6"/>
  <c r="K98" i="6"/>
  <c r="K216" i="6"/>
  <c r="L348" i="6"/>
  <c r="O350" i="6"/>
  <c r="P403" i="6"/>
  <c r="L351" i="6"/>
  <c r="O351" i="6" s="1"/>
  <c r="O353" i="6"/>
  <c r="M546" i="6"/>
  <c r="P546" i="6" s="1"/>
  <c r="L547" i="6"/>
  <c r="O547" i="6" s="1"/>
  <c r="O549" i="6"/>
  <c r="I559" i="6"/>
  <c r="K576" i="6"/>
  <c r="N740" i="6"/>
  <c r="P806" i="6"/>
  <c r="M805" i="6"/>
  <c r="P805" i="6" s="1"/>
  <c r="O346" i="6"/>
  <c r="O525" i="6"/>
  <c r="L523" i="6"/>
  <c r="J537" i="6"/>
  <c r="K538" i="6"/>
  <c r="N737" i="6"/>
  <c r="O755" i="6"/>
  <c r="L754" i="6"/>
  <c r="O754" i="6" s="1"/>
  <c r="P772" i="6"/>
  <c r="M770" i="6"/>
  <c r="P770" i="6" s="1"/>
  <c r="I275" i="6"/>
  <c r="J288" i="6"/>
  <c r="J275" i="6" s="1"/>
  <c r="O333" i="6"/>
  <c r="M351" i="6"/>
  <c r="P351" i="6" s="1"/>
  <c r="M408" i="6"/>
  <c r="P408" i="6" s="1"/>
  <c r="P410" i="6"/>
  <c r="K435" i="6"/>
  <c r="O528" i="6"/>
  <c r="M528" i="6"/>
  <c r="M547" i="6"/>
  <c r="P547" i="6" s="1"/>
  <c r="O557" i="6"/>
  <c r="K577" i="6"/>
  <c r="K593" i="6"/>
  <c r="M631" i="6"/>
  <c r="M632" i="6"/>
  <c r="P632" i="6" s="1"/>
  <c r="P634" i="6"/>
  <c r="N757" i="6"/>
  <c r="I143" i="6"/>
  <c r="I248" i="6"/>
  <c r="K248" i="6" s="1"/>
  <c r="M331" i="6"/>
  <c r="P333" i="6"/>
  <c r="K362" i="6"/>
  <c r="L526" i="6"/>
  <c r="O526" i="6" s="1"/>
  <c r="P555" i="6"/>
  <c r="M545" i="6"/>
  <c r="K594" i="6"/>
  <c r="O686" i="6"/>
  <c r="P739" i="6"/>
  <c r="M737" i="6"/>
  <c r="P737" i="6" s="1"/>
  <c r="N754" i="6"/>
  <c r="O771" i="6"/>
  <c r="L770" i="6"/>
  <c r="O770" i="6" s="1"/>
  <c r="K825" i="6"/>
  <c r="K651" i="6"/>
  <c r="I628" i="6"/>
  <c r="K628" i="6" s="1"/>
  <c r="O791" i="6"/>
  <c r="M791" i="6"/>
  <c r="L422" i="6"/>
  <c r="O422" i="6" s="1"/>
  <c r="L429" i="6"/>
  <c r="O429" i="6" s="1"/>
  <c r="L454" i="6"/>
  <c r="O454" i="6" s="1"/>
  <c r="M472" i="6"/>
  <c r="M660" i="6"/>
  <c r="K675" i="6"/>
  <c r="N347" i="2"/>
  <c r="N345" i="2" s="1"/>
  <c r="N55" i="3"/>
  <c r="N53" i="3" s="1"/>
  <c r="M122" i="3"/>
  <c r="P122" i="3" s="1"/>
  <c r="N167" i="4"/>
  <c r="N165" i="4" s="1"/>
  <c r="I297" i="4"/>
  <c r="K297" i="4" s="1"/>
  <c r="L631" i="4"/>
  <c r="L629" i="4" s="1"/>
  <c r="P44" i="5"/>
  <c r="P58" i="5"/>
  <c r="P61" i="5"/>
  <c r="O74" i="5"/>
  <c r="K98" i="5"/>
  <c r="O137" i="5"/>
  <c r="N152" i="5"/>
  <c r="M155" i="5"/>
  <c r="P155" i="5" s="1"/>
  <c r="P170" i="5"/>
  <c r="L229" i="5"/>
  <c r="K822" i="5"/>
  <c r="K828" i="5"/>
  <c r="M69" i="4"/>
  <c r="P69" i="4" s="1"/>
  <c r="M72" i="4"/>
  <c r="P72" i="4" s="1"/>
  <c r="N121" i="4"/>
  <c r="N119" i="4" s="1"/>
  <c r="N318" i="4"/>
  <c r="M330" i="4"/>
  <c r="M328" i="4" s="1"/>
  <c r="N55" i="5"/>
  <c r="N53" i="5" s="1"/>
  <c r="N279" i="5"/>
  <c r="N277" i="5" s="1"/>
  <c r="O791" i="5"/>
  <c r="J364" i="3"/>
  <c r="O49" i="5"/>
  <c r="N121" i="5"/>
  <c r="N119" i="5" s="1"/>
  <c r="N167" i="5"/>
  <c r="N165" i="5" s="1"/>
  <c r="M183" i="5"/>
  <c r="M181" i="5" s="1"/>
  <c r="K374" i="5"/>
  <c r="N404" i="5"/>
  <c r="N402" i="5" s="1"/>
  <c r="L421" i="5"/>
  <c r="L419" i="5" s="1"/>
  <c r="O419" i="5" s="1"/>
  <c r="M424" i="5"/>
  <c r="M422" i="5" s="1"/>
  <c r="P422" i="5" s="1"/>
  <c r="I442" i="5"/>
  <c r="K442" i="5" s="1"/>
  <c r="M472" i="5"/>
  <c r="M469" i="5" s="1"/>
  <c r="M467" i="5" s="1"/>
  <c r="M300" i="5"/>
  <c r="M298" i="5" s="1"/>
  <c r="L198" i="4"/>
  <c r="O198" i="4" s="1"/>
  <c r="M134" i="5"/>
  <c r="P134" i="5" s="1"/>
  <c r="M171" i="5"/>
  <c r="P171" i="5" s="1"/>
  <c r="M184" i="5"/>
  <c r="P184" i="5" s="1"/>
  <c r="M187" i="5"/>
  <c r="P187" i="5" s="1"/>
  <c r="P58" i="3"/>
  <c r="P61" i="3"/>
  <c r="I260" i="4"/>
  <c r="K260" i="4" s="1"/>
  <c r="I442" i="4"/>
  <c r="K442" i="4" s="1"/>
  <c r="L36" i="5"/>
  <c r="M151" i="5"/>
  <c r="P151" i="5" s="1"/>
  <c r="K340" i="5"/>
  <c r="K359" i="5"/>
  <c r="K355" i="5"/>
  <c r="K369" i="5"/>
  <c r="O424" i="5"/>
  <c r="L477" i="5"/>
  <c r="O477" i="5" s="1"/>
  <c r="O186" i="5"/>
  <c r="L183" i="5"/>
  <c r="O350" i="5"/>
  <c r="L347" i="5"/>
  <c r="L345" i="5" s="1"/>
  <c r="M334" i="4"/>
  <c r="P334" i="4" s="1"/>
  <c r="K729" i="4"/>
  <c r="L44" i="5"/>
  <c r="O44" i="5" s="1"/>
  <c r="L43" i="5"/>
  <c r="L41" i="5" s="1"/>
  <c r="O46" i="5"/>
  <c r="M55" i="5"/>
  <c r="O91" i="5"/>
  <c r="N125" i="5"/>
  <c r="N183" i="5"/>
  <c r="N181" i="5" s="1"/>
  <c r="O282" i="5"/>
  <c r="L280" i="5"/>
  <c r="O280" i="5" s="1"/>
  <c r="P350" i="5"/>
  <c r="M348" i="5"/>
  <c r="P348" i="5" s="1"/>
  <c r="L405" i="5"/>
  <c r="O405" i="5" s="1"/>
  <c r="P407" i="5"/>
  <c r="M404" i="5"/>
  <c r="P404" i="5" s="1"/>
  <c r="N347" i="3"/>
  <c r="N345" i="3" s="1"/>
  <c r="P58" i="4"/>
  <c r="N263" i="4"/>
  <c r="N261" i="4" s="1"/>
  <c r="K674" i="4"/>
  <c r="N43" i="5"/>
  <c r="N41" i="5" s="1"/>
  <c r="P93" i="5"/>
  <c r="O96" i="5"/>
  <c r="O124" i="5"/>
  <c r="L122" i="5"/>
  <c r="O122" i="5" s="1"/>
  <c r="M168" i="5"/>
  <c r="P168" i="5" s="1"/>
  <c r="L209" i="5"/>
  <c r="O209" i="5" s="1"/>
  <c r="L217" i="5"/>
  <c r="O217" i="5" s="1"/>
  <c r="L249" i="5"/>
  <c r="O249" i="5" s="1"/>
  <c r="M263" i="5"/>
  <c r="P266" i="5"/>
  <c r="L279" i="5"/>
  <c r="L277" i="5" s="1"/>
  <c r="K325" i="5"/>
  <c r="M330" i="5"/>
  <c r="M328" i="5" s="1"/>
  <c r="N347" i="5"/>
  <c r="N345" i="5" s="1"/>
  <c r="K381" i="5"/>
  <c r="K385" i="5"/>
  <c r="M391" i="5"/>
  <c r="P391" i="5" s="1"/>
  <c r="L395" i="5"/>
  <c r="O395" i="5" s="1"/>
  <c r="O397" i="5"/>
  <c r="M405" i="5"/>
  <c r="P405" i="5" s="1"/>
  <c r="J433" i="5"/>
  <c r="J417" i="5" s="1"/>
  <c r="K435" i="5"/>
  <c r="L469" i="5"/>
  <c r="L467" i="5" s="1"/>
  <c r="M23" i="5"/>
  <c r="M21" i="5" s="1"/>
  <c r="P124" i="5"/>
  <c r="M122" i="5"/>
  <c r="P122" i="5" s="1"/>
  <c r="I237" i="5"/>
  <c r="I233" i="5"/>
  <c r="K233" i="5" s="1"/>
  <c r="K255" i="5"/>
  <c r="I248" i="5"/>
  <c r="K248" i="5" s="1"/>
  <c r="L348" i="5"/>
  <c r="O348" i="5" s="1"/>
  <c r="P351" i="5"/>
  <c r="N392" i="5"/>
  <c r="N391" i="5"/>
  <c r="N389" i="5" s="1"/>
  <c r="K537" i="5"/>
  <c r="I522" i="5"/>
  <c r="K522" i="5" s="1"/>
  <c r="L632" i="5"/>
  <c r="O632" i="5" s="1"/>
  <c r="L631" i="5"/>
  <c r="O634" i="5"/>
  <c r="L230" i="3"/>
  <c r="L555" i="3"/>
  <c r="O555" i="3" s="1"/>
  <c r="N23" i="5"/>
  <c r="N13" i="5" s="1"/>
  <c r="M59" i="5"/>
  <c r="L68" i="5"/>
  <c r="L66" i="5" s="1"/>
  <c r="L90" i="5"/>
  <c r="M121" i="5"/>
  <c r="L198" i="5"/>
  <c r="O198" i="5" s="1"/>
  <c r="I208" i="5"/>
  <c r="K208" i="5" s="1"/>
  <c r="K244" i="5"/>
  <c r="M267" i="5"/>
  <c r="P267" i="5" s="1"/>
  <c r="N301" i="5"/>
  <c r="P301" i="5" s="1"/>
  <c r="N300" i="5"/>
  <c r="L321" i="5"/>
  <c r="O321" i="5" s="1"/>
  <c r="O323" i="5"/>
  <c r="K538" i="5"/>
  <c r="J537" i="5"/>
  <c r="J522" i="5" s="1"/>
  <c r="K593" i="5"/>
  <c r="I592" i="5"/>
  <c r="K592" i="5" s="1"/>
  <c r="O557" i="4"/>
  <c r="K821" i="4"/>
  <c r="K824" i="4"/>
  <c r="K827" i="4"/>
  <c r="L33" i="5"/>
  <c r="O33" i="5" s="1"/>
  <c r="N59" i="5"/>
  <c r="O59" i="5" s="1"/>
  <c r="M68" i="5"/>
  <c r="M66" i="5" s="1"/>
  <c r="M90" i="5"/>
  <c r="M94" i="5"/>
  <c r="P94" i="5" s="1"/>
  <c r="P154" i="5"/>
  <c r="M152" i="5"/>
  <c r="P152" i="5" s="1"/>
  <c r="M167" i="5"/>
  <c r="O170" i="5"/>
  <c r="L167" i="5"/>
  <c r="I190" i="5"/>
  <c r="K190" i="5" s="1"/>
  <c r="I197" i="5"/>
  <c r="K197" i="5" s="1"/>
  <c r="L238" i="5"/>
  <c r="O238" i="5" s="1"/>
  <c r="M304" i="5"/>
  <c r="P304" i="5" s="1"/>
  <c r="L317" i="5"/>
  <c r="O320" i="5"/>
  <c r="M321" i="5"/>
  <c r="P321" i="5" s="1"/>
  <c r="P323" i="5"/>
  <c r="L330" i="5"/>
  <c r="L328" i="5" s="1"/>
  <c r="L331" i="5"/>
  <c r="J143" i="5"/>
  <c r="J131" i="5" s="1"/>
  <c r="M26" i="5"/>
  <c r="N330" i="5"/>
  <c r="N328" i="5" s="1"/>
  <c r="J327" i="5"/>
  <c r="K327" i="5" s="1"/>
  <c r="O353" i="5"/>
  <c r="M408" i="5"/>
  <c r="P408" i="5" s="1"/>
  <c r="O431" i="5"/>
  <c r="P56" i="5"/>
  <c r="O61" i="5"/>
  <c r="L187" i="5"/>
  <c r="O187" i="5" s="1"/>
  <c r="L283" i="5"/>
  <c r="O283" i="5" s="1"/>
  <c r="P303" i="5"/>
  <c r="N331" i="5"/>
  <c r="P331" i="5" s="1"/>
  <c r="L351" i="5"/>
  <c r="O351" i="5" s="1"/>
  <c r="P353" i="5"/>
  <c r="O788" i="5"/>
  <c r="L786" i="5"/>
  <c r="O786" i="5" s="1"/>
  <c r="K443" i="5"/>
  <c r="K826" i="5"/>
  <c r="K465" i="5"/>
  <c r="K824" i="5"/>
  <c r="K827" i="5"/>
  <c r="I434" i="5"/>
  <c r="I418" i="5" s="1"/>
  <c r="K418" i="5" s="1"/>
  <c r="O456" i="5"/>
  <c r="K462" i="5"/>
  <c r="L657" i="5"/>
  <c r="L655" i="5" s="1"/>
  <c r="O655" i="5" s="1"/>
  <c r="K825" i="5"/>
  <c r="P29" i="5"/>
  <c r="N279" i="4"/>
  <c r="N277" i="4" s="1"/>
  <c r="P788" i="5"/>
  <c r="M786" i="5"/>
  <c r="P786" i="5" s="1"/>
  <c r="N69" i="4"/>
  <c r="N280" i="4"/>
  <c r="L26" i="5"/>
  <c r="N29" i="5"/>
  <c r="N28" i="5" s="1"/>
  <c r="P264" i="5"/>
  <c r="N43" i="3"/>
  <c r="N41" i="3" s="1"/>
  <c r="N56" i="4"/>
  <c r="O56" i="4" s="1"/>
  <c r="M304" i="4"/>
  <c r="P304" i="4" s="1"/>
  <c r="L404" i="5"/>
  <c r="O404" i="5" s="1"/>
  <c r="O93" i="4"/>
  <c r="N122" i="4"/>
  <c r="O124" i="4"/>
  <c r="M138" i="4"/>
  <c r="P138" i="4" s="1"/>
  <c r="K338" i="4"/>
  <c r="M472" i="4"/>
  <c r="I559" i="4"/>
  <c r="I543" i="4" s="1"/>
  <c r="K543" i="4" s="1"/>
  <c r="J721" i="4"/>
  <c r="K721" i="4" s="1"/>
  <c r="L12" i="5"/>
  <c r="L19" i="5"/>
  <c r="L56" i="5"/>
  <c r="O56" i="5" s="1"/>
  <c r="I77" i="5"/>
  <c r="N134" i="5"/>
  <c r="N132" i="5" s="1"/>
  <c r="M280" i="5"/>
  <c r="P280" i="5" s="1"/>
  <c r="P282" i="5"/>
  <c r="O445" i="5"/>
  <c r="O528" i="5"/>
  <c r="L525" i="5"/>
  <c r="K559" i="5"/>
  <c r="P686" i="5"/>
  <c r="K370" i="4"/>
  <c r="M34" i="5"/>
  <c r="P34" i="5" s="1"/>
  <c r="N69" i="5"/>
  <c r="P71" i="5"/>
  <c r="L408" i="5"/>
  <c r="O408" i="5" s="1"/>
  <c r="K381" i="2"/>
  <c r="L469" i="3"/>
  <c r="O469" i="3" s="1"/>
  <c r="M125" i="4"/>
  <c r="P125" i="4" s="1"/>
  <c r="L184" i="4"/>
  <c r="O184" i="4" s="1"/>
  <c r="O348" i="4"/>
  <c r="M405" i="4"/>
  <c r="P405" i="4" s="1"/>
  <c r="L658" i="4"/>
  <c r="L688" i="4"/>
  <c r="M12" i="5"/>
  <c r="P15" i="5"/>
  <c r="M19" i="5"/>
  <c r="N26" i="5"/>
  <c r="P35" i="5"/>
  <c r="P46" i="5"/>
  <c r="O278" i="5"/>
  <c r="M283" i="5"/>
  <c r="P283" i="5" s="1"/>
  <c r="P285" i="5"/>
  <c r="N318" i="5"/>
  <c r="N317" i="5"/>
  <c r="N315" i="5" s="1"/>
  <c r="P660" i="5"/>
  <c r="M657" i="5"/>
  <c r="P657" i="5" s="1"/>
  <c r="P807" i="5"/>
  <c r="M805" i="5"/>
  <c r="P805" i="5" s="1"/>
  <c r="M122" i="4"/>
  <c r="P122" i="4" s="1"/>
  <c r="I76" i="5"/>
  <c r="K80" i="5"/>
  <c r="L151" i="4"/>
  <c r="O151" i="4" s="1"/>
  <c r="O154" i="4"/>
  <c r="P350" i="4"/>
  <c r="K369" i="4"/>
  <c r="K372" i="4"/>
  <c r="K647" i="4"/>
  <c r="K823" i="4"/>
  <c r="K826" i="4"/>
  <c r="N12" i="5"/>
  <c r="L23" i="5"/>
  <c r="N68" i="5"/>
  <c r="L121" i="5"/>
  <c r="L152" i="5"/>
  <c r="O152" i="5" s="1"/>
  <c r="O154" i="5"/>
  <c r="L264" i="5"/>
  <c r="O264" i="5" s="1"/>
  <c r="O266" i="5"/>
  <c r="L301" i="5"/>
  <c r="O303" i="5"/>
  <c r="K338" i="5"/>
  <c r="O422" i="5"/>
  <c r="O545" i="5"/>
  <c r="O549" i="5"/>
  <c r="L546" i="5"/>
  <c r="O546" i="5" s="1"/>
  <c r="M549" i="5"/>
  <c r="M658" i="5"/>
  <c r="P658" i="5" s="1"/>
  <c r="J288" i="5"/>
  <c r="J275" i="5" s="1"/>
  <c r="I275" i="5"/>
  <c r="I87" i="4"/>
  <c r="K87" i="4" s="1"/>
  <c r="L36" i="4"/>
  <c r="O36" i="4" s="1"/>
  <c r="K700" i="4"/>
  <c r="K708" i="4"/>
  <c r="L55" i="5"/>
  <c r="I112" i="5"/>
  <c r="K112" i="5" s="1"/>
  <c r="L155" i="5"/>
  <c r="O155" i="5" s="1"/>
  <c r="O157" i="5"/>
  <c r="L267" i="5"/>
  <c r="O267" i="5" s="1"/>
  <c r="O269" i="5"/>
  <c r="L304" i="5"/>
  <c r="O304" i="5" s="1"/>
  <c r="O306" i="5"/>
  <c r="P137" i="5"/>
  <c r="P140" i="5"/>
  <c r="L168" i="5"/>
  <c r="O168" i="5" s="1"/>
  <c r="L184" i="5"/>
  <c r="O184" i="5" s="1"/>
  <c r="J364" i="5"/>
  <c r="P394" i="5"/>
  <c r="I433" i="5"/>
  <c r="K800" i="5"/>
  <c r="I143" i="5"/>
  <c r="P320" i="5"/>
  <c r="O346" i="5"/>
  <c r="K362" i="5"/>
  <c r="N419" i="5"/>
  <c r="M449" i="5"/>
  <c r="O472" i="5"/>
  <c r="P545" i="5"/>
  <c r="M754" i="5"/>
  <c r="P754" i="5" s="1"/>
  <c r="M770" i="5"/>
  <c r="P770" i="5" s="1"/>
  <c r="L446" i="5"/>
  <c r="O446" i="5" s="1"/>
  <c r="N469" i="5"/>
  <c r="L533" i="5"/>
  <c r="O533" i="5" s="1"/>
  <c r="K576" i="5"/>
  <c r="O333" i="5"/>
  <c r="K372" i="5"/>
  <c r="O449" i="5"/>
  <c r="K673" i="5"/>
  <c r="K669" i="5"/>
  <c r="K672" i="5"/>
  <c r="L687" i="5"/>
  <c r="O687" i="5" s="1"/>
  <c r="M690" i="5"/>
  <c r="L688" i="5"/>
  <c r="O688" i="5" s="1"/>
  <c r="N786" i="5"/>
  <c r="P333" i="5"/>
  <c r="P397" i="5"/>
  <c r="P403" i="5"/>
  <c r="L502" i="5"/>
  <c r="O502" i="5" s="1"/>
  <c r="N544" i="5"/>
  <c r="O660" i="5"/>
  <c r="K675" i="5"/>
  <c r="O687" i="4"/>
  <c r="L685" i="4"/>
  <c r="O685" i="4" s="1"/>
  <c r="L279" i="3"/>
  <c r="L277" i="3" s="1"/>
  <c r="N300" i="3"/>
  <c r="N298" i="3" s="1"/>
  <c r="M151" i="4"/>
  <c r="M149" i="4" s="1"/>
  <c r="P154" i="4"/>
  <c r="L187" i="4"/>
  <c r="O187" i="4" s="1"/>
  <c r="M391" i="4"/>
  <c r="M389" i="4" s="1"/>
  <c r="P389" i="4" s="1"/>
  <c r="O456" i="4"/>
  <c r="P44" i="4"/>
  <c r="N55" i="4"/>
  <c r="N53" i="4" s="1"/>
  <c r="L209" i="4"/>
  <c r="O209" i="4" s="1"/>
  <c r="L318" i="4"/>
  <c r="O318" i="4" s="1"/>
  <c r="K359" i="4"/>
  <c r="L391" i="4"/>
  <c r="O391" i="4" s="1"/>
  <c r="P394" i="4"/>
  <c r="M690" i="4"/>
  <c r="M687" i="4" s="1"/>
  <c r="L789" i="4"/>
  <c r="O789" i="4" s="1"/>
  <c r="O282" i="3"/>
  <c r="N26" i="4"/>
  <c r="N16" i="4" s="1"/>
  <c r="N14" i="4" s="1"/>
  <c r="P71" i="4"/>
  <c r="I76" i="4"/>
  <c r="I64" i="4" s="1"/>
  <c r="K64" i="4" s="1"/>
  <c r="I208" i="4"/>
  <c r="K208" i="4" s="1"/>
  <c r="L229" i="4"/>
  <c r="I276" i="4"/>
  <c r="K276" i="4" s="1"/>
  <c r="M300" i="4"/>
  <c r="N300" i="4"/>
  <c r="N298" i="4" s="1"/>
  <c r="I314" i="4"/>
  <c r="K314" i="4" s="1"/>
  <c r="O336" i="4"/>
  <c r="J327" i="4"/>
  <c r="K327" i="4" s="1"/>
  <c r="L395" i="4"/>
  <c r="O395" i="4" s="1"/>
  <c r="L421" i="4"/>
  <c r="L525" i="4"/>
  <c r="O525" i="4" s="1"/>
  <c r="M549" i="4"/>
  <c r="M546" i="4" s="1"/>
  <c r="M544" i="4" s="1"/>
  <c r="O690" i="4"/>
  <c r="J722" i="4"/>
  <c r="K722" i="4" s="1"/>
  <c r="O333" i="3"/>
  <c r="P93" i="4"/>
  <c r="P189" i="4"/>
  <c r="P266" i="4"/>
  <c r="M263" i="4"/>
  <c r="M261" i="4" s="1"/>
  <c r="N301" i="4"/>
  <c r="O303" i="4"/>
  <c r="K360" i="4"/>
  <c r="O424" i="4"/>
  <c r="L657" i="4"/>
  <c r="L655" i="4" s="1"/>
  <c r="O655" i="4" s="1"/>
  <c r="M660" i="4"/>
  <c r="M657" i="4" s="1"/>
  <c r="P657" i="4" s="1"/>
  <c r="K723" i="3"/>
  <c r="L94" i="4"/>
  <c r="O94" i="4" s="1"/>
  <c r="K159" i="4"/>
  <c r="I190" i="4"/>
  <c r="K190" i="4" s="1"/>
  <c r="P303" i="4"/>
  <c r="P323" i="4"/>
  <c r="K378" i="4"/>
  <c r="K385" i="4"/>
  <c r="O407" i="4"/>
  <c r="L546" i="4"/>
  <c r="L544" i="4" s="1"/>
  <c r="I654" i="4"/>
  <c r="K672" i="4"/>
  <c r="M152" i="3"/>
  <c r="P152" i="3" s="1"/>
  <c r="M183" i="3"/>
  <c r="M181" i="3" s="1"/>
  <c r="I260" i="3"/>
  <c r="K260" i="3" s="1"/>
  <c r="L280" i="3"/>
  <c r="N301" i="3"/>
  <c r="O301" i="3" s="1"/>
  <c r="L33" i="4"/>
  <c r="O33" i="4" s="1"/>
  <c r="O49" i="4"/>
  <c r="K80" i="4"/>
  <c r="L91" i="4"/>
  <c r="O91" i="4" s="1"/>
  <c r="P91" i="4"/>
  <c r="K98" i="4"/>
  <c r="I112" i="4"/>
  <c r="K112" i="4" s="1"/>
  <c r="O140" i="4"/>
  <c r="K146" i="4"/>
  <c r="N151" i="4"/>
  <c r="N149" i="4" s="1"/>
  <c r="N168" i="4"/>
  <c r="O168" i="4" s="1"/>
  <c r="L171" i="4"/>
  <c r="O171" i="4" s="1"/>
  <c r="O186" i="4"/>
  <c r="O282" i="4"/>
  <c r="L280" i="4"/>
  <c r="O323" i="4"/>
  <c r="L447" i="4"/>
  <c r="O447" i="4" s="1"/>
  <c r="O449" i="4"/>
  <c r="L446" i="4"/>
  <c r="O44" i="4"/>
  <c r="L121" i="4"/>
  <c r="O121" i="4" s="1"/>
  <c r="J143" i="4"/>
  <c r="J131" i="4" s="1"/>
  <c r="O157" i="4"/>
  <c r="P264" i="4"/>
  <c r="L317" i="4"/>
  <c r="O317" i="4" s="1"/>
  <c r="M318" i="4"/>
  <c r="P318" i="4" s="1"/>
  <c r="M317" i="4"/>
  <c r="P317" i="4" s="1"/>
  <c r="O351" i="4"/>
  <c r="O394" i="4"/>
  <c r="L404" i="4"/>
  <c r="O404" i="4" s="1"/>
  <c r="N405" i="4"/>
  <c r="N404" i="4"/>
  <c r="N402" i="4" s="1"/>
  <c r="K435" i="4"/>
  <c r="I433" i="4"/>
  <c r="I417" i="4" s="1"/>
  <c r="I628" i="4"/>
  <c r="K628" i="4" s="1"/>
  <c r="K651" i="4"/>
  <c r="N43" i="4"/>
  <c r="N41" i="4" s="1"/>
  <c r="O58" i="4"/>
  <c r="O71" i="4"/>
  <c r="O127" i="4"/>
  <c r="N134" i="4"/>
  <c r="N132" i="4" s="1"/>
  <c r="M263" i="2"/>
  <c r="M261" i="2" s="1"/>
  <c r="N279" i="2"/>
  <c r="N277" i="2" s="1"/>
  <c r="O49" i="3"/>
  <c r="N167" i="3"/>
  <c r="N165" i="3" s="1"/>
  <c r="M330" i="3"/>
  <c r="I433" i="3"/>
  <c r="I417" i="3" s="1"/>
  <c r="K672" i="3"/>
  <c r="L90" i="4"/>
  <c r="N152" i="4"/>
  <c r="P152" i="4" s="1"/>
  <c r="L167" i="4"/>
  <c r="L165" i="4" s="1"/>
  <c r="O170" i="4"/>
  <c r="L249" i="4"/>
  <c r="O249" i="4" s="1"/>
  <c r="L228" i="4"/>
  <c r="L304" i="4"/>
  <c r="O304" i="4" s="1"/>
  <c r="L300" i="4"/>
  <c r="O300" i="4" s="1"/>
  <c r="N47" i="4"/>
  <c r="M300" i="2"/>
  <c r="P300" i="2" s="1"/>
  <c r="M317" i="2"/>
  <c r="M315" i="2" s="1"/>
  <c r="L231" i="3"/>
  <c r="P394" i="3"/>
  <c r="N391" i="3"/>
  <c r="N389" i="3" s="1"/>
  <c r="J721" i="3"/>
  <c r="K721" i="3" s="1"/>
  <c r="L23" i="4"/>
  <c r="M90" i="4"/>
  <c r="M395" i="4"/>
  <c r="P395" i="4" s="1"/>
  <c r="P397" i="4"/>
  <c r="L263" i="4"/>
  <c r="O266" i="4"/>
  <c r="K340" i="4"/>
  <c r="M404" i="4"/>
  <c r="P404" i="4" s="1"/>
  <c r="L422" i="4"/>
  <c r="O422" i="4" s="1"/>
  <c r="O472" i="4"/>
  <c r="L217" i="4"/>
  <c r="O217" i="4" s="1"/>
  <c r="L231" i="4"/>
  <c r="K725" i="4"/>
  <c r="K822" i="4"/>
  <c r="K825" i="4"/>
  <c r="K828" i="4"/>
  <c r="O264" i="4"/>
  <c r="L330" i="4"/>
  <c r="L328" i="4" s="1"/>
  <c r="M347" i="4"/>
  <c r="O269" i="4"/>
  <c r="N347" i="4"/>
  <c r="N345" i="4" s="1"/>
  <c r="M408" i="4"/>
  <c r="P408" i="4" s="1"/>
  <c r="K649" i="4"/>
  <c r="K723" i="4"/>
  <c r="M184" i="4"/>
  <c r="P184" i="4" s="1"/>
  <c r="M183" i="4"/>
  <c r="M181" i="4" s="1"/>
  <c r="P323" i="2"/>
  <c r="N330" i="3"/>
  <c r="N328" i="3" s="1"/>
  <c r="P25" i="4"/>
  <c r="M15" i="4"/>
  <c r="O29" i="4"/>
  <c r="P89" i="4"/>
  <c r="M280" i="4"/>
  <c r="M279" i="4"/>
  <c r="J592" i="4"/>
  <c r="K592" i="4" s="1"/>
  <c r="K593" i="4"/>
  <c r="L231" i="2"/>
  <c r="I86" i="3"/>
  <c r="K86" i="3" s="1"/>
  <c r="N151" i="3"/>
  <c r="N149" i="3" s="1"/>
  <c r="M151" i="3"/>
  <c r="M149" i="3" s="1"/>
  <c r="P149" i="3" s="1"/>
  <c r="N168" i="3"/>
  <c r="O168" i="3" s="1"/>
  <c r="N183" i="3"/>
  <c r="N181" i="3" s="1"/>
  <c r="N317" i="3"/>
  <c r="N315" i="3" s="1"/>
  <c r="L321" i="3"/>
  <c r="O321" i="3" s="1"/>
  <c r="L334" i="3"/>
  <c r="O334" i="3" s="1"/>
  <c r="L347" i="3"/>
  <c r="K359" i="3"/>
  <c r="P32" i="4"/>
  <c r="M29" i="4"/>
  <c r="P36" i="4"/>
  <c r="M34" i="4"/>
  <c r="P34" i="4" s="1"/>
  <c r="P46" i="4"/>
  <c r="M43" i="4"/>
  <c r="M121" i="4"/>
  <c r="M167" i="4"/>
  <c r="P173" i="4"/>
  <c r="P186" i="4"/>
  <c r="I197" i="4"/>
  <c r="K197" i="4" s="1"/>
  <c r="I216" i="4"/>
  <c r="K216" i="4" s="1"/>
  <c r="K224" i="4"/>
  <c r="N227" i="4"/>
  <c r="N30" i="4"/>
  <c r="O656" i="4"/>
  <c r="K355" i="3"/>
  <c r="M23" i="4"/>
  <c r="O35" i="4"/>
  <c r="K79" i="4"/>
  <c r="I77" i="4"/>
  <c r="O120" i="4"/>
  <c r="P282" i="4"/>
  <c r="M283" i="4"/>
  <c r="P283" i="4" s="1"/>
  <c r="P285" i="4"/>
  <c r="P353" i="4"/>
  <c r="M351" i="4"/>
  <c r="P351" i="4" s="1"/>
  <c r="K369" i="2"/>
  <c r="K372" i="2"/>
  <c r="M43" i="3"/>
  <c r="M41" i="3" s="1"/>
  <c r="N121" i="3"/>
  <c r="N119" i="3" s="1"/>
  <c r="M121" i="3"/>
  <c r="M119" i="3" s="1"/>
  <c r="P119" i="3" s="1"/>
  <c r="P303" i="3"/>
  <c r="I443" i="3"/>
  <c r="K443" i="3" s="1"/>
  <c r="L526" i="3"/>
  <c r="O526" i="3" s="1"/>
  <c r="K822" i="3"/>
  <c r="K825" i="3"/>
  <c r="K828" i="3"/>
  <c r="M19" i="4"/>
  <c r="O22" i="4"/>
  <c r="L19" i="4"/>
  <c r="L12" i="4"/>
  <c r="M26" i="4"/>
  <c r="P49" i="4"/>
  <c r="P137" i="4"/>
  <c r="M134" i="4"/>
  <c r="O329" i="4"/>
  <c r="N331" i="4"/>
  <c r="N330" i="4"/>
  <c r="O333" i="4"/>
  <c r="K362" i="4"/>
  <c r="J355" i="4"/>
  <c r="K355" i="4" s="1"/>
  <c r="M395" i="3"/>
  <c r="P395" i="3" s="1"/>
  <c r="J288" i="4"/>
  <c r="J275" i="4" s="1"/>
  <c r="I275" i="4"/>
  <c r="K340" i="3"/>
  <c r="K381" i="3"/>
  <c r="K647" i="3"/>
  <c r="K701" i="3"/>
  <c r="P12" i="4"/>
  <c r="M9" i="4"/>
  <c r="O15" i="4"/>
  <c r="P166" i="4"/>
  <c r="O133" i="4"/>
  <c r="I233" i="4"/>
  <c r="K233" i="4" s="1"/>
  <c r="K244" i="4"/>
  <c r="I237" i="4"/>
  <c r="P738" i="4"/>
  <c r="M737" i="4"/>
  <c r="P737" i="4" s="1"/>
  <c r="N23" i="4"/>
  <c r="L43" i="4"/>
  <c r="P96" i="4"/>
  <c r="L238" i="4"/>
  <c r="P316" i="4"/>
  <c r="J374" i="4"/>
  <c r="K374" i="4" s="1"/>
  <c r="K381" i="4"/>
  <c r="P504" i="4"/>
  <c r="M502" i="4"/>
  <c r="P502" i="4" s="1"/>
  <c r="N523" i="4"/>
  <c r="N414" i="4" s="1"/>
  <c r="J654" i="4"/>
  <c r="K669" i="4"/>
  <c r="L26" i="4"/>
  <c r="O46" i="4"/>
  <c r="O54" i="4"/>
  <c r="O61" i="4"/>
  <c r="O67" i="4"/>
  <c r="O74" i="4"/>
  <c r="L134" i="4"/>
  <c r="O134" i="4" s="1"/>
  <c r="O137" i="4"/>
  <c r="O166" i="4"/>
  <c r="N183" i="4"/>
  <c r="O346" i="4"/>
  <c r="N391" i="4"/>
  <c r="N389" i="4" s="1"/>
  <c r="L55" i="4"/>
  <c r="L68" i="4"/>
  <c r="O68" i="4" s="1"/>
  <c r="P170" i="4"/>
  <c r="I174" i="4"/>
  <c r="K176" i="4"/>
  <c r="P182" i="4"/>
  <c r="J226" i="4"/>
  <c r="J180" i="4" s="1"/>
  <c r="M348" i="4"/>
  <c r="P348" i="4" s="1"/>
  <c r="L632" i="4"/>
  <c r="O632" i="4" s="1"/>
  <c r="O634" i="4"/>
  <c r="M634" i="4"/>
  <c r="N657" i="4"/>
  <c r="N655" i="4" s="1"/>
  <c r="N658" i="4"/>
  <c r="O350" i="4"/>
  <c r="K379" i="4"/>
  <c r="J537" i="4"/>
  <c r="J522" i="4" s="1"/>
  <c r="O549" i="4"/>
  <c r="N546" i="4"/>
  <c r="N547" i="4"/>
  <c r="K577" i="4"/>
  <c r="N631" i="4"/>
  <c r="N629" i="4" s="1"/>
  <c r="N632" i="4"/>
  <c r="P686" i="4"/>
  <c r="P755" i="4"/>
  <c r="M754" i="4"/>
  <c r="P754" i="4" s="1"/>
  <c r="I785" i="4"/>
  <c r="K785" i="4" s="1"/>
  <c r="K800" i="4"/>
  <c r="O806" i="4"/>
  <c r="L805" i="4"/>
  <c r="O805" i="4" s="1"/>
  <c r="K365" i="4"/>
  <c r="I434" i="4"/>
  <c r="O503" i="4"/>
  <c r="L502" i="4"/>
  <c r="O502" i="4" s="1"/>
  <c r="N544" i="4"/>
  <c r="N754" i="4"/>
  <c r="I143" i="4"/>
  <c r="I248" i="4"/>
  <c r="K248" i="4" s="1"/>
  <c r="P333" i="4"/>
  <c r="L347" i="4"/>
  <c r="O353" i="4"/>
  <c r="O403" i="4"/>
  <c r="O410" i="4"/>
  <c r="P424" i="4"/>
  <c r="M421" i="4"/>
  <c r="M422" i="4"/>
  <c r="P422" i="4" s="1"/>
  <c r="K675" i="4"/>
  <c r="P771" i="4"/>
  <c r="M770" i="4"/>
  <c r="P770" i="4" s="1"/>
  <c r="O787" i="4"/>
  <c r="P445" i="4"/>
  <c r="O468" i="4"/>
  <c r="O524" i="4"/>
  <c r="K537" i="4"/>
  <c r="L526" i="4"/>
  <c r="O526" i="4" s="1"/>
  <c r="L469" i="4"/>
  <c r="O469" i="4" s="1"/>
  <c r="L477" i="4"/>
  <c r="O477" i="4" s="1"/>
  <c r="J433" i="4"/>
  <c r="N688" i="4"/>
  <c r="M47" i="3"/>
  <c r="P47" i="3" s="1"/>
  <c r="N404" i="3"/>
  <c r="N402" i="3" s="1"/>
  <c r="L238" i="2"/>
  <c r="O238" i="2" s="1"/>
  <c r="N404" i="2"/>
  <c r="N402" i="2" s="1"/>
  <c r="N134" i="3"/>
  <c r="N132" i="3" s="1"/>
  <c r="L209" i="3"/>
  <c r="O209" i="3" s="1"/>
  <c r="M267" i="3"/>
  <c r="P267" i="3" s="1"/>
  <c r="N263" i="3"/>
  <c r="N261" i="3" s="1"/>
  <c r="K385" i="3"/>
  <c r="L408" i="3"/>
  <c r="O408" i="3" s="1"/>
  <c r="I434" i="3"/>
  <c r="K434" i="3" s="1"/>
  <c r="I522" i="3"/>
  <c r="K522" i="3" s="1"/>
  <c r="K576" i="3"/>
  <c r="L229" i="2"/>
  <c r="L405" i="2"/>
  <c r="O405" i="2" s="1"/>
  <c r="L94" i="3"/>
  <c r="O94" i="3" s="1"/>
  <c r="M138" i="3"/>
  <c r="P138" i="3" s="1"/>
  <c r="J143" i="3"/>
  <c r="J131" i="3" s="1"/>
  <c r="O269" i="3"/>
  <c r="O306" i="3"/>
  <c r="P323" i="3"/>
  <c r="K372" i="3"/>
  <c r="K823" i="3"/>
  <c r="K826" i="3"/>
  <c r="P264" i="3"/>
  <c r="L187" i="1"/>
  <c r="O187" i="1" s="1"/>
  <c r="N228" i="1"/>
  <c r="N231" i="1"/>
  <c r="J236" i="1"/>
  <c r="L469" i="1"/>
  <c r="L467" i="1" s="1"/>
  <c r="O56" i="2"/>
  <c r="P49" i="3"/>
  <c r="M72" i="3"/>
  <c r="P72" i="3" s="1"/>
  <c r="O184" i="3"/>
  <c r="L391" i="3"/>
  <c r="O391" i="3" s="1"/>
  <c r="K644" i="1"/>
  <c r="I208" i="2"/>
  <c r="K208" i="2" s="1"/>
  <c r="M264" i="2"/>
  <c r="P264" i="2" s="1"/>
  <c r="P46" i="3"/>
  <c r="M155" i="3"/>
  <c r="P155" i="3" s="1"/>
  <c r="I190" i="3"/>
  <c r="K190" i="3" s="1"/>
  <c r="O264" i="3"/>
  <c r="N334" i="3"/>
  <c r="M472" i="3"/>
  <c r="P472" i="3" s="1"/>
  <c r="O641" i="3"/>
  <c r="L657" i="3"/>
  <c r="L655" i="3" s="1"/>
  <c r="O655" i="3" s="1"/>
  <c r="K725" i="3"/>
  <c r="K385" i="2"/>
  <c r="N391" i="2"/>
  <c r="N389" i="2" s="1"/>
  <c r="L90" i="3"/>
  <c r="L88" i="3" s="1"/>
  <c r="P266" i="3"/>
  <c r="I276" i="3"/>
  <c r="K276" i="3" s="1"/>
  <c r="K338" i="3"/>
  <c r="K378" i="3"/>
  <c r="L404" i="3"/>
  <c r="O404" i="3" s="1"/>
  <c r="L470" i="3"/>
  <c r="O470" i="3" s="1"/>
  <c r="O472" i="3"/>
  <c r="L547" i="3"/>
  <c r="O547" i="3" s="1"/>
  <c r="K649" i="3"/>
  <c r="P351" i="2"/>
  <c r="M634" i="2"/>
  <c r="P634" i="2" s="1"/>
  <c r="L33" i="3"/>
  <c r="M56" i="3"/>
  <c r="P56" i="3" s="1"/>
  <c r="N69" i="3"/>
  <c r="P69" i="3" s="1"/>
  <c r="N138" i="3"/>
  <c r="L171" i="3"/>
  <c r="O171" i="3" s="1"/>
  <c r="K224" i="3"/>
  <c r="N280" i="3"/>
  <c r="P282" i="3"/>
  <c r="N348" i="3"/>
  <c r="P348" i="3" s="1"/>
  <c r="M424" i="3"/>
  <c r="P424" i="3" s="1"/>
  <c r="O424" i="3"/>
  <c r="M690" i="3"/>
  <c r="N267" i="3"/>
  <c r="M279" i="1"/>
  <c r="M277" i="1" s="1"/>
  <c r="N121" i="2"/>
  <c r="N119" i="2" s="1"/>
  <c r="K370" i="2"/>
  <c r="K649" i="2"/>
  <c r="J721" i="2"/>
  <c r="K721" i="2" s="1"/>
  <c r="L36" i="3"/>
  <c r="M44" i="3"/>
  <c r="P44" i="3" s="1"/>
  <c r="M59" i="3"/>
  <c r="P59" i="3" s="1"/>
  <c r="O127" i="3"/>
  <c r="O157" i="3"/>
  <c r="N26" i="3"/>
  <c r="N16" i="3" s="1"/>
  <c r="N14" i="3" s="1"/>
  <c r="L187" i="3"/>
  <c r="O187" i="3" s="1"/>
  <c r="K204" i="3"/>
  <c r="L217" i="3"/>
  <c r="O217" i="3" s="1"/>
  <c r="L263" i="3"/>
  <c r="L261" i="3" s="1"/>
  <c r="L283" i="3"/>
  <c r="O283" i="3" s="1"/>
  <c r="I297" i="3"/>
  <c r="K297" i="3" s="1"/>
  <c r="K325" i="3"/>
  <c r="L330" i="3"/>
  <c r="L421" i="3"/>
  <c r="O421" i="3" s="1"/>
  <c r="L525" i="3"/>
  <c r="O525" i="3" s="1"/>
  <c r="K675" i="3"/>
  <c r="I654" i="3"/>
  <c r="K654" i="3" s="1"/>
  <c r="K674" i="3"/>
  <c r="K669" i="3"/>
  <c r="O791" i="3"/>
  <c r="L789" i="3"/>
  <c r="O789" i="3" s="1"/>
  <c r="N230" i="1"/>
  <c r="J235" i="1"/>
  <c r="L230" i="2"/>
  <c r="O264" i="2"/>
  <c r="L26" i="3"/>
  <c r="O46" i="3"/>
  <c r="O61" i="3"/>
  <c r="O74" i="3"/>
  <c r="L121" i="3"/>
  <c r="O121" i="3" s="1"/>
  <c r="P127" i="3"/>
  <c r="L134" i="3"/>
  <c r="O134" i="3" s="1"/>
  <c r="L151" i="3"/>
  <c r="O151" i="3" s="1"/>
  <c r="P157" i="3"/>
  <c r="M263" i="3"/>
  <c r="O266" i="3"/>
  <c r="M279" i="3"/>
  <c r="M277" i="3" s="1"/>
  <c r="L300" i="3"/>
  <c r="P306" i="3"/>
  <c r="O320" i="3"/>
  <c r="K360" i="3"/>
  <c r="K369" i="3"/>
  <c r="K374" i="3"/>
  <c r="L405" i="3"/>
  <c r="O405" i="3" s="1"/>
  <c r="M449" i="3"/>
  <c r="P449" i="3" s="1"/>
  <c r="L447" i="3"/>
  <c r="O447" i="3" s="1"/>
  <c r="L446" i="3"/>
  <c r="L444" i="3" s="1"/>
  <c r="O788" i="3"/>
  <c r="L786" i="3"/>
  <c r="O786" i="3" s="1"/>
  <c r="M632" i="3"/>
  <c r="P632" i="3" s="1"/>
  <c r="P634" i="3"/>
  <c r="M631" i="3"/>
  <c r="N55" i="2"/>
  <c r="N53" i="2" s="1"/>
  <c r="M90" i="3"/>
  <c r="M88" i="3" s="1"/>
  <c r="O124" i="3"/>
  <c r="O154" i="3"/>
  <c r="L167" i="3"/>
  <c r="L165" i="3" s="1"/>
  <c r="L183" i="3"/>
  <c r="L181" i="3" s="1"/>
  <c r="L198" i="3"/>
  <c r="O198" i="3" s="1"/>
  <c r="N279" i="3"/>
  <c r="P285" i="3"/>
  <c r="M300" i="3"/>
  <c r="O303" i="3"/>
  <c r="L392" i="3"/>
  <c r="O392" i="3" s="1"/>
  <c r="O394" i="3"/>
  <c r="O397" i="3"/>
  <c r="L687" i="3"/>
  <c r="L685" i="3" s="1"/>
  <c r="O685" i="3" s="1"/>
  <c r="L198" i="2"/>
  <c r="O198" i="2" s="1"/>
  <c r="L228" i="2"/>
  <c r="L788" i="2"/>
  <c r="O788" i="2" s="1"/>
  <c r="L43" i="3"/>
  <c r="O56" i="3"/>
  <c r="P71" i="3"/>
  <c r="N23" i="3"/>
  <c r="N21" i="3" s="1"/>
  <c r="M135" i="3"/>
  <c r="P135" i="3" s="1"/>
  <c r="M167" i="3"/>
  <c r="M165" i="3" s="1"/>
  <c r="O186" i="3"/>
  <c r="I208" i="3"/>
  <c r="K208" i="3" s="1"/>
  <c r="L317" i="3"/>
  <c r="O317" i="3" s="1"/>
  <c r="L331" i="3"/>
  <c r="O331" i="3" s="1"/>
  <c r="P350" i="3"/>
  <c r="K365" i="3"/>
  <c r="K379" i="3"/>
  <c r="M391" i="3"/>
  <c r="I442" i="3"/>
  <c r="K442" i="3" s="1"/>
  <c r="L546" i="3"/>
  <c r="O546" i="3" s="1"/>
  <c r="K560" i="3"/>
  <c r="L632" i="3"/>
  <c r="O632" i="3" s="1"/>
  <c r="O634" i="3"/>
  <c r="L631" i="3"/>
  <c r="O631" i="3" s="1"/>
  <c r="J722" i="3"/>
  <c r="K722" i="3" s="1"/>
  <c r="K561" i="3"/>
  <c r="K577" i="3"/>
  <c r="K621" i="3"/>
  <c r="O690" i="3"/>
  <c r="J433" i="3"/>
  <c r="J417" i="3" s="1"/>
  <c r="L454" i="3"/>
  <c r="O454" i="3" s="1"/>
  <c r="K824" i="3"/>
  <c r="N9" i="3"/>
  <c r="P15" i="3"/>
  <c r="P19" i="3"/>
  <c r="N31" i="3"/>
  <c r="L477" i="1"/>
  <c r="O477" i="1" s="1"/>
  <c r="N405" i="2"/>
  <c r="N29" i="3"/>
  <c r="K79" i="3"/>
  <c r="I77" i="3"/>
  <c r="M94" i="3"/>
  <c r="P94" i="3" s="1"/>
  <c r="P96" i="3"/>
  <c r="K146" i="3"/>
  <c r="I233" i="3"/>
  <c r="K233" i="3" s="1"/>
  <c r="K244" i="3"/>
  <c r="I237" i="3"/>
  <c r="M547" i="3"/>
  <c r="P547" i="3" s="1"/>
  <c r="P549" i="3"/>
  <c r="M546" i="3"/>
  <c r="P546" i="3" s="1"/>
  <c r="P787" i="3"/>
  <c r="M786" i="3"/>
  <c r="P786" i="3" s="1"/>
  <c r="N789" i="3"/>
  <c r="I87" i="3"/>
  <c r="K87" i="3" s="1"/>
  <c r="K99" i="3"/>
  <c r="O329" i="3"/>
  <c r="M68" i="2"/>
  <c r="P68" i="2" s="1"/>
  <c r="N151" i="2"/>
  <c r="N149" i="2" s="1"/>
  <c r="L36" i="2"/>
  <c r="O36" i="2" s="1"/>
  <c r="L47" i="2"/>
  <c r="O47" i="2" s="1"/>
  <c r="M55" i="2"/>
  <c r="L72" i="2"/>
  <c r="O72" i="2" s="1"/>
  <c r="M135" i="2"/>
  <c r="P135" i="2" s="1"/>
  <c r="M138" i="2"/>
  <c r="P138" i="2" s="1"/>
  <c r="N167" i="2"/>
  <c r="N165" i="2" s="1"/>
  <c r="O282" i="2"/>
  <c r="M304" i="2"/>
  <c r="P304" i="2" s="1"/>
  <c r="K359" i="2"/>
  <c r="K362" i="2"/>
  <c r="K701" i="2"/>
  <c r="L23" i="3"/>
  <c r="L55" i="3"/>
  <c r="I76" i="3"/>
  <c r="K80" i="3"/>
  <c r="M184" i="3"/>
  <c r="P184" i="3" s="1"/>
  <c r="P186" i="3"/>
  <c r="L228" i="3"/>
  <c r="L249" i="3"/>
  <c r="O249" i="3" s="1"/>
  <c r="P353" i="3"/>
  <c r="M347" i="3"/>
  <c r="P686" i="3"/>
  <c r="N134" i="2"/>
  <c r="N132" i="2" s="1"/>
  <c r="L55" i="2"/>
  <c r="L53" i="2" s="1"/>
  <c r="I112" i="2"/>
  <c r="K112" i="2" s="1"/>
  <c r="I190" i="2"/>
  <c r="K190" i="2" s="1"/>
  <c r="P280" i="2"/>
  <c r="M12" i="3"/>
  <c r="M23" i="3"/>
  <c r="P25" i="3"/>
  <c r="M26" i="3"/>
  <c r="M55" i="3"/>
  <c r="O58" i="3"/>
  <c r="L68" i="3"/>
  <c r="N90" i="3"/>
  <c r="N88" i="3" s="1"/>
  <c r="M134" i="3"/>
  <c r="L135" i="3"/>
  <c r="O135" i="3" s="1"/>
  <c r="O137" i="3"/>
  <c r="O170" i="3"/>
  <c r="P182" i="3"/>
  <c r="L238" i="3"/>
  <c r="O346" i="3"/>
  <c r="P755" i="3"/>
  <c r="M754" i="3"/>
  <c r="P754" i="3" s="1"/>
  <c r="N91" i="3"/>
  <c r="O91" i="3" s="1"/>
  <c r="M171" i="3"/>
  <c r="P171" i="3" s="1"/>
  <c r="P173" i="3"/>
  <c r="I785" i="3"/>
  <c r="K785" i="3" s="1"/>
  <c r="K800" i="3"/>
  <c r="M134" i="2"/>
  <c r="P134" i="2" s="1"/>
  <c r="L547" i="2"/>
  <c r="O22" i="3"/>
  <c r="L19" i="3"/>
  <c r="L12" i="3"/>
  <c r="N33" i="3"/>
  <c r="O42" i="3"/>
  <c r="O44" i="3"/>
  <c r="O59" i="3"/>
  <c r="M68" i="3"/>
  <c r="O71" i="3"/>
  <c r="P89" i="3"/>
  <c r="O93" i="3"/>
  <c r="I112" i="3"/>
  <c r="K112" i="3" s="1"/>
  <c r="O133" i="3"/>
  <c r="L138" i="3"/>
  <c r="O138" i="3" s="1"/>
  <c r="O140" i="3"/>
  <c r="M168" i="3"/>
  <c r="P170" i="3"/>
  <c r="I174" i="3"/>
  <c r="K176" i="3"/>
  <c r="M187" i="3"/>
  <c r="P187" i="3" s="1"/>
  <c r="P189" i="3"/>
  <c r="L229" i="3"/>
  <c r="K104" i="1"/>
  <c r="L330" i="2"/>
  <c r="L328" i="2" s="1"/>
  <c r="K725" i="2"/>
  <c r="N19" i="3"/>
  <c r="M91" i="3"/>
  <c r="P93" i="3"/>
  <c r="P166" i="3"/>
  <c r="M405" i="3"/>
  <c r="P405" i="3" s="1"/>
  <c r="P407" i="3"/>
  <c r="M404" i="3"/>
  <c r="P404" i="3" s="1"/>
  <c r="M317" i="3"/>
  <c r="P320" i="3"/>
  <c r="M331" i="3"/>
  <c r="P331" i="3" s="1"/>
  <c r="P333" i="3"/>
  <c r="J327" i="3"/>
  <c r="K327" i="3" s="1"/>
  <c r="K362" i="3"/>
  <c r="P403" i="3"/>
  <c r="J537" i="3"/>
  <c r="J522" i="3" s="1"/>
  <c r="P545" i="3"/>
  <c r="J593" i="3"/>
  <c r="M770" i="3"/>
  <c r="P770" i="3" s="1"/>
  <c r="P806" i="3"/>
  <c r="M805" i="3"/>
  <c r="P805" i="3" s="1"/>
  <c r="K821" i="3"/>
  <c r="K827" i="3"/>
  <c r="M408" i="3"/>
  <c r="P408" i="3" s="1"/>
  <c r="P410" i="3"/>
  <c r="K651" i="3"/>
  <c r="I628" i="3"/>
  <c r="K628" i="3" s="1"/>
  <c r="N737" i="3"/>
  <c r="I275" i="3"/>
  <c r="J288" i="3"/>
  <c r="J275" i="3" s="1"/>
  <c r="M334" i="3"/>
  <c r="P334" i="3" s="1"/>
  <c r="P336" i="3"/>
  <c r="L348" i="3"/>
  <c r="O350" i="3"/>
  <c r="O449" i="3"/>
  <c r="N544" i="3"/>
  <c r="K559" i="3"/>
  <c r="I543" i="3"/>
  <c r="K543" i="3" s="1"/>
  <c r="L658" i="3"/>
  <c r="O658" i="3" s="1"/>
  <c r="I143" i="3"/>
  <c r="I248" i="3"/>
  <c r="K248" i="3" s="1"/>
  <c r="L351" i="3"/>
  <c r="O351" i="3" s="1"/>
  <c r="O353" i="3"/>
  <c r="N444" i="3"/>
  <c r="N414" i="3" s="1"/>
  <c r="O535" i="3"/>
  <c r="O549" i="3"/>
  <c r="L422" i="3"/>
  <c r="O422" i="3" s="1"/>
  <c r="L429" i="3"/>
  <c r="O429" i="3" s="1"/>
  <c r="N505" i="3"/>
  <c r="I364" i="3"/>
  <c r="N688" i="3"/>
  <c r="N138" i="2"/>
  <c r="K260" i="2"/>
  <c r="K271" i="2"/>
  <c r="L280" i="2"/>
  <c r="O280" i="2" s="1"/>
  <c r="K338" i="2"/>
  <c r="M391" i="2"/>
  <c r="P391" i="2" s="1"/>
  <c r="J433" i="2"/>
  <c r="J417" i="2" s="1"/>
  <c r="K417" i="2" s="1"/>
  <c r="M528" i="2"/>
  <c r="P528" i="2" s="1"/>
  <c r="K675" i="2"/>
  <c r="K725" i="1"/>
  <c r="L43" i="2"/>
  <c r="O46" i="2"/>
  <c r="L283" i="2"/>
  <c r="O283" i="2" s="1"/>
  <c r="M392" i="2"/>
  <c r="P392" i="2" s="1"/>
  <c r="L408" i="2"/>
  <c r="O408" i="2" s="1"/>
  <c r="L446" i="2"/>
  <c r="O446" i="2" s="1"/>
  <c r="K576" i="2"/>
  <c r="K669" i="2"/>
  <c r="L230" i="1"/>
  <c r="I235" i="1"/>
  <c r="P331" i="1"/>
  <c r="I87" i="2"/>
  <c r="K87" i="2" s="1"/>
  <c r="O127" i="2"/>
  <c r="L151" i="2"/>
  <c r="O157" i="2"/>
  <c r="O186" i="2"/>
  <c r="L249" i="2"/>
  <c r="O249" i="2" s="1"/>
  <c r="M395" i="2"/>
  <c r="P395" i="2" s="1"/>
  <c r="K822" i="2"/>
  <c r="K825" i="2"/>
  <c r="K828" i="2"/>
  <c r="N317" i="1"/>
  <c r="N315" i="1" s="1"/>
  <c r="N330" i="1"/>
  <c r="N328" i="1" s="1"/>
  <c r="P353" i="1"/>
  <c r="J583" i="1"/>
  <c r="J577" i="1" s="1"/>
  <c r="K577" i="1" s="1"/>
  <c r="I76" i="2"/>
  <c r="K76" i="2" s="1"/>
  <c r="O320" i="2"/>
  <c r="K355" i="2"/>
  <c r="K435" i="2"/>
  <c r="K723" i="1"/>
  <c r="K822" i="1"/>
  <c r="K825" i="1"/>
  <c r="K828" i="1"/>
  <c r="L421" i="2"/>
  <c r="L419" i="2" s="1"/>
  <c r="L429" i="2"/>
  <c r="O429" i="2" s="1"/>
  <c r="I543" i="2"/>
  <c r="K543" i="2" s="1"/>
  <c r="I654" i="2"/>
  <c r="K654" i="2" s="1"/>
  <c r="K672" i="2"/>
  <c r="K700" i="2"/>
  <c r="K823" i="2"/>
  <c r="K826" i="2"/>
  <c r="K225" i="1"/>
  <c r="L229" i="1"/>
  <c r="N44" i="2"/>
  <c r="O44" i="2" s="1"/>
  <c r="M26" i="2"/>
  <c r="M24" i="2" s="1"/>
  <c r="O93" i="2"/>
  <c r="N152" i="2"/>
  <c r="O152" i="2" s="1"/>
  <c r="O154" i="2"/>
  <c r="K176" i="2"/>
  <c r="I174" i="2"/>
  <c r="L183" i="2"/>
  <c r="N183" i="2"/>
  <c r="N181" i="2" s="1"/>
  <c r="N184" i="2"/>
  <c r="O184" i="2" s="1"/>
  <c r="L217" i="2"/>
  <c r="O217" i="2" s="1"/>
  <c r="O306" i="2"/>
  <c r="I314" i="2"/>
  <c r="K314" i="2" s="1"/>
  <c r="P350" i="2"/>
  <c r="M347" i="2"/>
  <c r="M345" i="2" s="1"/>
  <c r="K723" i="2"/>
  <c r="M263" i="1"/>
  <c r="M261" i="1" s="1"/>
  <c r="I364" i="1"/>
  <c r="J561" i="1"/>
  <c r="K561" i="1" s="1"/>
  <c r="J595" i="1"/>
  <c r="P96" i="2"/>
  <c r="M94" i="2"/>
  <c r="P94" i="2" s="1"/>
  <c r="L121" i="2"/>
  <c r="O121" i="2" s="1"/>
  <c r="K159" i="2"/>
  <c r="I148" i="2"/>
  <c r="K148" i="2" s="1"/>
  <c r="O170" i="2"/>
  <c r="L168" i="2"/>
  <c r="O168" i="2" s="1"/>
  <c r="K287" i="2"/>
  <c r="I276" i="2"/>
  <c r="K276" i="2" s="1"/>
  <c r="P333" i="2"/>
  <c r="N331" i="2"/>
  <c r="P331" i="2" s="1"/>
  <c r="O350" i="2"/>
  <c r="N348" i="2"/>
  <c r="P348" i="2" s="1"/>
  <c r="P58" i="2"/>
  <c r="M56" i="2"/>
  <c r="P56" i="2" s="1"/>
  <c r="M405" i="2"/>
  <c r="P405" i="2" s="1"/>
  <c r="P407" i="2"/>
  <c r="I233" i="1"/>
  <c r="O353" i="1"/>
  <c r="J604" i="1"/>
  <c r="K671" i="1"/>
  <c r="K700" i="1"/>
  <c r="P61" i="2"/>
  <c r="M59" i="2"/>
  <c r="P59" i="2" s="1"/>
  <c r="N26" i="2"/>
  <c r="N16" i="2" s="1"/>
  <c r="N14" i="2" s="1"/>
  <c r="N90" i="2"/>
  <c r="N88" i="2" s="1"/>
  <c r="N91" i="2"/>
  <c r="P91" i="2" s="1"/>
  <c r="L167" i="2"/>
  <c r="L165" i="2" s="1"/>
  <c r="K224" i="2"/>
  <c r="I216" i="2"/>
  <c r="K216" i="2" s="1"/>
  <c r="K255" i="2"/>
  <c r="I248" i="2"/>
  <c r="I226" i="2" s="1"/>
  <c r="M279" i="2"/>
  <c r="L300" i="2"/>
  <c r="P303" i="2"/>
  <c r="M301" i="2"/>
  <c r="P301" i="2" s="1"/>
  <c r="K379" i="2"/>
  <c r="K460" i="2"/>
  <c r="I442" i="2"/>
  <c r="K442" i="2" s="1"/>
  <c r="M472" i="2"/>
  <c r="M470" i="2" s="1"/>
  <c r="L33" i="2"/>
  <c r="L687" i="2"/>
  <c r="O687" i="2" s="1"/>
  <c r="M690" i="2"/>
  <c r="M44" i="2"/>
  <c r="M43" i="2"/>
  <c r="N68" i="2"/>
  <c r="N66" i="2" s="1"/>
  <c r="O71" i="2"/>
  <c r="L68" i="2"/>
  <c r="O68" i="2" s="1"/>
  <c r="L134" i="2"/>
  <c r="O134" i="2" s="1"/>
  <c r="L171" i="2"/>
  <c r="O171" i="2" s="1"/>
  <c r="K244" i="2"/>
  <c r="I233" i="2"/>
  <c r="K233" i="2" s="1"/>
  <c r="P320" i="2"/>
  <c r="M318" i="2"/>
  <c r="L395" i="2"/>
  <c r="O395" i="2" s="1"/>
  <c r="O397" i="2"/>
  <c r="M660" i="2"/>
  <c r="M657" i="2" s="1"/>
  <c r="P657" i="2" s="1"/>
  <c r="L657" i="2"/>
  <c r="L655" i="2" s="1"/>
  <c r="J722" i="2"/>
  <c r="K722" i="2" s="1"/>
  <c r="N43" i="1"/>
  <c r="N41" i="1" s="1"/>
  <c r="N23" i="2"/>
  <c r="N21" i="2" s="1"/>
  <c r="N43" i="2"/>
  <c r="N41" i="2" s="1"/>
  <c r="O124" i="2"/>
  <c r="M267" i="2"/>
  <c r="P267" i="2" s="1"/>
  <c r="L351" i="2"/>
  <c r="O351" i="2" s="1"/>
  <c r="L347" i="2"/>
  <c r="L345" i="2" s="1"/>
  <c r="N392" i="2"/>
  <c r="L470" i="2"/>
  <c r="L533" i="2"/>
  <c r="O533" i="2" s="1"/>
  <c r="L525" i="2"/>
  <c r="O525" i="2" s="1"/>
  <c r="K539" i="2"/>
  <c r="J537" i="2"/>
  <c r="J522" i="2" s="1"/>
  <c r="K522" i="2" s="1"/>
  <c r="L187" i="2"/>
  <c r="O187" i="2" s="1"/>
  <c r="L404" i="2"/>
  <c r="O404" i="2" s="1"/>
  <c r="K673" i="2"/>
  <c r="M151" i="2"/>
  <c r="L263" i="2"/>
  <c r="L261" i="2" s="1"/>
  <c r="L279" i="2"/>
  <c r="I297" i="2"/>
  <c r="K297" i="2" s="1"/>
  <c r="O323" i="2"/>
  <c r="K360" i="2"/>
  <c r="K378" i="2"/>
  <c r="L546" i="2"/>
  <c r="L544" i="2" s="1"/>
  <c r="P93" i="2"/>
  <c r="J143" i="2"/>
  <c r="J131" i="2" s="1"/>
  <c r="M183" i="2"/>
  <c r="K340" i="2"/>
  <c r="P353" i="2"/>
  <c r="K365" i="2"/>
  <c r="K821" i="2"/>
  <c r="K824" i="2"/>
  <c r="K827" i="2"/>
  <c r="M125" i="2"/>
  <c r="P125" i="2" s="1"/>
  <c r="P127" i="2"/>
  <c r="I130" i="2"/>
  <c r="K130" i="2" s="1"/>
  <c r="K146" i="2"/>
  <c r="M187" i="1"/>
  <c r="P187" i="1" s="1"/>
  <c r="O282" i="1"/>
  <c r="N347" i="1"/>
  <c r="N345" i="1" s="1"/>
  <c r="K720" i="1"/>
  <c r="N12" i="2"/>
  <c r="N19" i="2"/>
  <c r="L23" i="2"/>
  <c r="L21" i="2" s="1"/>
  <c r="O42" i="2"/>
  <c r="P46" i="2"/>
  <c r="P49" i="2"/>
  <c r="O67" i="2"/>
  <c r="P71" i="2"/>
  <c r="P74" i="2"/>
  <c r="K80" i="2"/>
  <c r="L94" i="2"/>
  <c r="O94" i="2" s="1"/>
  <c r="M155" i="2"/>
  <c r="P155" i="2" s="1"/>
  <c r="P157" i="2"/>
  <c r="L209" i="2"/>
  <c r="O209" i="2" s="1"/>
  <c r="P316" i="2"/>
  <c r="K438" i="2"/>
  <c r="I434" i="2"/>
  <c r="M544" i="2"/>
  <c r="P545" i="2"/>
  <c r="M171" i="2"/>
  <c r="P171" i="2" s="1"/>
  <c r="P173" i="2"/>
  <c r="N658" i="2"/>
  <c r="N657" i="2"/>
  <c r="N655" i="2" s="1"/>
  <c r="P71" i="1"/>
  <c r="L228" i="1"/>
  <c r="L231" i="1"/>
  <c r="I236" i="1"/>
  <c r="K290" i="1"/>
  <c r="L631" i="1"/>
  <c r="L629" i="1" s="1"/>
  <c r="M658" i="1"/>
  <c r="J701" i="1"/>
  <c r="K701" i="1" s="1"/>
  <c r="L15" i="2"/>
  <c r="M23" i="2"/>
  <c r="L29" i="2"/>
  <c r="N31" i="2"/>
  <c r="L90" i="2"/>
  <c r="L88" i="2" s="1"/>
  <c r="M122" i="2"/>
  <c r="P122" i="2" s="1"/>
  <c r="P124" i="2"/>
  <c r="J275" i="2"/>
  <c r="O630" i="2"/>
  <c r="O658" i="2"/>
  <c r="K670" i="1"/>
  <c r="L687" i="1"/>
  <c r="L685" i="1" s="1"/>
  <c r="M9" i="2"/>
  <c r="M15" i="2"/>
  <c r="M29" i="2"/>
  <c r="M47" i="2"/>
  <c r="P47" i="2" s="1"/>
  <c r="O58" i="2"/>
  <c r="O61" i="2"/>
  <c r="M90" i="2"/>
  <c r="M88" i="2" s="1"/>
  <c r="K86" i="2"/>
  <c r="L135" i="2"/>
  <c r="O135" i="2" s="1"/>
  <c r="O137" i="2"/>
  <c r="N263" i="2"/>
  <c r="N261" i="2" s="1"/>
  <c r="P266" i="2"/>
  <c r="N300" i="2"/>
  <c r="N298" i="2" s="1"/>
  <c r="N788" i="2"/>
  <c r="N786" i="2" s="1"/>
  <c r="N789" i="2"/>
  <c r="M43" i="1"/>
  <c r="M41" i="1" s="1"/>
  <c r="I248" i="1"/>
  <c r="K248" i="1" s="1"/>
  <c r="O303" i="1"/>
  <c r="K338" i="1"/>
  <c r="O350" i="1"/>
  <c r="J582" i="1"/>
  <c r="J576" i="1" s="1"/>
  <c r="J603" i="1"/>
  <c r="L26" i="2"/>
  <c r="O89" i="2"/>
  <c r="M121" i="2"/>
  <c r="M167" i="2"/>
  <c r="O182" i="2"/>
  <c r="M184" i="2"/>
  <c r="P186" i="2"/>
  <c r="O549" i="2"/>
  <c r="N547" i="2"/>
  <c r="N546" i="2"/>
  <c r="P656" i="2"/>
  <c r="O91" i="1"/>
  <c r="K144" i="1"/>
  <c r="P348" i="1"/>
  <c r="K372" i="1"/>
  <c r="J721" i="1"/>
  <c r="K721" i="1" s="1"/>
  <c r="I77" i="2"/>
  <c r="L91" i="2"/>
  <c r="K98" i="2"/>
  <c r="L138" i="2"/>
  <c r="O138" i="2" s="1"/>
  <c r="O140" i="2"/>
  <c r="K145" i="2"/>
  <c r="I143" i="2"/>
  <c r="O150" i="2"/>
  <c r="M152" i="2"/>
  <c r="P154" i="2"/>
  <c r="O166" i="2"/>
  <c r="M168" i="2"/>
  <c r="P168" i="2" s="1"/>
  <c r="P170" i="2"/>
  <c r="M187" i="2"/>
  <c r="P187" i="2" s="1"/>
  <c r="P189" i="2"/>
  <c r="K204" i="2"/>
  <c r="I197" i="2"/>
  <c r="K197" i="2" s="1"/>
  <c r="P262" i="2"/>
  <c r="P299" i="2"/>
  <c r="O472" i="2"/>
  <c r="N470" i="2"/>
  <c r="O266" i="2"/>
  <c r="O269" i="2"/>
  <c r="O278" i="2"/>
  <c r="P282" i="2"/>
  <c r="P285" i="2"/>
  <c r="O303" i="2"/>
  <c r="M330" i="2"/>
  <c r="M328" i="2" s="1"/>
  <c r="P336" i="2"/>
  <c r="O346" i="2"/>
  <c r="L391" i="2"/>
  <c r="M404" i="2"/>
  <c r="P404" i="2" s="1"/>
  <c r="N687" i="2"/>
  <c r="O690" i="2"/>
  <c r="N688" i="2"/>
  <c r="P807" i="2"/>
  <c r="N330" i="2"/>
  <c r="N328" i="2" s="1"/>
  <c r="O333" i="2"/>
  <c r="O353" i="2"/>
  <c r="J364" i="2"/>
  <c r="O394" i="2"/>
  <c r="N421" i="2"/>
  <c r="N422" i="2"/>
  <c r="O479" i="2"/>
  <c r="L477" i="2"/>
  <c r="O477" i="2" s="1"/>
  <c r="L469" i="2"/>
  <c r="K592" i="2"/>
  <c r="O634" i="2"/>
  <c r="N631" i="2"/>
  <c r="N629" i="2" s="1"/>
  <c r="L639" i="2"/>
  <c r="O639" i="2" s="1"/>
  <c r="L631" i="2"/>
  <c r="O631" i="2" s="1"/>
  <c r="O641" i="2"/>
  <c r="K651" i="2"/>
  <c r="I628" i="2"/>
  <c r="K628" i="2" s="1"/>
  <c r="O688" i="2"/>
  <c r="P771" i="2"/>
  <c r="O806" i="2"/>
  <c r="L317" i="2"/>
  <c r="L315" i="2" s="1"/>
  <c r="N318" i="2"/>
  <c r="J327" i="2"/>
  <c r="K327" i="2" s="1"/>
  <c r="P329" i="2"/>
  <c r="K374" i="2"/>
  <c r="I364" i="2"/>
  <c r="P410" i="2"/>
  <c r="N419" i="2"/>
  <c r="M449" i="2"/>
  <c r="L447" i="2"/>
  <c r="O447" i="2" s="1"/>
  <c r="K462" i="2"/>
  <c r="I443" i="2"/>
  <c r="K443" i="2" s="1"/>
  <c r="N467" i="2"/>
  <c r="K593" i="2"/>
  <c r="N685" i="2"/>
  <c r="I785" i="2"/>
  <c r="K785" i="2" s="1"/>
  <c r="K800" i="2"/>
  <c r="I275" i="2"/>
  <c r="N317" i="2"/>
  <c r="N315" i="2" s="1"/>
  <c r="L422" i="2"/>
  <c r="O422" i="2" s="1"/>
  <c r="M424" i="2"/>
  <c r="O456" i="2"/>
  <c r="L454" i="2"/>
  <c r="O454" i="2" s="1"/>
  <c r="P549" i="2"/>
  <c r="K647" i="2"/>
  <c r="L331" i="2"/>
  <c r="L334" i="2"/>
  <c r="O334" i="2" s="1"/>
  <c r="P403" i="2"/>
  <c r="O445" i="2"/>
  <c r="P524" i="2"/>
  <c r="L526" i="2"/>
  <c r="O526" i="2" s="1"/>
  <c r="M547" i="2"/>
  <c r="O660" i="2"/>
  <c r="O686" i="2"/>
  <c r="O791" i="2"/>
  <c r="K207" i="1"/>
  <c r="K310" i="1"/>
  <c r="J620" i="1"/>
  <c r="K620" i="1" s="1"/>
  <c r="J708" i="1"/>
  <c r="K708" i="1" s="1"/>
  <c r="N229" i="1"/>
  <c r="L217" i="1"/>
  <c r="I434" i="1"/>
  <c r="I418" i="1" s="1"/>
  <c r="K541" i="1"/>
  <c r="L546" i="1"/>
  <c r="L544" i="1" s="1"/>
  <c r="K726" i="1"/>
  <c r="K84" i="1"/>
  <c r="M300" i="1"/>
  <c r="M298" i="1" s="1"/>
  <c r="J364" i="1"/>
  <c r="M404" i="1"/>
  <c r="P404" i="1" s="1"/>
  <c r="J434" i="1"/>
  <c r="J418" i="1" s="1"/>
  <c r="L525" i="1"/>
  <c r="L523" i="1" s="1"/>
  <c r="J568" i="1"/>
  <c r="K568" i="1" s="1"/>
  <c r="J785" i="1"/>
  <c r="M47" i="1"/>
  <c r="P47" i="1" s="1"/>
  <c r="K223" i="1"/>
  <c r="K293" i="1"/>
  <c r="M408" i="1"/>
  <c r="P408" i="1" s="1"/>
  <c r="L446" i="1"/>
  <c r="L444" i="1" s="1"/>
  <c r="K463" i="1"/>
  <c r="K489" i="1"/>
  <c r="K628" i="1"/>
  <c r="J233" i="1"/>
  <c r="K102" i="1"/>
  <c r="L183" i="1"/>
  <c r="L181" i="1" s="1"/>
  <c r="O191" i="1"/>
  <c r="K312" i="1"/>
  <c r="K378" i="1"/>
  <c r="K381" i="1"/>
  <c r="K537" i="1"/>
  <c r="K643" i="1"/>
  <c r="K674" i="1"/>
  <c r="K823" i="1"/>
  <c r="K826" i="1"/>
  <c r="M72" i="1"/>
  <c r="P72" i="1" s="1"/>
  <c r="M121" i="1"/>
  <c r="M119" i="1" s="1"/>
  <c r="N121" i="1"/>
  <c r="N119" i="1" s="1"/>
  <c r="M26" i="1"/>
  <c r="M16" i="1" s="1"/>
  <c r="J76" i="1"/>
  <c r="J64" i="1" s="1"/>
  <c r="K81" i="1"/>
  <c r="L90" i="1"/>
  <c r="L88" i="1" s="1"/>
  <c r="O96" i="1"/>
  <c r="K110" i="1"/>
  <c r="M122" i="1"/>
  <c r="P122" i="1" s="1"/>
  <c r="K145" i="1"/>
  <c r="N183" i="1"/>
  <c r="N181" i="1" s="1"/>
  <c r="N217" i="1"/>
  <c r="K271" i="1"/>
  <c r="L304" i="1"/>
  <c r="O304" i="1" s="1"/>
  <c r="P320" i="1"/>
  <c r="P334" i="1"/>
  <c r="L351" i="1"/>
  <c r="O351" i="1" s="1"/>
  <c r="K360" i="1"/>
  <c r="K437" i="1"/>
  <c r="K98" i="1"/>
  <c r="J112" i="1"/>
  <c r="L184" i="1"/>
  <c r="K190" i="1"/>
  <c r="K224" i="1"/>
  <c r="K276" i="1"/>
  <c r="K291" i="1"/>
  <c r="K297" i="1"/>
  <c r="L347" i="1"/>
  <c r="L345" i="1" s="1"/>
  <c r="K374" i="1"/>
  <c r="K379" i="1"/>
  <c r="O266" i="1"/>
  <c r="P397" i="1"/>
  <c r="M395" i="1"/>
  <c r="P395" i="1" s="1"/>
  <c r="K83" i="1"/>
  <c r="L151" i="1"/>
  <c r="L149" i="1" s="1"/>
  <c r="K193" i="1"/>
  <c r="L348" i="1"/>
  <c r="O348" i="1" s="1"/>
  <c r="P350" i="1"/>
  <c r="K369" i="1"/>
  <c r="N391" i="1"/>
  <c r="N389" i="1" s="1"/>
  <c r="I401" i="1"/>
  <c r="K401" i="1" s="1"/>
  <c r="N263" i="1"/>
  <c r="N261" i="1" s="1"/>
  <c r="P318" i="1"/>
  <c r="N151" i="1"/>
  <c r="N149" i="1" s="1"/>
  <c r="N249" i="1"/>
  <c r="L267" i="1"/>
  <c r="O267" i="1" s="1"/>
  <c r="N300" i="1"/>
  <c r="N298" i="1" s="1"/>
  <c r="O331" i="1"/>
  <c r="O334" i="1"/>
  <c r="M391" i="1"/>
  <c r="L404" i="1"/>
  <c r="O404" i="1" s="1"/>
  <c r="N449" i="1"/>
  <c r="N447" i="1" s="1"/>
  <c r="M789" i="1"/>
  <c r="K495" i="1"/>
  <c r="K649" i="1"/>
  <c r="J675" i="1"/>
  <c r="J669" i="1" s="1"/>
  <c r="J654" i="1" s="1"/>
  <c r="K435" i="1"/>
  <c r="K460" i="1"/>
  <c r="K487" i="1"/>
  <c r="K492" i="1"/>
  <c r="K498" i="1"/>
  <c r="J569" i="1"/>
  <c r="K569" i="1" s="1"/>
  <c r="J621" i="1"/>
  <c r="K621" i="1" s="1"/>
  <c r="K647" i="1"/>
  <c r="J679" i="1"/>
  <c r="J678" i="1" s="1"/>
  <c r="J729" i="1"/>
  <c r="K729" i="1" s="1"/>
  <c r="N791" i="1"/>
  <c r="N788" i="1" s="1"/>
  <c r="N786" i="1" s="1"/>
  <c r="K821" i="1"/>
  <c r="K824" i="1"/>
  <c r="K827" i="1"/>
  <c r="K237" i="1"/>
  <c r="J226" i="1"/>
  <c r="J180" i="1" s="1"/>
  <c r="P59" i="1"/>
  <c r="N167" i="1"/>
  <c r="N165" i="1" s="1"/>
  <c r="M421" i="1"/>
  <c r="M419" i="1" s="1"/>
  <c r="M44" i="1"/>
  <c r="P44" i="1" s="1"/>
  <c r="M68" i="1"/>
  <c r="M66" i="1" s="1"/>
  <c r="I77" i="1"/>
  <c r="K82" i="1"/>
  <c r="O93" i="1"/>
  <c r="K116" i="1"/>
  <c r="O125" i="1"/>
  <c r="I143" i="1"/>
  <c r="O170" i="1"/>
  <c r="O173" i="1"/>
  <c r="K215" i="1"/>
  <c r="K244" i="1"/>
  <c r="N267" i="1"/>
  <c r="L279" i="1"/>
  <c r="K294" i="1"/>
  <c r="N304" i="1"/>
  <c r="K311" i="1"/>
  <c r="M321" i="1"/>
  <c r="P321" i="1" s="1"/>
  <c r="M347" i="1"/>
  <c r="K385" i="1"/>
  <c r="N395" i="1"/>
  <c r="N424" i="1"/>
  <c r="N422" i="1" s="1"/>
  <c r="I433" i="1"/>
  <c r="I417" i="1" s="1"/>
  <c r="K417" i="1" s="1"/>
  <c r="K439" i="1"/>
  <c r="N472" i="1"/>
  <c r="O472" i="1" s="1"/>
  <c r="L533" i="1"/>
  <c r="O533" i="1" s="1"/>
  <c r="O535" i="1"/>
  <c r="K699" i="1"/>
  <c r="K803" i="1"/>
  <c r="K355" i="1"/>
  <c r="K442" i="1"/>
  <c r="O46" i="1"/>
  <c r="O58" i="1"/>
  <c r="M69" i="1"/>
  <c r="P69" i="1" s="1"/>
  <c r="O135" i="1"/>
  <c r="N209" i="1"/>
  <c r="K287" i="1"/>
  <c r="M317" i="1"/>
  <c r="N55" i="1"/>
  <c r="N53" i="1" s="1"/>
  <c r="J77" i="1"/>
  <c r="J65" i="1" s="1"/>
  <c r="P93" i="1"/>
  <c r="L23" i="1"/>
  <c r="L21" i="1" s="1"/>
  <c r="L36" i="1"/>
  <c r="P46" i="1"/>
  <c r="L56" i="1"/>
  <c r="O56" i="1" s="1"/>
  <c r="P58" i="1"/>
  <c r="K80" i="1"/>
  <c r="M90" i="1"/>
  <c r="M88" i="1" s="1"/>
  <c r="M94" i="1"/>
  <c r="P94" i="1" s="1"/>
  <c r="J99" i="1"/>
  <c r="J87" i="1" s="1"/>
  <c r="K87" i="1" s="1"/>
  <c r="K103" i="1"/>
  <c r="K111" i="1"/>
  <c r="K114" i="1"/>
  <c r="P137" i="1"/>
  <c r="P140" i="1"/>
  <c r="K146" i="1"/>
  <c r="M151" i="1"/>
  <c r="M149" i="1" s="1"/>
  <c r="K204" i="1"/>
  <c r="K246" i="1"/>
  <c r="J260" i="1"/>
  <c r="K260" i="1" s="1"/>
  <c r="L263" i="1"/>
  <c r="N279" i="1"/>
  <c r="N277" i="1" s="1"/>
  <c r="K288" i="1"/>
  <c r="L300" i="1"/>
  <c r="L298" i="1" s="1"/>
  <c r="O333" i="1"/>
  <c r="K340" i="1"/>
  <c r="M351" i="1"/>
  <c r="P351" i="1" s="1"/>
  <c r="M405" i="1"/>
  <c r="P405" i="1" s="1"/>
  <c r="N404" i="1"/>
  <c r="N402" i="1" s="1"/>
  <c r="K440" i="1"/>
  <c r="K443" i="1"/>
  <c r="L454" i="1"/>
  <c r="O454" i="1" s="1"/>
  <c r="K464" i="1"/>
  <c r="J465" i="1"/>
  <c r="K465" i="1" s="1"/>
  <c r="J466" i="1"/>
  <c r="K466" i="1" s="1"/>
  <c r="N528" i="1"/>
  <c r="O528" i="1" s="1"/>
  <c r="L555" i="1"/>
  <c r="O555" i="1" s="1"/>
  <c r="K651" i="1"/>
  <c r="N660" i="1"/>
  <c r="N658" i="1" s="1"/>
  <c r="N690" i="1"/>
  <c r="P690" i="1" s="1"/>
  <c r="I785" i="1"/>
  <c r="P91" i="1"/>
  <c r="M23" i="1"/>
  <c r="P56" i="1"/>
  <c r="O61" i="1"/>
  <c r="N90" i="1"/>
  <c r="N88" i="1" s="1"/>
  <c r="J100" i="1"/>
  <c r="K100" i="1" s="1"/>
  <c r="M125" i="1"/>
  <c r="P125" i="1" s="1"/>
  <c r="P127" i="1"/>
  <c r="N134" i="1"/>
  <c r="N132" i="1" s="1"/>
  <c r="M155" i="1"/>
  <c r="P155" i="1" s="1"/>
  <c r="N198" i="1"/>
  <c r="K275" i="1"/>
  <c r="L280" i="1"/>
  <c r="O280" i="1" s="1"/>
  <c r="L330" i="1"/>
  <c r="K522" i="1"/>
  <c r="M631" i="1"/>
  <c r="M629" i="1" s="1"/>
  <c r="L43" i="1"/>
  <c r="L59" i="1"/>
  <c r="O59" i="1" s="1"/>
  <c r="P61" i="1"/>
  <c r="O71" i="1"/>
  <c r="N138" i="1"/>
  <c r="O138" i="1" s="1"/>
  <c r="O140" i="1"/>
  <c r="K148" i="1"/>
  <c r="L167" i="1"/>
  <c r="L165" i="1" s="1"/>
  <c r="L198" i="1"/>
  <c r="L209" i="1"/>
  <c r="K214" i="1"/>
  <c r="L238" i="1"/>
  <c r="L249" i="1"/>
  <c r="O249" i="1" s="1"/>
  <c r="L264" i="1"/>
  <c r="O264" i="1" s="1"/>
  <c r="L283" i="1"/>
  <c r="O283" i="1" s="1"/>
  <c r="L301" i="1"/>
  <c r="O301" i="1" s="1"/>
  <c r="M330" i="1"/>
  <c r="O336" i="1"/>
  <c r="K359" i="1"/>
  <c r="K362" i="1"/>
  <c r="K365" i="1"/>
  <c r="O394" i="1"/>
  <c r="L421" i="1"/>
  <c r="L419" i="1" s="1"/>
  <c r="O431" i="1"/>
  <c r="K438" i="1"/>
  <c r="M447" i="1"/>
  <c r="K462" i="1"/>
  <c r="L657" i="1"/>
  <c r="L655" i="1" s="1"/>
  <c r="O29" i="1"/>
  <c r="L69" i="1"/>
  <c r="O69" i="1" s="1"/>
  <c r="O9" i="1"/>
  <c r="N12" i="1"/>
  <c r="L68" i="1"/>
  <c r="O12" i="1"/>
  <c r="N19" i="1"/>
  <c r="P35" i="1"/>
  <c r="P42" i="1"/>
  <c r="L44" i="1"/>
  <c r="O44" i="1" s="1"/>
  <c r="O74" i="1"/>
  <c r="I86" i="1"/>
  <c r="K86" i="1" s="1"/>
  <c r="K107" i="1"/>
  <c r="L122" i="1"/>
  <c r="O122" i="1" s="1"/>
  <c r="O127" i="1"/>
  <c r="L134" i="1"/>
  <c r="L132" i="1" s="1"/>
  <c r="K197" i="1"/>
  <c r="L26" i="1"/>
  <c r="K79" i="1"/>
  <c r="N23" i="1"/>
  <c r="N26" i="1"/>
  <c r="L55" i="1"/>
  <c r="M55" i="1"/>
  <c r="N68" i="1"/>
  <c r="K78" i="1"/>
  <c r="K109" i="1"/>
  <c r="L121" i="1"/>
  <c r="M134" i="1"/>
  <c r="O137" i="1"/>
  <c r="L317" i="1"/>
  <c r="M15" i="1"/>
  <c r="P32" i="1"/>
  <c r="L47" i="1"/>
  <c r="O47" i="1" s="1"/>
  <c r="P150" i="1"/>
  <c r="N152" i="1"/>
  <c r="P152" i="1" s="1"/>
  <c r="O166" i="1"/>
  <c r="M29" i="1"/>
  <c r="O49" i="1"/>
  <c r="I76" i="1"/>
  <c r="K106" i="1"/>
  <c r="I130" i="1"/>
  <c r="K130" i="1" s="1"/>
  <c r="M138" i="1"/>
  <c r="I164" i="1"/>
  <c r="K164" i="1" s="1"/>
  <c r="K174" i="1"/>
  <c r="P186" i="1"/>
  <c r="I112" i="1"/>
  <c r="K115" i="1"/>
  <c r="L152" i="1"/>
  <c r="O154" i="1"/>
  <c r="O168" i="1"/>
  <c r="L321" i="1"/>
  <c r="O321" i="1" s="1"/>
  <c r="O323" i="1"/>
  <c r="K113" i="1"/>
  <c r="M135" i="1"/>
  <c r="P135" i="1" s="1"/>
  <c r="P154" i="1"/>
  <c r="L155" i="1"/>
  <c r="O155" i="1" s="1"/>
  <c r="O157" i="1"/>
  <c r="P170" i="1"/>
  <c r="M167" i="1"/>
  <c r="M168" i="1"/>
  <c r="P168" i="1" s="1"/>
  <c r="N184" i="1"/>
  <c r="P184" i="1" s="1"/>
  <c r="L789" i="1"/>
  <c r="L788" i="1"/>
  <c r="L786" i="1" s="1"/>
  <c r="L33" i="1"/>
  <c r="M183" i="1"/>
  <c r="M181" i="1" s="1"/>
  <c r="O278" i="1"/>
  <c r="M280" i="1"/>
  <c r="P280" i="1" s="1"/>
  <c r="P282" i="1"/>
  <c r="K309" i="1"/>
  <c r="M171" i="1"/>
  <c r="P171" i="1" s="1"/>
  <c r="I216" i="1"/>
  <c r="K216" i="1" s="1"/>
  <c r="N238" i="1"/>
  <c r="O262" i="1"/>
  <c r="M264" i="1"/>
  <c r="P264" i="1" s="1"/>
  <c r="P266" i="1"/>
  <c r="M283" i="1"/>
  <c r="P283" i="1" s="1"/>
  <c r="P285" i="1"/>
  <c r="O686" i="1"/>
  <c r="L737" i="1"/>
  <c r="O737" i="1" s="1"/>
  <c r="O738" i="1"/>
  <c r="K159" i="1"/>
  <c r="K176" i="1"/>
  <c r="M267" i="1"/>
  <c r="P267" i="1" s="1"/>
  <c r="P269" i="1"/>
  <c r="O299" i="1"/>
  <c r="M301" i="1"/>
  <c r="P301" i="1" s="1"/>
  <c r="P303" i="1"/>
  <c r="O186" i="1"/>
  <c r="J194" i="1"/>
  <c r="K208" i="1"/>
  <c r="M304" i="1"/>
  <c r="P304" i="1" s="1"/>
  <c r="P306" i="1"/>
  <c r="L318" i="1"/>
  <c r="O318" i="1" s="1"/>
  <c r="O320" i="1"/>
  <c r="K325" i="1"/>
  <c r="M444" i="1"/>
  <c r="P445" i="1"/>
  <c r="K206" i="1"/>
  <c r="K314" i="1"/>
  <c r="P346" i="1"/>
  <c r="L395" i="1"/>
  <c r="O395" i="1" s="1"/>
  <c r="L391" i="1"/>
  <c r="O397" i="1"/>
  <c r="O329" i="1"/>
  <c r="P333" i="1"/>
  <c r="P336" i="1"/>
  <c r="K400" i="1"/>
  <c r="I388" i="1"/>
  <c r="K388" i="1" s="1"/>
  <c r="O407" i="1"/>
  <c r="L405" i="1"/>
  <c r="O405" i="1" s="1"/>
  <c r="L632" i="1"/>
  <c r="M685" i="1"/>
  <c r="M737" i="1"/>
  <c r="P737" i="1" s="1"/>
  <c r="L754" i="1"/>
  <c r="O754" i="1" s="1"/>
  <c r="O755" i="1"/>
  <c r="M392" i="1"/>
  <c r="P392" i="1" s="1"/>
  <c r="N549" i="1"/>
  <c r="P549" i="1" s="1"/>
  <c r="K728" i="1"/>
  <c r="J722" i="1"/>
  <c r="K722" i="1" s="1"/>
  <c r="M754" i="1"/>
  <c r="P754" i="1" s="1"/>
  <c r="L770" i="1"/>
  <c r="O770" i="1" s="1"/>
  <c r="O771" i="1"/>
  <c r="K247" i="1"/>
  <c r="J327" i="1"/>
  <c r="K327" i="1" s="1"/>
  <c r="K370" i="1"/>
  <c r="P403" i="1"/>
  <c r="O410" i="1"/>
  <c r="L408" i="1"/>
  <c r="O408" i="1" s="1"/>
  <c r="M467" i="1"/>
  <c r="P468" i="1"/>
  <c r="K483" i="1"/>
  <c r="K542" i="1"/>
  <c r="J560" i="1"/>
  <c r="K560" i="1" s="1"/>
  <c r="N634" i="1"/>
  <c r="M655" i="1"/>
  <c r="P656" i="1"/>
  <c r="M770" i="1"/>
  <c r="P770" i="1" s="1"/>
  <c r="J596" i="1"/>
  <c r="K538" i="1"/>
  <c r="L447" i="1"/>
  <c r="L470" i="1"/>
  <c r="M547" i="1"/>
  <c r="L639" i="1"/>
  <c r="O639" i="1" s="1"/>
  <c r="I654" i="1"/>
  <c r="L658" i="1"/>
  <c r="M786" i="1"/>
  <c r="K801" i="1"/>
  <c r="M470" i="1"/>
  <c r="K673" i="1"/>
  <c r="P738" i="1"/>
  <c r="P755" i="1"/>
  <c r="P771" i="1"/>
  <c r="O787" i="1"/>
  <c r="K485" i="1"/>
  <c r="L502" i="1"/>
  <c r="O502" i="1" s="1"/>
  <c r="M688" i="1"/>
  <c r="M805" i="1"/>
  <c r="P805" i="1" s="1"/>
  <c r="K672" i="1"/>
  <c r="I131" i="19" l="1"/>
  <c r="K131" i="19" s="1"/>
  <c r="M447" i="20"/>
  <c r="P447" i="20" s="1"/>
  <c r="P68" i="20"/>
  <c r="K785" i="18"/>
  <c r="L119" i="21"/>
  <c r="O119" i="21" s="1"/>
  <c r="P68" i="19"/>
  <c r="O151" i="20"/>
  <c r="M389" i="10"/>
  <c r="P389" i="10" s="1"/>
  <c r="L786" i="19"/>
  <c r="O786" i="19" s="1"/>
  <c r="O317" i="21"/>
  <c r="L402" i="18"/>
  <c r="O402" i="18" s="1"/>
  <c r="L34" i="19"/>
  <c r="O34" i="19" s="1"/>
  <c r="O687" i="18"/>
  <c r="O470" i="21"/>
  <c r="P43" i="19"/>
  <c r="M149" i="21"/>
  <c r="P149" i="21" s="1"/>
  <c r="O43" i="20"/>
  <c r="P634" i="18"/>
  <c r="O181" i="16"/>
  <c r="M687" i="20"/>
  <c r="P687" i="20" s="1"/>
  <c r="O167" i="20"/>
  <c r="P41" i="21"/>
  <c r="K364" i="17"/>
  <c r="O55" i="16"/>
  <c r="O55" i="21"/>
  <c r="K288" i="20"/>
  <c r="P345" i="19"/>
  <c r="P43" i="21"/>
  <c r="K364" i="20"/>
  <c r="P449" i="20"/>
  <c r="L119" i="8"/>
  <c r="O119" i="8" s="1"/>
  <c r="P348" i="19"/>
  <c r="M132" i="20"/>
  <c r="P132" i="20" s="1"/>
  <c r="O347" i="19"/>
  <c r="K433" i="20"/>
  <c r="K417" i="21"/>
  <c r="M389" i="21"/>
  <c r="P389" i="21" s="1"/>
  <c r="P347" i="19"/>
  <c r="K417" i="20"/>
  <c r="O183" i="21"/>
  <c r="M469" i="19"/>
  <c r="P469" i="19" s="1"/>
  <c r="P55" i="19"/>
  <c r="M470" i="19"/>
  <c r="P470" i="19" s="1"/>
  <c r="O43" i="19"/>
  <c r="P90" i="18"/>
  <c r="P90" i="15"/>
  <c r="P330" i="20"/>
  <c r="N41" i="19"/>
  <c r="P41" i="19" s="1"/>
  <c r="N53" i="19"/>
  <c r="P53" i="19" s="1"/>
  <c r="O446" i="18"/>
  <c r="O55" i="19"/>
  <c r="O41" i="21"/>
  <c r="P167" i="20"/>
  <c r="O56" i="21"/>
  <c r="P90" i="21"/>
  <c r="O68" i="20"/>
  <c r="P90" i="20"/>
  <c r="O43" i="21"/>
  <c r="O183" i="13"/>
  <c r="O444" i="18"/>
  <c r="N165" i="20"/>
  <c r="O165" i="20" s="1"/>
  <c r="P348" i="20"/>
  <c r="L685" i="20"/>
  <c r="O685" i="20" s="1"/>
  <c r="P263" i="21"/>
  <c r="O183" i="20"/>
  <c r="M298" i="9"/>
  <c r="P298" i="9" s="1"/>
  <c r="M444" i="18"/>
  <c r="P444" i="18" s="1"/>
  <c r="L315" i="20"/>
  <c r="O315" i="20" s="1"/>
  <c r="O88" i="21"/>
  <c r="O43" i="6"/>
  <c r="M685" i="21"/>
  <c r="P685" i="21" s="1"/>
  <c r="M132" i="21"/>
  <c r="P132" i="21" s="1"/>
  <c r="P449" i="18"/>
  <c r="K433" i="18"/>
  <c r="O263" i="20"/>
  <c r="M447" i="18"/>
  <c r="P447" i="18" s="1"/>
  <c r="O168" i="18"/>
  <c r="L34" i="20"/>
  <c r="O34" i="20" s="1"/>
  <c r="P347" i="20"/>
  <c r="O69" i="20"/>
  <c r="L655" i="21"/>
  <c r="O655" i="21" s="1"/>
  <c r="L389" i="21"/>
  <c r="O389" i="21" s="1"/>
  <c r="L786" i="4"/>
  <c r="O786" i="4" s="1"/>
  <c r="M632" i="18"/>
  <c r="P632" i="18" s="1"/>
  <c r="M298" i="19"/>
  <c r="P298" i="19" s="1"/>
  <c r="L298" i="19"/>
  <c r="O298" i="19" s="1"/>
  <c r="O279" i="20"/>
  <c r="L402" i="21"/>
  <c r="O402" i="21" s="1"/>
  <c r="O55" i="13"/>
  <c r="P56" i="21"/>
  <c r="L34" i="21"/>
  <c r="O34" i="21" s="1"/>
  <c r="M66" i="16"/>
  <c r="P66" i="16" s="1"/>
  <c r="O330" i="19"/>
  <c r="L227" i="19"/>
  <c r="O55" i="20"/>
  <c r="M315" i="21"/>
  <c r="P315" i="21" s="1"/>
  <c r="O68" i="21"/>
  <c r="P263" i="13"/>
  <c r="P330" i="19"/>
  <c r="M88" i="18"/>
  <c r="P88" i="18" s="1"/>
  <c r="O21" i="21"/>
  <c r="O165" i="21"/>
  <c r="P90" i="19"/>
  <c r="O168" i="21"/>
  <c r="P330" i="18"/>
  <c r="I65" i="19"/>
  <c r="K65" i="19" s="1"/>
  <c r="N66" i="20"/>
  <c r="P66" i="20" s="1"/>
  <c r="I226" i="21"/>
  <c r="I180" i="21" s="1"/>
  <c r="K180" i="21" s="1"/>
  <c r="M16" i="21"/>
  <c r="M14" i="21" s="1"/>
  <c r="P14" i="21" s="1"/>
  <c r="M389" i="17"/>
  <c r="P389" i="17" s="1"/>
  <c r="O347" i="20"/>
  <c r="P55" i="21"/>
  <c r="P277" i="21"/>
  <c r="O167" i="21"/>
  <c r="L389" i="20"/>
  <c r="O389" i="20" s="1"/>
  <c r="M165" i="20"/>
  <c r="O469" i="21"/>
  <c r="K434" i="21"/>
  <c r="M298" i="17"/>
  <c r="P298" i="17" s="1"/>
  <c r="L655" i="20"/>
  <c r="O655" i="20" s="1"/>
  <c r="N13" i="21"/>
  <c r="N10" i="21" s="1"/>
  <c r="N8" i="21" s="1"/>
  <c r="I65" i="21"/>
  <c r="K65" i="21" s="1"/>
  <c r="L149" i="21"/>
  <c r="O149" i="21" s="1"/>
  <c r="O183" i="16"/>
  <c r="P467" i="21"/>
  <c r="O446" i="21"/>
  <c r="P330" i="21"/>
  <c r="P59" i="21"/>
  <c r="P21" i="21"/>
  <c r="O23" i="21"/>
  <c r="P183" i="20"/>
  <c r="O44" i="20"/>
  <c r="K433" i="21"/>
  <c r="P279" i="21"/>
  <c r="M20" i="21"/>
  <c r="L523" i="21"/>
  <c r="O523" i="21" s="1"/>
  <c r="P449" i="12"/>
  <c r="L315" i="13"/>
  <c r="O315" i="13" s="1"/>
  <c r="P183" i="16"/>
  <c r="L13" i="21"/>
  <c r="M402" i="21"/>
  <c r="P402" i="21" s="1"/>
  <c r="M447" i="12"/>
  <c r="P447" i="12" s="1"/>
  <c r="P446" i="12"/>
  <c r="L655" i="18"/>
  <c r="O655" i="18" s="1"/>
  <c r="P690" i="20"/>
  <c r="O347" i="21"/>
  <c r="O90" i="21"/>
  <c r="O687" i="17"/>
  <c r="K364" i="19"/>
  <c r="O91" i="21"/>
  <c r="P347" i="21"/>
  <c r="O300" i="21"/>
  <c r="K785" i="12"/>
  <c r="M16" i="17"/>
  <c r="M14" i="17" s="1"/>
  <c r="L315" i="19"/>
  <c r="O315" i="19" s="1"/>
  <c r="P345" i="21"/>
  <c r="K131" i="13"/>
  <c r="O631" i="16"/>
  <c r="O263" i="21"/>
  <c r="L30" i="19"/>
  <c r="L28" i="19" s="1"/>
  <c r="O28" i="19" s="1"/>
  <c r="P69" i="20"/>
  <c r="O298" i="21"/>
  <c r="O277" i="21"/>
  <c r="L31" i="21"/>
  <c r="O31" i="21" s="1"/>
  <c r="K785" i="21"/>
  <c r="K275" i="21"/>
  <c r="P300" i="21"/>
  <c r="L523" i="20"/>
  <c r="O523" i="20" s="1"/>
  <c r="L30" i="21"/>
  <c r="O30" i="21" s="1"/>
  <c r="P791" i="21"/>
  <c r="M788" i="21"/>
  <c r="O345" i="21"/>
  <c r="P88" i="21"/>
  <c r="I418" i="20"/>
  <c r="K418" i="20" s="1"/>
  <c r="N13" i="20"/>
  <c r="N11" i="20" s="1"/>
  <c r="O261" i="21"/>
  <c r="L20" i="21"/>
  <c r="L18" i="21" s="1"/>
  <c r="M53" i="21"/>
  <c r="L786" i="16"/>
  <c r="O786" i="16" s="1"/>
  <c r="P165" i="18"/>
  <c r="N20" i="20"/>
  <c r="N18" i="20" s="1"/>
  <c r="O184" i="21"/>
  <c r="O279" i="21"/>
  <c r="M315" i="17"/>
  <c r="P315" i="17" s="1"/>
  <c r="O125" i="18"/>
  <c r="O66" i="18"/>
  <c r="O181" i="20"/>
  <c r="O351" i="20"/>
  <c r="P446" i="21"/>
  <c r="P447" i="21"/>
  <c r="P298" i="21"/>
  <c r="N53" i="21"/>
  <c r="O53" i="21" s="1"/>
  <c r="K174" i="18"/>
  <c r="M181" i="20"/>
  <c r="P181" i="20" s="1"/>
  <c r="P23" i="21"/>
  <c r="K364" i="18"/>
  <c r="M132" i="19"/>
  <c r="P132" i="19" s="1"/>
  <c r="N88" i="19"/>
  <c r="P88" i="19" s="1"/>
  <c r="L786" i="20"/>
  <c r="O786" i="20" s="1"/>
  <c r="M328" i="20"/>
  <c r="P345" i="20"/>
  <c r="M328" i="21"/>
  <c r="P328" i="21" s="1"/>
  <c r="I64" i="21"/>
  <c r="K64" i="21" s="1"/>
  <c r="P68" i="21"/>
  <c r="N66" i="21"/>
  <c r="K143" i="17"/>
  <c r="M467" i="20"/>
  <c r="P467" i="20" s="1"/>
  <c r="L30" i="20"/>
  <c r="O30" i="20" s="1"/>
  <c r="M389" i="20"/>
  <c r="P389" i="20" s="1"/>
  <c r="M657" i="21"/>
  <c r="M658" i="21"/>
  <c r="P658" i="21" s="1"/>
  <c r="P660" i="21"/>
  <c r="O330" i="21"/>
  <c r="L328" i="21"/>
  <c r="O328" i="21" s="1"/>
  <c r="K374" i="21"/>
  <c r="K143" i="21"/>
  <c r="I131" i="21"/>
  <c r="K131" i="21" s="1"/>
  <c r="K364" i="21"/>
  <c r="O134" i="21"/>
  <c r="L132" i="21"/>
  <c r="P300" i="8"/>
  <c r="P345" i="12"/>
  <c r="P330" i="16"/>
  <c r="P345" i="17"/>
  <c r="O345" i="18"/>
  <c r="O279" i="18"/>
  <c r="O33" i="18"/>
  <c r="M421" i="19"/>
  <c r="P421" i="19" s="1"/>
  <c r="I226" i="19"/>
  <c r="K226" i="19" s="1"/>
  <c r="L261" i="20"/>
  <c r="O261" i="20" s="1"/>
  <c r="O33" i="20"/>
  <c r="I65" i="20"/>
  <c r="K65" i="20" s="1"/>
  <c r="O421" i="21"/>
  <c r="L419" i="21"/>
  <c r="O685" i="21"/>
  <c r="P29" i="21"/>
  <c r="M18" i="21"/>
  <c r="P19" i="21"/>
  <c r="P167" i="21"/>
  <c r="M165" i="21"/>
  <c r="P165" i="21" s="1"/>
  <c r="L181" i="21"/>
  <c r="O181" i="21" s="1"/>
  <c r="P470" i="21"/>
  <c r="P26" i="21"/>
  <c r="O15" i="21"/>
  <c r="O55" i="18"/>
  <c r="L41" i="19"/>
  <c r="P41" i="18"/>
  <c r="L13" i="20"/>
  <c r="L11" i="20" s="1"/>
  <c r="M631" i="21"/>
  <c r="M632" i="21"/>
  <c r="P632" i="21" s="1"/>
  <c r="P634" i="21"/>
  <c r="O631" i="21"/>
  <c r="L629" i="21"/>
  <c r="O629" i="21" s="1"/>
  <c r="P424" i="21"/>
  <c r="M421" i="21"/>
  <c r="M422" i="21"/>
  <c r="P422" i="21" s="1"/>
  <c r="M33" i="21"/>
  <c r="O687" i="21"/>
  <c r="N24" i="21"/>
  <c r="P24" i="21" s="1"/>
  <c r="L9" i="21"/>
  <c r="P151" i="13"/>
  <c r="L132" i="16"/>
  <c r="O132" i="16" s="1"/>
  <c r="O279" i="16"/>
  <c r="L119" i="16"/>
  <c r="O119" i="16" s="1"/>
  <c r="P330" i="17"/>
  <c r="M132" i="18"/>
  <c r="P132" i="18" s="1"/>
  <c r="P279" i="18"/>
  <c r="P351" i="19"/>
  <c r="P472" i="20"/>
  <c r="N41" i="20"/>
  <c r="P41" i="20" s="1"/>
  <c r="P44" i="20"/>
  <c r="O546" i="21"/>
  <c r="L544" i="21"/>
  <c r="O544" i="21" s="1"/>
  <c r="O447" i="21"/>
  <c r="O467" i="21"/>
  <c r="P12" i="21"/>
  <c r="M9" i="21"/>
  <c r="O238" i="21"/>
  <c r="L227" i="21"/>
  <c r="L16" i="21"/>
  <c r="O16" i="21" s="1"/>
  <c r="O26" i="21"/>
  <c r="P183" i="21"/>
  <c r="M181" i="21"/>
  <c r="P181" i="21" s="1"/>
  <c r="N20" i="21"/>
  <c r="N18" i="21" s="1"/>
  <c r="M119" i="21"/>
  <c r="P119" i="21" s="1"/>
  <c r="O280" i="21"/>
  <c r="O90" i="19"/>
  <c r="M470" i="20"/>
  <c r="P470" i="20" s="1"/>
  <c r="M119" i="20"/>
  <c r="P119" i="20" s="1"/>
  <c r="M546" i="21"/>
  <c r="M547" i="21"/>
  <c r="P547" i="21" s="1"/>
  <c r="P549" i="21"/>
  <c r="O422" i="21"/>
  <c r="P469" i="21"/>
  <c r="M261" i="21"/>
  <c r="P261" i="21" s="1"/>
  <c r="O331" i="20"/>
  <c r="M24" i="20"/>
  <c r="O90" i="20"/>
  <c r="O351" i="19"/>
  <c r="O168" i="20"/>
  <c r="K76" i="20"/>
  <c r="I64" i="20"/>
  <c r="K64" i="20" s="1"/>
  <c r="K77" i="16"/>
  <c r="O184" i="17"/>
  <c r="P43" i="20"/>
  <c r="L298" i="17"/>
  <c r="O298" i="17" s="1"/>
  <c r="L16" i="20"/>
  <c r="L14" i="20" s="1"/>
  <c r="L227" i="18"/>
  <c r="O68" i="19"/>
  <c r="N16" i="19"/>
  <c r="N14" i="19" s="1"/>
  <c r="P300" i="20"/>
  <c r="L544" i="20"/>
  <c r="O544" i="20" s="1"/>
  <c r="O546" i="20"/>
  <c r="P23" i="20"/>
  <c r="M21" i="20"/>
  <c r="P21" i="20" s="1"/>
  <c r="M20" i="20"/>
  <c r="M18" i="20" s="1"/>
  <c r="O330" i="20"/>
  <c r="N328" i="20"/>
  <c r="O263" i="19"/>
  <c r="L53" i="19"/>
  <c r="L467" i="20"/>
  <c r="O467" i="20" s="1"/>
  <c r="P298" i="20"/>
  <c r="N88" i="20"/>
  <c r="P88" i="20" s="1"/>
  <c r="O404" i="20"/>
  <c r="L402" i="20"/>
  <c r="O402" i="20" s="1"/>
  <c r="M632" i="20"/>
  <c r="P632" i="20" s="1"/>
  <c r="M631" i="20"/>
  <c r="P634" i="20"/>
  <c r="M33" i="20"/>
  <c r="P404" i="20"/>
  <c r="M402" i="20"/>
  <c r="P402" i="20" s="1"/>
  <c r="O446" i="20"/>
  <c r="L444" i="20"/>
  <c r="O444" i="20" s="1"/>
  <c r="O300" i="20"/>
  <c r="L298" i="20"/>
  <c r="O298" i="20" s="1"/>
  <c r="O184" i="20"/>
  <c r="M547" i="20"/>
  <c r="P547" i="20" s="1"/>
  <c r="M546" i="20"/>
  <c r="O121" i="20"/>
  <c r="L119" i="20"/>
  <c r="O119" i="20" s="1"/>
  <c r="L132" i="20"/>
  <c r="O132" i="20" s="1"/>
  <c r="O134" i="20"/>
  <c r="I131" i="17"/>
  <c r="K131" i="17" s="1"/>
  <c r="O631" i="18"/>
  <c r="O43" i="18"/>
  <c r="P43" i="18"/>
  <c r="P424" i="19"/>
  <c r="P317" i="19"/>
  <c r="N20" i="19"/>
  <c r="N18" i="19" s="1"/>
  <c r="M421" i="20"/>
  <c r="M419" i="20" s="1"/>
  <c r="P424" i="20"/>
  <c r="L345" i="20"/>
  <c r="O345" i="20" s="1"/>
  <c r="L20" i="20"/>
  <c r="O23" i="20"/>
  <c r="L21" i="20"/>
  <c r="O21" i="20" s="1"/>
  <c r="P446" i="20"/>
  <c r="M444" i="20"/>
  <c r="P444" i="20" s="1"/>
  <c r="P263" i="19"/>
  <c r="K237" i="20"/>
  <c r="I226" i="20"/>
  <c r="L419" i="20"/>
  <c r="I164" i="20"/>
  <c r="K164" i="20" s="1"/>
  <c r="K174" i="20"/>
  <c r="P26" i="20"/>
  <c r="O26" i="20"/>
  <c r="P132" i="17"/>
  <c r="O631" i="20"/>
  <c r="L629" i="20"/>
  <c r="O629" i="20" s="1"/>
  <c r="L9" i="20"/>
  <c r="O12" i="20"/>
  <c r="P15" i="20"/>
  <c r="M14" i="20"/>
  <c r="N53" i="20"/>
  <c r="P55" i="20"/>
  <c r="O19" i="20"/>
  <c r="P279" i="20"/>
  <c r="N277" i="20"/>
  <c r="O277" i="20" s="1"/>
  <c r="N16" i="20"/>
  <c r="N24" i="20"/>
  <c r="O24" i="20" s="1"/>
  <c r="L227" i="20"/>
  <c r="P280" i="20"/>
  <c r="O15" i="20"/>
  <c r="M9" i="20"/>
  <c r="L685" i="16"/>
  <c r="O685" i="16" s="1"/>
  <c r="L20" i="18"/>
  <c r="L18" i="18" s="1"/>
  <c r="P317" i="20"/>
  <c r="M315" i="20"/>
  <c r="P315" i="20" s="1"/>
  <c r="P263" i="20"/>
  <c r="M261" i="20"/>
  <c r="P261" i="20" s="1"/>
  <c r="P29" i="20"/>
  <c r="N149" i="20"/>
  <c r="P151" i="20"/>
  <c r="P91" i="20"/>
  <c r="O91" i="20"/>
  <c r="O631" i="19"/>
  <c r="L629" i="19"/>
  <c r="O629" i="19" s="1"/>
  <c r="P165" i="16"/>
  <c r="M328" i="18"/>
  <c r="P328" i="18" s="1"/>
  <c r="P26" i="18"/>
  <c r="O328" i="18"/>
  <c r="O167" i="18"/>
  <c r="N53" i="18"/>
  <c r="O53" i="18" s="1"/>
  <c r="L389" i="11"/>
  <c r="O389" i="11" s="1"/>
  <c r="K364" i="14"/>
  <c r="O165" i="18"/>
  <c r="P125" i="18"/>
  <c r="L31" i="19"/>
  <c r="O31" i="19" s="1"/>
  <c r="P183" i="19"/>
  <c r="P279" i="19"/>
  <c r="M277" i="19"/>
  <c r="P277" i="19" s="1"/>
  <c r="P68" i="12"/>
  <c r="L298" i="13"/>
  <c r="O298" i="13" s="1"/>
  <c r="P279" i="13"/>
  <c r="L34" i="15"/>
  <c r="O34" i="15" s="1"/>
  <c r="O165" i="16"/>
  <c r="L16" i="17"/>
  <c r="O16" i="17" s="1"/>
  <c r="L786" i="18"/>
  <c r="O786" i="18" s="1"/>
  <c r="N13" i="18"/>
  <c r="N11" i="18" s="1"/>
  <c r="P59" i="18"/>
  <c r="M328" i="19"/>
  <c r="P328" i="19" s="1"/>
  <c r="L328" i="19"/>
  <c r="O328" i="19" s="1"/>
  <c r="L345" i="19"/>
  <c r="O345" i="19" s="1"/>
  <c r="N21" i="19"/>
  <c r="O687" i="19"/>
  <c r="N13" i="19"/>
  <c r="L132" i="12"/>
  <c r="O132" i="12" s="1"/>
  <c r="K785" i="13"/>
  <c r="M402" i="18"/>
  <c r="P402" i="18" s="1"/>
  <c r="O121" i="18"/>
  <c r="P300" i="16"/>
  <c r="O280" i="18"/>
  <c r="P167" i="18"/>
  <c r="O183" i="19"/>
  <c r="O43" i="17"/>
  <c r="P261" i="18"/>
  <c r="N261" i="19"/>
  <c r="O261" i="19" s="1"/>
  <c r="L467" i="19"/>
  <c r="O467" i="19" s="1"/>
  <c r="O469" i="19"/>
  <c r="O347" i="11"/>
  <c r="P348" i="17"/>
  <c r="O134" i="17"/>
  <c r="O263" i="18"/>
  <c r="M16" i="18"/>
  <c r="M14" i="18" s="1"/>
  <c r="O421" i="18"/>
  <c r="K434" i="19"/>
  <c r="L88" i="19"/>
  <c r="M149" i="19"/>
  <c r="P149" i="19" s="1"/>
  <c r="P181" i="19"/>
  <c r="P23" i="19"/>
  <c r="M21" i="19"/>
  <c r="P347" i="15"/>
  <c r="M149" i="16"/>
  <c r="P149" i="16" s="1"/>
  <c r="O90" i="17"/>
  <c r="L149" i="18"/>
  <c r="O149" i="18" s="1"/>
  <c r="O277" i="18"/>
  <c r="L402" i="17"/>
  <c r="O402" i="17" s="1"/>
  <c r="M402" i="19"/>
  <c r="P402" i="19" s="1"/>
  <c r="O165" i="19"/>
  <c r="K174" i="19"/>
  <c r="I164" i="19"/>
  <c r="K164" i="19" s="1"/>
  <c r="O167" i="19"/>
  <c r="P183" i="15"/>
  <c r="O404" i="15"/>
  <c r="P90" i="17"/>
  <c r="O132" i="17"/>
  <c r="P263" i="18"/>
  <c r="M389" i="19"/>
  <c r="P389" i="19" s="1"/>
  <c r="O151" i="19"/>
  <c r="L149" i="19"/>
  <c r="O149" i="19" s="1"/>
  <c r="P69" i="19"/>
  <c r="L53" i="16"/>
  <c r="O53" i="16" s="1"/>
  <c r="P391" i="18"/>
  <c r="P55" i="18"/>
  <c r="P660" i="19"/>
  <c r="M657" i="19"/>
  <c r="M658" i="19"/>
  <c r="P658" i="19" s="1"/>
  <c r="P449" i="19"/>
  <c r="M447" i="19"/>
  <c r="P447" i="19" s="1"/>
  <c r="M446" i="19"/>
  <c r="M33" i="19"/>
  <c r="O404" i="19"/>
  <c r="L402" i="19"/>
  <c r="O402" i="19" s="1"/>
  <c r="L181" i="19"/>
  <c r="O181" i="19" s="1"/>
  <c r="M66" i="19"/>
  <c r="P66" i="19" s="1"/>
  <c r="L389" i="19"/>
  <c r="O389" i="19" s="1"/>
  <c r="M629" i="16"/>
  <c r="P629" i="16" s="1"/>
  <c r="M685" i="18"/>
  <c r="P685" i="18" s="1"/>
  <c r="O181" i="18"/>
  <c r="O134" i="19"/>
  <c r="L132" i="19"/>
  <c r="O132" i="19" s="1"/>
  <c r="K433" i="19"/>
  <c r="I417" i="19"/>
  <c r="K417" i="19" s="1"/>
  <c r="O546" i="19"/>
  <c r="L544" i="19"/>
  <c r="O544" i="19" s="1"/>
  <c r="M20" i="19"/>
  <c r="M16" i="19"/>
  <c r="P26" i="19"/>
  <c r="P167" i="19"/>
  <c r="M165" i="19"/>
  <c r="P165" i="19" s="1"/>
  <c r="P91" i="19"/>
  <c r="O91" i="19"/>
  <c r="P44" i="19"/>
  <c r="O44" i="19"/>
  <c r="O29" i="19"/>
  <c r="M631" i="19"/>
  <c r="M632" i="19"/>
  <c r="P632" i="19" s="1"/>
  <c r="P634" i="19"/>
  <c r="O525" i="19"/>
  <c r="L523" i="19"/>
  <c r="O523" i="19" s="1"/>
  <c r="O279" i="19"/>
  <c r="L277" i="19"/>
  <c r="O277" i="19" s="1"/>
  <c r="M24" i="19"/>
  <c r="P24" i="19" s="1"/>
  <c r="K417" i="17"/>
  <c r="L444" i="19"/>
  <c r="O444" i="19" s="1"/>
  <c r="O26" i="19"/>
  <c r="L16" i="19"/>
  <c r="L24" i="19"/>
  <c r="O24" i="19" s="1"/>
  <c r="O15" i="19"/>
  <c r="M261" i="19"/>
  <c r="P121" i="19"/>
  <c r="M119" i="19"/>
  <c r="P119" i="19" s="1"/>
  <c r="N9" i="19"/>
  <c r="P184" i="17"/>
  <c r="M277" i="18"/>
  <c r="P277" i="18" s="1"/>
  <c r="M149" i="18"/>
  <c r="P149" i="18" s="1"/>
  <c r="P91" i="18"/>
  <c r="M687" i="19"/>
  <c r="M688" i="19"/>
  <c r="P688" i="19" s="1"/>
  <c r="P690" i="19"/>
  <c r="M546" i="19"/>
  <c r="M547" i="19"/>
  <c r="P547" i="19" s="1"/>
  <c r="P549" i="19"/>
  <c r="L419" i="19"/>
  <c r="O421" i="19"/>
  <c r="O23" i="19"/>
  <c r="L20" i="19"/>
  <c r="L13" i="19"/>
  <c r="O121" i="19"/>
  <c r="L119" i="19"/>
  <c r="O119" i="19" s="1"/>
  <c r="M9" i="19"/>
  <c r="P12" i="19"/>
  <c r="O12" i="19"/>
  <c r="L9" i="19"/>
  <c r="I64" i="19"/>
  <c r="K64" i="19" s="1"/>
  <c r="K76" i="19"/>
  <c r="O66" i="19"/>
  <c r="L21" i="19"/>
  <c r="O91" i="17"/>
  <c r="P347" i="18"/>
  <c r="L315" i="18"/>
  <c r="O315" i="18" s="1"/>
  <c r="O317" i="18"/>
  <c r="P167" i="16"/>
  <c r="P263" i="17"/>
  <c r="L20" i="17"/>
  <c r="L18" i="17" s="1"/>
  <c r="O263" i="17"/>
  <c r="O469" i="18"/>
  <c r="L467" i="18"/>
  <c r="O467" i="18" s="1"/>
  <c r="O55" i="15"/>
  <c r="L13" i="17"/>
  <c r="L11" i="17" s="1"/>
  <c r="P23" i="18"/>
  <c r="O68" i="18"/>
  <c r="L41" i="18"/>
  <c r="O41" i="18" s="1"/>
  <c r="O21" i="18"/>
  <c r="K275" i="14"/>
  <c r="P331" i="16"/>
  <c r="L523" i="17"/>
  <c r="O523" i="17" s="1"/>
  <c r="L298" i="18"/>
  <c r="O298" i="18" s="1"/>
  <c r="M20" i="18"/>
  <c r="M18" i="18" s="1"/>
  <c r="M298" i="18"/>
  <c r="P298" i="18" s="1"/>
  <c r="P134" i="17"/>
  <c r="P68" i="18"/>
  <c r="M66" i="18"/>
  <c r="P66" i="18" s="1"/>
  <c r="O36" i="18"/>
  <c r="L30" i="18"/>
  <c r="L444" i="16"/>
  <c r="O444" i="16" s="1"/>
  <c r="K559" i="17"/>
  <c r="O546" i="17"/>
  <c r="L30" i="17"/>
  <c r="O30" i="17" s="1"/>
  <c r="I226" i="18"/>
  <c r="K226" i="18" s="1"/>
  <c r="L132" i="18"/>
  <c r="O132" i="18" s="1"/>
  <c r="O134" i="18"/>
  <c r="I418" i="18"/>
  <c r="K418" i="18" s="1"/>
  <c r="K434" i="18"/>
  <c r="O279" i="14"/>
  <c r="K433" i="17"/>
  <c r="M345" i="18"/>
  <c r="P345" i="18" s="1"/>
  <c r="L13" i="18"/>
  <c r="L11" i="18" s="1"/>
  <c r="O330" i="18"/>
  <c r="O183" i="18"/>
  <c r="O391" i="18"/>
  <c r="L389" i="18"/>
  <c r="O389" i="18" s="1"/>
  <c r="O167" i="12"/>
  <c r="M119" i="16"/>
  <c r="P119" i="16" s="1"/>
  <c r="N298" i="16"/>
  <c r="P298" i="16" s="1"/>
  <c r="M631" i="17"/>
  <c r="M629" i="17" s="1"/>
  <c r="P629" i="17" s="1"/>
  <c r="O23" i="18"/>
  <c r="O347" i="18"/>
  <c r="P347" i="17"/>
  <c r="P330" i="14"/>
  <c r="O183" i="17"/>
  <c r="M21" i="18"/>
  <c r="P21" i="18" s="1"/>
  <c r="P183" i="18"/>
  <c r="M181" i="18"/>
  <c r="P181" i="18" s="1"/>
  <c r="P317" i="18"/>
  <c r="M315" i="18"/>
  <c r="P315" i="18" s="1"/>
  <c r="P549" i="18"/>
  <c r="M547" i="18"/>
  <c r="P547" i="18" s="1"/>
  <c r="M546" i="18"/>
  <c r="P546" i="18" s="1"/>
  <c r="M33" i="18"/>
  <c r="O90" i="18"/>
  <c r="L88" i="18"/>
  <c r="P300" i="13"/>
  <c r="L30" i="15"/>
  <c r="L28" i="15" s="1"/>
  <c r="M444" i="16"/>
  <c r="P444" i="16" s="1"/>
  <c r="K433" i="16"/>
  <c r="M657" i="18"/>
  <c r="M658" i="18"/>
  <c r="P658" i="18" s="1"/>
  <c r="P660" i="18"/>
  <c r="P791" i="18"/>
  <c r="M788" i="18"/>
  <c r="M789" i="18"/>
  <c r="P789" i="18" s="1"/>
  <c r="M467" i="18"/>
  <c r="P467" i="18" s="1"/>
  <c r="P469" i="18"/>
  <c r="O12" i="18"/>
  <c r="L9" i="18"/>
  <c r="K76" i="18"/>
  <c r="I64" i="18"/>
  <c r="K64" i="18" s="1"/>
  <c r="O90" i="12"/>
  <c r="O330" i="15"/>
  <c r="O547" i="15"/>
  <c r="K417" i="16"/>
  <c r="O167" i="15"/>
  <c r="I64" i="17"/>
  <c r="K64" i="17" s="1"/>
  <c r="M389" i="16"/>
  <c r="P389" i="16" s="1"/>
  <c r="P68" i="17"/>
  <c r="N629" i="18"/>
  <c r="O629" i="18" s="1"/>
  <c r="L261" i="18"/>
  <c r="O261" i="18" s="1"/>
  <c r="N24" i="18"/>
  <c r="P24" i="18" s="1"/>
  <c r="N16" i="18"/>
  <c r="N14" i="18" s="1"/>
  <c r="O298" i="8"/>
  <c r="P167" i="15"/>
  <c r="K364" i="15"/>
  <c r="P449" i="16"/>
  <c r="L165" i="17"/>
  <c r="O165" i="17" s="1"/>
  <c r="L523" i="18"/>
  <c r="K559" i="18"/>
  <c r="I543" i="18"/>
  <c r="K543" i="18" s="1"/>
  <c r="P19" i="18"/>
  <c r="K143" i="18"/>
  <c r="I131" i="18"/>
  <c r="K131" i="18" s="1"/>
  <c r="M447" i="16"/>
  <c r="P447" i="16" s="1"/>
  <c r="I64" i="16"/>
  <c r="K64" i="16" s="1"/>
  <c r="M685" i="17"/>
  <c r="P685" i="17" s="1"/>
  <c r="I65" i="18"/>
  <c r="K65" i="18" s="1"/>
  <c r="K77" i="18"/>
  <c r="L119" i="18"/>
  <c r="O119" i="18" s="1"/>
  <c r="K288" i="18"/>
  <c r="O26" i="18"/>
  <c r="L16" i="18"/>
  <c r="L24" i="18"/>
  <c r="M402" i="15"/>
  <c r="P402" i="15" s="1"/>
  <c r="P421" i="18"/>
  <c r="M419" i="18"/>
  <c r="P545" i="18"/>
  <c r="M629" i="18"/>
  <c r="P629" i="18" s="1"/>
  <c r="O419" i="18"/>
  <c r="P121" i="18"/>
  <c r="M119" i="18"/>
  <c r="P119" i="18" s="1"/>
  <c r="P12" i="18"/>
  <c r="M9" i="18"/>
  <c r="P404" i="17"/>
  <c r="M402" i="17"/>
  <c r="P402" i="17" s="1"/>
  <c r="O19" i="18"/>
  <c r="K275" i="18"/>
  <c r="N20" i="18"/>
  <c r="N18" i="18" s="1"/>
  <c r="O263" i="16"/>
  <c r="P23" i="16"/>
  <c r="M88" i="17"/>
  <c r="P88" i="17" s="1"/>
  <c r="P90" i="12"/>
  <c r="P279" i="15"/>
  <c r="P55" i="15"/>
  <c r="L30" i="16"/>
  <c r="O30" i="16" s="1"/>
  <c r="N261" i="16"/>
  <c r="O261" i="16" s="1"/>
  <c r="L16" i="15"/>
  <c r="O16" i="15" s="1"/>
  <c r="L31" i="16"/>
  <c r="O31" i="16" s="1"/>
  <c r="P16" i="17"/>
  <c r="N41" i="17"/>
  <c r="O41" i="17" s="1"/>
  <c r="L181" i="17"/>
  <c r="O181" i="17" s="1"/>
  <c r="O33" i="17"/>
  <c r="O88" i="16"/>
  <c r="L31" i="17"/>
  <c r="O31" i="17" s="1"/>
  <c r="P279" i="17"/>
  <c r="P26" i="17"/>
  <c r="O317" i="17"/>
  <c r="L315" i="17"/>
  <c r="O315" i="17" s="1"/>
  <c r="L119" i="17"/>
  <c r="O119" i="17" s="1"/>
  <c r="O121" i="17"/>
  <c r="M789" i="16"/>
  <c r="P789" i="16" s="1"/>
  <c r="O55" i="17"/>
  <c r="L88" i="17"/>
  <c r="O88" i="17" s="1"/>
  <c r="N66" i="17"/>
  <c r="P66" i="17" s="1"/>
  <c r="I226" i="13"/>
  <c r="K226" i="13" s="1"/>
  <c r="K785" i="15"/>
  <c r="N13" i="16"/>
  <c r="N11" i="16" s="1"/>
  <c r="P43" i="15"/>
  <c r="N14" i="17"/>
  <c r="O26" i="17"/>
  <c r="O330" i="13"/>
  <c r="M788" i="16"/>
  <c r="P788" i="16" s="1"/>
  <c r="K785" i="16"/>
  <c r="P134" i="15"/>
  <c r="L786" i="17"/>
  <c r="O786" i="17" s="1"/>
  <c r="M119" i="17"/>
  <c r="P119" i="17" s="1"/>
  <c r="N24" i="17"/>
  <c r="O24" i="17" s="1"/>
  <c r="P167" i="17"/>
  <c r="M165" i="17"/>
  <c r="P165" i="17" s="1"/>
  <c r="M546" i="14"/>
  <c r="P546" i="14" s="1"/>
  <c r="K174" i="15"/>
  <c r="N53" i="15"/>
  <c r="O53" i="15" s="1"/>
  <c r="P328" i="14"/>
  <c r="K275" i="16"/>
  <c r="O168" i="15"/>
  <c r="O264" i="16"/>
  <c r="O167" i="16"/>
  <c r="L467" i="17"/>
  <c r="O467" i="17" s="1"/>
  <c r="M632" i="17"/>
  <c r="P632" i="17" s="1"/>
  <c r="L261" i="17"/>
  <c r="O261" i="17" s="1"/>
  <c r="P43" i="17"/>
  <c r="O279" i="17"/>
  <c r="L34" i="17"/>
  <c r="O34" i="17" s="1"/>
  <c r="O36" i="17"/>
  <c r="M315" i="11"/>
  <c r="P315" i="11" s="1"/>
  <c r="M402" i="13"/>
  <c r="P402" i="13" s="1"/>
  <c r="P549" i="14"/>
  <c r="P263" i="15"/>
  <c r="L165" i="15"/>
  <c r="O165" i="15" s="1"/>
  <c r="N41" i="15"/>
  <c r="P41" i="15" s="1"/>
  <c r="O300" i="16"/>
  <c r="N277" i="16"/>
  <c r="O277" i="16" s="1"/>
  <c r="I65" i="17"/>
  <c r="K65" i="17" s="1"/>
  <c r="K77" i="17"/>
  <c r="M181" i="17"/>
  <c r="P181" i="17" s="1"/>
  <c r="P183" i="17"/>
  <c r="O391" i="17"/>
  <c r="L389" i="17"/>
  <c r="O389" i="17" s="1"/>
  <c r="I226" i="17"/>
  <c r="O167" i="8"/>
  <c r="O263" i="7"/>
  <c r="L34" i="16"/>
  <c r="O34" i="16" s="1"/>
  <c r="N20" i="16"/>
  <c r="N18" i="16" s="1"/>
  <c r="P53" i="17"/>
  <c r="L444" i="17"/>
  <c r="O444" i="17" s="1"/>
  <c r="L629" i="17"/>
  <c r="O629" i="17" s="1"/>
  <c r="O631" i="17"/>
  <c r="M88" i="12"/>
  <c r="P88" i="12" s="1"/>
  <c r="K288" i="14"/>
  <c r="M788" i="15"/>
  <c r="P788" i="15" s="1"/>
  <c r="P351" i="16"/>
  <c r="N16" i="16"/>
  <c r="N14" i="16" s="1"/>
  <c r="O330" i="17"/>
  <c r="P424" i="11"/>
  <c r="P26" i="13"/>
  <c r="P59" i="14"/>
  <c r="L523" i="15"/>
  <c r="O523" i="15" s="1"/>
  <c r="M789" i="15"/>
  <c r="P789" i="15" s="1"/>
  <c r="K275" i="15"/>
  <c r="P55" i="17"/>
  <c r="L149" i="17"/>
  <c r="O149" i="17" s="1"/>
  <c r="O68" i="17"/>
  <c r="O347" i="17"/>
  <c r="L345" i="17"/>
  <c r="O345" i="17" s="1"/>
  <c r="M547" i="17"/>
  <c r="P547" i="17" s="1"/>
  <c r="M546" i="17"/>
  <c r="O68" i="12"/>
  <c r="O264" i="14"/>
  <c r="P348" i="16"/>
  <c r="O43" i="16"/>
  <c r="M421" i="17"/>
  <c r="M422" i="17"/>
  <c r="P422" i="17" s="1"/>
  <c r="P424" i="17"/>
  <c r="M33" i="17"/>
  <c r="M13" i="17" s="1"/>
  <c r="P472" i="17"/>
  <c r="M469" i="17"/>
  <c r="M470" i="17"/>
  <c r="P470" i="17" s="1"/>
  <c r="P660" i="17"/>
  <c r="M658" i="17"/>
  <c r="P658" i="17" s="1"/>
  <c r="M657" i="17"/>
  <c r="O421" i="17"/>
  <c r="K288" i="17"/>
  <c r="O15" i="17"/>
  <c r="P331" i="17"/>
  <c r="O331" i="17"/>
  <c r="P277" i="17"/>
  <c r="N9" i="17"/>
  <c r="N328" i="17"/>
  <c r="P328" i="17" s="1"/>
  <c r="O238" i="17"/>
  <c r="L227" i="17"/>
  <c r="L277" i="17"/>
  <c r="O277" i="17" s="1"/>
  <c r="M261" i="17"/>
  <c r="P261" i="17" s="1"/>
  <c r="O90" i="16"/>
  <c r="P68" i="15"/>
  <c r="M41" i="17"/>
  <c r="O419" i="17"/>
  <c r="N414" i="17"/>
  <c r="N20" i="17"/>
  <c r="N18" i="17" s="1"/>
  <c r="N13" i="17"/>
  <c r="N21" i="17"/>
  <c r="O21" i="17" s="1"/>
  <c r="P151" i="17"/>
  <c r="M149" i="17"/>
  <c r="P149" i="17" s="1"/>
  <c r="P15" i="17"/>
  <c r="P23" i="17"/>
  <c r="M20" i="17"/>
  <c r="M21" i="17"/>
  <c r="I418" i="17"/>
  <c r="K418" i="17" s="1"/>
  <c r="K434" i="17"/>
  <c r="M9" i="17"/>
  <c r="O151" i="16"/>
  <c r="L149" i="16"/>
  <c r="O149" i="16" s="1"/>
  <c r="O23" i="17"/>
  <c r="M444" i="17"/>
  <c r="P444" i="17" s="1"/>
  <c r="P446" i="17"/>
  <c r="O12" i="17"/>
  <c r="L9" i="17"/>
  <c r="O53" i="17"/>
  <c r="O66" i="15"/>
  <c r="O183" i="10"/>
  <c r="P300" i="10"/>
  <c r="O167" i="10"/>
  <c r="I64" i="14"/>
  <c r="K64" i="14" s="1"/>
  <c r="O68" i="15"/>
  <c r="M181" i="16"/>
  <c r="P181" i="16" s="1"/>
  <c r="P263" i="16"/>
  <c r="P56" i="16"/>
  <c r="K364" i="12"/>
  <c r="L655" i="14"/>
  <c r="O655" i="14" s="1"/>
  <c r="K434" i="16"/>
  <c r="O43" i="13"/>
  <c r="P43" i="13"/>
  <c r="K143" i="16"/>
  <c r="I131" i="16"/>
  <c r="K131" i="16" s="1"/>
  <c r="O657" i="16"/>
  <c r="L655" i="16"/>
  <c r="O655" i="16" s="1"/>
  <c r="O184" i="14"/>
  <c r="O345" i="13"/>
  <c r="I226" i="10"/>
  <c r="K226" i="10" s="1"/>
  <c r="K364" i="13"/>
  <c r="O300" i="14"/>
  <c r="P21" i="14"/>
  <c r="M24" i="15"/>
  <c r="M21" i="16"/>
  <c r="P21" i="16" s="1"/>
  <c r="M20" i="16"/>
  <c r="P404" i="16"/>
  <c r="M402" i="16"/>
  <c r="P402" i="16" s="1"/>
  <c r="K77" i="11"/>
  <c r="P149" i="14"/>
  <c r="O43" i="15"/>
  <c r="P301" i="16"/>
  <c r="M470" i="16"/>
  <c r="P470" i="16" s="1"/>
  <c r="M469" i="16"/>
  <c r="L685" i="12"/>
  <c r="O685" i="12" s="1"/>
  <c r="K174" i="13"/>
  <c r="L655" i="15"/>
  <c r="O655" i="15" s="1"/>
  <c r="L467" i="16"/>
  <c r="O467" i="16" s="1"/>
  <c r="P279" i="16"/>
  <c r="M277" i="16"/>
  <c r="I65" i="10"/>
  <c r="K65" i="10" s="1"/>
  <c r="K364" i="10"/>
  <c r="O421" i="13"/>
  <c r="L315" i="16"/>
  <c r="O315" i="16" s="1"/>
  <c r="P134" i="16"/>
  <c r="M132" i="16"/>
  <c r="P132" i="16" s="1"/>
  <c r="O525" i="16"/>
  <c r="L523" i="16"/>
  <c r="O523" i="16" s="1"/>
  <c r="M389" i="13"/>
  <c r="P389" i="13" s="1"/>
  <c r="P151" i="14"/>
  <c r="O134" i="15"/>
  <c r="L419" i="15"/>
  <c r="O419" i="15" s="1"/>
  <c r="M315" i="16"/>
  <c r="P315" i="16" s="1"/>
  <c r="K559" i="16"/>
  <c r="I543" i="16"/>
  <c r="K543" i="16" s="1"/>
  <c r="P688" i="16"/>
  <c r="L16" i="16"/>
  <c r="O26" i="16"/>
  <c r="K237" i="16"/>
  <c r="I226" i="16"/>
  <c r="O23" i="16"/>
  <c r="L20" i="16"/>
  <c r="L13" i="16"/>
  <c r="L21" i="16"/>
  <c r="O21" i="16" s="1"/>
  <c r="P687" i="16"/>
  <c r="M685" i="16"/>
  <c r="P685" i="16" s="1"/>
  <c r="M24" i="16"/>
  <c r="P24" i="16" s="1"/>
  <c r="O277" i="11"/>
  <c r="L328" i="15"/>
  <c r="O328" i="15" s="1"/>
  <c r="P545" i="16"/>
  <c r="M16" i="16"/>
  <c r="P26" i="16"/>
  <c r="P90" i="16"/>
  <c r="M88" i="16"/>
  <c r="P88" i="16" s="1"/>
  <c r="P55" i="10"/>
  <c r="P167" i="14"/>
  <c r="O546" i="15"/>
  <c r="M421" i="16"/>
  <c r="P424" i="16"/>
  <c r="M422" i="16"/>
  <c r="P422" i="16" s="1"/>
  <c r="M33" i="16"/>
  <c r="O419" i="16"/>
  <c r="N328" i="16"/>
  <c r="P328" i="16" s="1"/>
  <c r="N9" i="16"/>
  <c r="P264" i="16"/>
  <c r="O15" i="16"/>
  <c r="L9" i="16"/>
  <c r="O68" i="16"/>
  <c r="L66" i="16"/>
  <c r="O66" i="16" s="1"/>
  <c r="P43" i="16"/>
  <c r="N41" i="16"/>
  <c r="P29" i="16"/>
  <c r="M657" i="16"/>
  <c r="M658" i="16"/>
  <c r="P658" i="16" s="1"/>
  <c r="P660" i="16"/>
  <c r="L328" i="16"/>
  <c r="O330" i="16"/>
  <c r="P55" i="16"/>
  <c r="M53" i="16"/>
  <c r="M9" i="16"/>
  <c r="P12" i="16"/>
  <c r="O391" i="16"/>
  <c r="L389" i="16"/>
  <c r="O389" i="16" s="1"/>
  <c r="O404" i="16"/>
  <c r="L402" i="16"/>
  <c r="O402" i="16" s="1"/>
  <c r="L24" i="16"/>
  <c r="O24" i="16" s="1"/>
  <c r="O347" i="16"/>
  <c r="N345" i="16"/>
  <c r="P345" i="16" s="1"/>
  <c r="M132" i="14"/>
  <c r="P132" i="14" s="1"/>
  <c r="O33" i="14"/>
  <c r="L544" i="14"/>
  <c r="O544" i="14" s="1"/>
  <c r="M119" i="15"/>
  <c r="P119" i="15" s="1"/>
  <c r="P549" i="16"/>
  <c r="M546" i="16"/>
  <c r="P546" i="16" s="1"/>
  <c r="M547" i="16"/>
  <c r="P547" i="16" s="1"/>
  <c r="P347" i="16"/>
  <c r="K364" i="16"/>
  <c r="O238" i="16"/>
  <c r="L227" i="16"/>
  <c r="O121" i="15"/>
  <c r="L119" i="15"/>
  <c r="O119" i="15" s="1"/>
  <c r="L402" i="14"/>
  <c r="O402" i="14" s="1"/>
  <c r="P132" i="15"/>
  <c r="P657" i="14"/>
  <c r="M655" i="14"/>
  <c r="P655" i="14" s="1"/>
  <c r="L315" i="15"/>
  <c r="O315" i="15" s="1"/>
  <c r="M261" i="15"/>
  <c r="P261" i="15" s="1"/>
  <c r="L389" i="15"/>
  <c r="O389" i="15" s="1"/>
  <c r="O183" i="12"/>
  <c r="P183" i="12"/>
  <c r="N277" i="15"/>
  <c r="P277" i="15" s="1"/>
  <c r="L523" i="11"/>
  <c r="O523" i="11" s="1"/>
  <c r="M181" i="12"/>
  <c r="P181" i="12" s="1"/>
  <c r="P300" i="12"/>
  <c r="M315" i="13"/>
  <c r="P315" i="13" s="1"/>
  <c r="O44" i="13"/>
  <c r="O167" i="13"/>
  <c r="P41" i="13"/>
  <c r="O301" i="14"/>
  <c r="P183" i="14"/>
  <c r="P300" i="14"/>
  <c r="I65" i="15"/>
  <c r="K65" i="15" s="1"/>
  <c r="N181" i="15"/>
  <c r="O181" i="15" s="1"/>
  <c r="O263" i="15"/>
  <c r="L261" i="15"/>
  <c r="O261" i="15" s="1"/>
  <c r="P41" i="12"/>
  <c r="M419" i="14"/>
  <c r="P419" i="14" s="1"/>
  <c r="I418" i="14"/>
  <c r="K418" i="14" s="1"/>
  <c r="N24" i="15"/>
  <c r="O135" i="15"/>
  <c r="O53" i="10"/>
  <c r="M389" i="11"/>
  <c r="P389" i="11" s="1"/>
  <c r="P55" i="12"/>
  <c r="M24" i="13"/>
  <c r="O43" i="12"/>
  <c r="M53" i="15"/>
  <c r="M88" i="15"/>
  <c r="P88" i="15" s="1"/>
  <c r="P56" i="15"/>
  <c r="O132" i="15"/>
  <c r="L629" i="15"/>
  <c r="O629" i="15" s="1"/>
  <c r="L34" i="6"/>
  <c r="O34" i="6" s="1"/>
  <c r="L629" i="10"/>
  <c r="O629" i="10" s="1"/>
  <c r="O658" i="13"/>
  <c r="O546" i="13"/>
  <c r="P134" i="13"/>
  <c r="K417" i="13"/>
  <c r="L132" i="14"/>
  <c r="O132" i="14" s="1"/>
  <c r="O26" i="14"/>
  <c r="M315" i="15"/>
  <c r="P315" i="15" s="1"/>
  <c r="O279" i="15"/>
  <c r="L277" i="15"/>
  <c r="N414" i="15"/>
  <c r="P149" i="11"/>
  <c r="P277" i="11"/>
  <c r="N24" i="12"/>
  <c r="O422" i="14"/>
  <c r="O43" i="14"/>
  <c r="P152" i="14"/>
  <c r="L119" i="14"/>
  <c r="O119" i="14" s="1"/>
  <c r="O391" i="14"/>
  <c r="I417" i="15"/>
  <c r="K417" i="15" s="1"/>
  <c r="K433" i="15"/>
  <c r="L227" i="15"/>
  <c r="O29" i="15"/>
  <c r="O469" i="15"/>
  <c r="L467" i="15"/>
  <c r="O467" i="15" s="1"/>
  <c r="M165" i="15"/>
  <c r="P165" i="15" s="1"/>
  <c r="P91" i="15"/>
  <c r="P300" i="11"/>
  <c r="P149" i="12"/>
  <c r="N165" i="13"/>
  <c r="P165" i="13" s="1"/>
  <c r="P547" i="15"/>
  <c r="L685" i="15"/>
  <c r="O685" i="15" s="1"/>
  <c r="O687" i="15"/>
  <c r="M419" i="15"/>
  <c r="P421" i="15"/>
  <c r="P544" i="15"/>
  <c r="M21" i="15"/>
  <c r="P23" i="15"/>
  <c r="M20" i="15"/>
  <c r="N30" i="15"/>
  <c r="O33" i="15"/>
  <c r="P12" i="15"/>
  <c r="M9" i="15"/>
  <c r="O183" i="15"/>
  <c r="O263" i="14"/>
  <c r="P68" i="14"/>
  <c r="P23" i="14"/>
  <c r="M446" i="15"/>
  <c r="P449" i="15"/>
  <c r="M447" i="15"/>
  <c r="P447" i="15" s="1"/>
  <c r="M33" i="15"/>
  <c r="M13" i="15" s="1"/>
  <c r="M11" i="15" s="1"/>
  <c r="O300" i="15"/>
  <c r="N298" i="15"/>
  <c r="O298" i="15" s="1"/>
  <c r="N345" i="15"/>
  <c r="O345" i="15" s="1"/>
  <c r="L88" i="15"/>
  <c r="O88" i="15" s="1"/>
  <c r="O90" i="15"/>
  <c r="M14" i="15"/>
  <c r="P14" i="15" s="1"/>
  <c r="P16" i="15"/>
  <c r="M629" i="15"/>
  <c r="P629" i="15" s="1"/>
  <c r="P631" i="15"/>
  <c r="O347" i="15"/>
  <c r="O31" i="15"/>
  <c r="P348" i="15"/>
  <c r="O348" i="15"/>
  <c r="N31" i="15"/>
  <c r="O446" i="14"/>
  <c r="N20" i="15"/>
  <c r="N18" i="15" s="1"/>
  <c r="N13" i="15"/>
  <c r="N10" i="15" s="1"/>
  <c r="N21" i="15"/>
  <c r="K76" i="15"/>
  <c r="I64" i="15"/>
  <c r="K64" i="15" s="1"/>
  <c r="O15" i="15"/>
  <c r="O23" i="15"/>
  <c r="L20" i="15"/>
  <c r="L13" i="15"/>
  <c r="L21" i="15"/>
  <c r="K237" i="15"/>
  <c r="I226" i="15"/>
  <c r="P26" i="15"/>
  <c r="L88" i="12"/>
  <c r="O88" i="12" s="1"/>
  <c r="K237" i="13"/>
  <c r="M687" i="15"/>
  <c r="P690" i="15"/>
  <c r="M688" i="15"/>
  <c r="P688" i="15" s="1"/>
  <c r="M469" i="15"/>
  <c r="P472" i="15"/>
  <c r="M470" i="15"/>
  <c r="P470" i="15" s="1"/>
  <c r="K434" i="15"/>
  <c r="I418" i="15"/>
  <c r="K418" i="15" s="1"/>
  <c r="O151" i="15"/>
  <c r="N149" i="15"/>
  <c r="O9" i="15"/>
  <c r="P151" i="15"/>
  <c r="L444" i="15"/>
  <c r="O446" i="15"/>
  <c r="M328" i="15"/>
  <c r="P328" i="15" s="1"/>
  <c r="P330" i="15"/>
  <c r="O26" i="15"/>
  <c r="P300" i="15"/>
  <c r="M298" i="15"/>
  <c r="M389" i="15"/>
  <c r="P389" i="15" s="1"/>
  <c r="P391" i="15"/>
  <c r="N9" i="15"/>
  <c r="K143" i="15"/>
  <c r="I131" i="15"/>
  <c r="K131" i="15" s="1"/>
  <c r="P66" i="15"/>
  <c r="P19" i="15"/>
  <c r="O469" i="11"/>
  <c r="O330" i="12"/>
  <c r="L786" i="14"/>
  <c r="O786" i="14" s="1"/>
  <c r="L523" i="14"/>
  <c r="O523" i="14" s="1"/>
  <c r="P263" i="14"/>
  <c r="O68" i="14"/>
  <c r="O21" i="14"/>
  <c r="P90" i="13"/>
  <c r="L66" i="12"/>
  <c r="O66" i="12" s="1"/>
  <c r="P43" i="12"/>
  <c r="O328" i="13"/>
  <c r="L629" i="14"/>
  <c r="O629" i="14" s="1"/>
  <c r="O68" i="9"/>
  <c r="O151" i="12"/>
  <c r="L227" i="12"/>
  <c r="P347" i="13"/>
  <c r="M119" i="13"/>
  <c r="P119" i="13" s="1"/>
  <c r="M261" i="14"/>
  <c r="P261" i="14" s="1"/>
  <c r="L13" i="14"/>
  <c r="L11" i="14" s="1"/>
  <c r="L20" i="14"/>
  <c r="L18" i="14" s="1"/>
  <c r="O66" i="11"/>
  <c r="P151" i="12"/>
  <c r="K143" i="13"/>
  <c r="O90" i="13"/>
  <c r="I64" i="13"/>
  <c r="K64" i="13" s="1"/>
  <c r="I131" i="14"/>
  <c r="K131" i="14" s="1"/>
  <c r="P90" i="14"/>
  <c r="P43" i="14"/>
  <c r="M41" i="14"/>
  <c r="P41" i="14" s="1"/>
  <c r="L149" i="14"/>
  <c r="O149" i="14" s="1"/>
  <c r="O151" i="14"/>
  <c r="L119" i="7"/>
  <c r="O119" i="7" s="1"/>
  <c r="M298" i="14"/>
  <c r="P298" i="14" s="1"/>
  <c r="P347" i="12"/>
  <c r="N298" i="12"/>
  <c r="O298" i="12" s="1"/>
  <c r="N277" i="13"/>
  <c r="P277" i="13" s="1"/>
  <c r="M402" i="14"/>
  <c r="P402" i="14" s="1"/>
  <c r="L16" i="14"/>
  <c r="L14" i="14" s="1"/>
  <c r="P88" i="14"/>
  <c r="K174" i="14"/>
  <c r="L41" i="14"/>
  <c r="O41" i="14" s="1"/>
  <c r="O69" i="14"/>
  <c r="L30" i="14"/>
  <c r="O30" i="14" s="1"/>
  <c r="L34" i="14"/>
  <c r="O34" i="14" s="1"/>
  <c r="M315" i="14"/>
  <c r="P315" i="14" s="1"/>
  <c r="O328" i="8"/>
  <c r="P634" i="12"/>
  <c r="N53" i="12"/>
  <c r="P53" i="12" s="1"/>
  <c r="L315" i="12"/>
  <c r="O315" i="12" s="1"/>
  <c r="L227" i="13"/>
  <c r="O419" i="14"/>
  <c r="P449" i="14"/>
  <c r="M446" i="14"/>
  <c r="M447" i="14"/>
  <c r="P447" i="14" s="1"/>
  <c r="L315" i="14"/>
  <c r="O315" i="14" s="1"/>
  <c r="P279" i="14"/>
  <c r="M277" i="14"/>
  <c r="P277" i="14" s="1"/>
  <c r="N9" i="14"/>
  <c r="P66" i="14"/>
  <c r="O55" i="14"/>
  <c r="N53" i="14"/>
  <c r="P53" i="14" s="1"/>
  <c r="N16" i="14"/>
  <c r="N14" i="14" s="1"/>
  <c r="N24" i="14"/>
  <c r="O24" i="14" s="1"/>
  <c r="K433" i="14"/>
  <c r="O29" i="14"/>
  <c r="L227" i="14"/>
  <c r="P12" i="14"/>
  <c r="M9" i="14"/>
  <c r="M181" i="14"/>
  <c r="P181" i="14" s="1"/>
  <c r="P91" i="14"/>
  <c r="N20" i="14"/>
  <c r="O23" i="14"/>
  <c r="N13" i="14"/>
  <c r="N11" i="14" s="1"/>
  <c r="O300" i="8"/>
  <c r="O330" i="11"/>
  <c r="O469" i="12"/>
  <c r="L149" i="12"/>
  <c r="O149" i="12" s="1"/>
  <c r="P331" i="12"/>
  <c r="P330" i="11"/>
  <c r="M631" i="12"/>
  <c r="O132" i="13"/>
  <c r="I226" i="14"/>
  <c r="K237" i="14"/>
  <c r="K417" i="14"/>
  <c r="O330" i="14"/>
  <c r="L328" i="14"/>
  <c r="O328" i="14" s="1"/>
  <c r="M389" i="14"/>
  <c r="P389" i="14" s="1"/>
  <c r="M16" i="14"/>
  <c r="P26" i="14"/>
  <c r="P55" i="14"/>
  <c r="M165" i="14"/>
  <c r="P165" i="14" s="1"/>
  <c r="M24" i="14"/>
  <c r="O165" i="4"/>
  <c r="M470" i="14"/>
  <c r="P470" i="14" s="1"/>
  <c r="P472" i="14"/>
  <c r="M469" i="14"/>
  <c r="P631" i="14"/>
  <c r="M629" i="14"/>
  <c r="P629" i="14" s="1"/>
  <c r="M33" i="14"/>
  <c r="O277" i="14"/>
  <c r="L298" i="14"/>
  <c r="O298" i="14" s="1"/>
  <c r="O183" i="14"/>
  <c r="L181" i="14"/>
  <c r="O181" i="14" s="1"/>
  <c r="K77" i="14"/>
  <c r="I65" i="14"/>
  <c r="K65" i="14" s="1"/>
  <c r="O12" i="14"/>
  <c r="L9" i="14"/>
  <c r="P317" i="12"/>
  <c r="O134" i="13"/>
  <c r="L467" i="14"/>
  <c r="O467" i="14" s="1"/>
  <c r="O469" i="14"/>
  <c r="O421" i="14"/>
  <c r="O347" i="14"/>
  <c r="L345" i="14"/>
  <c r="O351" i="14"/>
  <c r="M119" i="14"/>
  <c r="P119" i="14" s="1"/>
  <c r="P121" i="14"/>
  <c r="O19" i="14"/>
  <c r="L66" i="14"/>
  <c r="O66" i="14" s="1"/>
  <c r="M132" i="12"/>
  <c r="P132" i="12" s="1"/>
  <c r="O467" i="12"/>
  <c r="L419" i="12"/>
  <c r="O419" i="12" s="1"/>
  <c r="O544" i="13"/>
  <c r="L402" i="13"/>
  <c r="O402" i="13" s="1"/>
  <c r="O657" i="13"/>
  <c r="L685" i="14"/>
  <c r="O685" i="14" s="1"/>
  <c r="N345" i="14"/>
  <c r="P345" i="14" s="1"/>
  <c r="P347" i="14"/>
  <c r="M20" i="14"/>
  <c r="O167" i="14"/>
  <c r="L165" i="14"/>
  <c r="O165" i="14" s="1"/>
  <c r="O90" i="14"/>
  <c r="L88" i="14"/>
  <c r="O88" i="14" s="1"/>
  <c r="P19" i="14"/>
  <c r="L261" i="14"/>
  <c r="O261" i="14" s="1"/>
  <c r="P29" i="14"/>
  <c r="O261" i="12"/>
  <c r="P138" i="13"/>
  <c r="O88" i="13"/>
  <c r="I65" i="13"/>
  <c r="K65" i="13" s="1"/>
  <c r="K433" i="12"/>
  <c r="N149" i="13"/>
  <c r="P149" i="13" s="1"/>
  <c r="M20" i="12"/>
  <c r="M18" i="12" s="1"/>
  <c r="P23" i="12"/>
  <c r="O422" i="13"/>
  <c r="N21" i="12"/>
  <c r="P21" i="12" s="1"/>
  <c r="P263" i="12"/>
  <c r="L34" i="12"/>
  <c r="O34" i="12" s="1"/>
  <c r="P88" i="13"/>
  <c r="P167" i="13"/>
  <c r="P183" i="13"/>
  <c r="M181" i="13"/>
  <c r="P181" i="13" s="1"/>
  <c r="K417" i="12"/>
  <c r="O168" i="12"/>
  <c r="O391" i="13"/>
  <c r="L389" i="13"/>
  <c r="O389" i="13" s="1"/>
  <c r="P68" i="11"/>
  <c r="P44" i="13"/>
  <c r="L149" i="13"/>
  <c r="O149" i="13" s="1"/>
  <c r="O151" i="13"/>
  <c r="K433" i="13"/>
  <c r="L629" i="13"/>
  <c r="O629" i="13" s="1"/>
  <c r="L181" i="13"/>
  <c r="O181" i="13" s="1"/>
  <c r="M66" i="13"/>
  <c r="O263" i="13"/>
  <c r="P152" i="8"/>
  <c r="O279" i="13"/>
  <c r="M632" i="13"/>
  <c r="P632" i="13" s="1"/>
  <c r="M631" i="13"/>
  <c r="P634" i="13"/>
  <c r="O121" i="13"/>
  <c r="L119" i="13"/>
  <c r="O119" i="13" s="1"/>
  <c r="K288" i="13"/>
  <c r="O347" i="13"/>
  <c r="N261" i="13"/>
  <c r="O263" i="12"/>
  <c r="P330" i="13"/>
  <c r="M328" i="13"/>
  <c r="P328" i="13" s="1"/>
  <c r="N414" i="13"/>
  <c r="I418" i="13"/>
  <c r="K418" i="13" s="1"/>
  <c r="K434" i="13"/>
  <c r="P23" i="13"/>
  <c r="M20" i="13"/>
  <c r="O26" i="13"/>
  <c r="L16" i="13"/>
  <c r="K364" i="9"/>
  <c r="M315" i="10"/>
  <c r="P315" i="10" s="1"/>
  <c r="P90" i="11"/>
  <c r="P53" i="11"/>
  <c r="P330" i="12"/>
  <c r="P277" i="12"/>
  <c r="P279" i="12"/>
  <c r="P658" i="13"/>
  <c r="L523" i="13"/>
  <c r="O523" i="13" s="1"/>
  <c r="P546" i="13"/>
  <c r="M544" i="13"/>
  <c r="P544" i="13" s="1"/>
  <c r="L149" i="5"/>
  <c r="O149" i="5" s="1"/>
  <c r="L389" i="8"/>
  <c r="O389" i="8" s="1"/>
  <c r="M88" i="11"/>
  <c r="P88" i="11" s="1"/>
  <c r="P44" i="11"/>
  <c r="M389" i="12"/>
  <c r="P389" i="12" s="1"/>
  <c r="O631" i="12"/>
  <c r="L165" i="12"/>
  <c r="O165" i="12" s="1"/>
  <c r="O331" i="12"/>
  <c r="O277" i="12"/>
  <c r="O348" i="13"/>
  <c r="O788" i="13"/>
  <c r="L786" i="13"/>
  <c r="O786" i="13" s="1"/>
  <c r="P135" i="13"/>
  <c r="P469" i="13"/>
  <c r="M467" i="13"/>
  <c r="P467" i="13" s="1"/>
  <c r="O351" i="13"/>
  <c r="P470" i="13"/>
  <c r="L24" i="13"/>
  <c r="P9" i="13"/>
  <c r="O328" i="11"/>
  <c r="P134" i="11"/>
  <c r="L786" i="12"/>
  <c r="O786" i="12" s="1"/>
  <c r="O629" i="12"/>
  <c r="O300" i="12"/>
  <c r="O279" i="12"/>
  <c r="M688" i="13"/>
  <c r="P688" i="13" s="1"/>
  <c r="P690" i="13"/>
  <c r="M687" i="13"/>
  <c r="O467" i="13"/>
  <c r="P791" i="13"/>
  <c r="M788" i="13"/>
  <c r="M789" i="13"/>
  <c r="P789" i="13" s="1"/>
  <c r="P132" i="13"/>
  <c r="N24" i="13"/>
  <c r="N16" i="13"/>
  <c r="O446" i="13"/>
  <c r="L444" i="13"/>
  <c r="M66" i="11"/>
  <c r="P66" i="11" s="1"/>
  <c r="O43" i="8"/>
  <c r="K364" i="11"/>
  <c r="K434" i="12"/>
  <c r="O547" i="13"/>
  <c r="N31" i="13"/>
  <c r="N30" i="13"/>
  <c r="N28" i="13" s="1"/>
  <c r="O68" i="13"/>
  <c r="L66" i="13"/>
  <c r="O66" i="13" s="1"/>
  <c r="O33" i="13"/>
  <c r="L30" i="13"/>
  <c r="P55" i="13"/>
  <c r="P301" i="6"/>
  <c r="P151" i="10"/>
  <c r="M261" i="12"/>
  <c r="P261" i="12" s="1"/>
  <c r="P345" i="13"/>
  <c r="P547" i="13"/>
  <c r="M419" i="13"/>
  <c r="O23" i="13"/>
  <c r="L20" i="13"/>
  <c r="L13" i="13"/>
  <c r="L11" i="13" s="1"/>
  <c r="M655" i="13"/>
  <c r="P655" i="13" s="1"/>
  <c r="N53" i="13"/>
  <c r="O789" i="13"/>
  <c r="N20" i="13"/>
  <c r="N18" i="13" s="1"/>
  <c r="N21" i="13"/>
  <c r="O21" i="13" s="1"/>
  <c r="N13" i="13"/>
  <c r="P449" i="13"/>
  <c r="M446" i="13"/>
  <c r="M447" i="13"/>
  <c r="P447" i="13" s="1"/>
  <c r="M33" i="13"/>
  <c r="O469" i="13"/>
  <c r="L31" i="13"/>
  <c r="O31" i="13" s="1"/>
  <c r="O12" i="13"/>
  <c r="L9" i="13"/>
  <c r="O41" i="13"/>
  <c r="L34" i="13"/>
  <c r="O34" i="13" s="1"/>
  <c r="P134" i="10"/>
  <c r="P328" i="12"/>
  <c r="N24" i="10"/>
  <c r="P24" i="10" s="1"/>
  <c r="P277" i="10"/>
  <c r="K275" i="10"/>
  <c r="M402" i="12"/>
  <c r="P402" i="12" s="1"/>
  <c r="L30" i="12"/>
  <c r="L28" i="12" s="1"/>
  <c r="O28" i="12" s="1"/>
  <c r="K76" i="12"/>
  <c r="P132" i="10"/>
  <c r="L523" i="12"/>
  <c r="O523" i="12" s="1"/>
  <c r="O184" i="12"/>
  <c r="L655" i="12"/>
  <c r="O655" i="12" s="1"/>
  <c r="M631" i="11"/>
  <c r="M629" i="11" s="1"/>
  <c r="P629" i="11" s="1"/>
  <c r="P55" i="11"/>
  <c r="M422" i="11"/>
  <c r="P422" i="11" s="1"/>
  <c r="P331" i="11"/>
  <c r="L685" i="11"/>
  <c r="O685" i="11" s="1"/>
  <c r="P348" i="11"/>
  <c r="O165" i="11"/>
  <c r="P167" i="12"/>
  <c r="M165" i="12"/>
  <c r="P165" i="12" s="1"/>
  <c r="P690" i="12"/>
  <c r="M688" i="12"/>
  <c r="P688" i="12" s="1"/>
  <c r="M687" i="12"/>
  <c r="O330" i="8"/>
  <c r="P301" i="8"/>
  <c r="O181" i="11"/>
  <c r="P43" i="11"/>
  <c r="O657" i="11"/>
  <c r="O167" i="11"/>
  <c r="O125" i="11"/>
  <c r="M66" i="12"/>
  <c r="P66" i="12" s="1"/>
  <c r="O55" i="12"/>
  <c r="L53" i="12"/>
  <c r="P301" i="10"/>
  <c r="O183" i="11"/>
  <c r="P167" i="11"/>
  <c r="N10" i="12"/>
  <c r="K288" i="12"/>
  <c r="M658" i="12"/>
  <c r="P658" i="12" s="1"/>
  <c r="P660" i="12"/>
  <c r="M657" i="12"/>
  <c r="L31" i="12"/>
  <c r="O31" i="12" s="1"/>
  <c r="N20" i="12"/>
  <c r="N18" i="12" s="1"/>
  <c r="M328" i="11"/>
  <c r="P328" i="11" s="1"/>
  <c r="O88" i="11"/>
  <c r="L149" i="11"/>
  <c r="O149" i="11" s="1"/>
  <c r="O181" i="12"/>
  <c r="L467" i="7"/>
  <c r="O467" i="7" s="1"/>
  <c r="O55" i="10"/>
  <c r="K131" i="10"/>
  <c r="P181" i="11"/>
  <c r="P280" i="11"/>
  <c r="O300" i="11"/>
  <c r="O119" i="11"/>
  <c r="P444" i="12"/>
  <c r="P470" i="12"/>
  <c r="O328" i="12"/>
  <c r="P12" i="12"/>
  <c r="M9" i="12"/>
  <c r="O23" i="12"/>
  <c r="L20" i="12"/>
  <c r="L13" i="12"/>
  <c r="L11" i="12" s="1"/>
  <c r="L21" i="12"/>
  <c r="O41" i="12"/>
  <c r="O12" i="12"/>
  <c r="L9" i="12"/>
  <c r="O26" i="12"/>
  <c r="L16" i="12"/>
  <c r="M467" i="12"/>
  <c r="P467" i="12" s="1"/>
  <c r="M66" i="7"/>
  <c r="P66" i="7" s="1"/>
  <c r="O470" i="12"/>
  <c r="L389" i="12"/>
  <c r="O389" i="12" s="1"/>
  <c r="O391" i="12"/>
  <c r="P421" i="12"/>
  <c r="M419" i="12"/>
  <c r="K248" i="12"/>
  <c r="I226" i="12"/>
  <c r="K559" i="12"/>
  <c r="I543" i="12"/>
  <c r="K543" i="12" s="1"/>
  <c r="N11" i="12"/>
  <c r="N9" i="12"/>
  <c r="P26" i="12"/>
  <c r="M16" i="12"/>
  <c r="M24" i="12"/>
  <c r="K143" i="12"/>
  <c r="I131" i="12"/>
  <c r="K131" i="12" s="1"/>
  <c r="O134" i="10"/>
  <c r="M469" i="10"/>
  <c r="P469" i="10" s="1"/>
  <c r="O68" i="11"/>
  <c r="O347" i="12"/>
  <c r="L345" i="12"/>
  <c r="O345" i="12" s="1"/>
  <c r="L24" i="12"/>
  <c r="O351" i="8"/>
  <c r="P791" i="12"/>
  <c r="M788" i="12"/>
  <c r="M789" i="12"/>
  <c r="P789" i="12" s="1"/>
  <c r="P549" i="12"/>
  <c r="M546" i="12"/>
  <c r="P546" i="12" s="1"/>
  <c r="M547" i="12"/>
  <c r="P547" i="12" s="1"/>
  <c r="M33" i="12"/>
  <c r="P545" i="12"/>
  <c r="P121" i="12"/>
  <c r="M119" i="12"/>
  <c r="L402" i="12"/>
  <c r="O402" i="12" s="1"/>
  <c r="P19" i="12"/>
  <c r="O446" i="12"/>
  <c r="L444" i="12"/>
  <c r="L119" i="12"/>
  <c r="O119" i="12" s="1"/>
  <c r="I65" i="12"/>
  <c r="K65" i="12" s="1"/>
  <c r="K77" i="12"/>
  <c r="O19" i="12"/>
  <c r="O345" i="8"/>
  <c r="M165" i="11"/>
  <c r="P165" i="11" s="1"/>
  <c r="P634" i="11"/>
  <c r="O135" i="11"/>
  <c r="N298" i="11"/>
  <c r="O298" i="11" s="1"/>
  <c r="O121" i="11"/>
  <c r="O90" i="10"/>
  <c r="L467" i="10"/>
  <c r="O467" i="10" s="1"/>
  <c r="O33" i="10"/>
  <c r="O279" i="11"/>
  <c r="O90" i="11"/>
  <c r="O263" i="8"/>
  <c r="O347" i="8"/>
  <c r="P43" i="9"/>
  <c r="L149" i="10"/>
  <c r="O149" i="10" s="1"/>
  <c r="M402" i="11"/>
  <c r="P402" i="11" s="1"/>
  <c r="P121" i="11"/>
  <c r="M119" i="11"/>
  <c r="P119" i="11" s="1"/>
  <c r="M119" i="10"/>
  <c r="P119" i="10" s="1"/>
  <c r="P330" i="9"/>
  <c r="L402" i="11"/>
  <c r="O402" i="11" s="1"/>
  <c r="O43" i="11"/>
  <c r="L402" i="9"/>
  <c r="O402" i="9" s="1"/>
  <c r="M444" i="10"/>
  <c r="P444" i="10" s="1"/>
  <c r="I226" i="11"/>
  <c r="I180" i="11" s="1"/>
  <c r="K180" i="11" s="1"/>
  <c r="O263" i="11"/>
  <c r="P263" i="11"/>
  <c r="P43" i="8"/>
  <c r="I418" i="9"/>
  <c r="K418" i="9" s="1"/>
  <c r="N261" i="11"/>
  <c r="O261" i="11" s="1"/>
  <c r="P263" i="10"/>
  <c r="P151" i="11"/>
  <c r="M470" i="9"/>
  <c r="P470" i="9" s="1"/>
  <c r="O132" i="10"/>
  <c r="P279" i="11"/>
  <c r="O419" i="11"/>
  <c r="M66" i="4"/>
  <c r="P66" i="4" s="1"/>
  <c r="O263" i="10"/>
  <c r="M53" i="10"/>
  <c r="P53" i="10" s="1"/>
  <c r="L544" i="11"/>
  <c r="O544" i="11" s="1"/>
  <c r="O546" i="11"/>
  <c r="L444" i="11"/>
  <c r="K433" i="11"/>
  <c r="I417" i="11"/>
  <c r="K417" i="11" s="1"/>
  <c r="P29" i="11"/>
  <c r="M132" i="11"/>
  <c r="P132" i="11" s="1"/>
  <c r="K76" i="10"/>
  <c r="I64" i="10"/>
  <c r="K64" i="10" s="1"/>
  <c r="L53" i="11"/>
  <c r="O53" i="11" s="1"/>
  <c r="O55" i="11"/>
  <c r="L389" i="7"/>
  <c r="O389" i="7" s="1"/>
  <c r="P121" i="9"/>
  <c r="N261" i="10"/>
  <c r="O261" i="10" s="1"/>
  <c r="O330" i="10"/>
  <c r="O277" i="10"/>
  <c r="K433" i="10"/>
  <c r="K434" i="11"/>
  <c r="I418" i="11"/>
  <c r="K418" i="11" s="1"/>
  <c r="M446" i="11"/>
  <c r="M447" i="11"/>
  <c r="P449" i="11"/>
  <c r="M33" i="11"/>
  <c r="M13" i="11" s="1"/>
  <c r="M11" i="11" s="1"/>
  <c r="L227" i="11"/>
  <c r="I64" i="11"/>
  <c r="K64" i="11" s="1"/>
  <c r="K76" i="11"/>
  <c r="O29" i="11"/>
  <c r="L16" i="11"/>
  <c r="O26" i="11"/>
  <c r="L629" i="11"/>
  <c r="O629" i="11" s="1"/>
  <c r="O631" i="11"/>
  <c r="O134" i="11"/>
  <c r="L132" i="11"/>
  <c r="O132" i="11" s="1"/>
  <c r="O68" i="5"/>
  <c r="O121" i="6"/>
  <c r="P121" i="6"/>
  <c r="L261" i="7"/>
  <c r="O261" i="7" s="1"/>
  <c r="P263" i="7"/>
  <c r="O330" i="7"/>
  <c r="L132" i="7"/>
  <c r="O132" i="7" s="1"/>
  <c r="P330" i="8"/>
  <c r="O88" i="9"/>
  <c r="O279" i="9"/>
  <c r="O328" i="10"/>
  <c r="I131" i="11"/>
  <c r="K131" i="11" s="1"/>
  <c r="K143" i="11"/>
  <c r="M544" i="11"/>
  <c r="P544" i="11" s="1"/>
  <c r="P546" i="11"/>
  <c r="N20" i="11"/>
  <c r="N18" i="11" s="1"/>
  <c r="N21" i="11"/>
  <c r="O21" i="11" s="1"/>
  <c r="M20" i="11"/>
  <c r="M18" i="11" s="1"/>
  <c r="P23" i="11"/>
  <c r="L315" i="11"/>
  <c r="O315" i="11" s="1"/>
  <c r="P26" i="11"/>
  <c r="M24" i="11"/>
  <c r="M16" i="11"/>
  <c r="P16" i="11" s="1"/>
  <c r="P12" i="11"/>
  <c r="M9" i="11"/>
  <c r="M41" i="11"/>
  <c r="I164" i="5"/>
  <c r="K164" i="5" s="1"/>
  <c r="O151" i="8"/>
  <c r="O183" i="8"/>
  <c r="L41" i="8"/>
  <c r="O41" i="8" s="1"/>
  <c r="P263" i="8"/>
  <c r="P132" i="9"/>
  <c r="P90" i="9"/>
  <c r="P472" i="10"/>
  <c r="P404" i="10"/>
  <c r="M467" i="11"/>
  <c r="O36" i="11"/>
  <c r="L30" i="11"/>
  <c r="P419" i="11"/>
  <c r="O12" i="11"/>
  <c r="L9" i="11"/>
  <c r="P421" i="11"/>
  <c r="P15" i="11"/>
  <c r="O23" i="11"/>
  <c r="L20" i="11"/>
  <c r="L13" i="11"/>
  <c r="L11" i="11" s="1"/>
  <c r="P183" i="11"/>
  <c r="P19" i="11"/>
  <c r="P300" i="6"/>
  <c r="L444" i="10"/>
  <c r="O444" i="10" s="1"/>
  <c r="I418" i="10"/>
  <c r="K418" i="10" s="1"/>
  <c r="P279" i="10"/>
  <c r="O348" i="11"/>
  <c r="N447" i="11"/>
  <c r="O447" i="11" s="1"/>
  <c r="N33" i="11"/>
  <c r="N446" i="11"/>
  <c r="N444" i="11" s="1"/>
  <c r="N414" i="11" s="1"/>
  <c r="O421" i="11"/>
  <c r="I164" i="11"/>
  <c r="K164" i="11" s="1"/>
  <c r="K174" i="11"/>
  <c r="O41" i="11"/>
  <c r="N24" i="11"/>
  <c r="O24" i="11" s="1"/>
  <c r="N345" i="11"/>
  <c r="P345" i="11" s="1"/>
  <c r="P347" i="11"/>
  <c r="N467" i="11"/>
  <c r="O467" i="11" s="1"/>
  <c r="M389" i="9"/>
  <c r="P389" i="9" s="1"/>
  <c r="N41" i="9"/>
  <c r="P41" i="9" s="1"/>
  <c r="O301" i="10"/>
  <c r="O525" i="10"/>
  <c r="L523" i="10"/>
  <c r="O523" i="10" s="1"/>
  <c r="M447" i="3"/>
  <c r="P447" i="3" s="1"/>
  <c r="O68" i="7"/>
  <c r="K417" i="8"/>
  <c r="J417" i="10"/>
  <c r="K417" i="10" s="1"/>
  <c r="L315" i="10"/>
  <c r="O315" i="10" s="1"/>
  <c r="K143" i="10"/>
  <c r="P183" i="9"/>
  <c r="O183" i="9"/>
  <c r="M629" i="10"/>
  <c r="P629" i="10" s="1"/>
  <c r="P449" i="10"/>
  <c r="O43" i="10"/>
  <c r="L165" i="10"/>
  <c r="O165" i="10" s="1"/>
  <c r="P41" i="10"/>
  <c r="O330" i="9"/>
  <c r="L655" i="10"/>
  <c r="O655" i="10" s="1"/>
  <c r="O347" i="6"/>
  <c r="L419" i="8"/>
  <c r="O419" i="8" s="1"/>
  <c r="O279" i="8"/>
  <c r="L261" i="8"/>
  <c r="O261" i="8" s="1"/>
  <c r="M20" i="8"/>
  <c r="M18" i="8" s="1"/>
  <c r="L34" i="7"/>
  <c r="O34" i="7" s="1"/>
  <c r="M469" i="9"/>
  <c r="P469" i="9" s="1"/>
  <c r="O263" i="9"/>
  <c r="M447" i="10"/>
  <c r="P447" i="10" s="1"/>
  <c r="O300" i="10"/>
  <c r="I418" i="8"/>
  <c r="K418" i="8" s="1"/>
  <c r="P43" i="10"/>
  <c r="M467" i="10"/>
  <c r="P467" i="10" s="1"/>
  <c r="O121" i="10"/>
  <c r="L119" i="10"/>
  <c r="O119" i="10" s="1"/>
  <c r="L523" i="9"/>
  <c r="O523" i="9" s="1"/>
  <c r="P264" i="10"/>
  <c r="O68" i="10"/>
  <c r="M328" i="10"/>
  <c r="P328" i="10" s="1"/>
  <c r="P330" i="10"/>
  <c r="O36" i="10"/>
  <c r="L34" i="10"/>
  <c r="O34" i="10" s="1"/>
  <c r="I64" i="7"/>
  <c r="K64" i="7" s="1"/>
  <c r="L786" i="8"/>
  <c r="O786" i="8" s="1"/>
  <c r="O348" i="9"/>
  <c r="L30" i="10"/>
  <c r="O30" i="10" s="1"/>
  <c r="P68" i="10"/>
  <c r="L181" i="10"/>
  <c r="O181" i="10" s="1"/>
  <c r="O279" i="10"/>
  <c r="O135" i="10"/>
  <c r="K434" i="7"/>
  <c r="M298" i="8"/>
  <c r="P298" i="8" s="1"/>
  <c r="M277" i="9"/>
  <c r="P277" i="9" s="1"/>
  <c r="L786" i="10"/>
  <c r="O786" i="10" s="1"/>
  <c r="N298" i="10"/>
  <c r="P298" i="10" s="1"/>
  <c r="O546" i="9"/>
  <c r="O33" i="9"/>
  <c r="N88" i="10"/>
  <c r="O12" i="10"/>
  <c r="L9" i="10"/>
  <c r="O15" i="10"/>
  <c r="N20" i="10"/>
  <c r="N18" i="10" s="1"/>
  <c r="N13" i="10"/>
  <c r="P167" i="10"/>
  <c r="M165" i="10"/>
  <c r="P165" i="10" s="1"/>
  <c r="N21" i="10"/>
  <c r="L402" i="10"/>
  <c r="O402" i="10" s="1"/>
  <c r="O404" i="10"/>
  <c r="M688" i="6"/>
  <c r="P688" i="6" s="1"/>
  <c r="P345" i="6"/>
  <c r="O152" i="8"/>
  <c r="P279" i="8"/>
  <c r="P91" i="9"/>
  <c r="O419" i="10"/>
  <c r="P90" i="10"/>
  <c r="P91" i="10"/>
  <c r="O91" i="10"/>
  <c r="M16" i="10"/>
  <c r="P16" i="10" s="1"/>
  <c r="P26" i="10"/>
  <c r="O391" i="10"/>
  <c r="L389" i="10"/>
  <c r="O389" i="10" s="1"/>
  <c r="P9" i="10"/>
  <c r="P690" i="6"/>
  <c r="L685" i="9"/>
  <c r="O685" i="9" s="1"/>
  <c r="O544" i="9"/>
  <c r="M315" i="9"/>
  <c r="P315" i="9" s="1"/>
  <c r="P66" i="10"/>
  <c r="O421" i="10"/>
  <c r="O23" i="10"/>
  <c r="L20" i="10"/>
  <c r="L13" i="10"/>
  <c r="L21" i="10"/>
  <c r="P15" i="10"/>
  <c r="O90" i="4"/>
  <c r="O347" i="7"/>
  <c r="O69" i="9"/>
  <c r="N24" i="9"/>
  <c r="O24" i="9" s="1"/>
  <c r="L298" i="9"/>
  <c r="O298" i="9" s="1"/>
  <c r="P347" i="10"/>
  <c r="O347" i="10"/>
  <c r="K559" i="10"/>
  <c r="I543" i="10"/>
  <c r="K543" i="10" s="1"/>
  <c r="O29" i="10"/>
  <c r="L685" i="10"/>
  <c r="O685" i="10" s="1"/>
  <c r="O26" i="10"/>
  <c r="L16" i="10"/>
  <c r="O16" i="10" s="1"/>
  <c r="L24" i="10"/>
  <c r="O66" i="10"/>
  <c r="P23" i="10"/>
  <c r="M20" i="10"/>
  <c r="O68" i="3"/>
  <c r="K785" i="6"/>
  <c r="L523" i="7"/>
  <c r="O523" i="7" s="1"/>
  <c r="P90" i="7"/>
  <c r="O470" i="8"/>
  <c r="P280" i="8"/>
  <c r="P55" i="8"/>
  <c r="O347" i="9"/>
  <c r="I226" i="9"/>
  <c r="K226" i="9" s="1"/>
  <c r="L66" i="9"/>
  <c r="O66" i="9" s="1"/>
  <c r="P549" i="10"/>
  <c r="M546" i="10"/>
  <c r="P546" i="10" s="1"/>
  <c r="M547" i="10"/>
  <c r="P547" i="10" s="1"/>
  <c r="M421" i="10"/>
  <c r="P424" i="10"/>
  <c r="M422" i="10"/>
  <c r="P422" i="10" s="1"/>
  <c r="M33" i="10"/>
  <c r="P545" i="10"/>
  <c r="P29" i="10"/>
  <c r="P183" i="10"/>
  <c r="M181" i="10"/>
  <c r="P181" i="10" s="1"/>
  <c r="N345" i="10"/>
  <c r="O345" i="10" s="1"/>
  <c r="L41" i="10"/>
  <c r="O238" i="10"/>
  <c r="L227" i="10"/>
  <c r="M21" i="10"/>
  <c r="M132" i="7"/>
  <c r="P132" i="7" s="1"/>
  <c r="M119" i="8"/>
  <c r="P119" i="8" s="1"/>
  <c r="M328" i="8"/>
  <c r="P328" i="8" s="1"/>
  <c r="O167" i="9"/>
  <c r="P181" i="8"/>
  <c r="P23" i="9"/>
  <c r="K417" i="9"/>
  <c r="L786" i="9"/>
  <c r="O786" i="9" s="1"/>
  <c r="P183" i="8"/>
  <c r="P328" i="9"/>
  <c r="L328" i="9"/>
  <c r="O328" i="9" s="1"/>
  <c r="L315" i="7"/>
  <c r="O315" i="7" s="1"/>
  <c r="M21" i="9"/>
  <c r="P21" i="9" s="1"/>
  <c r="P134" i="9"/>
  <c r="L30" i="6"/>
  <c r="O30" i="6" s="1"/>
  <c r="L444" i="9"/>
  <c r="O444" i="9" s="1"/>
  <c r="O121" i="9"/>
  <c r="L119" i="9"/>
  <c r="O119" i="9" s="1"/>
  <c r="M119" i="6"/>
  <c r="P119" i="6" s="1"/>
  <c r="O181" i="7"/>
  <c r="M389" i="8"/>
  <c r="P389" i="8" s="1"/>
  <c r="L34" i="8"/>
  <c r="O34" i="8" s="1"/>
  <c r="L655" i="9"/>
  <c r="O655" i="9" s="1"/>
  <c r="L16" i="9"/>
  <c r="O16" i="9" s="1"/>
  <c r="P167" i="9"/>
  <c r="M446" i="9"/>
  <c r="P449" i="9"/>
  <c r="M447" i="9"/>
  <c r="P447" i="9" s="1"/>
  <c r="O183" i="7"/>
  <c r="N261" i="9"/>
  <c r="O261" i="9" s="1"/>
  <c r="M119" i="9"/>
  <c r="P119" i="9" s="1"/>
  <c r="O26" i="9"/>
  <c r="O90" i="9"/>
  <c r="K174" i="9"/>
  <c r="O151" i="9"/>
  <c r="L149" i="9"/>
  <c r="O149" i="9" s="1"/>
  <c r="P404" i="9"/>
  <c r="M402" i="9"/>
  <c r="P402" i="9" s="1"/>
  <c r="M149" i="5"/>
  <c r="P149" i="5" s="1"/>
  <c r="P330" i="6"/>
  <c r="O300" i="5"/>
  <c r="O328" i="6"/>
  <c r="L523" i="8"/>
  <c r="O523" i="8" s="1"/>
  <c r="K275" i="8"/>
  <c r="K433" i="9"/>
  <c r="N165" i="9"/>
  <c r="O165" i="9" s="1"/>
  <c r="O317" i="9"/>
  <c r="L315" i="9"/>
  <c r="O315" i="9" s="1"/>
  <c r="O55" i="7"/>
  <c r="M88" i="9"/>
  <c r="P88" i="9" s="1"/>
  <c r="O391" i="9"/>
  <c r="L389" i="9"/>
  <c r="O389" i="9" s="1"/>
  <c r="L298" i="5"/>
  <c r="O165" i="7"/>
  <c r="I226" i="7"/>
  <c r="K226" i="7" s="1"/>
  <c r="K364" i="8"/>
  <c r="O55" i="8"/>
  <c r="P424" i="9"/>
  <c r="M421" i="9"/>
  <c r="M422" i="9"/>
  <c r="P422" i="9" s="1"/>
  <c r="M33" i="9"/>
  <c r="M546" i="9"/>
  <c r="P549" i="9"/>
  <c r="M547" i="9"/>
  <c r="P547" i="9" s="1"/>
  <c r="O351" i="9"/>
  <c r="M149" i="9"/>
  <c r="P149" i="9" s="1"/>
  <c r="P151" i="9"/>
  <c r="P449" i="6"/>
  <c r="L467" i="9"/>
  <c r="O467" i="9" s="1"/>
  <c r="N345" i="9"/>
  <c r="O345" i="9" s="1"/>
  <c r="K76" i="9"/>
  <c r="I64" i="9"/>
  <c r="K64" i="9" s="1"/>
  <c r="L419" i="9"/>
  <c r="O181" i="9"/>
  <c r="O9" i="9"/>
  <c r="P15" i="9"/>
  <c r="K275" i="7"/>
  <c r="O279" i="7"/>
  <c r="N53" i="8"/>
  <c r="P53" i="8" s="1"/>
  <c r="P347" i="9"/>
  <c r="M345" i="9"/>
  <c r="M631" i="9"/>
  <c r="P634" i="9"/>
  <c r="M632" i="9"/>
  <c r="P632" i="9" s="1"/>
  <c r="P68" i="9"/>
  <c r="M66" i="9"/>
  <c r="P66" i="9" s="1"/>
  <c r="P26" i="9"/>
  <c r="M16" i="9"/>
  <c r="P16" i="9" s="1"/>
  <c r="N53" i="9"/>
  <c r="P55" i="9"/>
  <c r="O55" i="9"/>
  <c r="K77" i="9"/>
  <c r="I65" i="9"/>
  <c r="K65" i="9" s="1"/>
  <c r="M20" i="9"/>
  <c r="O134" i="9"/>
  <c r="L132" i="9"/>
  <c r="O132" i="9" s="1"/>
  <c r="J131" i="9"/>
  <c r="K131" i="9" s="1"/>
  <c r="K143" i="9"/>
  <c r="O238" i="9"/>
  <c r="L227" i="9"/>
  <c r="P317" i="5"/>
  <c r="L298" i="7"/>
  <c r="O298" i="7" s="1"/>
  <c r="M119" i="7"/>
  <c r="P119" i="7" s="1"/>
  <c r="O167" i="7"/>
  <c r="K77" i="8"/>
  <c r="O631" i="9"/>
  <c r="L629" i="9"/>
  <c r="O629" i="9" s="1"/>
  <c r="L41" i="9"/>
  <c r="O43" i="9"/>
  <c r="P9" i="9"/>
  <c r="P56" i="9"/>
  <c r="P29" i="9"/>
  <c r="L30" i="9"/>
  <c r="N9" i="9"/>
  <c r="N298" i="6"/>
  <c r="P298" i="6" s="1"/>
  <c r="L328" i="7"/>
  <c r="O328" i="7" s="1"/>
  <c r="L13" i="9"/>
  <c r="O23" i="9"/>
  <c r="L20" i="9"/>
  <c r="L21" i="9"/>
  <c r="O21" i="9" s="1"/>
  <c r="L34" i="9"/>
  <c r="O34" i="9" s="1"/>
  <c r="O19" i="9"/>
  <c r="N20" i="9"/>
  <c r="N18" i="9" s="1"/>
  <c r="N13" i="9"/>
  <c r="N10" i="9" s="1"/>
  <c r="P263" i="9"/>
  <c r="M261" i="9"/>
  <c r="M181" i="9"/>
  <c r="P181" i="9" s="1"/>
  <c r="P279" i="7"/>
  <c r="N14" i="8"/>
  <c r="N277" i="7"/>
  <c r="O277" i="7" s="1"/>
  <c r="P280" i="7"/>
  <c r="N24" i="8"/>
  <c r="O24" i="8" s="1"/>
  <c r="M467" i="8"/>
  <c r="P467" i="8" s="1"/>
  <c r="L402" i="6"/>
  <c r="O402" i="6" s="1"/>
  <c r="P55" i="7"/>
  <c r="L786" i="7"/>
  <c r="O786" i="7" s="1"/>
  <c r="P68" i="8"/>
  <c r="N20" i="8"/>
  <c r="N18" i="8" s="1"/>
  <c r="O348" i="6"/>
  <c r="L402" i="7"/>
  <c r="O402" i="7" s="1"/>
  <c r="M419" i="8"/>
  <c r="P419" i="8" s="1"/>
  <c r="M261" i="8"/>
  <c r="P261" i="8" s="1"/>
  <c r="P151" i="7"/>
  <c r="K785" i="7"/>
  <c r="K433" i="7"/>
  <c r="L31" i="7"/>
  <c r="O31" i="7" s="1"/>
  <c r="L30" i="7"/>
  <c r="O30" i="7" s="1"/>
  <c r="P347" i="8"/>
  <c r="M345" i="8"/>
  <c r="P345" i="8" s="1"/>
  <c r="L227" i="8"/>
  <c r="O238" i="8"/>
  <c r="O261" i="3"/>
  <c r="O264" i="7"/>
  <c r="P23" i="8"/>
  <c r="N165" i="8"/>
  <c r="O33" i="8"/>
  <c r="L30" i="8"/>
  <c r="O30" i="8" s="1"/>
  <c r="M402" i="8"/>
  <c r="P402" i="8" s="1"/>
  <c r="L419" i="7"/>
  <c r="O419" i="7" s="1"/>
  <c r="O151" i="7"/>
  <c r="K364" i="7"/>
  <c r="K417" i="7"/>
  <c r="N21" i="8"/>
  <c r="P21" i="8" s="1"/>
  <c r="L629" i="8"/>
  <c r="O629" i="8" s="1"/>
  <c r="O469" i="8"/>
  <c r="M687" i="8"/>
  <c r="P690" i="8"/>
  <c r="M149" i="8"/>
  <c r="P149" i="8" s="1"/>
  <c r="P151" i="8"/>
  <c r="O544" i="4"/>
  <c r="L227" i="7"/>
  <c r="O181" i="8"/>
  <c r="P277" i="8"/>
  <c r="N13" i="8"/>
  <c r="N10" i="8" s="1"/>
  <c r="O404" i="8"/>
  <c r="L402" i="8"/>
  <c r="O402" i="8" s="1"/>
  <c r="O301" i="5"/>
  <c r="P167" i="7"/>
  <c r="P88" i="7"/>
  <c r="K433" i="8"/>
  <c r="L132" i="8"/>
  <c r="O132" i="8" s="1"/>
  <c r="O546" i="8"/>
  <c r="L544" i="8"/>
  <c r="O544" i="8" s="1"/>
  <c r="L53" i="8"/>
  <c r="P167" i="8"/>
  <c r="O447" i="6"/>
  <c r="O277" i="6"/>
  <c r="L655" i="7"/>
  <c r="O655" i="7" s="1"/>
  <c r="O29" i="8"/>
  <c r="O68" i="8"/>
  <c r="N66" i="8"/>
  <c r="L149" i="8"/>
  <c r="O149" i="8" s="1"/>
  <c r="M66" i="8"/>
  <c r="P15" i="8"/>
  <c r="O26" i="8"/>
  <c r="L16" i="8"/>
  <c r="O16" i="8" s="1"/>
  <c r="M9" i="8"/>
  <c r="P12" i="8"/>
  <c r="K237" i="8"/>
  <c r="I226" i="8"/>
  <c r="O687" i="8"/>
  <c r="L685" i="8"/>
  <c r="O685" i="8" s="1"/>
  <c r="I131" i="8"/>
  <c r="K131" i="8" s="1"/>
  <c r="K143" i="8"/>
  <c r="L444" i="8"/>
  <c r="O444" i="8" s="1"/>
  <c r="O15" i="8"/>
  <c r="P19" i="8"/>
  <c r="K76" i="8"/>
  <c r="I64" i="8"/>
  <c r="K64" i="8" s="1"/>
  <c r="N41" i="6"/>
  <c r="O41" i="6" s="1"/>
  <c r="O315" i="6"/>
  <c r="P660" i="8"/>
  <c r="M657" i="8"/>
  <c r="M658" i="8"/>
  <c r="P658" i="8" s="1"/>
  <c r="L9" i="8"/>
  <c r="P41" i="8"/>
  <c r="N9" i="8"/>
  <c r="M544" i="8"/>
  <c r="P544" i="8" s="1"/>
  <c r="P317" i="8"/>
  <c r="M315" i="8"/>
  <c r="P315" i="8" s="1"/>
  <c r="K288" i="8"/>
  <c r="P26" i="8"/>
  <c r="M16" i="8"/>
  <c r="P16" i="8" s="1"/>
  <c r="M24" i="8"/>
  <c r="O263" i="5"/>
  <c r="P446" i="8"/>
  <c r="M444" i="8"/>
  <c r="P444" i="8" s="1"/>
  <c r="O23" i="8"/>
  <c r="L20" i="8"/>
  <c r="L13" i="8"/>
  <c r="L21" i="8"/>
  <c r="I164" i="8"/>
  <c r="K164" i="8" s="1"/>
  <c r="K174" i="8"/>
  <c r="O181" i="6"/>
  <c r="N24" i="7"/>
  <c r="M631" i="8"/>
  <c r="M632" i="8"/>
  <c r="P632" i="8" s="1"/>
  <c r="P634" i="8"/>
  <c r="M33" i="8"/>
  <c r="O657" i="8"/>
  <c r="L655" i="8"/>
  <c r="O655" i="8" s="1"/>
  <c r="O317" i="8"/>
  <c r="L315" i="8"/>
  <c r="O315" i="8" s="1"/>
  <c r="P134" i="8"/>
  <c r="M132" i="8"/>
  <c r="P132" i="8" s="1"/>
  <c r="P90" i="8"/>
  <c r="O90" i="8"/>
  <c r="L277" i="8"/>
  <c r="O277" i="8" s="1"/>
  <c r="P69" i="8"/>
  <c r="O69" i="8"/>
  <c r="P29" i="8"/>
  <c r="O44" i="8"/>
  <c r="N88" i="8"/>
  <c r="L31" i="6"/>
  <c r="O31" i="6" s="1"/>
  <c r="P181" i="6"/>
  <c r="K288" i="7"/>
  <c r="L444" i="7"/>
  <c r="O444" i="7" s="1"/>
  <c r="O446" i="7"/>
  <c r="O347" i="4"/>
  <c r="O183" i="6"/>
  <c r="O300" i="6"/>
  <c r="P261" i="4"/>
  <c r="L66" i="6"/>
  <c r="O66" i="6" s="1"/>
  <c r="P55" i="6"/>
  <c r="P345" i="5"/>
  <c r="O317" i="6"/>
  <c r="P53" i="6"/>
  <c r="M261" i="7"/>
  <c r="P261" i="7" s="1"/>
  <c r="L149" i="7"/>
  <c r="O149" i="7" s="1"/>
  <c r="K174" i="7"/>
  <c r="P165" i="7"/>
  <c r="M632" i="7"/>
  <c r="P632" i="7" s="1"/>
  <c r="P634" i="7"/>
  <c r="M631" i="7"/>
  <c r="P183" i="6"/>
  <c r="P317" i="6"/>
  <c r="P184" i="7"/>
  <c r="P134" i="6"/>
  <c r="P404" i="7"/>
  <c r="M402" i="7"/>
  <c r="P402" i="7" s="1"/>
  <c r="M789" i="7"/>
  <c r="P789" i="7" s="1"/>
  <c r="M788" i="7"/>
  <c r="P472" i="7"/>
  <c r="M470" i="7"/>
  <c r="P470" i="7" s="1"/>
  <c r="K364" i="6"/>
  <c r="M469" i="7"/>
  <c r="P331" i="7"/>
  <c r="P183" i="7"/>
  <c r="M181" i="7"/>
  <c r="P181" i="7" s="1"/>
  <c r="O90" i="7"/>
  <c r="L88" i="7"/>
  <c r="O88" i="7" s="1"/>
  <c r="P317" i="7"/>
  <c r="M315" i="7"/>
  <c r="P315" i="7" s="1"/>
  <c r="M446" i="6"/>
  <c r="P446" i="6" s="1"/>
  <c r="P347" i="6"/>
  <c r="M277" i="7"/>
  <c r="P15" i="7"/>
  <c r="M53" i="7"/>
  <c r="L53" i="7"/>
  <c r="L261" i="5"/>
  <c r="O261" i="5" s="1"/>
  <c r="M24" i="7"/>
  <c r="M16" i="7"/>
  <c r="P16" i="7" s="1"/>
  <c r="P26" i="7"/>
  <c r="P29" i="7"/>
  <c r="K77" i="7"/>
  <c r="I65" i="7"/>
  <c r="K65" i="7" s="1"/>
  <c r="O19" i="7"/>
  <c r="M149" i="7"/>
  <c r="P149" i="7" s="1"/>
  <c r="L16" i="7"/>
  <c r="O26" i="7"/>
  <c r="N21" i="7"/>
  <c r="O21" i="7" s="1"/>
  <c r="N20" i="7"/>
  <c r="N18" i="7" s="1"/>
  <c r="N13" i="7"/>
  <c r="N10" i="7" s="1"/>
  <c r="O55" i="3"/>
  <c r="P279" i="6"/>
  <c r="L629" i="7"/>
  <c r="O629" i="7" s="1"/>
  <c r="O631" i="7"/>
  <c r="M444" i="7"/>
  <c r="P444" i="7" s="1"/>
  <c r="P446" i="7"/>
  <c r="P347" i="7"/>
  <c r="N345" i="7"/>
  <c r="P345" i="7" s="1"/>
  <c r="N9" i="7"/>
  <c r="M21" i="7"/>
  <c r="P23" i="7"/>
  <c r="M20" i="7"/>
  <c r="P44" i="7"/>
  <c r="O44" i="7"/>
  <c r="O345" i="6"/>
  <c r="M132" i="6"/>
  <c r="P132" i="6" s="1"/>
  <c r="L298" i="6"/>
  <c r="O263" i="6"/>
  <c r="O279" i="6"/>
  <c r="L544" i="7"/>
  <c r="O544" i="7" s="1"/>
  <c r="O546" i="7"/>
  <c r="P424" i="7"/>
  <c r="M421" i="7"/>
  <c r="M422" i="7"/>
  <c r="P422" i="7" s="1"/>
  <c r="M33" i="7"/>
  <c r="M13" i="7" s="1"/>
  <c r="P391" i="7"/>
  <c r="M389" i="7"/>
  <c r="P389" i="7" s="1"/>
  <c r="P330" i="7"/>
  <c r="M328" i="7"/>
  <c r="P328" i="7" s="1"/>
  <c r="L24" i="7"/>
  <c r="O9" i="7"/>
  <c r="M298" i="7"/>
  <c r="P298" i="7" s="1"/>
  <c r="M9" i="7"/>
  <c r="O419" i="2"/>
  <c r="O631" i="6"/>
  <c r="P348" i="7"/>
  <c r="O348" i="7"/>
  <c r="N41" i="7"/>
  <c r="P43" i="7"/>
  <c r="O43" i="7"/>
  <c r="O23" i="7"/>
  <c r="L20" i="7"/>
  <c r="L13" i="7"/>
  <c r="O331" i="5"/>
  <c r="O149" i="6"/>
  <c r="L467" i="3"/>
  <c r="O467" i="3" s="1"/>
  <c r="L34" i="4"/>
  <c r="O34" i="4" s="1"/>
  <c r="P167" i="4"/>
  <c r="N21" i="5"/>
  <c r="P21" i="5" s="1"/>
  <c r="O328" i="5"/>
  <c r="O277" i="5"/>
  <c r="P183" i="5"/>
  <c r="M24" i="6"/>
  <c r="O658" i="4"/>
  <c r="K364" i="5"/>
  <c r="O330" i="6"/>
  <c r="P184" i="6"/>
  <c r="L389" i="6"/>
  <c r="O389" i="6" s="1"/>
  <c r="O261" i="6"/>
  <c r="P263" i="6"/>
  <c r="O688" i="4"/>
  <c r="P90" i="4"/>
  <c r="K288" i="5"/>
  <c r="M685" i="6"/>
  <c r="P685" i="6" s="1"/>
  <c r="P26" i="6"/>
  <c r="P261" i="6"/>
  <c r="P391" i="6"/>
  <c r="M389" i="6"/>
  <c r="P389" i="6" s="1"/>
  <c r="M315" i="4"/>
  <c r="P315" i="4" s="1"/>
  <c r="L13" i="4"/>
  <c r="L11" i="4" s="1"/>
  <c r="M277" i="6"/>
  <c r="P277" i="6" s="1"/>
  <c r="P660" i="4"/>
  <c r="O347" i="3"/>
  <c r="P330" i="3"/>
  <c r="M421" i="5"/>
  <c r="P421" i="5" s="1"/>
  <c r="L389" i="5"/>
  <c r="O389" i="5" s="1"/>
  <c r="K654" i="4"/>
  <c r="L21" i="4"/>
  <c r="P330" i="5"/>
  <c r="P424" i="5"/>
  <c r="L685" i="6"/>
  <c r="O685" i="6" s="1"/>
  <c r="L132" i="5"/>
  <c r="O132" i="5" s="1"/>
  <c r="P331" i="6"/>
  <c r="O119" i="6"/>
  <c r="K433" i="6"/>
  <c r="L544" i="6"/>
  <c r="O544" i="6" s="1"/>
  <c r="O301" i="6"/>
  <c r="M149" i="6"/>
  <c r="P149" i="6" s="1"/>
  <c r="P151" i="6"/>
  <c r="O151" i="6"/>
  <c r="L315" i="4"/>
  <c r="O315" i="4" s="1"/>
  <c r="L389" i="4"/>
  <c r="O389" i="4" s="1"/>
  <c r="O300" i="3"/>
  <c r="M132" i="5"/>
  <c r="P132" i="5" s="1"/>
  <c r="P56" i="4"/>
  <c r="O421" i="5"/>
  <c r="P181" i="5"/>
  <c r="L786" i="6"/>
  <c r="O786" i="6" s="1"/>
  <c r="K417" i="6"/>
  <c r="O469" i="6"/>
  <c r="L467" i="6"/>
  <c r="O467" i="6" s="1"/>
  <c r="K434" i="6"/>
  <c r="I418" i="6"/>
  <c r="K418" i="6" s="1"/>
  <c r="L655" i="6"/>
  <c r="O655" i="6" s="1"/>
  <c r="M298" i="2"/>
  <c r="P298" i="2" s="1"/>
  <c r="P121" i="3"/>
  <c r="O345" i="5"/>
  <c r="O446" i="6"/>
  <c r="L419" i="6"/>
  <c r="O419" i="6" s="1"/>
  <c r="O421" i="6"/>
  <c r="O9" i="6"/>
  <c r="P528" i="6"/>
  <c r="M525" i="6"/>
  <c r="M526" i="6"/>
  <c r="P526" i="6" s="1"/>
  <c r="K537" i="6"/>
  <c r="J522" i="6"/>
  <c r="K522" i="6" s="1"/>
  <c r="M21" i="6"/>
  <c r="M20" i="6"/>
  <c r="P23" i="6"/>
  <c r="N20" i="6"/>
  <c r="N18" i="6" s="1"/>
  <c r="N13" i="6"/>
  <c r="N11" i="6" s="1"/>
  <c r="N21" i="6"/>
  <c r="O21" i="6" s="1"/>
  <c r="M328" i="3"/>
  <c r="P328" i="3" s="1"/>
  <c r="O43" i="3"/>
  <c r="O330" i="3"/>
  <c r="O23" i="4"/>
  <c r="M402" i="4"/>
  <c r="P402" i="4" s="1"/>
  <c r="L523" i="4"/>
  <c r="O523" i="4" s="1"/>
  <c r="M688" i="4"/>
  <c r="P688" i="4" s="1"/>
  <c r="O280" i="4"/>
  <c r="P472" i="5"/>
  <c r="O657" i="5"/>
  <c r="L30" i="5"/>
  <c r="O30" i="5" s="1"/>
  <c r="O330" i="5"/>
  <c r="M470" i="5"/>
  <c r="P470" i="5" s="1"/>
  <c r="P447" i="6"/>
  <c r="M328" i="6"/>
  <c r="P328" i="6" s="1"/>
  <c r="P631" i="6"/>
  <c r="M629" i="6"/>
  <c r="P629" i="6" s="1"/>
  <c r="O523" i="6"/>
  <c r="M402" i="6"/>
  <c r="P402" i="6" s="1"/>
  <c r="P43" i="6"/>
  <c r="P29" i="6"/>
  <c r="P44" i="6"/>
  <c r="O44" i="6"/>
  <c r="O19" i="6"/>
  <c r="M469" i="6"/>
  <c r="M470" i="6"/>
  <c r="P470" i="6" s="1"/>
  <c r="P472" i="6"/>
  <c r="M33" i="6"/>
  <c r="M13" i="6" s="1"/>
  <c r="P315" i="6"/>
  <c r="O167" i="6"/>
  <c r="N165" i="6"/>
  <c r="O165" i="6" s="1"/>
  <c r="P9" i="6"/>
  <c r="O90" i="6"/>
  <c r="L88" i="6"/>
  <c r="O26" i="6"/>
  <c r="L16" i="6"/>
  <c r="L14" i="6" s="1"/>
  <c r="P167" i="6"/>
  <c r="P168" i="3"/>
  <c r="P545" i="6"/>
  <c r="M544" i="6"/>
  <c r="P544" i="6" s="1"/>
  <c r="I131" i="6"/>
  <c r="K131" i="6" s="1"/>
  <c r="K143" i="6"/>
  <c r="K275" i="6"/>
  <c r="O238" i="6"/>
  <c r="L227" i="6"/>
  <c r="O29" i="6"/>
  <c r="K77" i="6"/>
  <c r="I65" i="6"/>
  <c r="K65" i="6" s="1"/>
  <c r="L24" i="6"/>
  <c r="O43" i="1"/>
  <c r="M655" i="4"/>
  <c r="P655" i="4" s="1"/>
  <c r="L149" i="4"/>
  <c r="O149" i="4" s="1"/>
  <c r="O263" i="4"/>
  <c r="M389" i="5"/>
  <c r="P389" i="5" s="1"/>
  <c r="P347" i="5"/>
  <c r="P328" i="5"/>
  <c r="N444" i="6"/>
  <c r="P90" i="6"/>
  <c r="N88" i="6"/>
  <c r="P88" i="6" s="1"/>
  <c r="M419" i="6"/>
  <c r="P421" i="6"/>
  <c r="M14" i="6"/>
  <c r="P15" i="6"/>
  <c r="K76" i="6"/>
  <c r="I64" i="6"/>
  <c r="K64" i="6" s="1"/>
  <c r="N16" i="6"/>
  <c r="N14" i="6" s="1"/>
  <c r="N24" i="6"/>
  <c r="M33" i="5"/>
  <c r="P33" i="5" s="1"/>
  <c r="N20" i="5"/>
  <c r="N18" i="5" s="1"/>
  <c r="M20" i="5"/>
  <c r="M18" i="5" s="1"/>
  <c r="M657" i="6"/>
  <c r="M658" i="6"/>
  <c r="P658" i="6" s="1"/>
  <c r="P660" i="6"/>
  <c r="P791" i="6"/>
  <c r="M788" i="6"/>
  <c r="M789" i="6"/>
  <c r="P789" i="6" s="1"/>
  <c r="K559" i="6"/>
  <c r="I543" i="6"/>
  <c r="K543" i="6" s="1"/>
  <c r="M66" i="6"/>
  <c r="P68" i="6"/>
  <c r="K288" i="6"/>
  <c r="N9" i="6"/>
  <c r="K237" i="6"/>
  <c r="I226" i="6"/>
  <c r="O55" i="6"/>
  <c r="L53" i="6"/>
  <c r="L132" i="6"/>
  <c r="O132" i="6" s="1"/>
  <c r="O134" i="6"/>
  <c r="O15" i="6"/>
  <c r="O23" i="6"/>
  <c r="L20" i="6"/>
  <c r="L13" i="6"/>
  <c r="P301" i="3"/>
  <c r="P277" i="5"/>
  <c r="M16" i="5"/>
  <c r="M14" i="5" s="1"/>
  <c r="P184" i="2"/>
  <c r="O347" i="2"/>
  <c r="P279" i="5"/>
  <c r="L227" i="5"/>
  <c r="O279" i="5"/>
  <c r="O43" i="5"/>
  <c r="P549" i="4"/>
  <c r="L88" i="4"/>
  <c r="O88" i="4" s="1"/>
  <c r="P168" i="4"/>
  <c r="L119" i="4"/>
  <c r="O119" i="4" s="1"/>
  <c r="K76" i="4"/>
  <c r="P181" i="3"/>
  <c r="P59" i="5"/>
  <c r="P41" i="5"/>
  <c r="K364" i="3"/>
  <c r="P55" i="4"/>
  <c r="L31" i="5"/>
  <c r="O31" i="5" s="1"/>
  <c r="O657" i="3"/>
  <c r="M88" i="4"/>
  <c r="P88" i="4" s="1"/>
  <c r="K434" i="5"/>
  <c r="O36" i="5"/>
  <c r="L34" i="5"/>
  <c r="O34" i="5" s="1"/>
  <c r="L298" i="4"/>
  <c r="O298" i="4" s="1"/>
  <c r="O317" i="5"/>
  <c r="L315" i="5"/>
  <c r="O315" i="5" s="1"/>
  <c r="P121" i="5"/>
  <c r="M119" i="5"/>
  <c r="P119" i="5" s="1"/>
  <c r="L629" i="5"/>
  <c r="O629" i="5" s="1"/>
  <c r="O631" i="5"/>
  <c r="K237" i="5"/>
  <c r="I226" i="5"/>
  <c r="O183" i="5"/>
  <c r="L181" i="5"/>
  <c r="O181" i="5" s="1"/>
  <c r="P263" i="4"/>
  <c r="M24" i="5"/>
  <c r="M165" i="5"/>
  <c r="P165" i="5" s="1"/>
  <c r="P167" i="5"/>
  <c r="L88" i="5"/>
  <c r="O88" i="5" s="1"/>
  <c r="O90" i="5"/>
  <c r="P263" i="5"/>
  <c r="M261" i="5"/>
  <c r="P261" i="5" s="1"/>
  <c r="P55" i="5"/>
  <c r="M53" i="5"/>
  <c r="P53" i="5" s="1"/>
  <c r="P165" i="3"/>
  <c r="O181" i="3"/>
  <c r="N24" i="4"/>
  <c r="O165" i="3"/>
  <c r="L402" i="4"/>
  <c r="O402" i="4" s="1"/>
  <c r="P279" i="4"/>
  <c r="P26" i="5"/>
  <c r="L523" i="3"/>
  <c r="O523" i="3" s="1"/>
  <c r="O277" i="4"/>
  <c r="K275" i="5"/>
  <c r="N66" i="5"/>
  <c r="O66" i="5" s="1"/>
  <c r="M402" i="5"/>
  <c r="P402" i="5" s="1"/>
  <c r="N298" i="5"/>
  <c r="P298" i="5" s="1"/>
  <c r="P300" i="5"/>
  <c r="P23" i="5"/>
  <c r="O347" i="5"/>
  <c r="O43" i="4"/>
  <c r="L544" i="5"/>
  <c r="O544" i="5" s="1"/>
  <c r="O279" i="4"/>
  <c r="O167" i="5"/>
  <c r="L165" i="5"/>
  <c r="O165" i="5" s="1"/>
  <c r="P90" i="5"/>
  <c r="M88" i="5"/>
  <c r="P88" i="5" s="1"/>
  <c r="P43" i="5"/>
  <c r="P687" i="4"/>
  <c r="M685" i="4"/>
  <c r="P685" i="4" s="1"/>
  <c r="P690" i="4"/>
  <c r="P12" i="5"/>
  <c r="M9" i="5"/>
  <c r="L523" i="5"/>
  <c r="O523" i="5" s="1"/>
  <c r="O525" i="5"/>
  <c r="M470" i="4"/>
  <c r="P470" i="4" s="1"/>
  <c r="M469" i="4"/>
  <c r="O121" i="5"/>
  <c r="L119" i="5"/>
  <c r="O119" i="5" s="1"/>
  <c r="P472" i="4"/>
  <c r="P43" i="3"/>
  <c r="L402" i="5"/>
  <c r="O402" i="5" s="1"/>
  <c r="P449" i="5"/>
  <c r="M446" i="5"/>
  <c r="M447" i="5"/>
  <c r="P447" i="5" s="1"/>
  <c r="K143" i="5"/>
  <c r="I131" i="5"/>
  <c r="K131" i="5" s="1"/>
  <c r="P549" i="5"/>
  <c r="M546" i="5"/>
  <c r="M547" i="5"/>
  <c r="P547" i="5" s="1"/>
  <c r="P69" i="5"/>
  <c r="O69" i="5"/>
  <c r="O41" i="5"/>
  <c r="O280" i="3"/>
  <c r="O55" i="4"/>
  <c r="P280" i="4"/>
  <c r="M655" i="5"/>
  <c r="P655" i="5" s="1"/>
  <c r="M688" i="5"/>
  <c r="P688" i="5" s="1"/>
  <c r="M687" i="5"/>
  <c r="P690" i="5"/>
  <c r="L685" i="5"/>
  <c r="O685" i="5" s="1"/>
  <c r="O55" i="5"/>
  <c r="L53" i="5"/>
  <c r="O53" i="5" s="1"/>
  <c r="N24" i="5"/>
  <c r="N16" i="5"/>
  <c r="N14" i="5" s="1"/>
  <c r="L444" i="5"/>
  <c r="O19" i="5"/>
  <c r="K559" i="4"/>
  <c r="P347" i="4"/>
  <c r="P391" i="4"/>
  <c r="P469" i="5"/>
  <c r="O469" i="5"/>
  <c r="N467" i="5"/>
  <c r="N414" i="5" s="1"/>
  <c r="L21" i="5"/>
  <c r="L20" i="5"/>
  <c r="O23" i="5"/>
  <c r="L13" i="5"/>
  <c r="L11" i="5" s="1"/>
  <c r="P68" i="5"/>
  <c r="P19" i="5"/>
  <c r="I65" i="5"/>
  <c r="K65" i="5" s="1"/>
  <c r="K77" i="5"/>
  <c r="O26" i="5"/>
  <c r="L16" i="5"/>
  <c r="L24" i="5"/>
  <c r="P472" i="2"/>
  <c r="K433" i="5"/>
  <c r="I417" i="5"/>
  <c r="K417" i="5" s="1"/>
  <c r="N11" i="5"/>
  <c r="N9" i="5"/>
  <c r="K76" i="5"/>
  <c r="I64" i="5"/>
  <c r="K64" i="5" s="1"/>
  <c r="O12" i="5"/>
  <c r="L9" i="5"/>
  <c r="K537" i="2"/>
  <c r="O421" i="2"/>
  <c r="O53" i="2"/>
  <c r="L629" i="3"/>
  <c r="O629" i="3" s="1"/>
  <c r="O69" i="3"/>
  <c r="M658" i="4"/>
  <c r="P658" i="4" s="1"/>
  <c r="O167" i="4"/>
  <c r="K275" i="4"/>
  <c r="O330" i="4"/>
  <c r="M547" i="4"/>
  <c r="P547" i="4" s="1"/>
  <c r="P149" i="4"/>
  <c r="M469" i="2"/>
  <c r="P469" i="2" s="1"/>
  <c r="K275" i="3"/>
  <c r="N24" i="2"/>
  <c r="P24" i="2" s="1"/>
  <c r="L261" i="4"/>
  <c r="O261" i="4" s="1"/>
  <c r="O421" i="4"/>
  <c r="L419" i="4"/>
  <c r="O419" i="4" s="1"/>
  <c r="P300" i="4"/>
  <c r="M298" i="4"/>
  <c r="P298" i="4" s="1"/>
  <c r="L132" i="4"/>
  <c r="O132" i="4" s="1"/>
  <c r="P53" i="4"/>
  <c r="M631" i="2"/>
  <c r="P631" i="2" s="1"/>
  <c r="O279" i="2"/>
  <c r="O183" i="3"/>
  <c r="L149" i="3"/>
  <c r="O149" i="3" s="1"/>
  <c r="P151" i="3"/>
  <c r="M345" i="4"/>
  <c r="P345" i="4" s="1"/>
  <c r="J364" i="4"/>
  <c r="K364" i="4" s="1"/>
  <c r="N328" i="4"/>
  <c r="P328" i="4" s="1"/>
  <c r="P151" i="4"/>
  <c r="O547" i="2"/>
  <c r="L132" i="2"/>
  <c r="O132" i="2" s="1"/>
  <c r="M632" i="2"/>
  <c r="P632" i="2" s="1"/>
  <c r="M16" i="2"/>
  <c r="P16" i="2" s="1"/>
  <c r="L345" i="3"/>
  <c r="O345" i="3" s="1"/>
  <c r="L389" i="3"/>
  <c r="O389" i="3" s="1"/>
  <c r="P88" i="3"/>
  <c r="L31" i="4"/>
  <c r="O31" i="4" s="1"/>
  <c r="L30" i="4"/>
  <c r="L28" i="4" s="1"/>
  <c r="O28" i="4" s="1"/>
  <c r="P55" i="2"/>
  <c r="O446" i="3"/>
  <c r="P330" i="4"/>
  <c r="K236" i="1"/>
  <c r="I418" i="3"/>
  <c r="K418" i="3" s="1"/>
  <c r="P91" i="3"/>
  <c r="O446" i="4"/>
  <c r="L444" i="4"/>
  <c r="O444" i="4" s="1"/>
  <c r="K434" i="4"/>
  <c r="I418" i="4"/>
  <c r="K418" i="4" s="1"/>
  <c r="P421" i="4"/>
  <c r="M419" i="4"/>
  <c r="L345" i="4"/>
  <c r="O345" i="4" s="1"/>
  <c r="P9" i="4"/>
  <c r="P26" i="4"/>
  <c r="M16" i="4"/>
  <c r="P16" i="4" s="1"/>
  <c r="I65" i="4"/>
  <c r="K65" i="4" s="1"/>
  <c r="K77" i="4"/>
  <c r="P23" i="4"/>
  <c r="M20" i="4"/>
  <c r="M18" i="4" s="1"/>
  <c r="M21" i="4"/>
  <c r="P121" i="4"/>
  <c r="M119" i="4"/>
  <c r="P119" i="4" s="1"/>
  <c r="M24" i="4"/>
  <c r="P791" i="1"/>
  <c r="M658" i="2"/>
  <c r="P658" i="2" s="1"/>
  <c r="L685" i="2"/>
  <c r="O685" i="2" s="1"/>
  <c r="P328" i="2"/>
  <c r="O55" i="2"/>
  <c r="N20" i="3"/>
  <c r="N18" i="3" s="1"/>
  <c r="K433" i="4"/>
  <c r="J417" i="4"/>
  <c r="K417" i="4" s="1"/>
  <c r="P546" i="4"/>
  <c r="O546" i="4"/>
  <c r="L66" i="4"/>
  <c r="O66" i="4" s="1"/>
  <c r="P15" i="4"/>
  <c r="O88" i="3"/>
  <c r="O687" i="3"/>
  <c r="I164" i="4"/>
  <c r="K164" i="4" s="1"/>
  <c r="K174" i="4"/>
  <c r="O26" i="4"/>
  <c r="L16" i="4"/>
  <c r="L24" i="4"/>
  <c r="K237" i="4"/>
  <c r="I226" i="4"/>
  <c r="L53" i="4"/>
  <c r="O53" i="4" s="1"/>
  <c r="P134" i="4"/>
  <c r="M132" i="4"/>
  <c r="P132" i="4" s="1"/>
  <c r="L9" i="4"/>
  <c r="O12" i="4"/>
  <c r="O547" i="4"/>
  <c r="J594" i="1"/>
  <c r="K594" i="1" s="1"/>
  <c r="K433" i="3"/>
  <c r="N24" i="3"/>
  <c r="O167" i="3"/>
  <c r="I131" i="4"/>
  <c r="K131" i="4" s="1"/>
  <c r="K143" i="4"/>
  <c r="M277" i="4"/>
  <c r="P277" i="4" s="1"/>
  <c r="L20" i="4"/>
  <c r="N13" i="4"/>
  <c r="N20" i="4"/>
  <c r="N18" i="4" s="1"/>
  <c r="O629" i="4"/>
  <c r="O19" i="4"/>
  <c r="P43" i="4"/>
  <c r="M41" i="4"/>
  <c r="P29" i="4"/>
  <c r="N21" i="4"/>
  <c r="N469" i="1"/>
  <c r="P469" i="1" s="1"/>
  <c r="M132" i="2"/>
  <c r="P132" i="2" s="1"/>
  <c r="O348" i="3"/>
  <c r="L132" i="3"/>
  <c r="O132" i="3" s="1"/>
  <c r="K417" i="3"/>
  <c r="P183" i="3"/>
  <c r="P544" i="4"/>
  <c r="L467" i="4"/>
  <c r="P634" i="4"/>
  <c r="M631" i="4"/>
  <c r="M632" i="4"/>
  <c r="P632" i="4" s="1"/>
  <c r="M33" i="4"/>
  <c r="O657" i="4"/>
  <c r="O183" i="4"/>
  <c r="N181" i="4"/>
  <c r="P181" i="4" s="1"/>
  <c r="O238" i="4"/>
  <c r="L227" i="4"/>
  <c r="O631" i="4"/>
  <c r="M165" i="4"/>
  <c r="P165" i="4" s="1"/>
  <c r="K288" i="4"/>
  <c r="P331" i="4"/>
  <c r="O331" i="4"/>
  <c r="N28" i="4"/>
  <c r="P183" i="4"/>
  <c r="P19" i="4"/>
  <c r="L41" i="4"/>
  <c r="O43" i="2"/>
  <c r="O328" i="2"/>
  <c r="O165" i="2"/>
  <c r="P26" i="2"/>
  <c r="M469" i="3"/>
  <c r="P472" i="1"/>
  <c r="O791" i="1"/>
  <c r="O88" i="2"/>
  <c r="I64" i="2"/>
  <c r="K64" i="2" s="1"/>
  <c r="L30" i="2"/>
  <c r="O30" i="2" s="1"/>
  <c r="K235" i="1"/>
  <c r="O26" i="3"/>
  <c r="M470" i="3"/>
  <c r="P470" i="3" s="1"/>
  <c r="O263" i="3"/>
  <c r="P44" i="2"/>
  <c r="L41" i="1"/>
  <c r="O41" i="1" s="1"/>
  <c r="L53" i="3"/>
  <c r="O53" i="3" s="1"/>
  <c r="L41" i="3"/>
  <c r="O41" i="3" s="1"/>
  <c r="O786" i="1"/>
  <c r="K433" i="2"/>
  <c r="L786" i="2"/>
  <c r="O786" i="2" s="1"/>
  <c r="L298" i="3"/>
  <c r="O298" i="3" s="1"/>
  <c r="O298" i="1"/>
  <c r="L119" i="2"/>
  <c r="O119" i="2" s="1"/>
  <c r="O167" i="2"/>
  <c r="L34" i="2"/>
  <c r="O34" i="2" s="1"/>
  <c r="M402" i="3"/>
  <c r="P402" i="3" s="1"/>
  <c r="L402" i="3"/>
  <c r="O402" i="3" s="1"/>
  <c r="O261" i="2"/>
  <c r="M446" i="3"/>
  <c r="P263" i="3"/>
  <c r="M261" i="3"/>
  <c r="P261" i="3" s="1"/>
  <c r="L31" i="3"/>
  <c r="O31" i="3" s="1"/>
  <c r="L30" i="3"/>
  <c r="L28" i="3" s="1"/>
  <c r="O330" i="1"/>
  <c r="O546" i="2"/>
  <c r="P183" i="2"/>
  <c r="P151" i="2"/>
  <c r="M66" i="2"/>
  <c r="P66" i="2" s="1"/>
  <c r="M544" i="3"/>
  <c r="P544" i="3" s="1"/>
  <c r="L328" i="3"/>
  <c r="O328" i="3" s="1"/>
  <c r="L419" i="3"/>
  <c r="O419" i="3" s="1"/>
  <c r="P391" i="3"/>
  <c r="M389" i="3"/>
  <c r="P389" i="3" s="1"/>
  <c r="M629" i="3"/>
  <c r="P629" i="3" s="1"/>
  <c r="P631" i="3"/>
  <c r="P449" i="1"/>
  <c r="O151" i="2"/>
  <c r="M422" i="3"/>
  <c r="P422" i="3" s="1"/>
  <c r="L544" i="3"/>
  <c r="O544" i="3" s="1"/>
  <c r="M33" i="3"/>
  <c r="M31" i="3" s="1"/>
  <c r="P31" i="3" s="1"/>
  <c r="P167" i="3"/>
  <c r="P280" i="3"/>
  <c r="L119" i="3"/>
  <c r="O119" i="3" s="1"/>
  <c r="L315" i="3"/>
  <c r="O315" i="3" s="1"/>
  <c r="P151" i="1"/>
  <c r="O345" i="1"/>
  <c r="M421" i="3"/>
  <c r="M419" i="3" s="1"/>
  <c r="M298" i="3"/>
  <c r="P298" i="3" s="1"/>
  <c r="P300" i="3"/>
  <c r="P279" i="3"/>
  <c r="O36" i="3"/>
  <c r="L34" i="3"/>
  <c r="O34" i="3" s="1"/>
  <c r="O279" i="3"/>
  <c r="N277" i="3"/>
  <c r="P277" i="3" s="1"/>
  <c r="L16" i="3"/>
  <c r="L24" i="3"/>
  <c r="P138" i="1"/>
  <c r="I226" i="1"/>
  <c r="K226" i="1" s="1"/>
  <c r="K233" i="1"/>
  <c r="O348" i="2"/>
  <c r="P261" i="2"/>
  <c r="P152" i="2"/>
  <c r="L227" i="2"/>
  <c r="L66" i="3"/>
  <c r="O66" i="3" s="1"/>
  <c r="M688" i="3"/>
  <c r="P688" i="3" s="1"/>
  <c r="P690" i="3"/>
  <c r="M687" i="3"/>
  <c r="K669" i="1"/>
  <c r="O317" i="1"/>
  <c r="O470" i="2"/>
  <c r="K288" i="3"/>
  <c r="O33" i="3"/>
  <c r="N30" i="3"/>
  <c r="L227" i="3"/>
  <c r="O238" i="3"/>
  <c r="P26" i="3"/>
  <c r="M16" i="3"/>
  <c r="K237" i="3"/>
  <c r="I226" i="3"/>
  <c r="N28" i="3"/>
  <c r="N13" i="3"/>
  <c r="P41" i="3"/>
  <c r="P121" i="1"/>
  <c r="P345" i="2"/>
  <c r="J592" i="3"/>
  <c r="K592" i="3" s="1"/>
  <c r="K593" i="3"/>
  <c r="O12" i="3"/>
  <c r="L9" i="3"/>
  <c r="P134" i="3"/>
  <c r="M132" i="3"/>
  <c r="P132" i="3" s="1"/>
  <c r="O23" i="3"/>
  <c r="L21" i="3"/>
  <c r="O21" i="3" s="1"/>
  <c r="L20" i="3"/>
  <c r="L13" i="3"/>
  <c r="L11" i="3" s="1"/>
  <c r="O90" i="3"/>
  <c r="M24" i="3"/>
  <c r="I164" i="3"/>
  <c r="K164" i="3" s="1"/>
  <c r="K174" i="3"/>
  <c r="P347" i="3"/>
  <c r="M345" i="3"/>
  <c r="P345" i="3" s="1"/>
  <c r="P317" i="3"/>
  <c r="M315" i="3"/>
  <c r="P315" i="3" s="1"/>
  <c r="O19" i="3"/>
  <c r="P23" i="3"/>
  <c r="M20" i="3"/>
  <c r="M21" i="3"/>
  <c r="P21" i="3" s="1"/>
  <c r="P68" i="3"/>
  <c r="M66" i="3"/>
  <c r="P66" i="3" s="1"/>
  <c r="P55" i="3"/>
  <c r="M53" i="3"/>
  <c r="P53" i="3" s="1"/>
  <c r="M24" i="1"/>
  <c r="P149" i="1"/>
  <c r="O149" i="1"/>
  <c r="O331" i="2"/>
  <c r="L444" i="2"/>
  <c r="O444" i="2" s="1"/>
  <c r="M149" i="2"/>
  <c r="P149" i="2" s="1"/>
  <c r="N13" i="2"/>
  <c r="N10" i="2" s="1"/>
  <c r="M389" i="2"/>
  <c r="P389" i="2" s="1"/>
  <c r="O688" i="3"/>
  <c r="O444" i="3"/>
  <c r="P12" i="3"/>
  <c r="M9" i="3"/>
  <c r="I64" i="3"/>
  <c r="K64" i="3" s="1"/>
  <c r="K76" i="3"/>
  <c r="I65" i="3"/>
  <c r="K65" i="3" s="1"/>
  <c r="K77" i="3"/>
  <c r="P90" i="3"/>
  <c r="P317" i="2"/>
  <c r="M53" i="2"/>
  <c r="P53" i="2" s="1"/>
  <c r="L41" i="2"/>
  <c r="O41" i="2" s="1"/>
  <c r="I131" i="3"/>
  <c r="K131" i="3" s="1"/>
  <c r="K143" i="3"/>
  <c r="P43" i="1"/>
  <c r="K275" i="2"/>
  <c r="O345" i="2"/>
  <c r="P347" i="2"/>
  <c r="M181" i="2"/>
  <c r="P181" i="2" s="1"/>
  <c r="L277" i="2"/>
  <c r="O277" i="2" s="1"/>
  <c r="O21" i="2"/>
  <c r="M526" i="2"/>
  <c r="P526" i="2" s="1"/>
  <c r="M525" i="2"/>
  <c r="P658" i="1"/>
  <c r="P347" i="1"/>
  <c r="P298" i="1"/>
  <c r="L149" i="2"/>
  <c r="O149" i="2" s="1"/>
  <c r="O91" i="2"/>
  <c r="O183" i="2"/>
  <c r="L66" i="2"/>
  <c r="O66" i="2" s="1"/>
  <c r="L181" i="2"/>
  <c r="O181" i="2" s="1"/>
  <c r="L629" i="2"/>
  <c r="O629" i="2" s="1"/>
  <c r="O655" i="2"/>
  <c r="K248" i="2"/>
  <c r="P690" i="2"/>
  <c r="M688" i="2"/>
  <c r="P688" i="2" s="1"/>
  <c r="M687" i="2"/>
  <c r="L402" i="2"/>
  <c r="O402" i="2" s="1"/>
  <c r="P300" i="1"/>
  <c r="P134" i="1"/>
  <c r="K364" i="1"/>
  <c r="P660" i="2"/>
  <c r="P90" i="2"/>
  <c r="O90" i="2"/>
  <c r="O33" i="2"/>
  <c r="L31" i="2"/>
  <c r="O31" i="2" s="1"/>
  <c r="L13" i="1"/>
  <c r="L11" i="1" s="1"/>
  <c r="P26" i="1"/>
  <c r="O263" i="1"/>
  <c r="P88" i="2"/>
  <c r="J593" i="1"/>
  <c r="J592" i="1" s="1"/>
  <c r="K592" i="1" s="1"/>
  <c r="O330" i="2"/>
  <c r="O300" i="2"/>
  <c r="L298" i="2"/>
  <c r="O298" i="2" s="1"/>
  <c r="I164" i="2"/>
  <c r="K164" i="2" s="1"/>
  <c r="K174" i="2"/>
  <c r="P43" i="2"/>
  <c r="M41" i="2"/>
  <c r="P41" i="2" s="1"/>
  <c r="P263" i="1"/>
  <c r="K785" i="1"/>
  <c r="O23" i="1"/>
  <c r="P119" i="1"/>
  <c r="O657" i="2"/>
  <c r="K364" i="2"/>
  <c r="P330" i="2"/>
  <c r="N20" i="2"/>
  <c r="N18" i="2" s="1"/>
  <c r="P279" i="2"/>
  <c r="M277" i="2"/>
  <c r="P277" i="2" s="1"/>
  <c r="L523" i="2"/>
  <c r="O523" i="2" s="1"/>
  <c r="N37" i="2"/>
  <c r="O26" i="2"/>
  <c r="L16" i="2"/>
  <c r="O16" i="2" s="1"/>
  <c r="L24" i="2"/>
  <c r="P29" i="2"/>
  <c r="P181" i="1"/>
  <c r="O151" i="1"/>
  <c r="O183" i="1"/>
  <c r="P547" i="2"/>
  <c r="O317" i="2"/>
  <c r="N544" i="2"/>
  <c r="O544" i="2" s="1"/>
  <c r="P15" i="2"/>
  <c r="O29" i="2"/>
  <c r="O263" i="2"/>
  <c r="O23" i="2"/>
  <c r="L20" i="2"/>
  <c r="L13" i="2"/>
  <c r="P318" i="2"/>
  <c r="O318" i="2"/>
  <c r="M446" i="2"/>
  <c r="P449" i="2"/>
  <c r="M447" i="2"/>
  <c r="P447" i="2" s="1"/>
  <c r="O469" i="2"/>
  <c r="L467" i="2"/>
  <c r="O467" i="2" s="1"/>
  <c r="I131" i="2"/>
  <c r="K131" i="2" s="1"/>
  <c r="K143" i="2"/>
  <c r="M655" i="2"/>
  <c r="P655" i="2" s="1"/>
  <c r="P121" i="2"/>
  <c r="M119" i="2"/>
  <c r="P119" i="2" s="1"/>
  <c r="P9" i="2"/>
  <c r="I418" i="2"/>
  <c r="K418" i="2" s="1"/>
  <c r="K434" i="2"/>
  <c r="N414" i="2"/>
  <c r="O315" i="2"/>
  <c r="I65" i="2"/>
  <c r="K65" i="2" s="1"/>
  <c r="K77" i="2"/>
  <c r="P263" i="2"/>
  <c r="P23" i="2"/>
  <c r="M20" i="2"/>
  <c r="M21" i="2"/>
  <c r="P21" i="2" s="1"/>
  <c r="K226" i="2"/>
  <c r="I180" i="2"/>
  <c r="K180" i="2" s="1"/>
  <c r="P167" i="2"/>
  <c r="M165" i="2"/>
  <c r="P165" i="2" s="1"/>
  <c r="O209" i="1"/>
  <c r="L402" i="1"/>
  <c r="O402" i="1" s="1"/>
  <c r="K418" i="1"/>
  <c r="L389" i="2"/>
  <c r="O389" i="2" s="1"/>
  <c r="O391" i="2"/>
  <c r="O15" i="2"/>
  <c r="N9" i="2"/>
  <c r="K112" i="1"/>
  <c r="N227" i="1"/>
  <c r="P55" i="1"/>
  <c r="O198" i="1"/>
  <c r="K675" i="1"/>
  <c r="O217" i="1"/>
  <c r="P470" i="2"/>
  <c r="P424" i="2"/>
  <c r="M421" i="2"/>
  <c r="M422" i="2"/>
  <c r="P422" i="2" s="1"/>
  <c r="M33" i="2"/>
  <c r="M13" i="2" s="1"/>
  <c r="P546" i="2"/>
  <c r="M402" i="2"/>
  <c r="P402" i="2" s="1"/>
  <c r="L9" i="2"/>
  <c r="P315" i="2"/>
  <c r="P277" i="1"/>
  <c r="L227" i="1"/>
  <c r="N446" i="1"/>
  <c r="O449" i="1"/>
  <c r="N525" i="1"/>
  <c r="O525" i="1" s="1"/>
  <c r="P261" i="1"/>
  <c r="O347" i="1"/>
  <c r="O300" i="1"/>
  <c r="P279" i="1"/>
  <c r="K434" i="1"/>
  <c r="N789" i="1"/>
  <c r="P789" i="1" s="1"/>
  <c r="K654" i="1"/>
  <c r="M402" i="1"/>
  <c r="P402" i="1" s="1"/>
  <c r="P424" i="1"/>
  <c r="P183" i="1"/>
  <c r="O181" i="1"/>
  <c r="M20" i="1"/>
  <c r="M18" i="1" s="1"/>
  <c r="P88" i="1"/>
  <c r="K77" i="1"/>
  <c r="M21" i="1"/>
  <c r="P41" i="1"/>
  <c r="P786" i="1"/>
  <c r="N421" i="1"/>
  <c r="P421" i="1" s="1"/>
  <c r="O238" i="1"/>
  <c r="P391" i="1"/>
  <c r="M389" i="1"/>
  <c r="P389" i="1" s="1"/>
  <c r="O788" i="1"/>
  <c r="O88" i="1"/>
  <c r="O279" i="1"/>
  <c r="P422" i="1"/>
  <c r="O422" i="1"/>
  <c r="P23" i="1"/>
  <c r="N526" i="1"/>
  <c r="O526" i="1" s="1"/>
  <c r="N470" i="1"/>
  <c r="P470" i="1" s="1"/>
  <c r="M528" i="1"/>
  <c r="P528" i="1" s="1"/>
  <c r="K433" i="1"/>
  <c r="M345" i="1"/>
  <c r="P345" i="1" s="1"/>
  <c r="O152" i="1"/>
  <c r="M53" i="1"/>
  <c r="P53" i="1" s="1"/>
  <c r="I65" i="1"/>
  <c r="K65" i="1" s="1"/>
  <c r="O167" i="1"/>
  <c r="K99" i="1"/>
  <c r="O424" i="1"/>
  <c r="P788" i="1"/>
  <c r="P660" i="1"/>
  <c r="O134" i="1"/>
  <c r="P90" i="1"/>
  <c r="O90" i="1"/>
  <c r="M315" i="1"/>
  <c r="P315" i="1" s="1"/>
  <c r="P317" i="1"/>
  <c r="P330" i="1"/>
  <c r="M328" i="1"/>
  <c r="P328" i="1" s="1"/>
  <c r="O660" i="1"/>
  <c r="L328" i="1"/>
  <c r="O328" i="1" s="1"/>
  <c r="N687" i="1"/>
  <c r="N688" i="1"/>
  <c r="O688" i="1" s="1"/>
  <c r="O690" i="1"/>
  <c r="M132" i="1"/>
  <c r="P132" i="1" s="1"/>
  <c r="N657" i="1"/>
  <c r="P447" i="1"/>
  <c r="O36" i="1"/>
  <c r="L34" i="1"/>
  <c r="O34" i="1" s="1"/>
  <c r="O447" i="1"/>
  <c r="L261" i="1"/>
  <c r="O261" i="1" s="1"/>
  <c r="L277" i="1"/>
  <c r="O277" i="1" s="1"/>
  <c r="I131" i="1"/>
  <c r="K131" i="1" s="1"/>
  <c r="K143" i="1"/>
  <c r="K576" i="1"/>
  <c r="J559" i="1"/>
  <c r="O184" i="1"/>
  <c r="M14" i="1"/>
  <c r="M9" i="1"/>
  <c r="P15" i="1"/>
  <c r="P68" i="1"/>
  <c r="N66" i="1"/>
  <c r="L24" i="1"/>
  <c r="L16" i="1"/>
  <c r="O26" i="1"/>
  <c r="O658" i="1"/>
  <c r="L389" i="1"/>
  <c r="O389" i="1" s="1"/>
  <c r="O391" i="1"/>
  <c r="N21" i="1"/>
  <c r="O21" i="1" s="1"/>
  <c r="N20" i="1"/>
  <c r="O68" i="1"/>
  <c r="L66" i="1"/>
  <c r="N631" i="1"/>
  <c r="N632" i="1"/>
  <c r="P632" i="1" s="1"/>
  <c r="P634" i="1"/>
  <c r="N546" i="1"/>
  <c r="N547" i="1"/>
  <c r="O547" i="1" s="1"/>
  <c r="O549" i="1"/>
  <c r="N33" i="1"/>
  <c r="O33" i="1" s="1"/>
  <c r="P167" i="1"/>
  <c r="M165" i="1"/>
  <c r="P165" i="1" s="1"/>
  <c r="O165" i="1"/>
  <c r="O55" i="1"/>
  <c r="L53" i="1"/>
  <c r="O53" i="1" s="1"/>
  <c r="L315" i="1"/>
  <c r="O315" i="1" s="1"/>
  <c r="N16" i="1"/>
  <c r="N24" i="1"/>
  <c r="K76" i="1"/>
  <c r="I64" i="1"/>
  <c r="K64" i="1" s="1"/>
  <c r="L20" i="1"/>
  <c r="L414" i="1"/>
  <c r="O634" i="1"/>
  <c r="L119" i="1"/>
  <c r="O119" i="1" s="1"/>
  <c r="O121" i="1"/>
  <c r="O132" i="1"/>
  <c r="N9" i="1"/>
  <c r="L30" i="1"/>
  <c r="L31" i="1"/>
  <c r="P29" i="1"/>
  <c r="K226" i="21" l="1"/>
  <c r="O13" i="21"/>
  <c r="P165" i="20"/>
  <c r="M685" i="20"/>
  <c r="P685" i="20" s="1"/>
  <c r="M419" i="19"/>
  <c r="P419" i="19" s="1"/>
  <c r="O41" i="19"/>
  <c r="O53" i="19"/>
  <c r="O66" i="20"/>
  <c r="O30" i="19"/>
  <c r="M467" i="19"/>
  <c r="P467" i="19" s="1"/>
  <c r="P261" i="16"/>
  <c r="O88" i="19"/>
  <c r="P66" i="5"/>
  <c r="P16" i="21"/>
  <c r="N10" i="19"/>
  <c r="N8" i="19" s="1"/>
  <c r="O20" i="20"/>
  <c r="O11" i="20"/>
  <c r="N37" i="21"/>
  <c r="O16" i="19"/>
  <c r="L28" i="21"/>
  <c r="O28" i="21" s="1"/>
  <c r="N11" i="21"/>
  <c r="O88" i="20"/>
  <c r="P14" i="18"/>
  <c r="P261" i="19"/>
  <c r="I180" i="19"/>
  <c r="K180" i="19" s="1"/>
  <c r="L28" i="20"/>
  <c r="O28" i="20" s="1"/>
  <c r="L11" i="21"/>
  <c r="O13" i="20"/>
  <c r="L14" i="17"/>
  <c r="O14" i="17" s="1"/>
  <c r="P24" i="20"/>
  <c r="P18" i="21"/>
  <c r="O18" i="21"/>
  <c r="P788" i="21"/>
  <c r="M786" i="21"/>
  <c r="P786" i="21" s="1"/>
  <c r="O16" i="16"/>
  <c r="L14" i="21"/>
  <c r="O14" i="21" s="1"/>
  <c r="P53" i="21"/>
  <c r="O41" i="20"/>
  <c r="L18" i="20"/>
  <c r="O18" i="20" s="1"/>
  <c r="P20" i="21"/>
  <c r="P66" i="21"/>
  <c r="O66" i="21"/>
  <c r="P9" i="21"/>
  <c r="O419" i="21"/>
  <c r="L414" i="21"/>
  <c r="O414" i="21" s="1"/>
  <c r="P33" i="21"/>
  <c r="M31" i="21"/>
  <c r="P31" i="21" s="1"/>
  <c r="M30" i="21"/>
  <c r="M13" i="21"/>
  <c r="O9" i="21"/>
  <c r="O132" i="21"/>
  <c r="L37" i="21"/>
  <c r="P546" i="21"/>
  <c r="M544" i="21"/>
  <c r="P544" i="21" s="1"/>
  <c r="P421" i="21"/>
  <c r="M419" i="21"/>
  <c r="P631" i="21"/>
  <c r="M629" i="21"/>
  <c r="P629" i="21" s="1"/>
  <c r="L10" i="21"/>
  <c r="O10" i="21" s="1"/>
  <c r="O20" i="21"/>
  <c r="M37" i="21"/>
  <c r="P657" i="21"/>
  <c r="M655" i="21"/>
  <c r="P655" i="21" s="1"/>
  <c r="O24" i="21"/>
  <c r="L10" i="18"/>
  <c r="L8" i="18" s="1"/>
  <c r="P421" i="20"/>
  <c r="P18" i="20"/>
  <c r="I180" i="18"/>
  <c r="K180" i="18" s="1"/>
  <c r="P24" i="9"/>
  <c r="L10" i="20"/>
  <c r="L8" i="20" s="1"/>
  <c r="M30" i="20"/>
  <c r="P33" i="20"/>
  <c r="M31" i="20"/>
  <c r="P31" i="20" s="1"/>
  <c r="N11" i="19"/>
  <c r="N37" i="19"/>
  <c r="P20" i="20"/>
  <c r="O328" i="20"/>
  <c r="P328" i="20"/>
  <c r="M629" i="20"/>
  <c r="P629" i="20" s="1"/>
  <c r="P631" i="20"/>
  <c r="M13" i="20"/>
  <c r="P546" i="20"/>
  <c r="M544" i="20"/>
  <c r="P544" i="20" s="1"/>
  <c r="L37" i="20"/>
  <c r="O149" i="20"/>
  <c r="P149" i="20"/>
  <c r="P277" i="20"/>
  <c r="O21" i="19"/>
  <c r="P9" i="20"/>
  <c r="O419" i="20"/>
  <c r="L414" i="20"/>
  <c r="O414" i="20" s="1"/>
  <c r="N14" i="20"/>
  <c r="P14" i="20" s="1"/>
  <c r="P16" i="20"/>
  <c r="O16" i="20"/>
  <c r="K226" i="20"/>
  <c r="I180" i="20"/>
  <c r="K180" i="20" s="1"/>
  <c r="N37" i="20"/>
  <c r="P419" i="20"/>
  <c r="N10" i="20"/>
  <c r="P53" i="18"/>
  <c r="M37" i="20"/>
  <c r="P53" i="20"/>
  <c r="O53" i="20"/>
  <c r="O9" i="20"/>
  <c r="P53" i="15"/>
  <c r="N37" i="18"/>
  <c r="P21" i="19"/>
  <c r="P631" i="17"/>
  <c r="L28" i="16"/>
  <c r="O28" i="16" s="1"/>
  <c r="P14" i="17"/>
  <c r="O18" i="17"/>
  <c r="M786" i="16"/>
  <c r="P786" i="16" s="1"/>
  <c r="L14" i="19"/>
  <c r="O14" i="19" s="1"/>
  <c r="I180" i="10"/>
  <c r="K180" i="10" s="1"/>
  <c r="L10" i="17"/>
  <c r="L8" i="17" s="1"/>
  <c r="M544" i="14"/>
  <c r="P544" i="14" s="1"/>
  <c r="O13" i="17"/>
  <c r="O13" i="18"/>
  <c r="M544" i="18"/>
  <c r="P544" i="18" s="1"/>
  <c r="P9" i="19"/>
  <c r="O13" i="19"/>
  <c r="L10" i="19"/>
  <c r="P631" i="19"/>
  <c r="M629" i="19"/>
  <c r="P629" i="19" s="1"/>
  <c r="P657" i="19"/>
  <c r="M655" i="19"/>
  <c r="P655" i="19" s="1"/>
  <c r="O20" i="19"/>
  <c r="L18" i="19"/>
  <c r="O18" i="19" s="1"/>
  <c r="P546" i="19"/>
  <c r="M544" i="19"/>
  <c r="P544" i="19" s="1"/>
  <c r="P16" i="19"/>
  <c r="M14" i="19"/>
  <c r="P14" i="19" s="1"/>
  <c r="M30" i="19"/>
  <c r="P33" i="19"/>
  <c r="M13" i="19"/>
  <c r="M31" i="19"/>
  <c r="P31" i="19" s="1"/>
  <c r="O9" i="19"/>
  <c r="L37" i="19"/>
  <c r="P20" i="19"/>
  <c r="M18" i="19"/>
  <c r="P18" i="19" s="1"/>
  <c r="P446" i="19"/>
  <c r="M444" i="19"/>
  <c r="P444" i="19" s="1"/>
  <c r="L11" i="19"/>
  <c r="O419" i="19"/>
  <c r="L414" i="19"/>
  <c r="O414" i="19" s="1"/>
  <c r="P687" i="19"/>
  <c r="M685" i="19"/>
  <c r="P685" i="19" s="1"/>
  <c r="M37" i="19"/>
  <c r="P181" i="15"/>
  <c r="L28" i="17"/>
  <c r="O28" i="17" s="1"/>
  <c r="P18" i="18"/>
  <c r="I180" i="13"/>
  <c r="K180" i="13" s="1"/>
  <c r="O298" i="16"/>
  <c r="P24" i="17"/>
  <c r="M37" i="18"/>
  <c r="O18" i="18"/>
  <c r="O30" i="18"/>
  <c r="L28" i="18"/>
  <c r="O28" i="18" s="1"/>
  <c r="L14" i="15"/>
  <c r="O14" i="15" s="1"/>
  <c r="N10" i="18"/>
  <c r="N8" i="18" s="1"/>
  <c r="P24" i="13"/>
  <c r="P20" i="16"/>
  <c r="O88" i="18"/>
  <c r="L37" i="18"/>
  <c r="P277" i="16"/>
  <c r="O24" i="18"/>
  <c r="P419" i="18"/>
  <c r="O16" i="18"/>
  <c r="L14" i="18"/>
  <c r="O14" i="18" s="1"/>
  <c r="N414" i="18"/>
  <c r="M655" i="18"/>
  <c r="P655" i="18" s="1"/>
  <c r="P657" i="18"/>
  <c r="P33" i="18"/>
  <c r="M30" i="18"/>
  <c r="M31" i="18"/>
  <c r="P31" i="18" s="1"/>
  <c r="M13" i="18"/>
  <c r="O523" i="18"/>
  <c r="L414" i="18"/>
  <c r="O414" i="18" s="1"/>
  <c r="O11" i="18"/>
  <c r="P16" i="18"/>
  <c r="O9" i="18"/>
  <c r="P788" i="18"/>
  <c r="M786" i="18"/>
  <c r="P786" i="18" s="1"/>
  <c r="O20" i="18"/>
  <c r="M18" i="16"/>
  <c r="P18" i="16" s="1"/>
  <c r="P9" i="18"/>
  <c r="P20" i="18"/>
  <c r="O66" i="17"/>
  <c r="O41" i="15"/>
  <c r="I180" i="17"/>
  <c r="K180" i="17" s="1"/>
  <c r="K226" i="17"/>
  <c r="P24" i="12"/>
  <c r="P24" i="15"/>
  <c r="L414" i="16"/>
  <c r="O414" i="16" s="1"/>
  <c r="O20" i="17"/>
  <c r="P298" i="15"/>
  <c r="N10" i="16"/>
  <c r="N8" i="16" s="1"/>
  <c r="L414" i="17"/>
  <c r="O414" i="17" s="1"/>
  <c r="M786" i="15"/>
  <c r="P786" i="15" s="1"/>
  <c r="N37" i="17"/>
  <c r="O328" i="17"/>
  <c r="M544" i="17"/>
  <c r="P544" i="17" s="1"/>
  <c r="P546" i="17"/>
  <c r="P21" i="17"/>
  <c r="P469" i="17"/>
  <c r="M467" i="17"/>
  <c r="P467" i="17" s="1"/>
  <c r="P13" i="17"/>
  <c r="M10" i="17"/>
  <c r="M8" i="17" s="1"/>
  <c r="M11" i="17"/>
  <c r="P9" i="17"/>
  <c r="P20" i="17"/>
  <c r="M18" i="17"/>
  <c r="P18" i="17" s="1"/>
  <c r="M37" i="17"/>
  <c r="P41" i="17"/>
  <c r="P657" i="17"/>
  <c r="M655" i="17"/>
  <c r="P655" i="17" s="1"/>
  <c r="P33" i="17"/>
  <c r="M30" i="17"/>
  <c r="M31" i="17"/>
  <c r="P31" i="17" s="1"/>
  <c r="N10" i="17"/>
  <c r="N11" i="17"/>
  <c r="O11" i="17" s="1"/>
  <c r="O9" i="17"/>
  <c r="L37" i="17"/>
  <c r="P421" i="17"/>
  <c r="M419" i="17"/>
  <c r="O277" i="15"/>
  <c r="O345" i="16"/>
  <c r="P469" i="16"/>
  <c r="M467" i="16"/>
  <c r="P467" i="16" s="1"/>
  <c r="O53" i="12"/>
  <c r="L14" i="16"/>
  <c r="O14" i="16" s="1"/>
  <c r="M544" i="16"/>
  <c r="P544" i="16" s="1"/>
  <c r="L37" i="16"/>
  <c r="P9" i="16"/>
  <c r="O328" i="16"/>
  <c r="O9" i="16"/>
  <c r="P421" i="16"/>
  <c r="M419" i="16"/>
  <c r="K226" i="16"/>
  <c r="I180" i="16"/>
  <c r="K180" i="16" s="1"/>
  <c r="P53" i="16"/>
  <c r="M37" i="16"/>
  <c r="O13" i="16"/>
  <c r="L10" i="16"/>
  <c r="L11" i="16"/>
  <c r="O11" i="16" s="1"/>
  <c r="N37" i="16"/>
  <c r="O41" i="16"/>
  <c r="P41" i="16"/>
  <c r="O20" i="16"/>
  <c r="L18" i="16"/>
  <c r="O18" i="16" s="1"/>
  <c r="O24" i="12"/>
  <c r="P657" i="16"/>
  <c r="M655" i="16"/>
  <c r="P655" i="16" s="1"/>
  <c r="P33" i="16"/>
  <c r="M30" i="16"/>
  <c r="M31" i="16"/>
  <c r="P31" i="16" s="1"/>
  <c r="M13" i="16"/>
  <c r="P16" i="16"/>
  <c r="M14" i="16"/>
  <c r="P14" i="16" s="1"/>
  <c r="P298" i="12"/>
  <c r="O24" i="15"/>
  <c r="P20" i="15"/>
  <c r="N37" i="15"/>
  <c r="N8" i="15"/>
  <c r="N11" i="15"/>
  <c r="P11" i="15" s="1"/>
  <c r="P687" i="15"/>
  <c r="M685" i="15"/>
  <c r="P685" i="15" s="1"/>
  <c r="K226" i="15"/>
  <c r="I180" i="15"/>
  <c r="K180" i="15" s="1"/>
  <c r="O20" i="15"/>
  <c r="L18" i="15"/>
  <c r="O18" i="15" s="1"/>
  <c r="N37" i="12"/>
  <c r="P20" i="14"/>
  <c r="M18" i="15"/>
  <c r="P18" i="15" s="1"/>
  <c r="P33" i="15"/>
  <c r="M30" i="15"/>
  <c r="M31" i="15"/>
  <c r="P31" i="15" s="1"/>
  <c r="L10" i="14"/>
  <c r="L8" i="14" s="1"/>
  <c r="N28" i="15"/>
  <c r="O28" i="15" s="1"/>
  <c r="O30" i="15"/>
  <c r="P21" i="15"/>
  <c r="O277" i="13"/>
  <c r="L37" i="15"/>
  <c r="O149" i="15"/>
  <c r="O444" i="15"/>
  <c r="L414" i="15"/>
  <c r="O414" i="15" s="1"/>
  <c r="P469" i="15"/>
  <c r="M467" i="15"/>
  <c r="P467" i="15" s="1"/>
  <c r="P149" i="15"/>
  <c r="M37" i="15"/>
  <c r="O21" i="15"/>
  <c r="P446" i="15"/>
  <c r="M444" i="15"/>
  <c r="P444" i="15" s="1"/>
  <c r="P345" i="15"/>
  <c r="O13" i="15"/>
  <c r="L10" i="15"/>
  <c r="L11" i="15"/>
  <c r="P9" i="15"/>
  <c r="P13" i="15"/>
  <c r="M10" i="15"/>
  <c r="P10" i="15" s="1"/>
  <c r="P419" i="15"/>
  <c r="O165" i="13"/>
  <c r="O14" i="14"/>
  <c r="O21" i="12"/>
  <c r="L28" i="14"/>
  <c r="O28" i="14" s="1"/>
  <c r="O20" i="14"/>
  <c r="L37" i="14"/>
  <c r="M37" i="14"/>
  <c r="P24" i="14"/>
  <c r="O345" i="14"/>
  <c r="P469" i="14"/>
  <c r="M467" i="14"/>
  <c r="P467" i="14" s="1"/>
  <c r="L414" i="14"/>
  <c r="O414" i="14" s="1"/>
  <c r="O11" i="14"/>
  <c r="N18" i="14"/>
  <c r="O18" i="14" s="1"/>
  <c r="M18" i="14"/>
  <c r="P33" i="14"/>
  <c r="M30" i="14"/>
  <c r="M13" i="14"/>
  <c r="M31" i="14"/>
  <c r="P31" i="14" s="1"/>
  <c r="O16" i="14"/>
  <c r="P446" i="14"/>
  <c r="M444" i="14"/>
  <c r="M629" i="12"/>
  <c r="P629" i="12" s="1"/>
  <c r="P631" i="12"/>
  <c r="P9" i="14"/>
  <c r="O9" i="14"/>
  <c r="P16" i="14"/>
  <c r="M14" i="14"/>
  <c r="P14" i="14" s="1"/>
  <c r="K226" i="14"/>
  <c r="I180" i="14"/>
  <c r="K180" i="14" s="1"/>
  <c r="N10" i="14"/>
  <c r="O13" i="14"/>
  <c r="N37" i="14"/>
  <c r="O53" i="14"/>
  <c r="L37" i="13"/>
  <c r="O30" i="12"/>
  <c r="P261" i="9"/>
  <c r="P631" i="13"/>
  <c r="M629" i="13"/>
  <c r="P629" i="13" s="1"/>
  <c r="P66" i="13"/>
  <c r="M37" i="13"/>
  <c r="P631" i="11"/>
  <c r="O261" i="13"/>
  <c r="P261" i="13"/>
  <c r="O9" i="13"/>
  <c r="M30" i="13"/>
  <c r="P33" i="13"/>
  <c r="M31" i="13"/>
  <c r="P31" i="13" s="1"/>
  <c r="O444" i="13"/>
  <c r="L414" i="13"/>
  <c r="O414" i="13" s="1"/>
  <c r="P21" i="13"/>
  <c r="O24" i="10"/>
  <c r="O20" i="12"/>
  <c r="P419" i="13"/>
  <c r="P788" i="13"/>
  <c r="M786" i="13"/>
  <c r="P786" i="13" s="1"/>
  <c r="O16" i="13"/>
  <c r="L14" i="13"/>
  <c r="P446" i="13"/>
  <c r="M444" i="13"/>
  <c r="P444" i="13" s="1"/>
  <c r="P53" i="13"/>
  <c r="N37" i="13"/>
  <c r="O53" i="13"/>
  <c r="N14" i="13"/>
  <c r="P14" i="13" s="1"/>
  <c r="P16" i="13"/>
  <c r="O20" i="13"/>
  <c r="L18" i="13"/>
  <c r="O18" i="13" s="1"/>
  <c r="M13" i="13"/>
  <c r="P18" i="12"/>
  <c r="N8" i="12"/>
  <c r="N11" i="13"/>
  <c r="O11" i="13" s="1"/>
  <c r="N10" i="13"/>
  <c r="N8" i="13" s="1"/>
  <c r="O13" i="13"/>
  <c r="L10" i="13"/>
  <c r="O30" i="13"/>
  <c r="L28" i="13"/>
  <c r="O28" i="13" s="1"/>
  <c r="P687" i="13"/>
  <c r="M685" i="13"/>
  <c r="P685" i="13" s="1"/>
  <c r="O24" i="13"/>
  <c r="P20" i="13"/>
  <c r="M18" i="13"/>
  <c r="P18" i="13" s="1"/>
  <c r="P298" i="11"/>
  <c r="K226" i="11"/>
  <c r="P657" i="12"/>
  <c r="M655" i="12"/>
  <c r="P655" i="12" s="1"/>
  <c r="P20" i="12"/>
  <c r="P687" i="12"/>
  <c r="M685" i="12"/>
  <c r="P685" i="12" s="1"/>
  <c r="M467" i="9"/>
  <c r="P467" i="9" s="1"/>
  <c r="O444" i="12"/>
  <c r="L414" i="12"/>
  <c r="O414" i="12" s="1"/>
  <c r="P419" i="12"/>
  <c r="M544" i="12"/>
  <c r="P544" i="12" s="1"/>
  <c r="L37" i="12"/>
  <c r="L18" i="12"/>
  <c r="O18" i="12" s="1"/>
  <c r="P788" i="12"/>
  <c r="M786" i="12"/>
  <c r="P786" i="12" s="1"/>
  <c r="O16" i="12"/>
  <c r="L14" i="12"/>
  <c r="O14" i="12" s="1"/>
  <c r="P9" i="12"/>
  <c r="P33" i="12"/>
  <c r="M30" i="12"/>
  <c r="M31" i="12"/>
  <c r="P31" i="12" s="1"/>
  <c r="M13" i="12"/>
  <c r="P16" i="12"/>
  <c r="M14" i="12"/>
  <c r="P14" i="12" s="1"/>
  <c r="K226" i="12"/>
  <c r="I180" i="12"/>
  <c r="K180" i="12" s="1"/>
  <c r="O11" i="12"/>
  <c r="O13" i="12"/>
  <c r="L10" i="12"/>
  <c r="O10" i="12" s="1"/>
  <c r="P119" i="12"/>
  <c r="M37" i="12"/>
  <c r="O9" i="12"/>
  <c r="M14" i="11"/>
  <c r="P14" i="11" s="1"/>
  <c r="L414" i="11"/>
  <c r="O414" i="11" s="1"/>
  <c r="P165" i="9"/>
  <c r="P24" i="11"/>
  <c r="P41" i="6"/>
  <c r="P261" i="11"/>
  <c r="L28" i="10"/>
  <c r="O28" i="10" s="1"/>
  <c r="P261" i="10"/>
  <c r="L10" i="11"/>
  <c r="L8" i="11" s="1"/>
  <c r="O9" i="11"/>
  <c r="M10" i="11"/>
  <c r="M31" i="11"/>
  <c r="P33" i="11"/>
  <c r="M30" i="11"/>
  <c r="P24" i="8"/>
  <c r="L37" i="11"/>
  <c r="P18" i="11"/>
  <c r="O20" i="11"/>
  <c r="L18" i="11"/>
  <c r="O18" i="11" s="1"/>
  <c r="P467" i="11"/>
  <c r="P20" i="11"/>
  <c r="P447" i="11"/>
  <c r="N31" i="11"/>
  <c r="O31" i="11" s="1"/>
  <c r="N30" i="11"/>
  <c r="N28" i="11" s="1"/>
  <c r="O33" i="11"/>
  <c r="O345" i="11"/>
  <c r="M37" i="11"/>
  <c r="P41" i="11"/>
  <c r="O16" i="11"/>
  <c r="L14" i="11"/>
  <c r="O14" i="11" s="1"/>
  <c r="P446" i="11"/>
  <c r="M444" i="11"/>
  <c r="O444" i="11"/>
  <c r="P21" i="11"/>
  <c r="N37" i="11"/>
  <c r="P9" i="11"/>
  <c r="N13" i="11"/>
  <c r="P13" i="11" s="1"/>
  <c r="L28" i="11"/>
  <c r="O28" i="11" s="1"/>
  <c r="O446" i="11"/>
  <c r="I180" i="9"/>
  <c r="K180" i="9" s="1"/>
  <c r="N37" i="9"/>
  <c r="M544" i="10"/>
  <c r="P544" i="10" s="1"/>
  <c r="O21" i="10"/>
  <c r="P345" i="9"/>
  <c r="P21" i="10"/>
  <c r="L14" i="9"/>
  <c r="O14" i="9" s="1"/>
  <c r="O298" i="10"/>
  <c r="L28" i="6"/>
  <c r="O28" i="6" s="1"/>
  <c r="I180" i="7"/>
  <c r="K180" i="7" s="1"/>
  <c r="L37" i="10"/>
  <c r="O41" i="10"/>
  <c r="P421" i="10"/>
  <c r="M419" i="10"/>
  <c r="O13" i="10"/>
  <c r="L10" i="10"/>
  <c r="L8" i="10" s="1"/>
  <c r="L414" i="10"/>
  <c r="O414" i="10" s="1"/>
  <c r="L11" i="10"/>
  <c r="O20" i="10"/>
  <c r="L18" i="10"/>
  <c r="O18" i="10" s="1"/>
  <c r="N10" i="10"/>
  <c r="N8" i="10" s="1"/>
  <c r="N11" i="10"/>
  <c r="O9" i="10"/>
  <c r="P277" i="7"/>
  <c r="P33" i="10"/>
  <c r="M30" i="10"/>
  <c r="M31" i="10"/>
  <c r="P31" i="10" s="1"/>
  <c r="M13" i="10"/>
  <c r="N37" i="10"/>
  <c r="P88" i="10"/>
  <c r="O88" i="10"/>
  <c r="P20" i="10"/>
  <c r="M18" i="10"/>
  <c r="P18" i="10" s="1"/>
  <c r="M37" i="10"/>
  <c r="M14" i="10"/>
  <c r="P14" i="10" s="1"/>
  <c r="L14" i="10"/>
  <c r="O14" i="10" s="1"/>
  <c r="P345" i="10"/>
  <c r="O20" i="9"/>
  <c r="P446" i="9"/>
  <c r="M444" i="9"/>
  <c r="P444" i="9" s="1"/>
  <c r="O53" i="8"/>
  <c r="M37" i="9"/>
  <c r="N11" i="9"/>
  <c r="N8" i="9"/>
  <c r="L414" i="9"/>
  <c r="O414" i="9" s="1"/>
  <c r="O419" i="9"/>
  <c r="P546" i="9"/>
  <c r="M544" i="9"/>
  <c r="P544" i="9" s="1"/>
  <c r="O13" i="9"/>
  <c r="L10" i="9"/>
  <c r="L11" i="9"/>
  <c r="O30" i="9"/>
  <c r="L28" i="9"/>
  <c r="O28" i="9" s="1"/>
  <c r="P631" i="9"/>
  <c r="M629" i="9"/>
  <c r="P629" i="9" s="1"/>
  <c r="P33" i="9"/>
  <c r="M30" i="9"/>
  <c r="M31" i="9"/>
  <c r="P31" i="9" s="1"/>
  <c r="M13" i="9"/>
  <c r="L37" i="9"/>
  <c r="O41" i="9"/>
  <c r="L18" i="9"/>
  <c r="O18" i="9" s="1"/>
  <c r="O298" i="6"/>
  <c r="P20" i="9"/>
  <c r="M18" i="9"/>
  <c r="P18" i="9" s="1"/>
  <c r="O53" i="9"/>
  <c r="P53" i="9"/>
  <c r="M14" i="9"/>
  <c r="P14" i="9" s="1"/>
  <c r="P421" i="9"/>
  <c r="M419" i="9"/>
  <c r="P20" i="8"/>
  <c r="N8" i="8"/>
  <c r="P18" i="8"/>
  <c r="P24" i="7"/>
  <c r="O21" i="8"/>
  <c r="P687" i="8"/>
  <c r="M685" i="8"/>
  <c r="P685" i="8" s="1"/>
  <c r="O165" i="8"/>
  <c r="P165" i="8"/>
  <c r="O20" i="6"/>
  <c r="N8" i="7"/>
  <c r="N11" i="8"/>
  <c r="L28" i="8"/>
  <c r="O28" i="8" s="1"/>
  <c r="O20" i="5"/>
  <c r="O24" i="7"/>
  <c r="L414" i="8"/>
  <c r="O414" i="8" s="1"/>
  <c r="L28" i="7"/>
  <c r="O28" i="7" s="1"/>
  <c r="L37" i="8"/>
  <c r="P66" i="8"/>
  <c r="M629" i="2"/>
  <c r="P629" i="2" s="1"/>
  <c r="P33" i="8"/>
  <c r="M30" i="8"/>
  <c r="M31" i="8"/>
  <c r="P31" i="8" s="1"/>
  <c r="M13" i="8"/>
  <c r="O13" i="8"/>
  <c r="L10" i="8"/>
  <c r="O10" i="8" s="1"/>
  <c r="L11" i="8"/>
  <c r="P657" i="8"/>
  <c r="M655" i="8"/>
  <c r="P655" i="8" s="1"/>
  <c r="K226" i="8"/>
  <c r="I180" i="8"/>
  <c r="K180" i="8" s="1"/>
  <c r="P88" i="8"/>
  <c r="O88" i="8"/>
  <c r="O20" i="8"/>
  <c r="L18" i="8"/>
  <c r="O18" i="8" s="1"/>
  <c r="M37" i="8"/>
  <c r="N37" i="8"/>
  <c r="O66" i="8"/>
  <c r="O9" i="8"/>
  <c r="P631" i="8"/>
  <c r="M629" i="8"/>
  <c r="P629" i="8" s="1"/>
  <c r="L14" i="8"/>
  <c r="O14" i="8" s="1"/>
  <c r="P9" i="8"/>
  <c r="M14" i="8"/>
  <c r="P14" i="8" s="1"/>
  <c r="L10" i="4"/>
  <c r="L8" i="4" s="1"/>
  <c r="M444" i="6"/>
  <c r="P444" i="6" s="1"/>
  <c r="N11" i="7"/>
  <c r="M786" i="7"/>
  <c r="P786" i="7" s="1"/>
  <c r="P788" i="7"/>
  <c r="L414" i="7"/>
  <c r="O414" i="7" s="1"/>
  <c r="P469" i="7"/>
  <c r="M467" i="7"/>
  <c r="P467" i="7" s="1"/>
  <c r="P631" i="7"/>
  <c r="M629" i="7"/>
  <c r="P629" i="7" s="1"/>
  <c r="O21" i="4"/>
  <c r="P21" i="7"/>
  <c r="P13" i="7"/>
  <c r="M10" i="7"/>
  <c r="P10" i="7" s="1"/>
  <c r="M11" i="7"/>
  <c r="O21" i="5"/>
  <c r="O20" i="7"/>
  <c r="P20" i="7"/>
  <c r="M18" i="7"/>
  <c r="P18" i="7" s="1"/>
  <c r="P53" i="7"/>
  <c r="M37" i="7"/>
  <c r="P9" i="7"/>
  <c r="P421" i="7"/>
  <c r="M419" i="7"/>
  <c r="O16" i="7"/>
  <c r="L14" i="7"/>
  <c r="O14" i="7" s="1"/>
  <c r="M14" i="7"/>
  <c r="P14" i="7" s="1"/>
  <c r="O345" i="7"/>
  <c r="O53" i="7"/>
  <c r="L37" i="7"/>
  <c r="M467" i="2"/>
  <c r="P467" i="2" s="1"/>
  <c r="P24" i="3"/>
  <c r="P24" i="6"/>
  <c r="N37" i="7"/>
  <c r="O41" i="7"/>
  <c r="P41" i="7"/>
  <c r="L18" i="7"/>
  <c r="O18" i="7" s="1"/>
  <c r="O13" i="7"/>
  <c r="L10" i="7"/>
  <c r="L11" i="7"/>
  <c r="P33" i="7"/>
  <c r="M30" i="7"/>
  <c r="M31" i="7"/>
  <c r="P31" i="7" s="1"/>
  <c r="O11" i="5"/>
  <c r="P14" i="5"/>
  <c r="L28" i="5"/>
  <c r="O28" i="5" s="1"/>
  <c r="O14" i="6"/>
  <c r="O24" i="3"/>
  <c r="P14" i="6"/>
  <c r="M14" i="2"/>
  <c r="P14" i="2" s="1"/>
  <c r="M31" i="5"/>
  <c r="P31" i="5" s="1"/>
  <c r="M419" i="5"/>
  <c r="P419" i="5" s="1"/>
  <c r="L414" i="6"/>
  <c r="M30" i="5"/>
  <c r="P30" i="5" s="1"/>
  <c r="M13" i="5"/>
  <c r="M11" i="5" s="1"/>
  <c r="P11" i="5" s="1"/>
  <c r="P13" i="6"/>
  <c r="M10" i="6"/>
  <c r="M11" i="6"/>
  <c r="P11" i="6" s="1"/>
  <c r="O24" i="6"/>
  <c r="O16" i="6"/>
  <c r="K226" i="6"/>
  <c r="I180" i="6"/>
  <c r="K180" i="6" s="1"/>
  <c r="P66" i="6"/>
  <c r="M37" i="6"/>
  <c r="N414" i="6"/>
  <c r="O444" i="6"/>
  <c r="N37" i="6"/>
  <c r="M467" i="6"/>
  <c r="P467" i="6" s="1"/>
  <c r="P469" i="6"/>
  <c r="P20" i="6"/>
  <c r="M18" i="6"/>
  <c r="P18" i="6" s="1"/>
  <c r="P525" i="6"/>
  <c r="M523" i="6"/>
  <c r="P523" i="6" s="1"/>
  <c r="P18" i="5"/>
  <c r="P657" i="6"/>
  <c r="M655" i="6"/>
  <c r="P655" i="6" s="1"/>
  <c r="O88" i="6"/>
  <c r="P165" i="6"/>
  <c r="O13" i="6"/>
  <c r="L10" i="6"/>
  <c r="L11" i="6"/>
  <c r="O11" i="6" s="1"/>
  <c r="P16" i="6"/>
  <c r="P21" i="6"/>
  <c r="O24" i="4"/>
  <c r="P20" i="5"/>
  <c r="O298" i="5"/>
  <c r="O53" i="6"/>
  <c r="L37" i="6"/>
  <c r="P788" i="6"/>
  <c r="M786" i="6"/>
  <c r="P786" i="6" s="1"/>
  <c r="P419" i="6"/>
  <c r="P33" i="6"/>
  <c r="M30" i="6"/>
  <c r="M31" i="6"/>
  <c r="P31" i="6" s="1"/>
  <c r="L18" i="6"/>
  <c r="O18" i="6" s="1"/>
  <c r="N10" i="6"/>
  <c r="N8" i="6" s="1"/>
  <c r="M37" i="5"/>
  <c r="P24" i="5"/>
  <c r="O24" i="2"/>
  <c r="O328" i="4"/>
  <c r="N8" i="2"/>
  <c r="N10" i="5"/>
  <c r="N8" i="5" s="1"/>
  <c r="P24" i="4"/>
  <c r="K226" i="5"/>
  <c r="I180" i="5"/>
  <c r="K180" i="5" s="1"/>
  <c r="O30" i="3"/>
  <c r="M30" i="3"/>
  <c r="P30" i="3" s="1"/>
  <c r="P16" i="5"/>
  <c r="N37" i="5"/>
  <c r="P546" i="5"/>
  <c r="M544" i="5"/>
  <c r="P544" i="5" s="1"/>
  <c r="O9" i="5"/>
  <c r="O444" i="5"/>
  <c r="L414" i="5"/>
  <c r="O414" i="5" s="1"/>
  <c r="O24" i="5"/>
  <c r="P9" i="5"/>
  <c r="L14" i="5"/>
  <c r="O14" i="5" s="1"/>
  <c r="O16" i="5"/>
  <c r="O467" i="5"/>
  <c r="P467" i="5"/>
  <c r="L37" i="5"/>
  <c r="P469" i="4"/>
  <c r="M467" i="4"/>
  <c r="P467" i="4" s="1"/>
  <c r="N467" i="1"/>
  <c r="O467" i="1" s="1"/>
  <c r="N11" i="2"/>
  <c r="P421" i="3"/>
  <c r="O13" i="5"/>
  <c r="L10" i="5"/>
  <c r="L18" i="5"/>
  <c r="O18" i="5" s="1"/>
  <c r="P687" i="5"/>
  <c r="M685" i="5"/>
  <c r="P685" i="5" s="1"/>
  <c r="P446" i="5"/>
  <c r="M444" i="5"/>
  <c r="P444" i="5" s="1"/>
  <c r="L28" i="2"/>
  <c r="O28" i="2" s="1"/>
  <c r="M14" i="4"/>
  <c r="P14" i="4" s="1"/>
  <c r="O30" i="4"/>
  <c r="P24" i="1"/>
  <c r="O469" i="1"/>
  <c r="L10" i="1"/>
  <c r="L8" i="1" s="1"/>
  <c r="I180" i="1"/>
  <c r="K180" i="1" s="1"/>
  <c r="O20" i="3"/>
  <c r="O28" i="3"/>
  <c r="O467" i="4"/>
  <c r="L414" i="4"/>
  <c r="O414" i="4" s="1"/>
  <c r="L37" i="4"/>
  <c r="O41" i="4"/>
  <c r="P41" i="4"/>
  <c r="M37" i="4"/>
  <c r="N10" i="4"/>
  <c r="N8" i="4" s="1"/>
  <c r="N11" i="4"/>
  <c r="O11" i="4" s="1"/>
  <c r="I180" i="4"/>
  <c r="K180" i="4" s="1"/>
  <c r="K226" i="4"/>
  <c r="P18" i="4"/>
  <c r="M30" i="4"/>
  <c r="P33" i="4"/>
  <c r="M31" i="4"/>
  <c r="P31" i="4" s="1"/>
  <c r="O20" i="4"/>
  <c r="P419" i="4"/>
  <c r="O9" i="4"/>
  <c r="P21" i="4"/>
  <c r="O13" i="4"/>
  <c r="P631" i="4"/>
  <c r="M629" i="4"/>
  <c r="P629" i="4" s="1"/>
  <c r="L18" i="4"/>
  <c r="O18" i="4" s="1"/>
  <c r="O16" i="4"/>
  <c r="L14" i="4"/>
  <c r="O14" i="4" s="1"/>
  <c r="M13" i="4"/>
  <c r="N37" i="4"/>
  <c r="O181" i="4"/>
  <c r="P20" i="4"/>
  <c r="O277" i="3"/>
  <c r="N37" i="3"/>
  <c r="P469" i="3"/>
  <c r="M467" i="3"/>
  <c r="P467" i="3" s="1"/>
  <c r="P33" i="3"/>
  <c r="L14" i="3"/>
  <c r="O14" i="3" s="1"/>
  <c r="O16" i="3"/>
  <c r="L18" i="3"/>
  <c r="O18" i="3" s="1"/>
  <c r="M685" i="3"/>
  <c r="P685" i="3" s="1"/>
  <c r="P687" i="3"/>
  <c r="P446" i="3"/>
  <c r="M444" i="3"/>
  <c r="P444" i="3" s="1"/>
  <c r="M13" i="3"/>
  <c r="M11" i="3" s="1"/>
  <c r="L414" i="3"/>
  <c r="O414" i="3" s="1"/>
  <c r="L37" i="3"/>
  <c r="P20" i="3"/>
  <c r="M18" i="3"/>
  <c r="P18" i="3" s="1"/>
  <c r="N10" i="3"/>
  <c r="N8" i="3" s="1"/>
  <c r="N11" i="3"/>
  <c r="O11" i="3" s="1"/>
  <c r="O470" i="1"/>
  <c r="O13" i="3"/>
  <c r="L10" i="3"/>
  <c r="O9" i="3"/>
  <c r="I180" i="3"/>
  <c r="K180" i="3" s="1"/>
  <c r="K226" i="3"/>
  <c r="P419" i="3"/>
  <c r="P9" i="3"/>
  <c r="M37" i="3"/>
  <c r="P16" i="3"/>
  <c r="M14" i="3"/>
  <c r="P14" i="3" s="1"/>
  <c r="O227" i="1"/>
  <c r="L37" i="2"/>
  <c r="O37" i="2" s="1"/>
  <c r="P525" i="2"/>
  <c r="M523" i="2"/>
  <c r="P523" i="2" s="1"/>
  <c r="P20" i="1"/>
  <c r="L14" i="2"/>
  <c r="O14" i="2" s="1"/>
  <c r="O789" i="1"/>
  <c r="K593" i="1"/>
  <c r="M685" i="2"/>
  <c r="P685" i="2" s="1"/>
  <c r="P687" i="2"/>
  <c r="M525" i="1"/>
  <c r="M523" i="1" s="1"/>
  <c r="O9" i="2"/>
  <c r="P421" i="2"/>
  <c r="M419" i="2"/>
  <c r="L414" i="2"/>
  <c r="O414" i="2" s="1"/>
  <c r="L11" i="2"/>
  <c r="O13" i="2"/>
  <c r="L10" i="2"/>
  <c r="O10" i="2" s="1"/>
  <c r="L18" i="2"/>
  <c r="O18" i="2" s="1"/>
  <c r="O20" i="2"/>
  <c r="P20" i="2"/>
  <c r="M18" i="2"/>
  <c r="P18" i="2" s="1"/>
  <c r="P33" i="2"/>
  <c r="M30" i="2"/>
  <c r="M31" i="2"/>
  <c r="P31" i="2" s="1"/>
  <c r="M37" i="2"/>
  <c r="P37" i="2" s="1"/>
  <c r="P446" i="2"/>
  <c r="M444" i="2"/>
  <c r="P444" i="2" s="1"/>
  <c r="P13" i="2"/>
  <c r="M10" i="2"/>
  <c r="M11" i="2"/>
  <c r="N523" i="1"/>
  <c r="O523" i="1" s="1"/>
  <c r="P544" i="2"/>
  <c r="P446" i="1"/>
  <c r="O446" i="1"/>
  <c r="N444" i="1"/>
  <c r="N419" i="1"/>
  <c r="O419" i="1" s="1"/>
  <c r="O421" i="1"/>
  <c r="O632" i="1"/>
  <c r="M526" i="1"/>
  <c r="P526" i="1" s="1"/>
  <c r="O24" i="1"/>
  <c r="P21" i="1"/>
  <c r="N18" i="1"/>
  <c r="P18" i="1" s="1"/>
  <c r="P657" i="1"/>
  <c r="O657" i="1"/>
  <c r="N655" i="1"/>
  <c r="N685" i="1"/>
  <c r="O687" i="1"/>
  <c r="P687" i="1"/>
  <c r="P688" i="1"/>
  <c r="M33" i="1"/>
  <c r="M31" i="1" s="1"/>
  <c r="O66" i="1"/>
  <c r="L28" i="1"/>
  <c r="P547" i="1"/>
  <c r="P66" i="1"/>
  <c r="N37" i="1"/>
  <c r="J543" i="1"/>
  <c r="K543" i="1" s="1"/>
  <c r="K559" i="1"/>
  <c r="P16" i="1"/>
  <c r="N14" i="1"/>
  <c r="P14" i="1" s="1"/>
  <c r="L37" i="1"/>
  <c r="O546" i="1"/>
  <c r="P546" i="1"/>
  <c r="N544" i="1"/>
  <c r="O20" i="1"/>
  <c r="L18" i="1"/>
  <c r="P9" i="1"/>
  <c r="O16" i="1"/>
  <c r="L14" i="1"/>
  <c r="M37" i="1"/>
  <c r="N30" i="1"/>
  <c r="N28" i="1" s="1"/>
  <c r="N31" i="1"/>
  <c r="O31" i="1" s="1"/>
  <c r="P631" i="1"/>
  <c r="N629" i="1"/>
  <c r="O631" i="1"/>
  <c r="N13" i="1"/>
  <c r="P37" i="20" l="1"/>
  <c r="O37" i="21"/>
  <c r="P37" i="21"/>
  <c r="O11" i="21"/>
  <c r="O10" i="19"/>
  <c r="O10" i="20"/>
  <c r="P37" i="19"/>
  <c r="O11" i="19"/>
  <c r="L8" i="21"/>
  <c r="O8" i="21" s="1"/>
  <c r="M414" i="21"/>
  <c r="P414" i="21" s="1"/>
  <c r="P419" i="21"/>
  <c r="P13" i="21"/>
  <c r="M10" i="21"/>
  <c r="M11" i="21"/>
  <c r="P11" i="21" s="1"/>
  <c r="P30" i="21"/>
  <c r="M28" i="21"/>
  <c r="P28" i="21" s="1"/>
  <c r="M414" i="20"/>
  <c r="P414" i="20" s="1"/>
  <c r="O37" i="18"/>
  <c r="O37" i="19"/>
  <c r="O37" i="20"/>
  <c r="M10" i="20"/>
  <c r="M8" i="20" s="1"/>
  <c r="M11" i="20"/>
  <c r="P11" i="20" s="1"/>
  <c r="P13" i="20"/>
  <c r="O14" i="20"/>
  <c r="P30" i="20"/>
  <c r="M28" i="20"/>
  <c r="P28" i="20" s="1"/>
  <c r="N8" i="20"/>
  <c r="O8" i="20" s="1"/>
  <c r="P37" i="18"/>
  <c r="O10" i="17"/>
  <c r="L8" i="19"/>
  <c r="O8" i="19" s="1"/>
  <c r="P13" i="19"/>
  <c r="M10" i="19"/>
  <c r="M11" i="19"/>
  <c r="P11" i="19" s="1"/>
  <c r="P30" i="19"/>
  <c r="M28" i="19"/>
  <c r="P28" i="19" s="1"/>
  <c r="M414" i="19"/>
  <c r="P414" i="19" s="1"/>
  <c r="M414" i="18"/>
  <c r="P414" i="18" s="1"/>
  <c r="O8" i="18"/>
  <c r="O10" i="18"/>
  <c r="P30" i="18"/>
  <c r="M28" i="18"/>
  <c r="P28" i="18" s="1"/>
  <c r="O10" i="16"/>
  <c r="P13" i="18"/>
  <c r="M10" i="18"/>
  <c r="M11" i="18"/>
  <c r="P11" i="18" s="1"/>
  <c r="P11" i="17"/>
  <c r="O37" i="17"/>
  <c r="P37" i="17"/>
  <c r="P419" i="17"/>
  <c r="M414" i="17"/>
  <c r="P414" i="17" s="1"/>
  <c r="P30" i="17"/>
  <c r="M28" i="17"/>
  <c r="P28" i="17" s="1"/>
  <c r="P37" i="15"/>
  <c r="N8" i="17"/>
  <c r="P8" i="17" s="1"/>
  <c r="P10" i="17"/>
  <c r="O37" i="15"/>
  <c r="P13" i="16"/>
  <c r="M10" i="16"/>
  <c r="M11" i="16"/>
  <c r="P11" i="16" s="1"/>
  <c r="P419" i="16"/>
  <c r="M414" i="16"/>
  <c r="P414" i="16" s="1"/>
  <c r="P30" i="16"/>
  <c r="M28" i="16"/>
  <c r="P28" i="16" s="1"/>
  <c r="O37" i="16"/>
  <c r="P37" i="16"/>
  <c r="L8" i="16"/>
  <c r="O8" i="16" s="1"/>
  <c r="P37" i="12"/>
  <c r="O10" i="14"/>
  <c r="O11" i="15"/>
  <c r="O37" i="12"/>
  <c r="M8" i="15"/>
  <c r="P8" i="15" s="1"/>
  <c r="M28" i="15"/>
  <c r="P28" i="15" s="1"/>
  <c r="P30" i="15"/>
  <c r="M414" i="15"/>
  <c r="P414" i="15" s="1"/>
  <c r="O10" i="15"/>
  <c r="L8" i="15"/>
  <c r="O8" i="15" s="1"/>
  <c r="P37" i="14"/>
  <c r="N8" i="14"/>
  <c r="O8" i="14" s="1"/>
  <c r="O37" i="14"/>
  <c r="P444" i="14"/>
  <c r="M414" i="14"/>
  <c r="P414" i="14" s="1"/>
  <c r="P30" i="14"/>
  <c r="M28" i="14"/>
  <c r="P28" i="14" s="1"/>
  <c r="P18" i="14"/>
  <c r="P13" i="14"/>
  <c r="M10" i="14"/>
  <c r="M11" i="14"/>
  <c r="P11" i="14" s="1"/>
  <c r="O10" i="13"/>
  <c r="P37" i="13"/>
  <c r="M414" i="13"/>
  <c r="P414" i="13" s="1"/>
  <c r="P13" i="13"/>
  <c r="M10" i="13"/>
  <c r="M11" i="13"/>
  <c r="P11" i="13" s="1"/>
  <c r="O37" i="13"/>
  <c r="P30" i="13"/>
  <c r="M28" i="13"/>
  <c r="P28" i="13" s="1"/>
  <c r="L8" i="13"/>
  <c r="O8" i="13" s="1"/>
  <c r="O14" i="13"/>
  <c r="P30" i="12"/>
  <c r="M28" i="12"/>
  <c r="P28" i="12" s="1"/>
  <c r="O37" i="9"/>
  <c r="P37" i="9"/>
  <c r="L8" i="12"/>
  <c r="O8" i="12" s="1"/>
  <c r="P13" i="12"/>
  <c r="M10" i="12"/>
  <c r="M11" i="12"/>
  <c r="P11" i="12" s="1"/>
  <c r="M414" i="12"/>
  <c r="P414" i="12" s="1"/>
  <c r="O37" i="11"/>
  <c r="P37" i="11"/>
  <c r="P37" i="10"/>
  <c r="N10" i="11"/>
  <c r="N8" i="11" s="1"/>
  <c r="O8" i="11" s="1"/>
  <c r="N11" i="11"/>
  <c r="P444" i="11"/>
  <c r="M414" i="11"/>
  <c r="P414" i="11" s="1"/>
  <c r="M8" i="11"/>
  <c r="P30" i="11"/>
  <c r="M28" i="11"/>
  <c r="P28" i="11" s="1"/>
  <c r="O30" i="11"/>
  <c r="P31" i="11"/>
  <c r="O13" i="11"/>
  <c r="O11" i="10"/>
  <c r="O37" i="10"/>
  <c r="P30" i="10"/>
  <c r="M28" i="10"/>
  <c r="P28" i="10" s="1"/>
  <c r="M414" i="10"/>
  <c r="P414" i="10" s="1"/>
  <c r="P419" i="10"/>
  <c r="O8" i="10"/>
  <c r="P13" i="10"/>
  <c r="M10" i="10"/>
  <c r="M11" i="10"/>
  <c r="P11" i="10" s="1"/>
  <c r="O10" i="10"/>
  <c r="O11" i="8"/>
  <c r="P30" i="9"/>
  <c r="M28" i="9"/>
  <c r="P28" i="9" s="1"/>
  <c r="O11" i="9"/>
  <c r="P419" i="9"/>
  <c r="M414" i="9"/>
  <c r="P414" i="9" s="1"/>
  <c r="O10" i="9"/>
  <c r="L8" i="9"/>
  <c r="O8" i="9" s="1"/>
  <c r="M10" i="9"/>
  <c r="P13" i="9"/>
  <c r="M11" i="9"/>
  <c r="P11" i="9" s="1"/>
  <c r="M414" i="8"/>
  <c r="P414" i="8" s="1"/>
  <c r="P13" i="5"/>
  <c r="M10" i="5"/>
  <c r="M8" i="5" s="1"/>
  <c r="P8" i="5" s="1"/>
  <c r="M8" i="7"/>
  <c r="P8" i="7" s="1"/>
  <c r="L8" i="8"/>
  <c r="O8" i="8" s="1"/>
  <c r="P30" i="8"/>
  <c r="M28" i="8"/>
  <c r="P28" i="8" s="1"/>
  <c r="O10" i="5"/>
  <c r="P37" i="8"/>
  <c r="P13" i="8"/>
  <c r="M10" i="8"/>
  <c r="M11" i="8"/>
  <c r="P11" i="8" s="1"/>
  <c r="O37" i="8"/>
  <c r="O11" i="7"/>
  <c r="P11" i="7"/>
  <c r="O37" i="7"/>
  <c r="O10" i="7"/>
  <c r="L8" i="7"/>
  <c r="O8" i="7" s="1"/>
  <c r="P30" i="7"/>
  <c r="M28" i="7"/>
  <c r="P28" i="7" s="1"/>
  <c r="P37" i="7"/>
  <c r="M414" i="7"/>
  <c r="P414" i="7" s="1"/>
  <c r="P419" i="7"/>
  <c r="O414" i="6"/>
  <c r="P37" i="6"/>
  <c r="M28" i="5"/>
  <c r="P28" i="5" s="1"/>
  <c r="O37" i="6"/>
  <c r="O10" i="6"/>
  <c r="L8" i="6"/>
  <c r="O8" i="6" s="1"/>
  <c r="P10" i="6"/>
  <c r="M8" i="6"/>
  <c r="P8" i="6" s="1"/>
  <c r="M414" i="6"/>
  <c r="P414" i="6" s="1"/>
  <c r="M28" i="3"/>
  <c r="P28" i="3" s="1"/>
  <c r="P30" i="6"/>
  <c r="M28" i="6"/>
  <c r="P28" i="6" s="1"/>
  <c r="P37" i="5"/>
  <c r="P11" i="2"/>
  <c r="O11" i="2"/>
  <c r="O37" i="5"/>
  <c r="L8" i="5"/>
  <c r="O8" i="5" s="1"/>
  <c r="M414" i="5"/>
  <c r="P414" i="5" s="1"/>
  <c r="P419" i="1"/>
  <c r="P467" i="1"/>
  <c r="O37" i="4"/>
  <c r="O10" i="4"/>
  <c r="P30" i="4"/>
  <c r="M28" i="4"/>
  <c r="P28" i="4" s="1"/>
  <c r="P37" i="4"/>
  <c r="M414" i="3"/>
  <c r="P414" i="3" s="1"/>
  <c r="O37" i="3"/>
  <c r="P13" i="4"/>
  <c r="M10" i="4"/>
  <c r="M11" i="4"/>
  <c r="P11" i="4" s="1"/>
  <c r="M414" i="4"/>
  <c r="P414" i="4" s="1"/>
  <c r="O8" i="4"/>
  <c r="P37" i="3"/>
  <c r="P525" i="1"/>
  <c r="M10" i="3"/>
  <c r="P10" i="3" s="1"/>
  <c r="P13" i="3"/>
  <c r="O10" i="3"/>
  <c r="L8" i="3"/>
  <c r="O8" i="3" s="1"/>
  <c r="P11" i="3"/>
  <c r="N414" i="1"/>
  <c r="O414" i="1" s="1"/>
  <c r="P31" i="1"/>
  <c r="P10" i="2"/>
  <c r="M8" i="2"/>
  <c r="P8" i="2" s="1"/>
  <c r="M414" i="2"/>
  <c r="P414" i="2" s="1"/>
  <c r="P419" i="2"/>
  <c r="P30" i="2"/>
  <c r="M28" i="2"/>
  <c r="P28" i="2" s="1"/>
  <c r="L8" i="2"/>
  <c r="O8" i="2" s="1"/>
  <c r="O444" i="1"/>
  <c r="P444" i="1"/>
  <c r="M13" i="1"/>
  <c r="M10" i="1" s="1"/>
  <c r="M30" i="1"/>
  <c r="P30" i="1" s="1"/>
  <c r="O18" i="1"/>
  <c r="O30" i="1"/>
  <c r="P685" i="1"/>
  <c r="O685" i="1"/>
  <c r="O655" i="1"/>
  <c r="P655" i="1"/>
  <c r="P37" i="1"/>
  <c r="P33" i="1"/>
  <c r="O37" i="1"/>
  <c r="P523" i="1"/>
  <c r="M414" i="1"/>
  <c r="N10" i="1"/>
  <c r="O13" i="1"/>
  <c r="N11" i="1"/>
  <c r="O11" i="1" s="1"/>
  <c r="P544" i="1"/>
  <c r="O544" i="1"/>
  <c r="P629" i="1"/>
  <c r="O629" i="1"/>
  <c r="O14" i="1"/>
  <c r="O28" i="1"/>
  <c r="P8" i="20" l="1"/>
  <c r="P10" i="21"/>
  <c r="M8" i="21"/>
  <c r="P8" i="21" s="1"/>
  <c r="P10" i="20"/>
  <c r="P10" i="5"/>
  <c r="P10" i="19"/>
  <c r="M8" i="19"/>
  <c r="P8" i="19" s="1"/>
  <c r="P10" i="18"/>
  <c r="M8" i="18"/>
  <c r="P8" i="18" s="1"/>
  <c r="O8" i="17"/>
  <c r="P10" i="16"/>
  <c r="M8" i="16"/>
  <c r="P8" i="16" s="1"/>
  <c r="P10" i="14"/>
  <c r="M8" i="14"/>
  <c r="P8" i="14" s="1"/>
  <c r="P10" i="13"/>
  <c r="M8" i="13"/>
  <c r="P8" i="13" s="1"/>
  <c r="P10" i="12"/>
  <c r="M8" i="12"/>
  <c r="P8" i="12" s="1"/>
  <c r="P10" i="11"/>
  <c r="O10" i="11"/>
  <c r="P11" i="11"/>
  <c r="O11" i="11"/>
  <c r="P8" i="11"/>
  <c r="P10" i="10"/>
  <c r="M8" i="10"/>
  <c r="P8" i="10" s="1"/>
  <c r="P10" i="9"/>
  <c r="M8" i="9"/>
  <c r="P8" i="9" s="1"/>
  <c r="P10" i="8"/>
  <c r="M8" i="8"/>
  <c r="P8" i="8" s="1"/>
  <c r="P10" i="4"/>
  <c r="M8" i="4"/>
  <c r="P8" i="4" s="1"/>
  <c r="P414" i="1"/>
  <c r="M8" i="3"/>
  <c r="P8" i="3" s="1"/>
  <c r="M11" i="1"/>
  <c r="P11" i="1" s="1"/>
  <c r="M28" i="1"/>
  <c r="P28" i="1" s="1"/>
  <c r="P13" i="1"/>
  <c r="P10" i="1"/>
  <c r="M8" i="1"/>
  <c r="O10" i="1"/>
  <c r="N8" i="1"/>
  <c r="O8" i="1" s="1"/>
  <c r="P8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113" authorId="0" shapeId="0" xr:uid="{67E92740-6207-4C71-AF76-B43FD70439ED}">
      <text>
        <r>
          <rPr>
            <sz val="10"/>
            <color rgb="FF000000"/>
            <rFont val="Arial"/>
            <scheme val="minor"/>
          </rPr>
          <t>1890
	-อุดร น้อยเมืองเปลือย</t>
        </r>
      </text>
    </comment>
    <comment ref="L116" authorId="0" shapeId="0" xr:uid="{881D1B8E-6C58-4FEA-89B7-8248197F082A}">
      <text>
        <r>
          <rPr>
            <sz val="10"/>
            <color rgb="FF000000"/>
            <rFont val="Arial"/>
            <scheme val="minor"/>
          </rPr>
          <t>1890
	-อุดร น้อยเมืองเปลือย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606" authorId="0" shapeId="0" xr:uid="{A19FDC7D-21E9-4DAC-B795-D1365A9EECC7}">
      <text>
        <r>
          <rPr>
            <sz val="10"/>
            <color rgb="FF000000"/>
            <rFont val="Arial"/>
            <scheme val="minor"/>
          </rPr>
          <t>ช่วยตรวจสอบดูคอลลั่มที่592 หน่อยค่ะมันไม่อ่านข้อมูล
	-Sakunkan Mhunmee
หนองคายค่ะตรวจสอบผิดปกติ
	-Sakunkan Mhunmee</t>
        </r>
      </text>
    </comment>
  </commentList>
</comments>
</file>

<file path=xl/sharedStrings.xml><?xml version="1.0" encoding="utf-8"?>
<sst xmlns="http://schemas.openxmlformats.org/spreadsheetml/2006/main" count="32559" uniqueCount="365">
  <si>
    <t>รายละเอียดแผนงาน/โครงการ ผลผลิต/กิจกรรม ปีงบประมาณ พ.ศ. 2566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</si>
  <si>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</si>
  <si>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</si>
  <si>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</si>
  <si>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</si>
  <si>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</si>
  <si>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</si>
  <si>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</si>
  <si>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</si>
  <si>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</si>
  <si>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</si>
  <si>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</si>
  <si>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</si>
  <si>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</si>
  <si>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</si>
  <si>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</si>
  <si>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</si>
  <si>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</si>
  <si>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</si>
  <si>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</si>
  <si>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</si>
  <si>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</si>
  <si>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</si>
  <si>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</si>
  <si>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</si>
  <si>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</si>
  <si>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</si>
  <si>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</si>
  <si>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</si>
  <si>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</si>
  <si>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</si>
  <si>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</si>
  <si>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</si>
  <si>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</si>
  <si>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</si>
  <si>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</si>
  <si>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</si>
  <si>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</si>
  <si>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</si>
  <si>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</si>
  <si>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</si>
  <si>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</si>
  <si>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</si>
  <si>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</si>
  <si>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</si>
  <si>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</si>
  <si>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</si>
  <si>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</si>
  <si>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</si>
  <si>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</si>
  <si>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</si>
  <si>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</si>
  <si>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</si>
  <si>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</si>
  <si>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</si>
  <si>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</si>
  <si>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</si>
  <si>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</si>
  <si>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</si>
  <si>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</si>
  <si>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</si>
  <si>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</si>
  <si>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</si>
  <si>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</si>
  <si>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</si>
  <si>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</si>
  <si>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</si>
  <si>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</si>
  <si>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</si>
  <si>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</si>
  <si>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</si>
  <si>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</si>
  <si>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</si>
  <si>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</si>
  <si>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</si>
  <si>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</si>
  <si>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</si>
  <si>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</si>
  <si>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</si>
  <si>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</si>
  <si>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</si>
  <si>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</si>
  <si>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</si>
  <si>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</si>
  <si>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</si>
  <si>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</si>
  <si>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</si>
  <si>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</si>
  <si>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</si>
  <si>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</si>
  <si>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</si>
  <si>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</si>
  <si>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</si>
  <si>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</si>
  <si>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</si>
  <si>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</si>
  <si>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</si>
  <si>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</si>
  <si>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</si>
  <si>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</si>
  <si>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</si>
  <si>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</si>
  <si>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</si>
  <si>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</si>
  <si>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</si>
  <si>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</si>
  <si>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</si>
  <si>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</si>
  <si>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</si>
  <si>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</si>
  <si>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</si>
  <si>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</si>
  <si>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</si>
  <si>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</si>
  <si>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</si>
  <si>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</si>
  <si>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</si>
  <si>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</si>
  <si>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</si>
  <si>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</si>
  <si>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</si>
  <si>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</si>
  <si>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</si>
  <si>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</si>
  <si>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</si>
  <si>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</si>
  <si>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</si>
  <si>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</si>
  <si>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</si>
  <si>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</si>
  <si>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</si>
  <si>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</si>
  <si>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</si>
  <si>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</si>
  <si>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</si>
  <si>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</si>
  <si>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</si>
  <si>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</si>
  <si>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</si>
  <si>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</si>
  <si>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</si>
  <si>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</si>
  <si>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</si>
  <si>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</si>
  <si>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</si>
  <si>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</si>
  <si>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</si>
  <si>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</si>
  <si>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</si>
  <si>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</si>
  <si>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</si>
  <si>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</si>
  <si>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</si>
  <si>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</si>
  <si>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</si>
  <si>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</si>
  <si>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</si>
  <si>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</si>
  <si>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</si>
  <si>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</si>
  <si>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</si>
  <si>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</si>
  <si>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</si>
  <si>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</si>
  <si>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</si>
  <si>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</si>
  <si>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</si>
  <si>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</si>
  <si>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</si>
  <si>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*ข้อมูลจาก ALRO Land Online</t>
  </si>
  <si>
    <t>งานพิพาท</t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</si>
  <si>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</si>
  <si>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</si>
  <si>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</si>
  <si>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</si>
  <si>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</si>
  <si>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</si>
  <si>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</si>
  <si>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</si>
  <si>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</si>
  <si>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</si>
  <si>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</si>
  <si>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</si>
  <si>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</si>
  <si>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</si>
  <si>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</si>
  <si>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</si>
  <si>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</si>
  <si>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</si>
  <si>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</si>
  <si>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</si>
  <si>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</si>
  <si>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</si>
  <si>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</si>
  <si>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</si>
  <si>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</si>
  <si>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</si>
  <si>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</si>
  <si>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</si>
  <si>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</si>
  <si>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</si>
  <si>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</si>
  <si>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</si>
  <si>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</si>
  <si>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</si>
  <si>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</si>
  <si>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</si>
  <si>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</si>
  <si>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</si>
  <si>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</si>
  <si>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</si>
  <si>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</si>
  <si>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</si>
  <si>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</si>
  <si>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</si>
  <si>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</si>
  <si>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</si>
  <si>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</si>
  <si>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</si>
  <si>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</si>
  <si>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</si>
  <si>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</si>
  <si>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</si>
  <si>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</si>
  <si>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</si>
  <si>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</si>
  <si>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</si>
  <si>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</si>
  <si>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</si>
  <si>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</si>
  <si>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</si>
  <si>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</si>
  <si>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</si>
  <si>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</si>
  <si>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</si>
  <si>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</si>
  <si>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</si>
  <si>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</si>
  <si>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</si>
  <si>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</si>
  <si>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</si>
  <si>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</si>
  <si>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</si>
  <si>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</si>
  <si>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</si>
  <si>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</si>
  <si>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</si>
  <si>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</si>
  <si>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</si>
  <si>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</si>
  <si>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</si>
  <si>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</si>
  <si>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</si>
  <si>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</si>
  <si>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</si>
  <si>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</si>
  <si>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</si>
  <si>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</si>
  <si>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</si>
  <si>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</si>
  <si>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</si>
  <si>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</si>
  <si>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</si>
  <si>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</si>
  <si>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</si>
  <si>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</si>
  <si>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</si>
  <si>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</si>
  <si>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</si>
  <si>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</si>
  <si>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</si>
  <si>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</si>
  <si>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</si>
  <si>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</si>
  <si>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</si>
  <si>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</si>
  <si>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</si>
  <si>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</si>
  <si>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</si>
  <si>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</si>
  <si>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</si>
  <si>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</si>
  <si>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</si>
  <si>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</si>
  <si>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</si>
  <si>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</si>
  <si>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</si>
  <si>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</si>
  <si>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</si>
  <si>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</si>
  <si>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</si>
  <si>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</si>
  <si>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</si>
  <si>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</si>
  <si>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</si>
  <si>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</si>
  <si>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</si>
  <si>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</si>
  <si>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</si>
  <si>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</si>
  <si>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</si>
  <si>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</si>
  <si>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</si>
  <si>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</si>
  <si>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</si>
  <si>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</si>
  <si>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</si>
  <si>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</si>
  <si>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</si>
  <si>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</si>
  <si>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</si>
  <si>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</si>
  <si>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</si>
  <si>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</si>
  <si>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</si>
  <si>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</si>
  <si>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</si>
  <si>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</si>
  <si>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</si>
  <si>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</si>
  <si>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</si>
  <si>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</si>
  <si>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</si>
  <si>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</si>
  <si>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</si>
  <si>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</si>
  <si>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</si>
  <si>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</si>
  <si>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</si>
  <si>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</si>
  <si>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กาฬสินธุ์</t>
  </si>
  <si>
    <t>(5) โครงการพัชรสุธาคชานุรักษ์</t>
  </si>
  <si>
    <t>(6) โครงการพัฒนาพื้นที่ราบเชิงเขา</t>
  </si>
  <si>
    <t>- เกษตรกร เฉพาะ ที่ได้รับการอบรม แนวทางการเฝ้าระวังการเผาไหม้ฯ</t>
  </si>
  <si>
    <t>- เกษตรกร เฉพาะ ที่ได้รับการอบรม การบริหารจัดการเศษวัสดุเหลือใช้ฯ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</si>
  <si>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980000"/>
        <rFont val="Arial"/>
      </rPr>
      <t xml:space="preserve"> (ใช้ข้อมูลจาก สบท.)</t>
    </r>
  </si>
  <si>
    <t>สำนักงานการปฏิรูปที่ดินจังหวัด ขอนแก่น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</si>
  <si>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</si>
  <si>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ชัยภูมิ</t>
  </si>
  <si>
    <t>สำนักงานการปฏิรูปที่ดินจังหวัด นครพนม</t>
  </si>
  <si>
    <t>สำนักงานการปฏิรูปที่ดินจังหวัด นครราชสีมา</t>
  </si>
  <si>
    <t>27 กย.66 โอนกลับส่วนกลาง 433.33บาท</t>
  </si>
  <si>
    <t>โอนกลับส่วนกลาง 3,466.94 บาท</t>
  </si>
  <si>
    <t>โอนกลับส่วนกลาง5,200แล้ว</t>
  </si>
  <si>
    <t>สำนักงานการปฏิรูปที่ดินจังหวัด บึงกาฬ</t>
  </si>
  <si>
    <t>สำนักงานการปฏิรูปที่ดินจังหวัด บุรีรัมย์</t>
  </si>
  <si>
    <t>สำนักงานการปฏิรูปที่ดินจังหวัด มหาสารคาม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</si>
  <si>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</si>
  <si>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มุกดาหาร</t>
  </si>
  <si>
    <t>สำนักงานการปฏิรูปที่ดินจังหวัด ยโสธร</t>
  </si>
  <si>
    <t>สำนักงานการปฏิรูปที่ดินจังหวัด ร้อยเอ็ด</t>
  </si>
  <si>
    <t>แผนงานตาม พ.ร.บ. (เป็นตัวเลขเฉพาะส่วนกลางใช้รายงาน)</t>
  </si>
  <si>
    <t>สำนักงานการปฏิรูปที่ดินจังหวัด เลย</t>
  </si>
  <si>
    <t>สำนักงานการปฏิรูปที่ดินจังหวัด ศรีสะเกษ</t>
  </si>
  <si>
    <t>สำนักงานการปฏิรูปที่ดินจังหวัด สกลนคร</t>
  </si>
  <si>
    <t>(5) โครงการขยายผลฟาร์มตัวอย่างฯ</t>
  </si>
  <si>
    <t>สำนักงานการปฏิรูปที่ดินจังหวัด สุรินทร์</t>
  </si>
  <si>
    <t>สำนักงานการปฏิรูปที่ดินจังหวัด หนองคาย</t>
  </si>
  <si>
    <t>สำนักงานการปฏิรูปที่ดินจังหวัด หนองบัวลำภู</t>
  </si>
  <si>
    <t>สำนักงานการปฏิรูปที่ดินจังหวัด อำนาจเจริญ</t>
  </si>
  <si>
    <t>สำนักงานการปฏิรูปที่ดินจังหวัด อุดรธานี</t>
  </si>
  <si>
    <t>สำนักงานการปฏิรูปที่ดินจังหวัด อุบลราชธานี</t>
  </si>
  <si>
    <t>(5) โครงการพัฒนาพื้นที่ชายแดนฯ</t>
  </si>
  <si>
    <t>(6) ...</t>
  </si>
  <si>
    <t>ข้อมูล ณ วันที่ 30 กันยายน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</si>
</sst>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80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2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sz val="13"/>
      <color rgb="FFFF0000"/>
      <name val="Arial"/>
      <scheme val="minor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  <font>
      <sz val="11"/>
      <color theme="1"/>
      <name val="Arial"/>
    </font>
  </fonts>
  <fills count="4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  <fill>
      <patternFill patternType="solid">
        <fgColor rgb="FF274E13"/>
        <bgColor rgb="FF274E13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930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0" fontId="41" fillId="21" borderId="10" xfId="0" applyFont="1" applyFill="1" applyBorder="1" applyAlignment="1"/>
    <xf numFmtId="189" fontId="4" fillId="29" borderId="11" xfId="0" applyNumberFormat="1" applyFont="1" applyFill="1" applyBorder="1" applyAlignment="1"/>
    <xf numFmtId="0" fontId="42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3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4" fillId="0" borderId="9" xfId="0" applyNumberFormat="1" applyFont="1" applyBorder="1" applyAlignment="1"/>
    <xf numFmtId="187" fontId="45" fillId="8" borderId="9" xfId="0" applyNumberFormat="1" applyFont="1" applyFill="1" applyBorder="1" applyAlignment="1"/>
    <xf numFmtId="187" fontId="45" fillId="8" borderId="10" xfId="0" applyNumberFormat="1" applyFont="1" applyFill="1" applyBorder="1" applyAlignment="1"/>
    <xf numFmtId="0" fontId="46" fillId="8" borderId="10" xfId="0" applyFont="1" applyFill="1" applyBorder="1" applyAlignment="1"/>
    <xf numFmtId="0" fontId="47" fillId="8" borderId="10" xfId="0" applyFont="1" applyFill="1" applyBorder="1" applyAlignment="1"/>
    <xf numFmtId="0" fontId="45" fillId="8" borderId="10" xfId="0" applyFont="1" applyFill="1" applyBorder="1" applyAlignment="1"/>
    <xf numFmtId="0" fontId="45" fillId="8" borderId="11" xfId="0" applyFont="1" applyFill="1" applyBorder="1" applyAlignment="1"/>
    <xf numFmtId="0" fontId="48" fillId="8" borderId="11" xfId="0" applyFont="1" applyFill="1" applyBorder="1" applyAlignment="1">
      <alignment horizontal="center"/>
    </xf>
    <xf numFmtId="189" fontId="48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188" fontId="49" fillId="8" borderId="11" xfId="0" applyNumberFormat="1" applyFont="1" applyFill="1" applyBorder="1" applyAlignment="1"/>
    <xf numFmtId="0" fontId="50" fillId="0" borderId="0" xfId="0" applyFont="1"/>
    <xf numFmtId="187" fontId="45" fillId="30" borderId="9" xfId="0" applyNumberFormat="1" applyFont="1" applyFill="1" applyBorder="1" applyAlignment="1"/>
    <xf numFmtId="187" fontId="45" fillId="30" borderId="10" xfId="0" applyNumberFormat="1" applyFont="1" applyFill="1" applyBorder="1" applyAlignment="1"/>
    <xf numFmtId="0" fontId="46" fillId="30" borderId="10" xfId="0" applyFont="1" applyFill="1" applyBorder="1" applyAlignment="1"/>
    <xf numFmtId="0" fontId="46" fillId="30" borderId="10" xfId="0" applyFont="1" applyFill="1" applyBorder="1" applyAlignment="1"/>
    <xf numFmtId="0" fontId="45" fillId="30" borderId="10" xfId="0" applyFont="1" applyFill="1" applyBorder="1" applyAlignment="1"/>
    <xf numFmtId="0" fontId="45" fillId="30" borderId="11" xfId="0" applyFont="1" applyFill="1" applyBorder="1" applyAlignment="1"/>
    <xf numFmtId="0" fontId="48" fillId="30" borderId="11" xfId="0" applyFont="1" applyFill="1" applyBorder="1" applyAlignment="1">
      <alignment horizontal="center"/>
    </xf>
    <xf numFmtId="189" fontId="48" fillId="30" borderId="11" xfId="0" applyNumberFormat="1" applyFont="1" applyFill="1" applyBorder="1" applyAlignment="1"/>
    <xf numFmtId="189" fontId="48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188" fontId="49" fillId="30" borderId="11" xfId="0" applyNumberFormat="1" applyFont="1" applyFill="1" applyBorder="1" applyAlignment="1"/>
    <xf numFmtId="0" fontId="51" fillId="30" borderId="10" xfId="0" applyFont="1" applyFill="1" applyBorder="1" applyAlignment="1"/>
    <xf numFmtId="0" fontId="49" fillId="30" borderId="11" xfId="0" applyFont="1" applyFill="1" applyBorder="1" applyAlignment="1"/>
    <xf numFmtId="189" fontId="49" fillId="30" borderId="11" xfId="0" applyNumberFormat="1" applyFont="1" applyFill="1" applyBorder="1" applyAlignment="1"/>
    <xf numFmtId="41" fontId="48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187" fontId="52" fillId="0" borderId="9" xfId="0" applyNumberFormat="1" applyFont="1" applyBorder="1" applyAlignment="1"/>
    <xf numFmtId="187" fontId="2" fillId="23" borderId="12" xfId="0" applyNumberFormat="1" applyFont="1" applyFill="1" applyBorder="1" applyAlignment="1"/>
    <xf numFmtId="187" fontId="2" fillId="23" borderId="13" xfId="0" applyNumberFormat="1" applyFont="1" applyFill="1" applyBorder="1" applyAlignment="1"/>
    <xf numFmtId="0" fontId="53" fillId="23" borderId="13" xfId="0" applyFont="1" applyFill="1" applyBorder="1" applyAlignment="1"/>
    <xf numFmtId="0" fontId="2" fillId="23" borderId="14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4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6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8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9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60" fillId="2" borderId="11" xfId="0" applyFont="1" applyFill="1" applyBorder="1" applyAlignment="1"/>
    <xf numFmtId="187" fontId="61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62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3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4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5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6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8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9" fillId="2" borderId="10" xfId="0" applyFont="1" applyFill="1" applyBorder="1" applyAlignment="1"/>
    <xf numFmtId="0" fontId="9" fillId="2" borderId="10" xfId="0" applyFont="1" applyFill="1" applyBorder="1" applyAlignment="1"/>
    <xf numFmtId="0" fontId="70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6" fillId="2" borderId="10" xfId="0" applyFont="1" applyFill="1" applyBorder="1" applyAlignment="1"/>
    <xf numFmtId="0" fontId="4" fillId="0" borderId="5" xfId="0" applyFont="1" applyBorder="1" applyAlignment="1"/>
    <xf numFmtId="0" fontId="71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2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3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8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1" fillId="38" borderId="15" xfId="0" applyNumberFormat="1" applyFont="1" applyFill="1" applyBorder="1" applyAlignment="1">
      <alignment horizontal="center"/>
    </xf>
    <xf numFmtId="189" fontId="1" fillId="38" borderId="14" xfId="0" applyNumberFormat="1" applyFont="1" applyFill="1" applyBorder="1" applyAlignment="1">
      <alignment horizontal="right"/>
    </xf>
    <xf numFmtId="188" fontId="1" fillId="38" borderId="14" xfId="0" applyNumberFormat="1" applyFont="1" applyFill="1" applyBorder="1" applyAlignment="1">
      <alignment horizontal="right"/>
    </xf>
    <xf numFmtId="188" fontId="4" fillId="38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32" fillId="0" borderId="10" xfId="0" applyFont="1" applyBorder="1" applyAlignment="1"/>
    <xf numFmtId="187" fontId="9" fillId="38" borderId="10" xfId="0" applyNumberFormat="1" applyFont="1" applyFill="1" applyBorder="1" applyAlignment="1"/>
    <xf numFmtId="187" fontId="75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5" xfId="0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5" fillId="2" borderId="13" xfId="0" applyFont="1" applyFill="1" applyBorder="1" applyAlignment="1"/>
    <xf numFmtId="0" fontId="3" fillId="0" borderId="13" xfId="0" applyFont="1" applyBorder="1"/>
    <xf numFmtId="0" fontId="57" fillId="2" borderId="10" xfId="0" applyFont="1" applyFill="1" applyBorder="1" applyAlignment="1"/>
    <xf numFmtId="0" fontId="62" fillId="2" borderId="10" xfId="0" applyFont="1" applyFill="1" applyBorder="1" applyAlignment="1"/>
    <xf numFmtId="0" fontId="67" fillId="2" borderId="13" xfId="0" applyFont="1" applyFill="1" applyBorder="1" applyAlignment="1"/>
    <xf numFmtId="0" fontId="74" fillId="2" borderId="10" xfId="0" applyFont="1" applyFill="1" applyBorder="1" applyAlignment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9" fontId="4" fillId="26" borderId="11" xfId="0" applyNumberFormat="1" applyFont="1" applyFill="1" applyBorder="1" applyAlignment="1"/>
    <xf numFmtId="0" fontId="5" fillId="21" borderId="10" xfId="0" applyFont="1" applyFill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3" borderId="13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7" fillId="21" borderId="10" xfId="0" applyNumberFormat="1" applyFont="1" applyFill="1" applyBorder="1" applyAlignment="1"/>
    <xf numFmtId="187" fontId="57" fillId="21" borderId="10" xfId="0" quotePrefix="1" applyNumberFormat="1" applyFont="1" applyFill="1" applyBorder="1" applyAlignment="1"/>
    <xf numFmtId="0" fontId="62" fillId="21" borderId="10" xfId="0" quotePrefix="1" applyFont="1" applyFill="1" applyBorder="1" applyAlignment="1"/>
    <xf numFmtId="0" fontId="57" fillId="21" borderId="10" xfId="0" quotePrefix="1" applyFont="1" applyFill="1" applyBorder="1" applyAlignment="1"/>
    <xf numFmtId="0" fontId="57" fillId="2" borderId="13" xfId="0" applyFont="1" applyFill="1" applyBorder="1" applyAlignment="1"/>
    <xf numFmtId="0" fontId="57" fillId="21" borderId="10" xfId="0" applyFont="1" applyFill="1" applyBorder="1" applyAlignment="1"/>
    <xf numFmtId="0" fontId="62" fillId="21" borderId="10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63" fillId="2" borderId="10" xfId="0" applyFont="1" applyFill="1" applyBorder="1" applyAlignment="1"/>
    <xf numFmtId="187" fontId="62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 applyAlignment="1"/>
    <xf numFmtId="188" fontId="4" fillId="2" borderId="0" xfId="0" applyNumberFormat="1" applyFont="1" applyFill="1" applyAlignment="1"/>
    <xf numFmtId="0" fontId="79" fillId="0" borderId="0" xfId="0" applyFont="1" applyAlignment="1"/>
    <xf numFmtId="191" fontId="4" fillId="10" borderId="11" xfId="0" applyNumberFormat="1" applyFont="1" applyFill="1" applyBorder="1" applyAlignment="1"/>
    <xf numFmtId="188" fontId="4" fillId="10" borderId="11" xfId="0" applyNumberFormat="1" applyFont="1" applyFill="1" applyBorder="1" applyAlignment="1">
      <alignment horizontal="center"/>
    </xf>
    <xf numFmtId="189" fontId="4" fillId="42" borderId="11" xfId="0" applyNumberFormat="1" applyFont="1" applyFill="1" applyBorder="1" applyAlignment="1"/>
    <xf numFmtId="189" fontId="66" fillId="10" borderId="11" xfId="0" applyNumberFormat="1" applyFont="1" applyFill="1" applyBorder="1" applyAlignment="1"/>
    <xf numFmtId="189" fontId="6" fillId="10" borderId="11" xfId="0" applyNumberFormat="1" applyFont="1" applyFill="1" applyBorder="1" applyAlignment="1"/>
    <xf numFmtId="189" fontId="4" fillId="21" borderId="11" xfId="0" applyNumberFormat="1" applyFont="1" applyFill="1" applyBorder="1" applyAlignment="1"/>
    <xf numFmtId="187" fontId="32" fillId="0" borderId="9" xfId="0" applyNumberFormat="1" applyFont="1" applyBorder="1" applyAlignment="1"/>
    <xf numFmtId="187" fontId="32" fillId="0" borderId="10" xfId="0" applyNumberFormat="1" applyFont="1" applyBorder="1" applyAlignment="1"/>
    <xf numFmtId="0" fontId="32" fillId="0" borderId="0" xfId="0" applyFont="1" applyAlignment="1"/>
    <xf numFmtId="0" fontId="27" fillId="2" borderId="13" xfId="0" quotePrefix="1" applyFont="1" applyFill="1" applyBorder="1" applyAlignment="1"/>
    <xf numFmtId="189" fontId="4" fillId="2" borderId="11" xfId="0" applyNumberFormat="1" applyFont="1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0.42578125" bestFit="1" customWidth="1"/>
    <col min="11" max="11" width="13.28515625" bestFit="1" customWidth="1"/>
    <col min="12" max="14" width="24.7109375" bestFit="1" customWidth="1"/>
    <col min="15" max="15" width="20.140625" bestFit="1" customWidth="1"/>
    <col min="16" max="16" width="22" bestFit="1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1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364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154011723</v>
      </c>
      <c r="M8" s="22">
        <f t="shared" ca="1" si="0"/>
        <v>157886441.84999999</v>
      </c>
      <c r="N8" s="22">
        <f t="shared" ca="1" si="0"/>
        <v>157086371.22999999</v>
      </c>
      <c r="O8" s="22">
        <f t="shared" ref="O8:O16" ca="1" si="1">IF(L8&gt;0,N8*100/L8,0)</f>
        <v>101.99637285403266</v>
      </c>
      <c r="P8" s="22">
        <f t="shared" ref="P8:P16" ca="1" si="2">IF(M8&gt;0,N8*100/M8,0)</f>
        <v>99.493261985877083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154011723</v>
      </c>
      <c r="M10" s="30">
        <f t="shared" ca="1" si="4"/>
        <v>157886441.84999999</v>
      </c>
      <c r="N10" s="30">
        <f t="shared" ca="1" si="4"/>
        <v>157086371.22999999</v>
      </c>
      <c r="O10" s="30">
        <f t="shared" ca="1" si="1"/>
        <v>101.99637285403266</v>
      </c>
      <c r="P10" s="30">
        <f t="shared" ca="1" si="2"/>
        <v>99.493261985877083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139789523</v>
      </c>
      <c r="M11" s="38">
        <f t="shared" ca="1" si="5"/>
        <v>144658960.03999999</v>
      </c>
      <c r="N11" s="38">
        <f t="shared" ca="1" si="5"/>
        <v>143407959.41999999</v>
      </c>
      <c r="O11" s="38">
        <f t="shared" ca="1" si="1"/>
        <v>102.58848899570248</v>
      </c>
      <c r="P11" s="38">
        <f t="shared" ca="1" si="2"/>
        <v>99.135206958729626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139789523</v>
      </c>
      <c r="M13" s="45">
        <f t="shared" ca="1" si="7"/>
        <v>144658960.03999999</v>
      </c>
      <c r="N13" s="45">
        <f t="shared" ca="1" si="7"/>
        <v>143407959.41999999</v>
      </c>
      <c r="O13" s="45">
        <f t="shared" ca="1" si="1"/>
        <v>102.58848899570248</v>
      </c>
      <c r="P13" s="45">
        <f t="shared" ca="1" si="2"/>
        <v>99.135206958729626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14222200</v>
      </c>
      <c r="M14" s="38">
        <f t="shared" ca="1" si="8"/>
        <v>13227481.809999999</v>
      </c>
      <c r="N14" s="38">
        <f t="shared" ca="1" si="8"/>
        <v>13678411.809999999</v>
      </c>
      <c r="O14" s="38">
        <f t="shared" ca="1" si="1"/>
        <v>96.176483314817659</v>
      </c>
      <c r="P14" s="38">
        <f t="shared" ca="1" si="2"/>
        <v>103.40903889702645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14222200</v>
      </c>
      <c r="M16" s="52">
        <f t="shared" ca="1" si="10"/>
        <v>13227481.809999999</v>
      </c>
      <c r="N16" s="52">
        <f t="shared" ca="1" si="10"/>
        <v>13678411.809999999</v>
      </c>
      <c r="O16" s="52">
        <f t="shared" ca="1" si="1"/>
        <v>96.176483314817659</v>
      </c>
      <c r="P16" s="52">
        <f t="shared" ca="1" si="2"/>
        <v>103.40903889702645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100559250</v>
      </c>
      <c r="M18" s="22">
        <f t="shared" ca="1" si="11"/>
        <v>107308903.42</v>
      </c>
      <c r="N18" s="22">
        <f t="shared" ca="1" si="11"/>
        <v>107758832.19999999</v>
      </c>
      <c r="O18" s="22">
        <f t="shared" ref="O18:O26" ca="1" si="12">IF(L18&gt;0,N18*100/L18,0)</f>
        <v>107.15954245879915</v>
      </c>
      <c r="P18" s="22">
        <f t="shared" ref="P18:P26" ca="1" si="13">IF(M18&gt;0,N18*100/M18,0)</f>
        <v>100.41928373663366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100559250</v>
      </c>
      <c r="M20" s="30">
        <f t="shared" ca="1" si="15"/>
        <v>107308903.42</v>
      </c>
      <c r="N20" s="30">
        <f t="shared" ca="1" si="15"/>
        <v>107758832.19999999</v>
      </c>
      <c r="O20" s="30">
        <f t="shared" ca="1" si="12"/>
        <v>107.15954245879915</v>
      </c>
      <c r="P20" s="30">
        <f t="shared" ca="1" si="13"/>
        <v>100.41928373663366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86337050</v>
      </c>
      <c r="M21" s="38">
        <f t="shared" ca="1" si="16"/>
        <v>94081421.609999999</v>
      </c>
      <c r="N21" s="38">
        <f t="shared" ca="1" si="16"/>
        <v>94080420.389999986</v>
      </c>
      <c r="O21" s="38">
        <f t="shared" ca="1" si="12"/>
        <v>108.96876878466426</v>
      </c>
      <c r="P21" s="38">
        <f t="shared" ca="1" si="13"/>
        <v>99.998935794142042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86337050</v>
      </c>
      <c r="M23" s="45">
        <f ca="1">M46+M58+M71+M93+M124+M137+M154+M186+M170+M266+M282+M303+M460+M333+M350+M394+M407+M320</f>
        <v>94081421.609999999</v>
      </c>
      <c r="N23" s="45">
        <f ca="1">N46+N58+N71+N93+N124+N137+N154+N186+N170+N266+N282+N303+N320+N333+N350+N394+N407</f>
        <v>94080420.389999986</v>
      </c>
      <c r="O23" s="45">
        <f t="shared" ca="1" si="12"/>
        <v>108.96876878466426</v>
      </c>
      <c r="P23" s="45">
        <f t="shared" ca="1" si="13"/>
        <v>99.998935794142042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14222200</v>
      </c>
      <c r="M24" s="38">
        <f t="shared" ca="1" si="18"/>
        <v>13227481.809999999</v>
      </c>
      <c r="N24" s="38">
        <f t="shared" ca="1" si="18"/>
        <v>13678411.809999999</v>
      </c>
      <c r="O24" s="38">
        <f t="shared" ca="1" si="12"/>
        <v>96.176483314817659</v>
      </c>
      <c r="P24" s="38">
        <f t="shared" ca="1" si="13"/>
        <v>103.40903889702645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5" si="19">L48+L60+L73+L95+L126+L139+L156+L188+L172+L268+L284+L305+L322+L335+L352+L396+L409</f>
        <v>0</v>
      </c>
      <c r="M25" s="45">
        <f t="shared" si="19"/>
        <v>0</v>
      </c>
      <c r="N25" s="45">
        <f t="shared" si="19"/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ref="L26:N26" ca="1" si="20">L49+L61+L74+L96+L127+L140+L157+L189+L173+L269+L285+L306+L323+L336+L353+L397+L410</f>
        <v>14222200</v>
      </c>
      <c r="M26" s="52">
        <f t="shared" ca="1" si="20"/>
        <v>13227481.809999999</v>
      </c>
      <c r="N26" s="52">
        <f t="shared" ca="1" si="20"/>
        <v>13678411.809999999</v>
      </c>
      <c r="O26" s="52">
        <f t="shared" ca="1" si="12"/>
        <v>96.176483314817659</v>
      </c>
      <c r="P26" s="52">
        <f t="shared" ca="1" si="13"/>
        <v>103.40903889702645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53452473</v>
      </c>
      <c r="M28" s="22">
        <f t="shared" ca="1" si="21"/>
        <v>50577538.429999992</v>
      </c>
      <c r="N28" s="22">
        <f t="shared" ca="1" si="21"/>
        <v>49327539.029999994</v>
      </c>
      <c r="O28" s="22">
        <f t="shared" ref="O28:O37" ca="1" si="22">IF(L28&gt;0,N28*100/L28,0)</f>
        <v>92.282987599095719</v>
      </c>
      <c r="P28" s="22">
        <f t="shared" ref="P28:P31" ca="1" si="23">IF(M28&gt;0,N28*100/M28,0)</f>
        <v>97.528548365931215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53452473</v>
      </c>
      <c r="M30" s="30">
        <f t="shared" ca="1" si="25"/>
        <v>50577538.429999992</v>
      </c>
      <c r="N30" s="30">
        <f t="shared" ca="1" si="25"/>
        <v>49327539.029999994</v>
      </c>
      <c r="O30" s="30">
        <f t="shared" ca="1" si="22"/>
        <v>92.282987599095719</v>
      </c>
      <c r="P30" s="30">
        <f t="shared" ca="1" si="23"/>
        <v>97.528548365931215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53452473</v>
      </c>
      <c r="M31" s="38">
        <f t="shared" ca="1" si="26"/>
        <v>50577538.429999992</v>
      </c>
      <c r="N31" s="38">
        <f t="shared" ca="1" si="26"/>
        <v>49327539.029999994</v>
      </c>
      <c r="O31" s="38">
        <f t="shared" ca="1" si="22"/>
        <v>92.282987599095719</v>
      </c>
      <c r="P31" s="38">
        <f t="shared" ca="1" si="23"/>
        <v>97.528548365931215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53452473</v>
      </c>
      <c r="M33" s="45">
        <f t="shared" ca="1" si="28"/>
        <v>50577538.429999992</v>
      </c>
      <c r="N33" s="45">
        <f t="shared" ca="1" si="28"/>
        <v>49327539.029999994</v>
      </c>
      <c r="O33" s="45">
        <f t="shared" ca="1" si="22"/>
        <v>92.282987599095719</v>
      </c>
      <c r="P33" s="45">
        <f t="shared" ref="P33:P37" ca="1" si="29">IF(M33&gt;0,N33*100/M33,0)</f>
        <v>97.528548365931215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100559250</v>
      </c>
      <c r="M37" s="59">
        <f ca="1">M41+M53+M66+M88+M119+M132+M149+M165+M181+M261+M277+M298+M315+M468+M345+M389+M402</f>
        <v>102293403.42</v>
      </c>
      <c r="N37" s="59">
        <f ca="1">N41+N53+N66+N88+N119+N132+N149+N165+N181+N261+N277+N298+N315+N328+N345+N389+N402</f>
        <v>107758832.20000002</v>
      </c>
      <c r="O37" s="59">
        <f t="shared" ca="1" si="22"/>
        <v>107.15954245879918</v>
      </c>
      <c r="P37" s="59">
        <f t="shared" ca="1" si="29"/>
        <v>105.34289465133921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13193450</v>
      </c>
      <c r="M41" s="85">
        <f t="shared" ca="1" si="33"/>
        <v>15160247.060000001</v>
      </c>
      <c r="N41" s="85">
        <f t="shared" ca="1" si="33"/>
        <v>15160247.060000001</v>
      </c>
      <c r="O41" s="85">
        <f t="shared" ref="O41:O45" ca="1" si="34">IF(L41&gt;0,N41*100/L41,0)</f>
        <v>114.90737494741708</v>
      </c>
      <c r="P41" s="85">
        <f t="shared" ref="P41:P49" ca="1" si="35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13193450</v>
      </c>
      <c r="M43" s="92">
        <f t="shared" ca="1" si="37"/>
        <v>15160247.060000001</v>
      </c>
      <c r="N43" s="92">
        <f t="shared" ca="1" si="37"/>
        <v>15160247.060000001</v>
      </c>
      <c r="O43" s="92">
        <f t="shared" ca="1" si="34"/>
        <v>114.90737494741708</v>
      </c>
      <c r="P43" s="92">
        <f t="shared" ca="1" si="35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13193450</v>
      </c>
      <c r="M44" s="38">
        <f t="shared" ca="1" si="38"/>
        <v>15160247.060000001</v>
      </c>
      <c r="N44" s="38">
        <f t="shared" ca="1" si="38"/>
        <v>15160247.060000001</v>
      </c>
      <c r="O44" s="38">
        <f t="shared" ca="1" si="34"/>
        <v>114.90737494741708</v>
      </c>
      <c r="P44" s="38">
        <f t="shared" ca="1" si="35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fb2B9NLcpJgjIieIJvenUTNPn0TimZDUi0OtYeiSQ_s/edit?usp=share_link"",""กาฬสินธุ์!L46"")+IMPORTRANGE(""https://docs.google.com/spreadsheets/d/1SaMnqrwRGmFYNR0MhpWmHuL5niYUd5E7vDq8X7whAlI/edit?usp=share_lin"&amp;"k"",""ขอนแก่น!L46"")
+IMPORTRANGE(""https://docs.google.com/spreadsheets/d/1xQzEtGHhTTgxHh6YUkKY1P4dRyjVhS74dGswLfAASA4/edit?usp=share_link"",""ชัยภูมิ!L46"")+IMPORTRANGE(""https://docs.google.com/spreadsheets/d/1EXMBoBxU3OFbjT2TRpneM33qFjqDzrKmn9ydcflfI0"&amp;"o/edit?usp=share_link"",""นครพนม!L46"")+IMPORTRANGE(""https://docs.google.com/spreadsheets/d/1bDQrolntRWtHumK8W-x-HXKntwxB9S3sF5aDeRS66Ko/edit?usp=share_link"",""นครราชสีมา!L46"")+IMPORTRANGE(""https://docs.google.com/spreadsheets/d/1_MzZ-2gVPiCW-d2VcafoC"&amp;"mFJQTSrZ6SQyFcMqRRQQ2w/edit?usp=share_link"",""บึงกาฬ!L46"")
+IMPORTRANGE(""https://docs.google.com/spreadsheets/d/1B3lPpzOuaNwVItLwLEZYl_qEblfcx7dRnbRkAw0l-pE/edit?usp=share_link"",""บุรีรัมย์!L46"")+IMPORTRANGE(""https://docs.google.com/spreadsheets/d/1"&amp;"9GOkiOqnzYbevLYWrMk4qFOXe3rX14BkSA8X-mq-a40/edit?usp=share_link"",""มหาสารคาม!L46"")+IMPORTRANGE(""https://docs.google.com/spreadsheets/d/1uMKqWwuNQ-TCKboGA3Bb1qXb5uj2-faACNUINCz8PN4/edit?usp=share_link"",""มุกดาหาร!L46"")+IMPORTRANGE(""https://docs.googl"&amp;"e.com/spreadsheets/d/1oKaccgDdQABndOzGr688Dbfxb_V3YcF67VqEPBtdzsc/edit?usp=share_link"",""ยโสธร!L46"")+IMPORTRANGE(""https://docs.google.com/spreadsheets/d/1BRgc8xKpxZ0PX-gauieMVkV_IOxKSotf0yW8MabGprQ/edit?usp=share_link"",""ร้อยเอ็ด!L46"")+IMPORTRANGE("""&amp;"https://docs.google.com/spreadsheets/d/1IdolZc-dfdgMwAm_KZxYJl1sUOcIgnbGQzbWOlddedo/edit?usp=share_link"",""เลย!L46"")+IMPORTRANGE(""https://docs.google.com/spreadsheets/d/1tZ0nmtGuIRCaGAMXHlQU8EpR9LOAJvyKfc4f7EFmE34/edit?usp=share_link"",""ศรีสะเกษ!L46"""&amp;")+IMPORTRANGE(""https://docs.google.com/spreadsheets/d/1QC8psz9w0f9IVE9Xuc2FT_btkaOzZbbUSgYObpBuetM/edit?usp=share_link"",""สกลนคร!L46"")+IMPORTRANGE(""https://docs.google.com/spreadsheets/d/1wPdvRbu02d33MYVlbsCnyTiZpefEBs9NNktAnT1HZvw/edit?usp=share_link"&amp;""",""สุรินทร์!L46"")+IMPORTRANGE(""https://docs.google.com/spreadsheets/d/1GVExpf-Exi_2gmuqTYH28fseTB9MoKPXWcXCbSt_YrM/edit?usp=share_link"",""หนองคาย!L46"")+IMPORTRANGE(""https://docs.google.com/spreadsheets/d/16UeMz0UgOB5BZcoxP75eYGcLFtGYRn9GoesD4OX9m5U"&amp;"/edit?usp=share_link"",""หนองบัวลำภู!L46"")+IMPORTRANGE(""https://docs.google.com/spreadsheets/d/1uUP8Zo1-qaJLuIkRU0qlwLSE3DHkbdrrj2JGJiWBQZE/edit?usp=share_link"",""อำนาจเจริญ!L46"")+IMPORTRANGE(""https://docs.google.com/spreadsheets/d/1hb_taSOHanzRjqfzW"&amp;"PiFo8yiT83VV1L7vvUCLhOiHKc/edit?usp=share_link"",""อุดรธานี!L46"")+IMPORTRANGE(""https://docs.google.com/spreadsheets/d/17IOkEwkUd63EGNfyNDnM5de9YlZ7rwzTiW6-dokVjKI/edit?usp=share_link"",""อุบลราชธานี!L46"")
"),13193450)</f>
        <v>13193450</v>
      </c>
      <c r="M46" s="45">
        <f ca="1">IFERROR(__xludf.DUMMYFUNCTION("IMPORTRANGE(""https://docs.google.com/spreadsheets/d/1fb2B9NLcpJgjIieIJvenUTNPn0TimZDUi0OtYeiSQ_s/edit?usp=share_link"",""กาฬสินธุ์!M46"")+IMPORTRANGE(""https://docs.google.com/spreadsheets/d/1SaMnqrwRGmFYNR0MhpWmHuL5niYUd5E7vDq8X7whAlI/edit?usp=share_lin"&amp;"k"",""ขอนแก่น!M46"")
+IMPORTRANGE(""https://docs.google.com/spreadsheets/d/1xQzEtGHhTTgxHh6YUkKY1P4dRyjVhS74dGswLfAASA4/edit?usp=share_link"",""ชัยภูมิ!M46"")+IMPORTRANGE(""https://docs.google.com/spreadsheets/d/1EXMBoBxU3OFbjT2TRpneM33qFjqDzrKmn9ydcflfI0"&amp;"o/edit?usp=share_link"",""นครพนม!M46"")+IMPORTRANGE(""https://docs.google.com/spreadsheets/d/1bDQrolntRWtHumK8W-x-HXKntwxB9S3sF5aDeRS66Ko/edit?usp=share_link"",""นครราชสีมา!M46"")+IMPORTRANGE(""https://docs.google.com/spreadsheets/d/1_MzZ-2gVPiCW-d2VcafoC"&amp;"mFJQTSrZ6SQyFcMqRRQQ2w/edit?usp=share_link"",""บึงกาฬ!M46"")
+IMPORTRANGE(""https://docs.google.com/spreadsheets/d/1B3lPpzOuaNwVItLwLEZYl_qEblfcx7dRnbRkAw0l-pE/edit?usp=share_link"",""บุรีรัมย์!M46"")+IMPORTRANGE(""https://docs.google.com/spreadsheets/d/1"&amp;"9GOkiOqnzYbevLYWrMk4qFOXe3rX14BkSA8X-mq-a40/edit?usp=share_link"",""มหาสารคาม!M46"")+IMPORTRANGE(""https://docs.google.com/spreadsheets/d/1uMKqWwuNQ-TCKboGA3Bb1qXb5uj2-faACNUINCz8PN4/edit?usp=share_link"",""มุกดาหาร!M46"")+IMPORTRANGE(""https://docs.googl"&amp;"e.com/spreadsheets/d/1oKaccgDdQABndOzGr688Dbfxb_V3YcF67VqEPBtdzsc/edit?usp=share_link"",""ยโสธร!M46"")+IMPORTRANGE(""https://docs.google.com/spreadsheets/d/1BRgc8xKpxZ0PX-gauieMVkV_IOxKSotf0yW8MabGprQ/edit?usp=share_link"",""ร้อยเอ็ด!M46"")+IMPORTRANGE("""&amp;"https://docs.google.com/spreadsheets/d/1IdolZc-dfdgMwAm_KZxYJl1sUOcIgnbGQzbWOlddedo/edit?usp=share_link"",""เลย!M46"")+IMPORTRANGE(""https://docs.google.com/spreadsheets/d/1tZ0nmtGuIRCaGAMXHlQU8EpR9LOAJvyKfc4f7EFmE34/edit?usp=share_link"",""ศรีสะเกษ!M46"""&amp;")+IMPORTRANGE(""https://docs.google.com/spreadsheets/d/1QC8psz9w0f9IVE9Xuc2FT_btkaOzZbbUSgYObpBuetM/edit?usp=share_link"",""สกลนคร!M46"")+IMPORTRANGE(""https://docs.google.com/spreadsheets/d/1wPdvRbu02d33MYVlbsCnyTiZpefEBs9NNktAnT1HZvw/edit?usp=share_link"&amp;""",""สุรินทร์!M46"")+IMPORTRANGE(""https://docs.google.com/spreadsheets/d/1GVExpf-Exi_2gmuqTYH28fseTB9MoKPXWcXCbSt_YrM/edit?usp=share_link"",""หนองคาย!M46"")+IMPORTRANGE(""https://docs.google.com/spreadsheets/d/16UeMz0UgOB5BZcoxP75eYGcLFtGYRn9GoesD4OX9m5U"&amp;"/edit?usp=share_link"",""หนองบัวลำภู!M46"")+IMPORTRANGE(""https://docs.google.com/spreadsheets/d/1uUP8Zo1-qaJLuIkRU0qlwLSE3DHkbdrrj2JGJiWBQZE/edit?usp=share_link"",""อำนาจเจริญ!M46"")+IMPORTRANGE(""https://docs.google.com/spreadsheets/d/1hb_taSOHanzRjqfzW"&amp;"PiFo8yiT83VV1L7vvUCLhOiHKc/edit?usp=share_link"",""อุดรธานี!M46"")+IMPORTRANGE(""https://docs.google.com/spreadsheets/d/17IOkEwkUd63EGNfyNDnM5de9YlZ7rwzTiW6-dokVjKI/edit?usp=share_link"",""อุบลราชธานี!M46"")
"),15160247.06)</f>
        <v>15160247.060000001</v>
      </c>
      <c r="N46" s="45">
        <f ca="1">IFERROR(__xludf.DUMMYFUNCTION("IMPORTRANGE(""https://docs.google.com/spreadsheets/d/1fb2B9NLcpJgjIieIJvenUTNPn0TimZDUi0OtYeiSQ_s/edit?usp=share_link"",""กาฬสินธุ์!N46"")+IMPORTRANGE(""https://docs.google.com/spreadsheets/d/1SaMnqrwRGmFYNR0MhpWmHuL5niYUd5E7vDq8X7whAlI/edit?usp=share_lin"&amp;"k"",""ขอนแก่น!N46"")
+IMPORTRANGE(""https://docs.google.com/spreadsheets/d/1xQzEtGHhTTgxHh6YUkKY1P4dRyjVhS74dGswLfAASA4/edit?usp=share_link"",""ชัยภูมิ!N46"")+IMPORTRANGE(""https://docs.google.com/spreadsheets/d/1EXMBoBxU3OFbjT2TRpneM33qFjqDzrKmn9ydcflfI0"&amp;"o/edit?usp=share_link"",""นครพนม!N46"")+IMPORTRANGE(""https://docs.google.com/spreadsheets/d/1bDQrolntRWtHumK8W-x-HXKntwxB9S3sF5aDeRS66Ko/edit?usp=share_link"",""นครราชสีมา!N46"")+IMPORTRANGE(""https://docs.google.com/spreadsheets/d/1_MzZ-2gVPiCW-d2VcafoC"&amp;"mFJQTSrZ6SQyFcMqRRQQ2w/edit?usp=share_link"",""บึงกาฬ!N46"")
+IMPORTRANGE(""https://docs.google.com/spreadsheets/d/1B3lPpzOuaNwVItLwLEZYl_qEblfcx7dRnbRkAw0l-pE/edit?usp=share_link"",""บุรีรัมย์!N46"")+IMPORTRANGE(""https://docs.google.com/spreadsheets/d/1"&amp;"9GOkiOqnzYbevLYWrMk4qFOXe3rX14BkSA8X-mq-a40/edit?usp=share_link"",""มหาสารคาม!N46"")+IMPORTRANGE(""https://docs.google.com/spreadsheets/d/1uMKqWwuNQ-TCKboGA3Bb1qXb5uj2-faACNUINCz8PN4/edit?usp=share_link"",""มุกดาหาร!N46"")+IMPORTRANGE(""https://docs.googl"&amp;"e.com/spreadsheets/d/1oKaccgDdQABndOzGr688Dbfxb_V3YcF67VqEPBtdzsc/edit?usp=share_link"",""ยโสธร!N46"")+IMPORTRANGE(""https://docs.google.com/spreadsheets/d/1BRgc8xKpxZ0PX-gauieMVkV_IOxKSotf0yW8MabGprQ/edit?usp=share_link"",""ร้อยเอ็ด!N46"")+IMPORTRANGE("""&amp;"https://docs.google.com/spreadsheets/d/1IdolZc-dfdgMwAm_KZxYJl1sUOcIgnbGQzbWOlddedo/edit?usp=share_link"",""เลย!N46"")+IMPORTRANGE(""https://docs.google.com/spreadsheets/d/1tZ0nmtGuIRCaGAMXHlQU8EpR9LOAJvyKfc4f7EFmE34/edit?usp=share_link"",""ศรีสะเกษ!N46"""&amp;")+IMPORTRANGE(""https://docs.google.com/spreadsheets/d/1QC8psz9w0f9IVE9Xuc2FT_btkaOzZbbUSgYObpBuetM/edit?usp=share_link"",""สกลนคร!N46"")+IMPORTRANGE(""https://docs.google.com/spreadsheets/d/1wPdvRbu02d33MYVlbsCnyTiZpefEBs9NNktAnT1HZvw/edit?usp=share_link"&amp;""",""สุรินทร์!N46"")+IMPORTRANGE(""https://docs.google.com/spreadsheets/d/1GVExpf-Exi_2gmuqTYH28fseTB9MoKPXWcXCbSt_YrM/edit?usp=share_link"",""หนองคาย!N46"")+IMPORTRANGE(""https://docs.google.com/spreadsheets/d/16UeMz0UgOB5BZcoxP75eYGcLFtGYRn9GoesD4OX9m5U"&amp;"/edit?usp=share_link"",""หนองบัวลำภู!N46"")+IMPORTRANGE(""https://docs.google.com/spreadsheets/d/1uUP8Zo1-qaJLuIkRU0qlwLSE3DHkbdrrj2JGJiWBQZE/edit?usp=share_link"",""อำนาจเจริญ!N46"")+IMPORTRANGE(""https://docs.google.com/spreadsheets/d/1hb_taSOHanzRjqfzW"&amp;"PiFo8yiT83VV1L7vvUCLhOiHKc/edit?usp=share_link"",""อุดรธานี!N46"")+IMPORTRANGE(""https://docs.google.com/spreadsheets/d/17IOkEwkUd63EGNfyNDnM5de9YlZ7rwzTiW6-dokVjKI/edit?usp=share_link"",""อุบลราชธานี!N46"")
"),15160247.06)</f>
        <v>15160247.060000001</v>
      </c>
      <c r="O46" s="45">
        <f ca="1">IF(M46&gt;0,N46*100/M46,0)</f>
        <v>100</v>
      </c>
      <c r="P46" s="45">
        <f t="shared" ca="1" si="35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fb2B9NLcpJgjIieIJvenUTNPn0TimZDUi0OtYeiSQ_s/edit?usp=share_link"",""กาฬสินธุ์!L49"")+IMPORTRANGE(""https://docs.google.com/spreadsheets/d/1SaMnqrwRGmFYNR0MhpWmHuL5niYUd5E7vDq8X7whAlI/edit?usp=share_lin"&amp;"k"",""ขอนแก่น!L49"")
+IMPORTRANGE(""https://docs.google.com/spreadsheets/d/1xQzEtGHhTTgxHh6YUkKY1P4dRyjVhS74dGswLfAASA4/edit?usp=share_link"",""ชัยภูมิ!L49"")+IMPORTRANGE(""https://docs.google.com/spreadsheets/d/1EXMBoBxU3OFbjT2TRpneM33qFjqDzrKmn9ydcflfI0"&amp;"o/edit?usp=share_link"",""นครพนม!L49"")+IMPORTRANGE(""https://docs.google.com/spreadsheets/d/1bDQrolntRWtHumK8W-x-HXKntwxB9S3sF5aDeRS66Ko/edit?usp=share_link"",""นครราชสีมา!L49"")+IMPORTRANGE(""https://docs.google.com/spreadsheets/d/1_MzZ-2gVPiCW-d2VcafoC"&amp;"mFJQTSrZ6SQyFcMqRRQQ2w/edit?usp=share_link"",""บึงกาฬ!L49"")
+IMPORTRANGE(""https://docs.google.com/spreadsheets/d/1B3lPpzOuaNwVItLwLEZYl_qEblfcx7dRnbRkAw0l-pE/edit?usp=share_link"",""บุรีรัมย์!L49"")+IMPORTRANGE(""https://docs.google.com/spreadsheets/d/1"&amp;"9GOkiOqnzYbevLYWrMk4qFOXe3rX14BkSA8X-mq-a40/edit?usp=share_link"",""มหาสารคาม!L49"")+IMPORTRANGE(""https://docs.google.com/spreadsheets/d/1uMKqWwuNQ-TCKboGA3Bb1qXb5uj2-faACNUINCz8PN4/edit?usp=share_link"",""มุกดาหาร!L49"")+IMPORTRANGE(""https://docs.googl"&amp;"e.com/spreadsheets/d/1oKaccgDdQABndOzGr688Dbfxb_V3YcF67VqEPBtdzsc/edit?usp=share_link"",""ยโสธร!L49"")+IMPORTRANGE(""https://docs.google.com/spreadsheets/d/1BRgc8xKpxZ0PX-gauieMVkV_IOxKSotf0yW8MabGprQ/edit?usp=share_link"",""ร้อยเอ็ด!L49"")+IMPORTRANGE("""&amp;"https://docs.google.com/spreadsheets/d/1IdolZc-dfdgMwAm_KZxYJl1sUOcIgnbGQzbWOlddedo/edit?usp=share_link"",""เลย!L49"")+IMPORTRANGE(""https://docs.google.com/spreadsheets/d/1tZ0nmtGuIRCaGAMXHlQU8EpR9LOAJvyKfc4f7EFmE34/edit?usp=share_link"",""ศรีสะเกษ!L49"""&amp;")+IMPORTRANGE(""https://docs.google.com/spreadsheets/d/1QC8psz9w0f9IVE9Xuc2FT_btkaOzZbbUSgYObpBuetM/edit?usp=share_link"",""สกลนคร!L49"")+IMPORTRANGE(""https://docs.google.com/spreadsheets/d/1wPdvRbu02d33MYVlbsCnyTiZpefEBs9NNktAnT1HZvw/edit?usp=share_link"&amp;""",""สุรินทร์!L49"")+IMPORTRANGE(""https://docs.google.com/spreadsheets/d/1GVExpf-Exi_2gmuqTYH28fseTB9MoKPXWcXCbSt_YrM/edit?usp=share_link"",""หนองคาย!L49"")+IMPORTRANGE(""https://docs.google.com/spreadsheets/d/16UeMz0UgOB5BZcoxP75eYGcLFtGYRn9GoesD4OX9m5U"&amp;"/edit?usp=share_link"",""หนองบัวลำภู!L49"")+IMPORTRANGE(""https://docs.google.com/spreadsheets/d/1uUP8Zo1-qaJLuIkRU0qlwLSE3DHkbdrrj2JGJiWBQZE/edit?usp=share_link"",""อำนาจเจริญ!L49"")+IMPORTRANGE(""https://docs.google.com/spreadsheets/d/1hb_taSOHanzRjqfzW"&amp;"PiFo8yiT83VV1L7vvUCLhOiHKc/edit?usp=share_link"",""อุดรธานี!L49"")+IMPORTRANGE(""https://docs.google.com/spreadsheets/d/17IOkEwkUd63EGNfyNDnM5de9YlZ7rwzTiW6-dokVjKI/edit?usp=share_link"",""อุบลราชธานี!L49"")
"),0)</f>
        <v>0</v>
      </c>
      <c r="M49" s="52">
        <f ca="1">IFERROR(__xludf.DUMMYFUNCTION("IMPORTRANGE(""https://docs.google.com/spreadsheets/d/1fb2B9NLcpJgjIieIJvenUTNPn0TimZDUi0OtYeiSQ_s/edit?usp=share_link"",""กาฬสินธุ์!M49"")+IMPORTRANGE(""https://docs.google.com/spreadsheets/d/1SaMnqrwRGmFYNR0MhpWmHuL5niYUd5E7vDq8X7whAlI/edit?usp=share_lin"&amp;"k"",""ขอนแก่น!M49"")
+IMPORTRANGE(""https://docs.google.com/spreadsheets/d/1xQzEtGHhTTgxHh6YUkKY1P4dRyjVhS74dGswLfAASA4/edit?usp=share_link"",""ชัยภูมิ!M49"")+IMPORTRANGE(""https://docs.google.com/spreadsheets/d/1EXMBoBxU3OFbjT2TRpneM33qFjqDzrKmn9ydcflfI0"&amp;"o/edit?usp=share_link"",""นครพนม!M49"")+IMPORTRANGE(""https://docs.google.com/spreadsheets/d/1bDQrolntRWtHumK8W-x-HXKntwxB9S3sF5aDeRS66Ko/edit?usp=share_link"",""นครราชสีมา!M49"")+IMPORTRANGE(""https://docs.google.com/spreadsheets/d/1_MzZ-2gVPiCW-d2VcafoC"&amp;"mFJQTSrZ6SQyFcMqRRQQ2w/edit?usp=share_link"",""บึงกาฬ!M49"")
+IMPORTRANGE(""https://docs.google.com/spreadsheets/d/1B3lPpzOuaNwVItLwLEZYl_qEblfcx7dRnbRkAw0l-pE/edit?usp=share_link"",""บุรีรัมย์!M49"")+IMPORTRANGE(""https://docs.google.com/spreadsheets/d/1"&amp;"9GOkiOqnzYbevLYWrMk4qFOXe3rX14BkSA8X-mq-a40/edit?usp=share_link"",""มหาสารคาม!M49"")+IMPORTRANGE(""https://docs.google.com/spreadsheets/d/1uMKqWwuNQ-TCKboGA3Bb1qXb5uj2-faACNUINCz8PN4/edit?usp=share_link"",""มุกดาหาร!M49"")+IMPORTRANGE(""https://docs.googl"&amp;"e.com/spreadsheets/d/1oKaccgDdQABndOzGr688Dbfxb_V3YcF67VqEPBtdzsc/edit?usp=share_link"",""ยโสธร!M49"")+IMPORTRANGE(""https://docs.google.com/spreadsheets/d/1BRgc8xKpxZ0PX-gauieMVkV_IOxKSotf0yW8MabGprQ/edit?usp=share_link"",""ร้อยเอ็ด!M49"")+IMPORTRANGE("""&amp;"https://docs.google.com/spreadsheets/d/1IdolZc-dfdgMwAm_KZxYJl1sUOcIgnbGQzbWOlddedo/edit?usp=share_link"",""เลย!M49"")+IMPORTRANGE(""https://docs.google.com/spreadsheets/d/1tZ0nmtGuIRCaGAMXHlQU8EpR9LOAJvyKfc4f7EFmE34/edit?usp=share_link"",""ศรีสะเกษ!M49"""&amp;")+IMPORTRANGE(""https://docs.google.com/spreadsheets/d/1QC8psz9w0f9IVE9Xuc2FT_btkaOzZbbUSgYObpBuetM/edit?usp=share_link"",""สกลนคร!M49"")+IMPORTRANGE(""https://docs.google.com/spreadsheets/d/1wPdvRbu02d33MYVlbsCnyTiZpefEBs9NNktAnT1HZvw/edit?usp=share_link"&amp;""",""สุรินทร์!M49"")+IMPORTRANGE(""https://docs.google.com/spreadsheets/d/1GVExpf-Exi_2gmuqTYH28fseTB9MoKPXWcXCbSt_YrM/edit?usp=share_link"",""หนองคาย!M49"")+IMPORTRANGE(""https://docs.google.com/spreadsheets/d/16UeMz0UgOB5BZcoxP75eYGcLFtGYRn9GoesD4OX9m5U"&amp;"/edit?usp=share_link"",""หนองบัวลำภู!M49"")+IMPORTRANGE(""https://docs.google.com/spreadsheets/d/1uUP8Zo1-qaJLuIkRU0qlwLSE3DHkbdrrj2JGJiWBQZE/edit?usp=share_link"",""อำนาจเจริญ!M49"")+IMPORTRANGE(""https://docs.google.com/spreadsheets/d/1hb_taSOHanzRjqfzW"&amp;"PiFo8yiT83VV1L7vvUCLhOiHKc/edit?usp=share_link"",""อุดรธานี!M49"")+IMPORTRANGE(""https://docs.google.com/spreadsheets/d/17IOkEwkUd63EGNfyNDnM5de9YlZ7rwzTiW6-dokVjKI/edit?usp=share_link"",""อุบลราชธานี!M49"")
"),0)</f>
        <v>0</v>
      </c>
      <c r="N49" s="52">
        <f ca="1">IFERROR(__xludf.DUMMYFUNCTION("IMPORTRANGE(""https://docs.google.com/spreadsheets/d/1fb2B9NLcpJgjIieIJvenUTNPn0TimZDUi0OtYeiSQ_s/edit?usp=share_link"",""กาฬสินธุ์!N49"")+IMPORTRANGE(""https://docs.google.com/spreadsheets/d/1SaMnqrwRGmFYNR0MhpWmHuL5niYUd5E7vDq8X7whAlI/edit?usp=share_lin"&amp;"k"",""ขอนแก่น!N49"")
+IMPORTRANGE(""https://docs.google.com/spreadsheets/d/1xQzEtGHhTTgxHh6YUkKY1P4dRyjVhS74dGswLfAASA4/edit?usp=share_link"",""ชัยภูมิ!N49"")+IMPORTRANGE(""https://docs.google.com/spreadsheets/d/1EXMBoBxU3OFbjT2TRpneM33qFjqDzrKmn9ydcflfI0"&amp;"o/edit?usp=share_link"",""นครพนม!N49"")+IMPORTRANGE(""https://docs.google.com/spreadsheets/d/1bDQrolntRWtHumK8W-x-HXKntwxB9S3sF5aDeRS66Ko/edit?usp=share_link"",""นครราชสีมา!N49"")+IMPORTRANGE(""https://docs.google.com/spreadsheets/d/1_MzZ-2gVPiCW-d2VcafoC"&amp;"mFJQTSrZ6SQyFcMqRRQQ2w/edit?usp=share_link"",""บึงกาฬ!N49"")
+IMPORTRANGE(""https://docs.google.com/spreadsheets/d/1B3lPpzOuaNwVItLwLEZYl_qEblfcx7dRnbRkAw0l-pE/edit?usp=share_link"",""บุรีรัมย์!N49"")+IMPORTRANGE(""https://docs.google.com/spreadsheets/d/1"&amp;"9GOkiOqnzYbevLYWrMk4qFOXe3rX14BkSA8X-mq-a40/edit?usp=share_link"",""มหาสารคาม!N49"")+IMPORTRANGE(""https://docs.google.com/spreadsheets/d/1uMKqWwuNQ-TCKboGA3Bb1qXb5uj2-faACNUINCz8PN4/edit?usp=share_link"",""มุกดาหาร!N49"")+IMPORTRANGE(""https://docs.googl"&amp;"e.com/spreadsheets/d/1oKaccgDdQABndOzGr688Dbfxb_V3YcF67VqEPBtdzsc/edit?usp=share_link"",""ยโสธร!N49"")+IMPORTRANGE(""https://docs.google.com/spreadsheets/d/1BRgc8xKpxZ0PX-gauieMVkV_IOxKSotf0yW8MabGprQ/edit?usp=share_link"",""ร้อยเอ็ด!N49"")+IMPORTRANGE("""&amp;"https://docs.google.com/spreadsheets/d/1IdolZc-dfdgMwAm_KZxYJl1sUOcIgnbGQzbWOlddedo/edit?usp=share_link"",""เลย!N49"")+IMPORTRANGE(""https://docs.google.com/spreadsheets/d/1tZ0nmtGuIRCaGAMXHlQU8EpR9LOAJvyKfc4f7EFmE34/edit?usp=share_link"",""ศรีสะเกษ!N49"""&amp;")+IMPORTRANGE(""https://docs.google.com/spreadsheets/d/1QC8psz9w0f9IVE9Xuc2FT_btkaOzZbbUSgYObpBuetM/edit?usp=share_link"",""สกลนคร!N49"")+IMPORTRANGE(""https://docs.google.com/spreadsheets/d/1wPdvRbu02d33MYVlbsCnyTiZpefEBs9NNktAnT1HZvw/edit?usp=share_link"&amp;""",""สุรินทร์!N49"")+IMPORTRANGE(""https://docs.google.com/spreadsheets/d/1GVExpf-Exi_2gmuqTYH28fseTB9MoKPXWcXCbSt_YrM/edit?usp=share_link"",""หนองคาย!N49"")+IMPORTRANGE(""https://docs.google.com/spreadsheets/d/16UeMz0UgOB5BZcoxP75eYGcLFtGYRn9GoesD4OX9m5U"&amp;"/edit?usp=share_link"",""หนองบัวลำภู!N49"")+IMPORTRANGE(""https://docs.google.com/spreadsheets/d/1uUP8Zo1-qaJLuIkRU0qlwLSE3DHkbdrrj2JGJiWBQZE/edit?usp=share_link"",""อำนาจเจริญ!N49"")+IMPORTRANGE(""https://docs.google.com/spreadsheets/d/1hb_taSOHanzRjqfzW"&amp;"PiFo8yiT83VV1L7vvUCLhOiHKc/edit?usp=share_link"",""อุดรธานี!N49"")+IMPORTRANGE(""https://docs.google.com/spreadsheets/d/17IOkEwkUd63EGNfyNDnM5de9YlZ7rwzTiW6-dokVjKI/edit?usp=share_link"",""อุบลราชธานี!N49"")
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25006100</v>
      </c>
      <c r="M53" s="116">
        <f t="shared" ca="1" si="41"/>
        <v>25746690.359999999</v>
      </c>
      <c r="N53" s="116">
        <f t="shared" ca="1" si="41"/>
        <v>26184621.379999999</v>
      </c>
      <c r="O53" s="116">
        <f t="shared" ref="O53:O61" ca="1" si="42">IF(L53&gt;0,N53*100/L53,0)</f>
        <v>104.71293556372245</v>
      </c>
      <c r="P53" s="116">
        <f t="shared" ref="P53:P61" ca="1" si="43">IF(M53&gt;0,N53*100/M53,0)</f>
        <v>101.70092160925029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25006100</v>
      </c>
      <c r="M55" s="123">
        <f t="shared" ca="1" si="45"/>
        <v>25746690.359999999</v>
      </c>
      <c r="N55" s="123">
        <f t="shared" ca="1" si="45"/>
        <v>26184621.379999999</v>
      </c>
      <c r="O55" s="123">
        <f t="shared" ca="1" si="42"/>
        <v>104.71293556372245</v>
      </c>
      <c r="P55" s="123">
        <f t="shared" ca="1" si="43"/>
        <v>101.70092160925029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15935100</v>
      </c>
      <c r="M56" s="38">
        <f t="shared" ca="1" si="46"/>
        <v>17965413.550000001</v>
      </c>
      <c r="N56" s="38">
        <f t="shared" ca="1" si="46"/>
        <v>17964414.57</v>
      </c>
      <c r="O56" s="38">
        <f t="shared" ca="1" si="42"/>
        <v>112.73487188658999</v>
      </c>
      <c r="P56" s="38">
        <f t="shared" ca="1" si="43"/>
        <v>99.994439426639303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fb2B9NLcpJgjIieIJvenUTNPn0TimZDUi0OtYeiSQ_s/edit?usp=share_link"",""กาฬสินธุ์!L58"")+IMPORTRANGE(""https://docs.google.com/spreadsheets/d/1SaMnqrwRGmFYNR0MhpWmHuL5niYUd5E7vDq8X7whAlI/edit?usp=share_lin"&amp;"k"",""ขอนแก่น!L58"")
+IMPORTRANGE(""https://docs.google.com/spreadsheets/d/1xQzEtGHhTTgxHh6YUkKY1P4dRyjVhS74dGswLfAASA4/edit?usp=share_link"",""ชัยภูมิ!L58"")+IMPORTRANGE(""https://docs.google.com/spreadsheets/d/1EXMBoBxU3OFbjT2TRpneM33qFjqDzrKmn9ydcflfI0"&amp;"o/edit?usp=share_link"",""นครพนม!L58"")+IMPORTRANGE(""https://docs.google.com/spreadsheets/d/1bDQrolntRWtHumK8W-x-HXKntwxB9S3sF5aDeRS66Ko/edit?usp=share_link"",""นครราชสีมา!L58"")+IMPORTRANGE(""https://docs.google.com/spreadsheets/d/1_MzZ-2gVPiCW-d2VcafoC"&amp;"mFJQTSrZ6SQyFcMqRRQQ2w/edit?usp=share_link"",""บึงกาฬ!L58"")
+IMPORTRANGE(""https://docs.google.com/spreadsheets/d/1B3lPpzOuaNwVItLwLEZYl_qEblfcx7dRnbRkAw0l-pE/edit?usp=share_link"",""บุรีรัมย์!L58"")+IMPORTRANGE(""https://docs.google.com/spreadsheets/d/1"&amp;"9GOkiOqnzYbevLYWrMk4qFOXe3rX14BkSA8X-mq-a40/edit?usp=share_link"",""มหาสารคาม!L58"")+IMPORTRANGE(""https://docs.google.com/spreadsheets/d/1uMKqWwuNQ-TCKboGA3Bb1qXb5uj2-faACNUINCz8PN4/edit?usp=share_link"",""มุกดาหาร!L58"")+IMPORTRANGE(""https://docs.googl"&amp;"e.com/spreadsheets/d/1oKaccgDdQABndOzGr688Dbfxb_V3YcF67VqEPBtdzsc/edit?usp=share_link"",""ยโสธร!L58"")+IMPORTRANGE(""https://docs.google.com/spreadsheets/d/1BRgc8xKpxZ0PX-gauieMVkV_IOxKSotf0yW8MabGprQ/edit?usp=share_link"",""ร้อยเอ็ด!L58"")+IMPORTRANGE("""&amp;"https://docs.google.com/spreadsheets/d/1IdolZc-dfdgMwAm_KZxYJl1sUOcIgnbGQzbWOlddedo/edit?usp=share_link"",""เลย!L58"")+IMPORTRANGE(""https://docs.google.com/spreadsheets/d/1tZ0nmtGuIRCaGAMXHlQU8EpR9LOAJvyKfc4f7EFmE34/edit?usp=share_link"",""ศรีสะเกษ!L58"""&amp;")+IMPORTRANGE(""https://docs.google.com/spreadsheets/d/1QC8psz9w0f9IVE9Xuc2FT_btkaOzZbbUSgYObpBuetM/edit?usp=share_link"",""สกลนคร!L58"")+IMPORTRANGE(""https://docs.google.com/spreadsheets/d/1wPdvRbu02d33MYVlbsCnyTiZpefEBs9NNktAnT1HZvw/edit?usp=share_link"&amp;""",""สุรินทร์!L58"")+IMPORTRANGE(""https://docs.google.com/spreadsheets/d/1GVExpf-Exi_2gmuqTYH28fseTB9MoKPXWcXCbSt_YrM/edit?usp=share_link"",""หนองคาย!L58"")+IMPORTRANGE(""https://docs.google.com/spreadsheets/d/16UeMz0UgOB5BZcoxP75eYGcLFtGYRn9GoesD4OX9m5U"&amp;"/edit?usp=share_link"",""หนองบัวลำภู!L58"")+IMPORTRANGE(""https://docs.google.com/spreadsheets/d/1uUP8Zo1-qaJLuIkRU0qlwLSE3DHkbdrrj2JGJiWBQZE/edit?usp=share_link"",""อำนาจเจริญ!L58"")+IMPORTRANGE(""https://docs.google.com/spreadsheets/d/1hb_taSOHanzRjqfzW"&amp;"PiFo8yiT83VV1L7vvUCLhOiHKc/edit?usp=share_link"",""อุดรธานี!L58"")+IMPORTRANGE(""https://docs.google.com/spreadsheets/d/17IOkEwkUd63EGNfyNDnM5de9YlZ7rwzTiW6-dokVjKI/edit?usp=share_link"",""อุบลราชธานี!L58"")
"),15935100)</f>
        <v>15935100</v>
      </c>
      <c r="M58" s="45">
        <f ca="1">IFERROR(__xludf.DUMMYFUNCTION("IMPORTRANGE(""https://docs.google.com/spreadsheets/d/1fb2B9NLcpJgjIieIJvenUTNPn0TimZDUi0OtYeiSQ_s/edit?usp=share_link"",""กาฬสินธุ์!M58"")+IMPORTRANGE(""https://docs.google.com/spreadsheets/d/1SaMnqrwRGmFYNR0MhpWmHuL5niYUd5E7vDq8X7whAlI/edit?usp=share_lin"&amp;"k"",""ขอนแก่น!M58"")
+IMPORTRANGE(""https://docs.google.com/spreadsheets/d/1xQzEtGHhTTgxHh6YUkKY1P4dRyjVhS74dGswLfAASA4/edit?usp=share_link"",""ชัยภูมิ!M58"")+IMPORTRANGE(""https://docs.google.com/spreadsheets/d/1EXMBoBxU3OFbjT2TRpneM33qFjqDzrKmn9ydcflfI0"&amp;"o/edit?usp=share_link"",""นครพนม!M58"")+IMPORTRANGE(""https://docs.google.com/spreadsheets/d/1bDQrolntRWtHumK8W-x-HXKntwxB9S3sF5aDeRS66Ko/edit?usp=share_link"",""นครราชสีมา!M58"")+IMPORTRANGE(""https://docs.google.com/spreadsheets/d/1_MzZ-2gVPiCW-d2VcafoC"&amp;"mFJQTSrZ6SQyFcMqRRQQ2w/edit?usp=share_link"",""บึงกาฬ!M58"")
+IMPORTRANGE(""https://docs.google.com/spreadsheets/d/1B3lPpzOuaNwVItLwLEZYl_qEblfcx7dRnbRkAw0l-pE/edit?usp=share_link"",""บุรีรัมย์!M58"")+IMPORTRANGE(""https://docs.google.com/spreadsheets/d/1"&amp;"9GOkiOqnzYbevLYWrMk4qFOXe3rX14BkSA8X-mq-a40/edit?usp=share_link"",""มหาสารคาม!M58"")+IMPORTRANGE(""https://docs.google.com/spreadsheets/d/1uMKqWwuNQ-TCKboGA3Bb1qXb5uj2-faACNUINCz8PN4/edit?usp=share_link"",""มุกดาหาร!M58"")+IMPORTRANGE(""https://docs.googl"&amp;"e.com/spreadsheets/d/1oKaccgDdQABndOzGr688Dbfxb_V3YcF67VqEPBtdzsc/edit?usp=share_link"",""ยโสธร!M58"")+IMPORTRANGE(""https://docs.google.com/spreadsheets/d/1BRgc8xKpxZ0PX-gauieMVkV_IOxKSotf0yW8MabGprQ/edit?usp=share_link"",""ร้อยเอ็ด!M58"")+IMPORTRANGE("""&amp;"https://docs.google.com/spreadsheets/d/1IdolZc-dfdgMwAm_KZxYJl1sUOcIgnbGQzbWOlddedo/edit?usp=share_link"",""เลย!M58"")+IMPORTRANGE(""https://docs.google.com/spreadsheets/d/1tZ0nmtGuIRCaGAMXHlQU8EpR9LOAJvyKfc4f7EFmE34/edit?usp=share_link"",""ศรีสะเกษ!M58"""&amp;")+IMPORTRANGE(""https://docs.google.com/spreadsheets/d/1QC8psz9w0f9IVE9Xuc2FT_btkaOzZbbUSgYObpBuetM/edit?usp=share_link"",""สกลนคร!M58"")+IMPORTRANGE(""https://docs.google.com/spreadsheets/d/1wPdvRbu02d33MYVlbsCnyTiZpefEBs9NNktAnT1HZvw/edit?usp=share_link"&amp;""",""สุรินทร์!M58"")+IMPORTRANGE(""https://docs.google.com/spreadsheets/d/1GVExpf-Exi_2gmuqTYH28fseTB9MoKPXWcXCbSt_YrM/edit?usp=share_link"",""หนองคาย!M58"")+IMPORTRANGE(""https://docs.google.com/spreadsheets/d/16UeMz0UgOB5BZcoxP75eYGcLFtGYRn9GoesD4OX9m5U"&amp;"/edit?usp=share_link"",""หนองบัวลำภู!M58"")+IMPORTRANGE(""https://docs.google.com/spreadsheets/d/1uUP8Zo1-qaJLuIkRU0qlwLSE3DHkbdrrj2JGJiWBQZE/edit?usp=share_link"",""อำนาจเจริญ!M58"")+IMPORTRANGE(""https://docs.google.com/spreadsheets/d/1hb_taSOHanzRjqfzW"&amp;"PiFo8yiT83VV1L7vvUCLhOiHKc/edit?usp=share_link"",""อุดรธานี!M58"")+IMPORTRANGE(""https://docs.google.com/spreadsheets/d/17IOkEwkUd63EGNfyNDnM5de9YlZ7rwzTiW6-dokVjKI/edit?usp=share_link"",""อุบลราชธานี!M58"")
"),17965413.55)</f>
        <v>17965413.550000001</v>
      </c>
      <c r="N58" s="45">
        <f ca="1">IFERROR(__xludf.DUMMYFUNCTION("IMPORTRANGE(""https://docs.google.com/spreadsheets/d/1fb2B9NLcpJgjIieIJvenUTNPn0TimZDUi0OtYeiSQ_s/edit?usp=share_link"",""กาฬสินธุ์!N58"")+IMPORTRANGE(""https://docs.google.com/spreadsheets/d/1SaMnqrwRGmFYNR0MhpWmHuL5niYUd5E7vDq8X7whAlI/edit?usp=share_lin"&amp;"k"",""ขอนแก่น!N58"")
+IMPORTRANGE(""https://docs.google.com/spreadsheets/d/1xQzEtGHhTTgxHh6YUkKY1P4dRyjVhS74dGswLfAASA4/edit?usp=share_link"",""ชัยภูมิ!N58"")+IMPORTRANGE(""https://docs.google.com/spreadsheets/d/1EXMBoBxU3OFbjT2TRpneM33qFjqDzrKmn9ydcflfI0"&amp;"o/edit?usp=share_link"",""นครพนม!N58"")+IMPORTRANGE(""https://docs.google.com/spreadsheets/d/1bDQrolntRWtHumK8W-x-HXKntwxB9S3sF5aDeRS66Ko/edit?usp=share_link"",""นครราชสีมา!N58"")+IMPORTRANGE(""https://docs.google.com/spreadsheets/d/1_MzZ-2gVPiCW-d2VcafoC"&amp;"mFJQTSrZ6SQyFcMqRRQQ2w/edit?usp=share_link"",""บึงกาฬ!N58"")
+IMPORTRANGE(""https://docs.google.com/spreadsheets/d/1B3lPpzOuaNwVItLwLEZYl_qEblfcx7dRnbRkAw0l-pE/edit?usp=share_link"",""บุรีรัมย์!N58"")+IMPORTRANGE(""https://docs.google.com/spreadsheets/d/1"&amp;"9GOkiOqnzYbevLYWrMk4qFOXe3rX14BkSA8X-mq-a40/edit?usp=share_link"",""มหาสารคาม!N58"")+IMPORTRANGE(""https://docs.google.com/spreadsheets/d/1uMKqWwuNQ-TCKboGA3Bb1qXb5uj2-faACNUINCz8PN4/edit?usp=share_link"",""มุกดาหาร!N58"")+IMPORTRANGE(""https://docs.googl"&amp;"e.com/spreadsheets/d/1oKaccgDdQABndOzGr688Dbfxb_V3YcF67VqEPBtdzsc/edit?usp=share_link"",""ยโสธร!N58"")+IMPORTRANGE(""https://docs.google.com/spreadsheets/d/1BRgc8xKpxZ0PX-gauieMVkV_IOxKSotf0yW8MabGprQ/edit?usp=share_link"",""ร้อยเอ็ด!N58"")+IMPORTRANGE("""&amp;"https://docs.google.com/spreadsheets/d/1IdolZc-dfdgMwAm_KZxYJl1sUOcIgnbGQzbWOlddedo/edit?usp=share_link"",""เลย!N58"")+IMPORTRANGE(""https://docs.google.com/spreadsheets/d/1tZ0nmtGuIRCaGAMXHlQU8EpR9LOAJvyKfc4f7EFmE34/edit?usp=share_link"",""ศรีสะเกษ!N58"""&amp;")+IMPORTRANGE(""https://docs.google.com/spreadsheets/d/1QC8psz9w0f9IVE9Xuc2FT_btkaOzZbbUSgYObpBuetM/edit?usp=share_link"",""สกลนคร!N58"")+IMPORTRANGE(""https://docs.google.com/spreadsheets/d/1wPdvRbu02d33MYVlbsCnyTiZpefEBs9NNktAnT1HZvw/edit?usp=share_link"&amp;""",""สุรินทร์!N58"")+IMPORTRANGE(""https://docs.google.com/spreadsheets/d/1GVExpf-Exi_2gmuqTYH28fseTB9MoKPXWcXCbSt_YrM/edit?usp=share_link"",""หนองคาย!N58"")+IMPORTRANGE(""https://docs.google.com/spreadsheets/d/16UeMz0UgOB5BZcoxP75eYGcLFtGYRn9GoesD4OX9m5U"&amp;"/edit?usp=share_link"",""หนองบัวลำภู!N58"")+IMPORTRANGE(""https://docs.google.com/spreadsheets/d/1uUP8Zo1-qaJLuIkRU0qlwLSE3DHkbdrrj2JGJiWBQZE/edit?usp=share_link"",""อำนาจเจริญ!N58"")+IMPORTRANGE(""https://docs.google.com/spreadsheets/d/1hb_taSOHanzRjqfzW"&amp;"PiFo8yiT83VV1L7vvUCLhOiHKc/edit?usp=share_link"",""อุดรธานี!N58"")+IMPORTRANGE(""https://docs.google.com/spreadsheets/d/17IOkEwkUd63EGNfyNDnM5de9YlZ7rwzTiW6-dokVjKI/edit?usp=share_link"",""อุบลราชธานี!N58"")
"),17964414.57)</f>
        <v>17964414.57</v>
      </c>
      <c r="O58" s="45">
        <f t="shared" ca="1" si="42"/>
        <v>112.73487188658999</v>
      </c>
      <c r="P58" s="45">
        <f t="shared" ca="1" si="43"/>
        <v>99.994439426639303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9071000</v>
      </c>
      <c r="M59" s="38">
        <f t="shared" ca="1" si="47"/>
        <v>7781276.8099999996</v>
      </c>
      <c r="N59" s="38">
        <f t="shared" ca="1" si="47"/>
        <v>8220206.8099999996</v>
      </c>
      <c r="O59" s="38">
        <f t="shared" ca="1" si="42"/>
        <v>90.620734318156764</v>
      </c>
      <c r="P59" s="38">
        <f t="shared" ca="1" si="43"/>
        <v>105.64084803455283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fb2B9NLcpJgjIieIJvenUTNPn0TimZDUi0OtYeiSQ_s/edit?usp=share_link"",""กาฬสินธุ์!L61"")+IMPORTRANGE(""https://docs.google.com/spreadsheets/d/1SaMnqrwRGmFYNR0MhpWmHuL5niYUd5E7vDq8X7whAlI/edit?usp=share_lin"&amp;"k"",""ขอนแก่น!L61"")
+IMPORTRANGE(""https://docs.google.com/spreadsheets/d/1xQzEtGHhTTgxHh6YUkKY1P4dRyjVhS74dGswLfAASA4/edit?usp=share_link"",""ชัยภูมิ!L61"")+IMPORTRANGE(""https://docs.google.com/spreadsheets/d/1EXMBoBxU3OFbjT2TRpneM33qFjqDzrKmn9ydcflfI0"&amp;"o/edit?usp=share_link"",""นครพนม!L61"")+IMPORTRANGE(""https://docs.google.com/spreadsheets/d/1bDQrolntRWtHumK8W-x-HXKntwxB9S3sF5aDeRS66Ko/edit?usp=share_link"",""นครราชสีมา!L61"")+IMPORTRANGE(""https://docs.google.com/spreadsheets/d/1_MzZ-2gVPiCW-d2VcafoC"&amp;"mFJQTSrZ6SQyFcMqRRQQ2w/edit?usp=share_link"",""บึงกาฬ!L61"")
+IMPORTRANGE(""https://docs.google.com/spreadsheets/d/1B3lPpzOuaNwVItLwLEZYl_qEblfcx7dRnbRkAw0l-pE/edit?usp=share_link"",""บุรีรัมย์!L61"")+IMPORTRANGE(""https://docs.google.com/spreadsheets/d/1"&amp;"9GOkiOqnzYbevLYWrMk4qFOXe3rX14BkSA8X-mq-a40/edit?usp=share_link"",""มหาสารคาม!L61"")+IMPORTRANGE(""https://docs.google.com/spreadsheets/d/1uMKqWwuNQ-TCKboGA3Bb1qXb5uj2-faACNUINCz8PN4/edit?usp=share_link"",""มุกดาหาร!L61"")+IMPORTRANGE(""https://docs.googl"&amp;"e.com/spreadsheets/d/1oKaccgDdQABndOzGr688Dbfxb_V3YcF67VqEPBtdzsc/edit?usp=share_link"",""ยโสธร!L61"")+IMPORTRANGE(""https://docs.google.com/spreadsheets/d/1BRgc8xKpxZ0PX-gauieMVkV_IOxKSotf0yW8MabGprQ/edit?usp=share_link"",""ร้อยเอ็ด!L61"")+IMPORTRANGE("""&amp;"https://docs.google.com/spreadsheets/d/1IdolZc-dfdgMwAm_KZxYJl1sUOcIgnbGQzbWOlddedo/edit?usp=share_link"",""เลย!L61"")+IMPORTRANGE(""https://docs.google.com/spreadsheets/d/1tZ0nmtGuIRCaGAMXHlQU8EpR9LOAJvyKfc4f7EFmE34/edit?usp=share_link"",""ศรีสะเกษ!L61"""&amp;")+IMPORTRANGE(""https://docs.google.com/spreadsheets/d/1QC8psz9w0f9IVE9Xuc2FT_btkaOzZbbUSgYObpBuetM/edit?usp=share_link"",""สกลนคร!L61"")+IMPORTRANGE(""https://docs.google.com/spreadsheets/d/1wPdvRbu02d33MYVlbsCnyTiZpefEBs9NNktAnT1HZvw/edit?usp=share_link"&amp;""",""สุรินทร์!L61"")+IMPORTRANGE(""https://docs.google.com/spreadsheets/d/1GVExpf-Exi_2gmuqTYH28fseTB9MoKPXWcXCbSt_YrM/edit?usp=share_link"",""หนองคาย!L61"")+IMPORTRANGE(""https://docs.google.com/spreadsheets/d/16UeMz0UgOB5BZcoxP75eYGcLFtGYRn9GoesD4OX9m5U"&amp;"/edit?usp=share_link"",""หนองบัวลำภู!L61"")+IMPORTRANGE(""https://docs.google.com/spreadsheets/d/1uUP8Zo1-qaJLuIkRU0qlwLSE3DHkbdrrj2JGJiWBQZE/edit?usp=share_link"",""อำนาจเจริญ!L61"")+IMPORTRANGE(""https://docs.google.com/spreadsheets/d/1hb_taSOHanzRjqfzW"&amp;"PiFo8yiT83VV1L7vvUCLhOiHKc/edit?usp=share_link"",""อุดรธานี!L61"")+IMPORTRANGE(""https://docs.google.com/spreadsheets/d/17IOkEwkUd63EGNfyNDnM5de9YlZ7rwzTiW6-dokVjKI/edit?usp=share_link"",""อุบลราชธานี!L61"")
"),9071000)</f>
        <v>9071000</v>
      </c>
      <c r="M61" s="52">
        <f ca="1">IFERROR(__xludf.DUMMYFUNCTION("IMPORTRANGE(""https://docs.google.com/spreadsheets/d/1fb2B9NLcpJgjIieIJvenUTNPn0TimZDUi0OtYeiSQ_s/edit?usp=share_link"",""กาฬสินธุ์!M61"")+IMPORTRANGE(""https://docs.google.com/spreadsheets/d/1SaMnqrwRGmFYNR0MhpWmHuL5niYUd5E7vDq8X7whAlI/edit?usp=share_lin"&amp;"k"",""ขอนแก่น!M61"")
+IMPORTRANGE(""https://docs.google.com/spreadsheets/d/1xQzEtGHhTTgxHh6YUkKY1P4dRyjVhS74dGswLfAASA4/edit?usp=share_link"",""ชัยภูมิ!M61"")+IMPORTRANGE(""https://docs.google.com/spreadsheets/d/1EXMBoBxU3OFbjT2TRpneM33qFjqDzrKmn9ydcflfI0"&amp;"o/edit?usp=share_link"",""นครพนม!M61"")+IMPORTRANGE(""https://docs.google.com/spreadsheets/d/1bDQrolntRWtHumK8W-x-HXKntwxB9S3sF5aDeRS66Ko/edit?usp=share_link"",""นครราชสีมา!M61"")+IMPORTRANGE(""https://docs.google.com/spreadsheets/d/1_MzZ-2gVPiCW-d2VcafoC"&amp;"mFJQTSrZ6SQyFcMqRRQQ2w/edit?usp=share_link"",""บึงกาฬ!M61"")
+IMPORTRANGE(""https://docs.google.com/spreadsheets/d/1B3lPpzOuaNwVItLwLEZYl_qEblfcx7dRnbRkAw0l-pE/edit?usp=share_link"",""บุรีรัมย์!M61"")+IMPORTRANGE(""https://docs.google.com/spreadsheets/d/1"&amp;"9GOkiOqnzYbevLYWrMk4qFOXe3rX14BkSA8X-mq-a40/edit?usp=share_link"",""มหาสารคาม!M61"")+IMPORTRANGE(""https://docs.google.com/spreadsheets/d/1uMKqWwuNQ-TCKboGA3Bb1qXb5uj2-faACNUINCz8PN4/edit?usp=share_link"",""มุกดาหาร!M61"")+IMPORTRANGE(""https://docs.googl"&amp;"e.com/spreadsheets/d/1oKaccgDdQABndOzGr688Dbfxb_V3YcF67VqEPBtdzsc/edit?usp=share_link"",""ยโสธร!M61"")+IMPORTRANGE(""https://docs.google.com/spreadsheets/d/1BRgc8xKpxZ0PX-gauieMVkV_IOxKSotf0yW8MabGprQ/edit?usp=share_link"",""ร้อยเอ็ด!M61"")+IMPORTRANGE("""&amp;"https://docs.google.com/spreadsheets/d/1IdolZc-dfdgMwAm_KZxYJl1sUOcIgnbGQzbWOlddedo/edit?usp=share_link"",""เลย!M61"")+IMPORTRANGE(""https://docs.google.com/spreadsheets/d/1tZ0nmtGuIRCaGAMXHlQU8EpR9LOAJvyKfc4f7EFmE34/edit?usp=share_link"",""ศรีสะเกษ!M61"""&amp;")+IMPORTRANGE(""https://docs.google.com/spreadsheets/d/1QC8psz9w0f9IVE9Xuc2FT_btkaOzZbbUSgYObpBuetM/edit?usp=share_link"",""สกลนคร!M61"")+IMPORTRANGE(""https://docs.google.com/spreadsheets/d/1wPdvRbu02d33MYVlbsCnyTiZpefEBs9NNktAnT1HZvw/edit?usp=share_link"&amp;""",""สุรินทร์!M61"")+IMPORTRANGE(""https://docs.google.com/spreadsheets/d/1GVExpf-Exi_2gmuqTYH28fseTB9MoKPXWcXCbSt_YrM/edit?usp=share_link"",""หนองคาย!M61"")+IMPORTRANGE(""https://docs.google.com/spreadsheets/d/16UeMz0UgOB5BZcoxP75eYGcLFtGYRn9GoesD4OX9m5U"&amp;"/edit?usp=share_link"",""หนองบัวลำภู!M61"")+IMPORTRANGE(""https://docs.google.com/spreadsheets/d/1uUP8Zo1-qaJLuIkRU0qlwLSE3DHkbdrrj2JGJiWBQZE/edit?usp=share_link"",""อำนาจเจริญ!M61"")+IMPORTRANGE(""https://docs.google.com/spreadsheets/d/1hb_taSOHanzRjqfzW"&amp;"PiFo8yiT83VV1L7vvUCLhOiHKc/edit?usp=share_link"",""อุดรธานี!M61"")+IMPORTRANGE(""https://docs.google.com/spreadsheets/d/17IOkEwkUd63EGNfyNDnM5de9YlZ7rwzTiW6-dokVjKI/edit?usp=share_link"",""อุบลราชธานี!M61"")
"),7781276.81)</f>
        <v>7781276.8099999996</v>
      </c>
      <c r="N61" s="52">
        <f ca="1">IFERROR(__xludf.DUMMYFUNCTION("IMPORTRANGE(""https://docs.google.com/spreadsheets/d/1fb2B9NLcpJgjIieIJvenUTNPn0TimZDUi0OtYeiSQ_s/edit?usp=share_link"",""กาฬสินธุ์!N61"")+IMPORTRANGE(""https://docs.google.com/spreadsheets/d/1SaMnqrwRGmFYNR0MhpWmHuL5niYUd5E7vDq8X7whAlI/edit?usp=share_lin"&amp;"k"",""ขอนแก่น!N61"")
+IMPORTRANGE(""https://docs.google.com/spreadsheets/d/1xQzEtGHhTTgxHh6YUkKY1P4dRyjVhS74dGswLfAASA4/edit?usp=share_link"",""ชัยภูมิ!N61"")+IMPORTRANGE(""https://docs.google.com/spreadsheets/d/1EXMBoBxU3OFbjT2TRpneM33qFjqDzrKmn9ydcflfI0"&amp;"o/edit?usp=share_link"",""นครพนม!N61"")+IMPORTRANGE(""https://docs.google.com/spreadsheets/d/1bDQrolntRWtHumK8W-x-HXKntwxB9S3sF5aDeRS66Ko/edit?usp=share_link"",""นครราชสีมา!N61"")+IMPORTRANGE(""https://docs.google.com/spreadsheets/d/1_MzZ-2gVPiCW-d2VcafoC"&amp;"mFJQTSrZ6SQyFcMqRRQQ2w/edit?usp=share_link"",""บึงกาฬ!N61"")
+IMPORTRANGE(""https://docs.google.com/spreadsheets/d/1B3lPpzOuaNwVItLwLEZYl_qEblfcx7dRnbRkAw0l-pE/edit?usp=share_link"",""บุรีรัมย์!N61"")+IMPORTRANGE(""https://docs.google.com/spreadsheets/d/1"&amp;"9GOkiOqnzYbevLYWrMk4qFOXe3rX14BkSA8X-mq-a40/edit?usp=share_link"",""มหาสารคาม!N61"")+IMPORTRANGE(""https://docs.google.com/spreadsheets/d/1uMKqWwuNQ-TCKboGA3Bb1qXb5uj2-faACNUINCz8PN4/edit?usp=share_link"",""มุกดาหาร!N61"")+IMPORTRANGE(""https://docs.googl"&amp;"e.com/spreadsheets/d/1oKaccgDdQABndOzGr688Dbfxb_V3YcF67VqEPBtdzsc/edit?usp=share_link"",""ยโสธร!N61"")+IMPORTRANGE(""https://docs.google.com/spreadsheets/d/1BRgc8xKpxZ0PX-gauieMVkV_IOxKSotf0yW8MabGprQ/edit?usp=share_link"",""ร้อยเอ็ด!N61"")+IMPORTRANGE("""&amp;"https://docs.google.com/spreadsheets/d/1IdolZc-dfdgMwAm_KZxYJl1sUOcIgnbGQzbWOlddedo/edit?usp=share_link"",""เลย!N61"")+IMPORTRANGE(""https://docs.google.com/spreadsheets/d/1tZ0nmtGuIRCaGAMXHlQU8EpR9LOAJvyKfc4f7EFmE34/edit?usp=share_link"",""ศรีสะเกษ!N61"""&amp;")+IMPORTRANGE(""https://docs.google.com/spreadsheets/d/1QC8psz9w0f9IVE9Xuc2FT_btkaOzZbbUSgYObpBuetM/edit?usp=share_link"",""สกลนคร!N61"")+IMPORTRANGE(""https://docs.google.com/spreadsheets/d/1wPdvRbu02d33MYVlbsCnyTiZpefEBs9NNktAnT1HZvw/edit?usp=share_link"&amp;""",""สุรินทร์!N61"")+IMPORTRANGE(""https://docs.google.com/spreadsheets/d/1GVExpf-Exi_2gmuqTYH28fseTB9MoKPXWcXCbSt_YrM/edit?usp=share_link"",""หนองคาย!N61"")+IMPORTRANGE(""https://docs.google.com/spreadsheets/d/16UeMz0UgOB5BZcoxP75eYGcLFtGYRn9GoesD4OX9m5U"&amp;"/edit?usp=share_link"",""หนองบัวลำภู!N61"")+IMPORTRANGE(""https://docs.google.com/spreadsheets/d/1uUP8Zo1-qaJLuIkRU0qlwLSE3DHkbdrrj2JGJiWBQZE/edit?usp=share_link"",""อำนาจเจริญ!N61"")+IMPORTRANGE(""https://docs.google.com/spreadsheets/d/1hb_taSOHanzRjqfzW"&amp;"PiFo8yiT83VV1L7vvUCLhOiHKc/edit?usp=share_link"",""อุดรธานี!N61"")+IMPORTRANGE(""https://docs.google.com/spreadsheets/d/17IOkEwkUd63EGNfyNDnM5de9YlZ7rwzTiW6-dokVjKI/edit?usp=share_link"",""อุบลราชธานี!N61"")
"),8220206.81)</f>
        <v>8220206.8099999996</v>
      </c>
      <c r="O61" s="52">
        <f t="shared" ca="1" si="42"/>
        <v>90.620734318156764</v>
      </c>
      <c r="P61" s="52">
        <f t="shared" ca="1" si="43"/>
        <v>105.64084803455283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17</v>
      </c>
      <c r="J64" s="144">
        <f t="shared" ca="1" si="48"/>
        <v>17</v>
      </c>
      <c r="K64" s="145">
        <f t="shared" ref="K64:K65" ca="1" si="49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760</v>
      </c>
      <c r="J65" s="144">
        <f t="shared" ca="1" si="50"/>
        <v>760</v>
      </c>
      <c r="K65" s="145">
        <f t="shared" ca="1" si="49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12933000</v>
      </c>
      <c r="M66" s="155">
        <f t="shared" ca="1" si="51"/>
        <v>13225570</v>
      </c>
      <c r="N66" s="155">
        <f t="shared" ca="1" si="51"/>
        <v>13225569.98</v>
      </c>
      <c r="O66" s="155">
        <f t="shared" ref="O66:O74" ca="1" si="52">IF(L66&gt;0,N66*100/L66,0)</f>
        <v>102.26219732467332</v>
      </c>
      <c r="P66" s="155">
        <f t="shared" ref="P66:P74" ca="1" si="53">IF(M66&gt;0,N66*100/M66,0)</f>
        <v>99.99999984877779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12933000</v>
      </c>
      <c r="M68" s="45">
        <f t="shared" ca="1" si="55"/>
        <v>13225570</v>
      </c>
      <c r="N68" s="45">
        <f t="shared" ca="1" si="55"/>
        <v>13225569.98</v>
      </c>
      <c r="O68" s="45">
        <f t="shared" ca="1" si="52"/>
        <v>102.26219732467332</v>
      </c>
      <c r="P68" s="45">
        <f t="shared" ca="1" si="53"/>
        <v>99.99999984877779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12933000</v>
      </c>
      <c r="M69" s="38">
        <f t="shared" ca="1" si="56"/>
        <v>13225570</v>
      </c>
      <c r="N69" s="38">
        <f t="shared" ca="1" si="56"/>
        <v>13225569.98</v>
      </c>
      <c r="O69" s="38">
        <f t="shared" ca="1" si="52"/>
        <v>102.26219732467332</v>
      </c>
      <c r="P69" s="38">
        <f t="shared" ca="1" si="53"/>
        <v>99.99999984877779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fb2B9NLcpJgjIieIJvenUTNPn0TimZDUi0OtYeiSQ_s/edit?usp=share_link"",""กาฬสินธุ์!L71"")+IMPORTRANGE(""https://docs.google.com/spreadsheets/d/1SaMnqrwRGmFYNR0MhpWmHuL5niYUd5E7vDq8X7whAlI/edit?usp=share_lin"&amp;"k"",""ขอนแก่น!L71"")
+IMPORTRANGE(""https://docs.google.com/spreadsheets/d/1xQzEtGHhTTgxHh6YUkKY1P4dRyjVhS74dGswLfAASA4/edit?usp=share_link"",""ชัยภูมิ!L71"")+IMPORTRANGE(""https://docs.google.com/spreadsheets/d/1EXMBoBxU3OFbjT2TRpneM33qFjqDzrKmn9ydcflfI0"&amp;"o/edit?usp=share_link"",""นครพนม!L71"")+IMPORTRANGE(""https://docs.google.com/spreadsheets/d/1bDQrolntRWtHumK8W-x-HXKntwxB9S3sF5aDeRS66Ko/edit?usp=share_link"",""นครราชสีมา!L71"")+IMPORTRANGE(""https://docs.google.com/spreadsheets/d/1_MzZ-2gVPiCW-d2VcafoC"&amp;"mFJQTSrZ6SQyFcMqRRQQ2w/edit?usp=share_link"",""บึงกาฬ!L71"")
+IMPORTRANGE(""https://docs.google.com/spreadsheets/d/1B3lPpzOuaNwVItLwLEZYl_qEblfcx7dRnbRkAw0l-pE/edit?usp=share_link"",""บุรีรัมย์!L71"")+IMPORTRANGE(""https://docs.google.com/spreadsheets/d/1"&amp;"9GOkiOqnzYbevLYWrMk4qFOXe3rX14BkSA8X-mq-a40/edit?usp=share_link"",""มหาสารคาม!L71"")+IMPORTRANGE(""https://docs.google.com/spreadsheets/d/1uMKqWwuNQ-TCKboGA3Bb1qXb5uj2-faACNUINCz8PN4/edit?usp=share_link"",""มุกดาหาร!L71"")+IMPORTRANGE(""https://docs.googl"&amp;"e.com/spreadsheets/d/1oKaccgDdQABndOzGr688Dbfxb_V3YcF67VqEPBtdzsc/edit?usp=share_link"",""ยโสธร!L71"")+IMPORTRANGE(""https://docs.google.com/spreadsheets/d/1BRgc8xKpxZ0PX-gauieMVkV_IOxKSotf0yW8MabGprQ/edit?usp=share_link"",""ร้อยเอ็ด!L71"")+IMPORTRANGE("""&amp;"https://docs.google.com/spreadsheets/d/1IdolZc-dfdgMwAm_KZxYJl1sUOcIgnbGQzbWOlddedo/edit?usp=share_link"",""เลย!L71"")+IMPORTRANGE(""https://docs.google.com/spreadsheets/d/1tZ0nmtGuIRCaGAMXHlQU8EpR9LOAJvyKfc4f7EFmE34/edit?usp=share_link"",""ศรีสะเกษ!L71"""&amp;")+IMPORTRANGE(""https://docs.google.com/spreadsheets/d/1QC8psz9w0f9IVE9Xuc2FT_btkaOzZbbUSgYObpBuetM/edit?usp=share_link"",""สกลนคร!L71"")+IMPORTRANGE(""https://docs.google.com/spreadsheets/d/1wPdvRbu02d33MYVlbsCnyTiZpefEBs9NNktAnT1HZvw/edit?usp=share_link"&amp;""",""สุรินทร์!L71"")+IMPORTRANGE(""https://docs.google.com/spreadsheets/d/1GVExpf-Exi_2gmuqTYH28fseTB9MoKPXWcXCbSt_YrM/edit?usp=share_link"",""หนองคาย!L71"")+IMPORTRANGE(""https://docs.google.com/spreadsheets/d/16UeMz0UgOB5BZcoxP75eYGcLFtGYRn9GoesD4OX9m5U"&amp;"/edit?usp=share_link"",""หนองบัวลำภู!L71"")+IMPORTRANGE(""https://docs.google.com/spreadsheets/d/1uUP8Zo1-qaJLuIkRU0qlwLSE3DHkbdrrj2JGJiWBQZE/edit?usp=share_link"",""อำนาจเจริญ!L71"")+IMPORTRANGE(""https://docs.google.com/spreadsheets/d/1hb_taSOHanzRjqfzW"&amp;"PiFo8yiT83VV1L7vvUCLhOiHKc/edit?usp=share_link"",""อุดรธานี!L71"")+IMPORTRANGE(""https://docs.google.com/spreadsheets/d/17IOkEwkUd63EGNfyNDnM5de9YlZ7rwzTiW6-dokVjKI/edit?usp=share_link"",""อุบลราชธานี!L71"")
"),12933000)</f>
        <v>12933000</v>
      </c>
      <c r="M71" s="45">
        <f ca="1">IFERROR(__xludf.DUMMYFUNCTION("IMPORTRANGE(""https://docs.google.com/spreadsheets/d/1fb2B9NLcpJgjIieIJvenUTNPn0TimZDUi0OtYeiSQ_s/edit?usp=share_link"",""กาฬสินธุ์!M71"")+IMPORTRANGE(""https://docs.google.com/spreadsheets/d/1SaMnqrwRGmFYNR0MhpWmHuL5niYUd5E7vDq8X7whAlI/edit?usp=share_lin"&amp;"k"",""ขอนแก่น!M71"")
+IMPORTRANGE(""https://docs.google.com/spreadsheets/d/1xQzEtGHhTTgxHh6YUkKY1P4dRyjVhS74dGswLfAASA4/edit?usp=share_link"",""ชัยภูมิ!M71"")+IMPORTRANGE(""https://docs.google.com/spreadsheets/d/1EXMBoBxU3OFbjT2TRpneM33qFjqDzrKmn9ydcflfI0"&amp;"o/edit?usp=share_link"",""นครพนม!M71"")+IMPORTRANGE(""https://docs.google.com/spreadsheets/d/1bDQrolntRWtHumK8W-x-HXKntwxB9S3sF5aDeRS66Ko/edit?usp=share_link"",""นครราชสีมา!M71"")+IMPORTRANGE(""https://docs.google.com/spreadsheets/d/1_MzZ-2gVPiCW-d2VcafoC"&amp;"mFJQTSrZ6SQyFcMqRRQQ2w/edit?usp=share_link"",""บึงกาฬ!M71"")
+IMPORTRANGE(""https://docs.google.com/spreadsheets/d/1B3lPpzOuaNwVItLwLEZYl_qEblfcx7dRnbRkAw0l-pE/edit?usp=share_link"",""บุรีรัมย์!M71"")+IMPORTRANGE(""https://docs.google.com/spreadsheets/d/1"&amp;"9GOkiOqnzYbevLYWrMk4qFOXe3rX14BkSA8X-mq-a40/edit?usp=share_link"",""มหาสารคาม!M71"")+IMPORTRANGE(""https://docs.google.com/spreadsheets/d/1uMKqWwuNQ-TCKboGA3Bb1qXb5uj2-faACNUINCz8PN4/edit?usp=share_link"",""มุกดาหาร!M71"")+IMPORTRANGE(""https://docs.googl"&amp;"e.com/spreadsheets/d/1oKaccgDdQABndOzGr688Dbfxb_V3YcF67VqEPBtdzsc/edit?usp=share_link"",""ยโสธร!M71"")+IMPORTRANGE(""https://docs.google.com/spreadsheets/d/1BRgc8xKpxZ0PX-gauieMVkV_IOxKSotf0yW8MabGprQ/edit?usp=share_link"",""ร้อยเอ็ด!M71"")+IMPORTRANGE("""&amp;"https://docs.google.com/spreadsheets/d/1IdolZc-dfdgMwAm_KZxYJl1sUOcIgnbGQzbWOlddedo/edit?usp=share_link"",""เลย!M71"")+IMPORTRANGE(""https://docs.google.com/spreadsheets/d/1tZ0nmtGuIRCaGAMXHlQU8EpR9LOAJvyKfc4f7EFmE34/edit?usp=share_link"",""ศรีสะเกษ!M71"""&amp;")+IMPORTRANGE(""https://docs.google.com/spreadsheets/d/1QC8psz9w0f9IVE9Xuc2FT_btkaOzZbbUSgYObpBuetM/edit?usp=share_link"",""สกลนคร!M71"")+IMPORTRANGE(""https://docs.google.com/spreadsheets/d/1wPdvRbu02d33MYVlbsCnyTiZpefEBs9NNktAnT1HZvw/edit?usp=share_link"&amp;""",""สุรินทร์!M71"")+IMPORTRANGE(""https://docs.google.com/spreadsheets/d/1GVExpf-Exi_2gmuqTYH28fseTB9MoKPXWcXCbSt_YrM/edit?usp=share_link"",""หนองคาย!M71"")+IMPORTRANGE(""https://docs.google.com/spreadsheets/d/16UeMz0UgOB5BZcoxP75eYGcLFtGYRn9GoesD4OX9m5U"&amp;"/edit?usp=share_link"",""หนองบัวลำภู!M71"")+IMPORTRANGE(""https://docs.google.com/spreadsheets/d/1uUP8Zo1-qaJLuIkRU0qlwLSE3DHkbdrrj2JGJiWBQZE/edit?usp=share_link"",""อำนาจเจริญ!M71"")+IMPORTRANGE(""https://docs.google.com/spreadsheets/d/1hb_taSOHanzRjqfzW"&amp;"PiFo8yiT83VV1L7vvUCLhOiHKc/edit?usp=share_link"",""อุดรธานี!M71"")+IMPORTRANGE(""https://docs.google.com/spreadsheets/d/17IOkEwkUd63EGNfyNDnM5de9YlZ7rwzTiW6-dokVjKI/edit?usp=share_link"",""อุบลราชธานี!M71"")
"),13225570)</f>
        <v>13225570</v>
      </c>
      <c r="N71" s="45">
        <f ca="1">IFERROR(__xludf.DUMMYFUNCTION("IMPORTRANGE(""https://docs.google.com/spreadsheets/d/1fb2B9NLcpJgjIieIJvenUTNPn0TimZDUi0OtYeiSQ_s/edit?usp=share_link"",""กาฬสินธุ์!N71"")+IMPORTRANGE(""https://docs.google.com/spreadsheets/d/1SaMnqrwRGmFYNR0MhpWmHuL5niYUd5E7vDq8X7whAlI/edit?usp=share_lin"&amp;"k"",""ขอนแก่น!N71"")
+IMPORTRANGE(""https://docs.google.com/spreadsheets/d/1xQzEtGHhTTgxHh6YUkKY1P4dRyjVhS74dGswLfAASA4/edit?usp=share_link"",""ชัยภูมิ!N71"")+IMPORTRANGE(""https://docs.google.com/spreadsheets/d/1EXMBoBxU3OFbjT2TRpneM33qFjqDzrKmn9ydcflfI0"&amp;"o/edit?usp=share_link"",""นครพนม!N71"")+IMPORTRANGE(""https://docs.google.com/spreadsheets/d/1bDQrolntRWtHumK8W-x-HXKntwxB9S3sF5aDeRS66Ko/edit?usp=share_link"",""นครราชสีมา!N71"")+IMPORTRANGE(""https://docs.google.com/spreadsheets/d/1_MzZ-2gVPiCW-d2VcafoC"&amp;"mFJQTSrZ6SQyFcMqRRQQ2w/edit?usp=share_link"",""บึงกาฬ!N71"")
+IMPORTRANGE(""https://docs.google.com/spreadsheets/d/1B3lPpzOuaNwVItLwLEZYl_qEblfcx7dRnbRkAw0l-pE/edit?usp=share_link"",""บุรีรัมย์!N71"")+IMPORTRANGE(""https://docs.google.com/spreadsheets/d/1"&amp;"9GOkiOqnzYbevLYWrMk4qFOXe3rX14BkSA8X-mq-a40/edit?usp=share_link"",""มหาสารคาม!N71"")+IMPORTRANGE(""https://docs.google.com/spreadsheets/d/1uMKqWwuNQ-TCKboGA3Bb1qXb5uj2-faACNUINCz8PN4/edit?usp=share_link"",""มุกดาหาร!N71"")+IMPORTRANGE(""https://docs.googl"&amp;"e.com/spreadsheets/d/1oKaccgDdQABndOzGr688Dbfxb_V3YcF67VqEPBtdzsc/edit?usp=share_link"",""ยโสธร!N71"")+IMPORTRANGE(""https://docs.google.com/spreadsheets/d/1BRgc8xKpxZ0PX-gauieMVkV_IOxKSotf0yW8MabGprQ/edit?usp=share_link"",""ร้อยเอ็ด!N71"")+IMPORTRANGE("""&amp;"https://docs.google.com/spreadsheets/d/1IdolZc-dfdgMwAm_KZxYJl1sUOcIgnbGQzbWOlddedo/edit?usp=share_link"",""เลย!N71"")+IMPORTRANGE(""https://docs.google.com/spreadsheets/d/1tZ0nmtGuIRCaGAMXHlQU8EpR9LOAJvyKfc4f7EFmE34/edit?usp=share_link"",""ศรีสะเกษ!N71"""&amp;")+IMPORTRANGE(""https://docs.google.com/spreadsheets/d/1QC8psz9w0f9IVE9Xuc2FT_btkaOzZbbUSgYObpBuetM/edit?usp=share_link"",""สกลนคร!N71"")+IMPORTRANGE(""https://docs.google.com/spreadsheets/d/1wPdvRbu02d33MYVlbsCnyTiZpefEBs9NNktAnT1HZvw/edit?usp=share_link"&amp;""",""สุรินทร์!N71"")+IMPORTRANGE(""https://docs.google.com/spreadsheets/d/1GVExpf-Exi_2gmuqTYH28fseTB9MoKPXWcXCbSt_YrM/edit?usp=share_link"",""หนองคาย!N71"")+IMPORTRANGE(""https://docs.google.com/spreadsheets/d/16UeMz0UgOB5BZcoxP75eYGcLFtGYRn9GoesD4OX9m5U"&amp;"/edit?usp=share_link"",""หนองบัวลำภู!N71"")+IMPORTRANGE(""https://docs.google.com/spreadsheets/d/1uUP8Zo1-qaJLuIkRU0qlwLSE3DHkbdrrj2JGJiWBQZE/edit?usp=share_link"",""อำนาจเจริญ!N71"")+IMPORTRANGE(""https://docs.google.com/spreadsheets/d/1hb_taSOHanzRjqfzW"&amp;"PiFo8yiT83VV1L7vvUCLhOiHKc/edit?usp=share_link"",""อุดรธานี!N71"")+IMPORTRANGE(""https://docs.google.com/spreadsheets/d/17IOkEwkUd63EGNfyNDnM5de9YlZ7rwzTiW6-dokVjKI/edit?usp=share_link"",""อุบลราชธานี!N71"")
"),13225569.98)</f>
        <v>13225569.98</v>
      </c>
      <c r="O71" s="45">
        <f t="shared" ca="1" si="52"/>
        <v>102.26219732467332</v>
      </c>
      <c r="P71" s="45">
        <f t="shared" ca="1" si="53"/>
        <v>99.99999984877779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fb2B9NLcpJgjIieIJvenUTNPn0TimZDUi0OtYeiSQ_s/edit?usp=share_link"",""กาฬสินธุ์!L74"")+IMPORTRANGE(""https://docs.google.com/spreadsheets/d/1SaMnqrwRGmFYNR0MhpWmHuL5niYUd5E7vDq8X7whAlI/edit?usp=share_lin"&amp;"k"",""ขอนแก่น!L74"")
+IMPORTRANGE(""https://docs.google.com/spreadsheets/d/1xQzEtGHhTTgxHh6YUkKY1P4dRyjVhS74dGswLfAASA4/edit?usp=share_link"",""ชัยภูมิ!L74"")+IMPORTRANGE(""https://docs.google.com/spreadsheets/d/1EXMBoBxU3OFbjT2TRpneM33qFjqDzrKmn9ydcflfI0"&amp;"o/edit?usp=share_link"",""นครพนม!L74"")+IMPORTRANGE(""https://docs.google.com/spreadsheets/d/1bDQrolntRWtHumK8W-x-HXKntwxB9S3sF5aDeRS66Ko/edit?usp=share_link"",""นครราชสีมา!L74"")+IMPORTRANGE(""https://docs.google.com/spreadsheets/d/1_MzZ-2gVPiCW-d2VcafoC"&amp;"mFJQTSrZ6SQyFcMqRRQQ2w/edit?usp=share_link"",""บึงกาฬ!L74"")
+IMPORTRANGE(""https://docs.google.com/spreadsheets/d/1B3lPpzOuaNwVItLwLEZYl_qEblfcx7dRnbRkAw0l-pE/edit?usp=share_link"",""บุรีรัมย์!L74"")+IMPORTRANGE(""https://docs.google.com/spreadsheets/d/1"&amp;"9GOkiOqnzYbevLYWrMk4qFOXe3rX14BkSA8X-mq-a40/edit?usp=share_link"",""มหาสารคาม!L74"")+IMPORTRANGE(""https://docs.google.com/spreadsheets/d/1uMKqWwuNQ-TCKboGA3Bb1qXb5uj2-faACNUINCz8PN4/edit?usp=share_link"",""มุกดาหาร!L74"")+IMPORTRANGE(""https://docs.googl"&amp;"e.com/spreadsheets/d/1oKaccgDdQABndOzGr688Dbfxb_V3YcF67VqEPBtdzsc/edit?usp=share_link"",""ยโสธร!L74"")+IMPORTRANGE(""https://docs.google.com/spreadsheets/d/1BRgc8xKpxZ0PX-gauieMVkV_IOxKSotf0yW8MabGprQ/edit?usp=share_link"",""ร้อยเอ็ด!L74"")+IMPORTRANGE("""&amp;"https://docs.google.com/spreadsheets/d/1IdolZc-dfdgMwAm_KZxYJl1sUOcIgnbGQzbWOlddedo/edit?usp=share_link"",""เลย!L74"")+IMPORTRANGE(""https://docs.google.com/spreadsheets/d/1tZ0nmtGuIRCaGAMXHlQU8EpR9LOAJvyKfc4f7EFmE34/edit?usp=share_link"",""ศรีสะเกษ!L74"""&amp;")+IMPORTRANGE(""https://docs.google.com/spreadsheets/d/1QC8psz9w0f9IVE9Xuc2FT_btkaOzZbbUSgYObpBuetM/edit?usp=share_link"",""สกลนคร!L74"")+IMPORTRANGE(""https://docs.google.com/spreadsheets/d/1wPdvRbu02d33MYVlbsCnyTiZpefEBs9NNktAnT1HZvw/edit?usp=share_link"&amp;""",""สุรินทร์!L74"")+IMPORTRANGE(""https://docs.google.com/spreadsheets/d/1GVExpf-Exi_2gmuqTYH28fseTB9MoKPXWcXCbSt_YrM/edit?usp=share_link"",""หนองคาย!L74"")+IMPORTRANGE(""https://docs.google.com/spreadsheets/d/16UeMz0UgOB5BZcoxP75eYGcLFtGYRn9GoesD4OX9m5U"&amp;"/edit?usp=share_link"",""หนองบัวลำภู!L74"")+IMPORTRANGE(""https://docs.google.com/spreadsheets/d/1uUP8Zo1-qaJLuIkRU0qlwLSE3DHkbdrrj2JGJiWBQZE/edit?usp=share_link"",""อำนาจเจริญ!L74"")+IMPORTRANGE(""https://docs.google.com/spreadsheets/d/1hb_taSOHanzRjqfzW"&amp;"PiFo8yiT83VV1L7vvUCLhOiHKc/edit?usp=share_link"",""อุดรธานี!L74"")+IMPORTRANGE(""https://docs.google.com/spreadsheets/d/17IOkEwkUd63EGNfyNDnM5de9YlZ7rwzTiW6-dokVjKI/edit?usp=share_link"",""อุบลราชธานี!L74"")
"),0)</f>
        <v>0</v>
      </c>
      <c r="M74" s="45">
        <f ca="1">IFERROR(__xludf.DUMMYFUNCTION("IMPORTRANGE(""https://docs.google.com/spreadsheets/d/1fb2B9NLcpJgjIieIJvenUTNPn0TimZDUi0OtYeiSQ_s/edit?usp=share_link"",""กาฬสินธุ์!M74"")+IMPORTRANGE(""https://docs.google.com/spreadsheets/d/1SaMnqrwRGmFYNR0MhpWmHuL5niYUd5E7vDq8X7whAlI/edit?usp=share_lin"&amp;"k"",""ขอนแก่น!M74"")
+IMPORTRANGE(""https://docs.google.com/spreadsheets/d/1xQzEtGHhTTgxHh6YUkKY1P4dRyjVhS74dGswLfAASA4/edit?usp=share_link"",""ชัยภูมิ!M74"")+IMPORTRANGE(""https://docs.google.com/spreadsheets/d/1EXMBoBxU3OFbjT2TRpneM33qFjqDzrKmn9ydcflfI0"&amp;"o/edit?usp=share_link"",""นครพนม!M74"")+IMPORTRANGE(""https://docs.google.com/spreadsheets/d/1bDQrolntRWtHumK8W-x-HXKntwxB9S3sF5aDeRS66Ko/edit?usp=share_link"",""นครราชสีมา!M74"")+IMPORTRANGE(""https://docs.google.com/spreadsheets/d/1_MzZ-2gVPiCW-d2VcafoC"&amp;"mFJQTSrZ6SQyFcMqRRQQ2w/edit?usp=share_link"",""บึงกาฬ!M74"")
+IMPORTRANGE(""https://docs.google.com/spreadsheets/d/1B3lPpzOuaNwVItLwLEZYl_qEblfcx7dRnbRkAw0l-pE/edit?usp=share_link"",""บุรีรัมย์!M74"")+IMPORTRANGE(""https://docs.google.com/spreadsheets/d/1"&amp;"9GOkiOqnzYbevLYWrMk4qFOXe3rX14BkSA8X-mq-a40/edit?usp=share_link"",""มหาสารคาม!M74"")+IMPORTRANGE(""https://docs.google.com/spreadsheets/d/1uMKqWwuNQ-TCKboGA3Bb1qXb5uj2-faACNUINCz8PN4/edit?usp=share_link"",""มุกดาหาร!M74"")+IMPORTRANGE(""https://docs.googl"&amp;"e.com/spreadsheets/d/1oKaccgDdQABndOzGr688Dbfxb_V3YcF67VqEPBtdzsc/edit?usp=share_link"",""ยโสธร!M74"")+IMPORTRANGE(""https://docs.google.com/spreadsheets/d/1BRgc8xKpxZ0PX-gauieMVkV_IOxKSotf0yW8MabGprQ/edit?usp=share_link"",""ร้อยเอ็ด!M74"")+IMPORTRANGE("""&amp;"https://docs.google.com/spreadsheets/d/1IdolZc-dfdgMwAm_KZxYJl1sUOcIgnbGQzbWOlddedo/edit?usp=share_link"",""เลย!M74"")+IMPORTRANGE(""https://docs.google.com/spreadsheets/d/1tZ0nmtGuIRCaGAMXHlQU8EpR9LOAJvyKfc4f7EFmE34/edit?usp=share_link"",""ศรีสะเกษ!M74"""&amp;")+IMPORTRANGE(""https://docs.google.com/spreadsheets/d/1QC8psz9w0f9IVE9Xuc2FT_btkaOzZbbUSgYObpBuetM/edit?usp=share_link"",""สกลนคร!M74"")+IMPORTRANGE(""https://docs.google.com/spreadsheets/d/1wPdvRbu02d33MYVlbsCnyTiZpefEBs9NNktAnT1HZvw/edit?usp=share_link"&amp;""",""สุรินทร์!M74"")+IMPORTRANGE(""https://docs.google.com/spreadsheets/d/1GVExpf-Exi_2gmuqTYH28fseTB9MoKPXWcXCbSt_YrM/edit?usp=share_link"",""หนองคาย!M74"")+IMPORTRANGE(""https://docs.google.com/spreadsheets/d/16UeMz0UgOB5BZcoxP75eYGcLFtGYRn9GoesD4OX9m5U"&amp;"/edit?usp=share_link"",""หนองบัวลำภู!M74"")+IMPORTRANGE(""https://docs.google.com/spreadsheets/d/1uUP8Zo1-qaJLuIkRU0qlwLSE3DHkbdrrj2JGJiWBQZE/edit?usp=share_link"",""อำนาจเจริญ!M74"")+IMPORTRANGE(""https://docs.google.com/spreadsheets/d/1hb_taSOHanzRjqfzW"&amp;"PiFo8yiT83VV1L7vvUCLhOiHKc/edit?usp=share_link"",""อุดรธานี!M74"")+IMPORTRANGE(""https://docs.google.com/spreadsheets/d/17IOkEwkUd63EGNfyNDnM5de9YlZ7rwzTiW6-dokVjKI/edit?usp=share_link"",""อุบลราชธานี!M74"")
"),0)</f>
        <v>0</v>
      </c>
      <c r="N74" s="45">
        <f ca="1">IFERROR(__xludf.DUMMYFUNCTION("IMPORTRANGE(""https://docs.google.com/spreadsheets/d/1fb2B9NLcpJgjIieIJvenUTNPn0TimZDUi0OtYeiSQ_s/edit?usp=share_link"",""กาฬสินธุ์!N74"")+IMPORTRANGE(""https://docs.google.com/spreadsheets/d/1SaMnqrwRGmFYNR0MhpWmHuL5niYUd5E7vDq8X7whAlI/edit?usp=share_lin"&amp;"k"",""ขอนแก่น!N74"")
+IMPORTRANGE(""https://docs.google.com/spreadsheets/d/1xQzEtGHhTTgxHh6YUkKY1P4dRyjVhS74dGswLfAASA4/edit?usp=share_link"",""ชัยภูมิ!N74"")+IMPORTRANGE(""https://docs.google.com/spreadsheets/d/1EXMBoBxU3OFbjT2TRpneM33qFjqDzrKmn9ydcflfI0"&amp;"o/edit?usp=share_link"",""นครพนม!N74"")+IMPORTRANGE(""https://docs.google.com/spreadsheets/d/1bDQrolntRWtHumK8W-x-HXKntwxB9S3sF5aDeRS66Ko/edit?usp=share_link"",""นครราชสีมา!N74"")+IMPORTRANGE(""https://docs.google.com/spreadsheets/d/1_MzZ-2gVPiCW-d2VcafoC"&amp;"mFJQTSrZ6SQyFcMqRRQQ2w/edit?usp=share_link"",""บึงกาฬ!N74"")
+IMPORTRANGE(""https://docs.google.com/spreadsheets/d/1B3lPpzOuaNwVItLwLEZYl_qEblfcx7dRnbRkAw0l-pE/edit?usp=share_link"",""บุรีรัมย์!N74"")+IMPORTRANGE(""https://docs.google.com/spreadsheets/d/1"&amp;"9GOkiOqnzYbevLYWrMk4qFOXe3rX14BkSA8X-mq-a40/edit?usp=share_link"",""มหาสารคาม!N74"")+IMPORTRANGE(""https://docs.google.com/spreadsheets/d/1uMKqWwuNQ-TCKboGA3Bb1qXb5uj2-faACNUINCz8PN4/edit?usp=share_link"",""มุกดาหาร!N74"")+IMPORTRANGE(""https://docs.googl"&amp;"e.com/spreadsheets/d/1oKaccgDdQABndOzGr688Dbfxb_V3YcF67VqEPBtdzsc/edit?usp=share_link"",""ยโสธร!N74"")+IMPORTRANGE(""https://docs.google.com/spreadsheets/d/1BRgc8xKpxZ0PX-gauieMVkV_IOxKSotf0yW8MabGprQ/edit?usp=share_link"",""ร้อยเอ็ด!N74"")+IMPORTRANGE("""&amp;"https://docs.google.com/spreadsheets/d/1IdolZc-dfdgMwAm_KZxYJl1sUOcIgnbGQzbWOlddedo/edit?usp=share_link"",""เลย!N74"")+IMPORTRANGE(""https://docs.google.com/spreadsheets/d/1tZ0nmtGuIRCaGAMXHlQU8EpR9LOAJvyKfc4f7EFmE34/edit?usp=share_link"",""ศรีสะเกษ!N74"""&amp;")+IMPORTRANGE(""https://docs.google.com/spreadsheets/d/1QC8psz9w0f9IVE9Xuc2FT_btkaOzZbbUSgYObpBuetM/edit?usp=share_link"",""สกลนคร!N74"")+IMPORTRANGE(""https://docs.google.com/spreadsheets/d/1wPdvRbu02d33MYVlbsCnyTiZpefEBs9NNktAnT1HZvw/edit?usp=share_link"&amp;""",""สุรินทร์!N74"")+IMPORTRANGE(""https://docs.google.com/spreadsheets/d/1GVExpf-Exi_2gmuqTYH28fseTB9MoKPXWcXCbSt_YrM/edit?usp=share_link"",""หนองคาย!N74"")+IMPORTRANGE(""https://docs.google.com/spreadsheets/d/16UeMz0UgOB5BZcoxP75eYGcLFtGYRn9GoesD4OX9m5U"&amp;"/edit?usp=share_link"",""หนองบัวลำภู!N74"")+IMPORTRANGE(""https://docs.google.com/spreadsheets/d/1uUP8Zo1-qaJLuIkRU0qlwLSE3DHkbdrrj2JGJiWBQZE/edit?usp=share_link"",""อำนาจเจริญ!N74"")+IMPORTRANGE(""https://docs.google.com/spreadsheets/d/1hb_taSOHanzRjqfzW"&amp;"PiFo8yiT83VV1L7vvUCLhOiHKc/edit?usp=share_link"",""อุดรธานี!N74"")+IMPORTRANGE(""https://docs.google.com/spreadsheets/d/17IOkEwkUd63EGNfyNDnM5de9YlZ7rwzTiW6-dokVjKI/edit?usp=share_link"",""อุบลราชธานี!N74"")
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17</v>
      </c>
      <c r="J76" s="37">
        <f t="shared" ca="1" si="58"/>
        <v>17</v>
      </c>
      <c r="K76" s="163">
        <f t="shared" ref="K76:K84" ca="1" si="59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760</v>
      </c>
      <c r="J77" s="37">
        <f t="shared" ca="1" si="60"/>
        <v>760</v>
      </c>
      <c r="K77" s="163">
        <f t="shared" ca="1" si="59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fb2B9NLcpJgjIieIJvenUTNPn0TimZDUi0OtYeiSQ_s/edit?usp=share_link"",""กาฬสินธุ์!I78"")+IMPORTRANGE(""https://docs.google.com/spreadsheets/d/1SaMnqrwRGmFYNR0MhpWmHuL5niYUd5E7vDq8X7whAlI/edit?usp=share_lin"&amp;"k"",""ขอนแก่น!I78"")
+IMPORTRANGE(""https://docs.google.com/spreadsheets/d/1xQzEtGHhTTgxHh6YUkKY1P4dRyjVhS74dGswLfAASA4/edit?usp=share_link"",""ชัยภูมิ!I78"")+IMPORTRANGE(""https://docs.google.com/spreadsheets/d/1EXMBoBxU3OFbjT2TRpneM33qFjqDzrKmn9ydcflfI0"&amp;"o/edit?usp=share_link"",""นครพนม!I78"")+IMPORTRANGE(""https://docs.google.com/spreadsheets/d/1bDQrolntRWtHumK8W-x-HXKntwxB9S3sF5aDeRS66Ko/edit?usp=share_link"",""นครราชสีมา!I78"")+IMPORTRANGE(""https://docs.google.com/spreadsheets/d/1_MzZ-2gVPiCW-d2VcafoC"&amp;"mFJQTSrZ6SQyFcMqRRQQ2w/edit?usp=share_link"",""บึงกาฬ!I78"")
+IMPORTRANGE(""https://docs.google.com/spreadsheets/d/1B3lPpzOuaNwVItLwLEZYl_qEblfcx7dRnbRkAw0l-pE/edit?usp=share_link"",""บุรีรัมย์!I78"")+IMPORTRANGE(""https://docs.google.com/spreadsheets/d/1"&amp;"9GOkiOqnzYbevLYWrMk4qFOXe3rX14BkSA8X-mq-a40/edit?usp=share_link"",""มหาสารคาม!I78"")+IMPORTRANGE(""https://docs.google.com/spreadsheets/d/1uMKqWwuNQ-TCKboGA3Bb1qXb5uj2-faACNUINCz8PN4/edit?usp=share_link"",""มุกดาหาร!I78"")+IMPORTRANGE(""https://docs.googl"&amp;"e.com/spreadsheets/d/1oKaccgDdQABndOzGr688Dbfxb_V3YcF67VqEPBtdzsc/edit?usp=share_link"",""ยโสธร!I78"")+IMPORTRANGE(""https://docs.google.com/spreadsheets/d/1BRgc8xKpxZ0PX-gauieMVkV_IOxKSotf0yW8MabGprQ/edit?usp=share_link"",""ร้อยเอ็ด!I78"")+IMPORTRANGE("""&amp;"https://docs.google.com/spreadsheets/d/1IdolZc-dfdgMwAm_KZxYJl1sUOcIgnbGQzbWOlddedo/edit?usp=share_link"",""เลย!I78"")+IMPORTRANGE(""https://docs.google.com/spreadsheets/d/1tZ0nmtGuIRCaGAMXHlQU8EpR9LOAJvyKfc4f7EFmE34/edit?usp=share_link"",""ศรีสะเกษ!I78"""&amp;")+IMPORTRANGE(""https://docs.google.com/spreadsheets/d/1QC8psz9w0f9IVE9Xuc2FT_btkaOzZbbUSgYObpBuetM/edit?usp=share_link"",""สกลนคร!I78"")+IMPORTRANGE(""https://docs.google.com/spreadsheets/d/1wPdvRbu02d33MYVlbsCnyTiZpefEBs9NNktAnT1HZvw/edit?usp=share_link"&amp;""",""สุรินทร์!I78"")+IMPORTRANGE(""https://docs.google.com/spreadsheets/d/1GVExpf-Exi_2gmuqTYH28fseTB9MoKPXWcXCbSt_YrM/edit?usp=share_link"",""หนองคาย!I78"")+IMPORTRANGE(""https://docs.google.com/spreadsheets/d/16UeMz0UgOB5BZcoxP75eYGcLFtGYRn9GoesD4OX9m5U"&amp;"/edit?usp=share_link"",""หนองบัวลำภู!I78"")+IMPORTRANGE(""https://docs.google.com/spreadsheets/d/1uUP8Zo1-qaJLuIkRU0qlwLSE3DHkbdrrj2JGJiWBQZE/edit?usp=share_link"",""อำนาจเจริญ!I78"")+IMPORTRANGE(""https://docs.google.com/spreadsheets/d/1hb_taSOHanzRjqfzW"&amp;"PiFo8yiT83VV1L7vvUCLhOiHKc/edit?usp=share_link"",""อุดรธานี!I78"")+IMPORTRANGE(""https://docs.google.com/spreadsheets/d/17IOkEwkUd63EGNfyNDnM5de9YlZ7rwzTiW6-dokVjKI/edit?usp=share_link"",""อุบลราชธานี!I78"")
"),3)</f>
        <v>3</v>
      </c>
      <c r="J78" s="183">
        <f ca="1">IFERROR(__xludf.DUMMYFUNCTION("IMPORTRANGE(""https://docs.google.com/spreadsheets/d/1fb2B9NLcpJgjIieIJvenUTNPn0TimZDUi0OtYeiSQ_s/edit?usp=share_link"",""กาฬสินธุ์!J78"")+IMPORTRANGE(""https://docs.google.com/spreadsheets/d/1SaMnqrwRGmFYNR0MhpWmHuL5niYUd5E7vDq8X7whAlI/edit?usp=share_lin"&amp;"k"",""ขอนแก่น!J78"")
+IMPORTRANGE(""https://docs.google.com/spreadsheets/d/1xQzEtGHhTTgxHh6YUkKY1P4dRyjVhS74dGswLfAASA4/edit?usp=share_link"",""ชัยภูมิ!J78"")+IMPORTRANGE(""https://docs.google.com/spreadsheets/d/1EXMBoBxU3OFbjT2TRpneM33qFjqDzrKmn9ydcflfI0"&amp;"o/edit?usp=share_link"",""นครพนม!J78"")+IMPORTRANGE(""https://docs.google.com/spreadsheets/d/1bDQrolntRWtHumK8W-x-HXKntwxB9S3sF5aDeRS66Ko/edit?usp=share_link"",""นครราชสีมา!J78"")+IMPORTRANGE(""https://docs.google.com/spreadsheets/d/1_MzZ-2gVPiCW-d2VcafoC"&amp;"mFJQTSrZ6SQyFcMqRRQQ2w/edit?usp=share_link"",""บึงกาฬ!J78"")
+IMPORTRANGE(""https://docs.google.com/spreadsheets/d/1B3lPpzOuaNwVItLwLEZYl_qEblfcx7dRnbRkAw0l-pE/edit?usp=share_link"",""บุรีรัมย์!J78"")+IMPORTRANGE(""https://docs.google.com/spreadsheets/d/1"&amp;"9GOkiOqnzYbevLYWrMk4qFOXe3rX14BkSA8X-mq-a40/edit?usp=share_link"",""มหาสารคาม!J78"")+IMPORTRANGE(""https://docs.google.com/spreadsheets/d/1uMKqWwuNQ-TCKboGA3Bb1qXb5uj2-faACNUINCz8PN4/edit?usp=share_link"",""มุกดาหาร!J78"")+IMPORTRANGE(""https://docs.googl"&amp;"e.com/spreadsheets/d/1oKaccgDdQABndOzGr688Dbfxb_V3YcF67VqEPBtdzsc/edit?usp=share_link"",""ยโสธร!J78"")+IMPORTRANGE(""https://docs.google.com/spreadsheets/d/1BRgc8xKpxZ0PX-gauieMVkV_IOxKSotf0yW8MabGprQ/edit?usp=share_link"",""ร้อยเอ็ด!J78"")+IMPORTRANGE("""&amp;"https://docs.google.com/spreadsheets/d/1IdolZc-dfdgMwAm_KZxYJl1sUOcIgnbGQzbWOlddedo/edit?usp=share_link"",""เลย!J78"")+IMPORTRANGE(""https://docs.google.com/spreadsheets/d/1tZ0nmtGuIRCaGAMXHlQU8EpR9LOAJvyKfc4f7EFmE34/edit?usp=share_link"",""ศรีสะเกษ!J78"""&amp;")+IMPORTRANGE(""https://docs.google.com/spreadsheets/d/1QC8psz9w0f9IVE9Xuc2FT_btkaOzZbbUSgYObpBuetM/edit?usp=share_link"",""สกลนคร!J78"")+IMPORTRANGE(""https://docs.google.com/spreadsheets/d/1wPdvRbu02d33MYVlbsCnyTiZpefEBs9NNktAnT1HZvw/edit?usp=share_link"&amp;""",""สุรินทร์!J78"")+IMPORTRANGE(""https://docs.google.com/spreadsheets/d/1GVExpf-Exi_2gmuqTYH28fseTB9MoKPXWcXCbSt_YrM/edit?usp=share_link"",""หนองคาย!J78"")+IMPORTRANGE(""https://docs.google.com/spreadsheets/d/16UeMz0UgOB5BZcoxP75eYGcLFtGYRn9GoesD4OX9m5U"&amp;"/edit?usp=share_link"",""หนองบัวลำภู!J78"")+IMPORTRANGE(""https://docs.google.com/spreadsheets/d/1uUP8Zo1-qaJLuIkRU0qlwLSE3DHkbdrrj2JGJiWBQZE/edit?usp=share_link"",""อำนาจเจริญ!J78"")+IMPORTRANGE(""https://docs.google.com/spreadsheets/d/1hb_taSOHanzRjqfzW"&amp;"PiFo8yiT83VV1L7vvUCLhOiHKc/edit?usp=share_link"",""อุดรธานี!J78"")+IMPORTRANGE(""https://docs.google.com/spreadsheets/d/17IOkEwkUd63EGNfyNDnM5de9YlZ7rwzTiW6-dokVjKI/edit?usp=share_link"",""อุบลราชธานี!J78"")
"),3)</f>
        <v>3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fb2B9NLcpJgjIieIJvenUTNPn0TimZDUi0OtYeiSQ_s/edit?usp=share_link"",""กาฬสินธุ์!I79"")+IMPORTRANGE(""https://docs.google.com/spreadsheets/d/1SaMnqrwRGmFYNR0MhpWmHuL5niYUd5E7vDq8X7whAlI/edit?usp=share_lin"&amp;"k"",""ขอนแก่น!I79"")
+IMPORTRANGE(""https://docs.google.com/spreadsheets/d/1xQzEtGHhTTgxHh6YUkKY1P4dRyjVhS74dGswLfAASA4/edit?usp=share_link"",""ชัยภูมิ!I79"")+IMPORTRANGE(""https://docs.google.com/spreadsheets/d/1EXMBoBxU3OFbjT2TRpneM33qFjqDzrKmn9ydcflfI0"&amp;"o/edit?usp=share_link"",""นครพนม!I79"")+IMPORTRANGE(""https://docs.google.com/spreadsheets/d/1bDQrolntRWtHumK8W-x-HXKntwxB9S3sF5aDeRS66Ko/edit?usp=share_link"",""นครราชสีมา!I79"")+IMPORTRANGE(""https://docs.google.com/spreadsheets/d/1_MzZ-2gVPiCW-d2VcafoC"&amp;"mFJQTSrZ6SQyFcMqRRQQ2w/edit?usp=share_link"",""บึงกาฬ!I79"")
+IMPORTRANGE(""https://docs.google.com/spreadsheets/d/1B3lPpzOuaNwVItLwLEZYl_qEblfcx7dRnbRkAw0l-pE/edit?usp=share_link"",""บุรีรัมย์!I79"")+IMPORTRANGE(""https://docs.google.com/spreadsheets/d/1"&amp;"9GOkiOqnzYbevLYWrMk4qFOXe3rX14BkSA8X-mq-a40/edit?usp=share_link"",""มหาสารคาม!I79"")+IMPORTRANGE(""https://docs.google.com/spreadsheets/d/1uMKqWwuNQ-TCKboGA3Bb1qXb5uj2-faACNUINCz8PN4/edit?usp=share_link"",""มุกดาหาร!I79"")+IMPORTRANGE(""https://docs.googl"&amp;"e.com/spreadsheets/d/1oKaccgDdQABndOzGr688Dbfxb_V3YcF67VqEPBtdzsc/edit?usp=share_link"",""ยโสธร!I79"")+IMPORTRANGE(""https://docs.google.com/spreadsheets/d/1BRgc8xKpxZ0PX-gauieMVkV_IOxKSotf0yW8MabGprQ/edit?usp=share_link"",""ร้อยเอ็ด!I79"")+IMPORTRANGE("""&amp;"https://docs.google.com/spreadsheets/d/1IdolZc-dfdgMwAm_KZxYJl1sUOcIgnbGQzbWOlddedo/edit?usp=share_link"",""เลย!I79"")+IMPORTRANGE(""https://docs.google.com/spreadsheets/d/1tZ0nmtGuIRCaGAMXHlQU8EpR9LOAJvyKfc4f7EFmE34/edit?usp=share_link"",""ศรีสะเกษ!I79"""&amp;")+IMPORTRANGE(""https://docs.google.com/spreadsheets/d/1QC8psz9w0f9IVE9Xuc2FT_btkaOzZbbUSgYObpBuetM/edit?usp=share_link"",""สกลนคร!I79"")+IMPORTRANGE(""https://docs.google.com/spreadsheets/d/1wPdvRbu02d33MYVlbsCnyTiZpefEBs9NNktAnT1HZvw/edit?usp=share_link"&amp;""",""สุรินทร์!I79"")+IMPORTRANGE(""https://docs.google.com/spreadsheets/d/1GVExpf-Exi_2gmuqTYH28fseTB9MoKPXWcXCbSt_YrM/edit?usp=share_link"",""หนองคาย!I79"")+IMPORTRANGE(""https://docs.google.com/spreadsheets/d/16UeMz0UgOB5BZcoxP75eYGcLFtGYRn9GoesD4OX9m5U"&amp;"/edit?usp=share_link"",""หนองบัวลำภู!I79"")+IMPORTRANGE(""https://docs.google.com/spreadsheets/d/1uUP8Zo1-qaJLuIkRU0qlwLSE3DHkbdrrj2JGJiWBQZE/edit?usp=share_link"",""อำนาจเจริญ!I79"")+IMPORTRANGE(""https://docs.google.com/spreadsheets/d/1hb_taSOHanzRjqfzW"&amp;"PiFo8yiT83VV1L7vvUCLhOiHKc/edit?usp=share_link"",""อุดรธานี!I79"")+IMPORTRANGE(""https://docs.google.com/spreadsheets/d/17IOkEwkUd63EGNfyNDnM5de9YlZ7rwzTiW6-dokVjKI/edit?usp=share_link"",""อุบลราชธานี!I79"")
"),117)</f>
        <v>117</v>
      </c>
      <c r="J79" s="183">
        <f ca="1">IFERROR(__xludf.DUMMYFUNCTION("IMPORTRANGE(""https://docs.google.com/spreadsheets/d/1fb2B9NLcpJgjIieIJvenUTNPn0TimZDUi0OtYeiSQ_s/edit?usp=share_link"",""กาฬสินธุ์!J79"")+IMPORTRANGE(""https://docs.google.com/spreadsheets/d/1SaMnqrwRGmFYNR0MhpWmHuL5niYUd5E7vDq8X7whAlI/edit?usp=share_lin"&amp;"k"",""ขอนแก่น!J79"")
+IMPORTRANGE(""https://docs.google.com/spreadsheets/d/1xQzEtGHhTTgxHh6YUkKY1P4dRyjVhS74dGswLfAASA4/edit?usp=share_link"",""ชัยภูมิ!J79"")+IMPORTRANGE(""https://docs.google.com/spreadsheets/d/1EXMBoBxU3OFbjT2TRpneM33qFjqDzrKmn9ydcflfI0"&amp;"o/edit?usp=share_link"",""นครพนม!J79"")+IMPORTRANGE(""https://docs.google.com/spreadsheets/d/1bDQrolntRWtHumK8W-x-HXKntwxB9S3sF5aDeRS66Ko/edit?usp=share_link"",""นครราชสีมา!J79"")+IMPORTRANGE(""https://docs.google.com/spreadsheets/d/1_MzZ-2gVPiCW-d2VcafoC"&amp;"mFJQTSrZ6SQyFcMqRRQQ2w/edit?usp=share_link"",""บึงกาฬ!J79"")
+IMPORTRANGE(""https://docs.google.com/spreadsheets/d/1B3lPpzOuaNwVItLwLEZYl_qEblfcx7dRnbRkAw0l-pE/edit?usp=share_link"",""บุรีรัมย์!J79"")+IMPORTRANGE(""https://docs.google.com/spreadsheets/d/1"&amp;"9GOkiOqnzYbevLYWrMk4qFOXe3rX14BkSA8X-mq-a40/edit?usp=share_link"",""มหาสารคาม!J79"")+IMPORTRANGE(""https://docs.google.com/spreadsheets/d/1uMKqWwuNQ-TCKboGA3Bb1qXb5uj2-faACNUINCz8PN4/edit?usp=share_link"",""มุกดาหาร!J79"")+IMPORTRANGE(""https://docs.googl"&amp;"e.com/spreadsheets/d/1oKaccgDdQABndOzGr688Dbfxb_V3YcF67VqEPBtdzsc/edit?usp=share_link"",""ยโสธร!J79"")+IMPORTRANGE(""https://docs.google.com/spreadsheets/d/1BRgc8xKpxZ0PX-gauieMVkV_IOxKSotf0yW8MabGprQ/edit?usp=share_link"",""ร้อยเอ็ด!J79"")+IMPORTRANGE("""&amp;"https://docs.google.com/spreadsheets/d/1IdolZc-dfdgMwAm_KZxYJl1sUOcIgnbGQzbWOlddedo/edit?usp=share_link"",""เลย!J79"")+IMPORTRANGE(""https://docs.google.com/spreadsheets/d/1tZ0nmtGuIRCaGAMXHlQU8EpR9LOAJvyKfc4f7EFmE34/edit?usp=share_link"",""ศรีสะเกษ!J79"""&amp;")+IMPORTRANGE(""https://docs.google.com/spreadsheets/d/1QC8psz9w0f9IVE9Xuc2FT_btkaOzZbbUSgYObpBuetM/edit?usp=share_link"",""สกลนคร!J79"")+IMPORTRANGE(""https://docs.google.com/spreadsheets/d/1wPdvRbu02d33MYVlbsCnyTiZpefEBs9NNktAnT1HZvw/edit?usp=share_link"&amp;""",""สุรินทร์!J79"")+IMPORTRANGE(""https://docs.google.com/spreadsheets/d/1GVExpf-Exi_2gmuqTYH28fseTB9MoKPXWcXCbSt_YrM/edit?usp=share_link"",""หนองคาย!J79"")+IMPORTRANGE(""https://docs.google.com/spreadsheets/d/16UeMz0UgOB5BZcoxP75eYGcLFtGYRn9GoesD4OX9m5U"&amp;"/edit?usp=share_link"",""หนองบัวลำภู!J79"")+IMPORTRANGE(""https://docs.google.com/spreadsheets/d/1uUP8Zo1-qaJLuIkRU0qlwLSE3DHkbdrrj2JGJiWBQZE/edit?usp=share_link"",""อำนาจเจริญ!J79"")+IMPORTRANGE(""https://docs.google.com/spreadsheets/d/1hb_taSOHanzRjqfzW"&amp;"PiFo8yiT83VV1L7vvUCLhOiHKc/edit?usp=share_link"",""อุดรธานี!J79"")+IMPORTRANGE(""https://docs.google.com/spreadsheets/d/17IOkEwkUd63EGNfyNDnM5de9YlZ7rwzTiW6-dokVjKI/edit?usp=share_link"",""อุบลราชธานี!J79"")
"),117)</f>
        <v>117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fb2B9NLcpJgjIieIJvenUTNPn0TimZDUi0OtYeiSQ_s/edit?usp=share_link"",""กาฬสินธุ์!I80"")+IMPORTRANGE(""https://docs.google.com/spreadsheets/d/1SaMnqrwRGmFYNR0MhpWmHuL5niYUd5E7vDq8X7whAlI/edit?usp=share_lin"&amp;"k"",""ขอนแก่น!I80"")
+IMPORTRANGE(""https://docs.google.com/spreadsheets/d/1xQzEtGHhTTgxHh6YUkKY1P4dRyjVhS74dGswLfAASA4/edit?usp=share_link"",""ชัยภูมิ!I80"")+IMPORTRANGE(""https://docs.google.com/spreadsheets/d/1EXMBoBxU3OFbjT2TRpneM33qFjqDzrKmn9ydcflfI0"&amp;"o/edit?usp=share_link"",""นครพนม!I80"")+IMPORTRANGE(""https://docs.google.com/spreadsheets/d/1bDQrolntRWtHumK8W-x-HXKntwxB9S3sF5aDeRS66Ko/edit?usp=share_link"",""นครราชสีมา!I80"")+IMPORTRANGE(""https://docs.google.com/spreadsheets/d/1_MzZ-2gVPiCW-d2VcafoC"&amp;"mFJQTSrZ6SQyFcMqRRQQ2w/edit?usp=share_link"",""บึงกาฬ!I80"")
+IMPORTRANGE(""https://docs.google.com/spreadsheets/d/1B3lPpzOuaNwVItLwLEZYl_qEblfcx7dRnbRkAw0l-pE/edit?usp=share_link"",""บุรีรัมย์!I80"")+IMPORTRANGE(""https://docs.google.com/spreadsheets/d/1"&amp;"9GOkiOqnzYbevLYWrMk4qFOXe3rX14BkSA8X-mq-a40/edit?usp=share_link"",""มหาสารคาม!I80"")+IMPORTRANGE(""https://docs.google.com/spreadsheets/d/1uMKqWwuNQ-TCKboGA3Bb1qXb5uj2-faACNUINCz8PN4/edit?usp=share_link"",""มุกดาหาร!I80"")+IMPORTRANGE(""https://docs.googl"&amp;"e.com/spreadsheets/d/1oKaccgDdQABndOzGr688Dbfxb_V3YcF67VqEPBtdzsc/edit?usp=share_link"",""ยโสธร!I80"")+IMPORTRANGE(""https://docs.google.com/spreadsheets/d/1BRgc8xKpxZ0PX-gauieMVkV_IOxKSotf0yW8MabGprQ/edit?usp=share_link"",""ร้อยเอ็ด!I80"")+IMPORTRANGE("""&amp;"https://docs.google.com/spreadsheets/d/1IdolZc-dfdgMwAm_KZxYJl1sUOcIgnbGQzbWOlddedo/edit?usp=share_link"",""เลย!I80"")+IMPORTRANGE(""https://docs.google.com/spreadsheets/d/1tZ0nmtGuIRCaGAMXHlQU8EpR9LOAJvyKfc4f7EFmE34/edit?usp=share_link"",""ศรีสะเกษ!I80"""&amp;")+IMPORTRANGE(""https://docs.google.com/spreadsheets/d/1QC8psz9w0f9IVE9Xuc2FT_btkaOzZbbUSgYObpBuetM/edit?usp=share_link"",""สกลนคร!I80"")+IMPORTRANGE(""https://docs.google.com/spreadsheets/d/1wPdvRbu02d33MYVlbsCnyTiZpefEBs9NNktAnT1HZvw/edit?usp=share_link"&amp;""",""สุรินทร์!I80"")+IMPORTRANGE(""https://docs.google.com/spreadsheets/d/1GVExpf-Exi_2gmuqTYH28fseTB9MoKPXWcXCbSt_YrM/edit?usp=share_link"",""หนองคาย!I80"")+IMPORTRANGE(""https://docs.google.com/spreadsheets/d/16UeMz0UgOB5BZcoxP75eYGcLFtGYRn9GoesD4OX9m5U"&amp;"/edit?usp=share_link"",""หนองบัวลำภู!I80"")+IMPORTRANGE(""https://docs.google.com/spreadsheets/d/1uUP8Zo1-qaJLuIkRU0qlwLSE3DHkbdrrj2JGJiWBQZE/edit?usp=share_link"",""อำนาจเจริญ!I80"")+IMPORTRANGE(""https://docs.google.com/spreadsheets/d/1hb_taSOHanzRjqfzW"&amp;"PiFo8yiT83VV1L7vvUCLhOiHKc/edit?usp=share_link"",""อุดรธานี!I80"")+IMPORTRANGE(""https://docs.google.com/spreadsheets/d/17IOkEwkUd63EGNfyNDnM5de9YlZ7rwzTiW6-dokVjKI/edit?usp=share_link"",""อุบลราชธานี!I80"")
"),6)</f>
        <v>6</v>
      </c>
      <c r="J80" s="183">
        <f ca="1">IFERROR(__xludf.DUMMYFUNCTION("IMPORTRANGE(""https://docs.google.com/spreadsheets/d/1fb2B9NLcpJgjIieIJvenUTNPn0TimZDUi0OtYeiSQ_s/edit?usp=share_link"",""กาฬสินธุ์!J80"")+IMPORTRANGE(""https://docs.google.com/spreadsheets/d/1SaMnqrwRGmFYNR0MhpWmHuL5niYUd5E7vDq8X7whAlI/edit?usp=share_lin"&amp;"k"",""ขอนแก่น!J80"")
+IMPORTRANGE(""https://docs.google.com/spreadsheets/d/1xQzEtGHhTTgxHh6YUkKY1P4dRyjVhS74dGswLfAASA4/edit?usp=share_link"",""ชัยภูมิ!J80"")+IMPORTRANGE(""https://docs.google.com/spreadsheets/d/1EXMBoBxU3OFbjT2TRpneM33qFjqDzrKmn9ydcflfI0"&amp;"o/edit?usp=share_link"",""นครพนม!J80"")+IMPORTRANGE(""https://docs.google.com/spreadsheets/d/1bDQrolntRWtHumK8W-x-HXKntwxB9S3sF5aDeRS66Ko/edit?usp=share_link"",""นครราชสีมา!J80"")+IMPORTRANGE(""https://docs.google.com/spreadsheets/d/1_MzZ-2gVPiCW-d2VcafoC"&amp;"mFJQTSrZ6SQyFcMqRRQQ2w/edit?usp=share_link"",""บึงกาฬ!J80"")
+IMPORTRANGE(""https://docs.google.com/spreadsheets/d/1B3lPpzOuaNwVItLwLEZYl_qEblfcx7dRnbRkAw0l-pE/edit?usp=share_link"",""บุรีรัมย์!J80"")+IMPORTRANGE(""https://docs.google.com/spreadsheets/d/1"&amp;"9GOkiOqnzYbevLYWrMk4qFOXe3rX14BkSA8X-mq-a40/edit?usp=share_link"",""มหาสารคาม!J80"")+IMPORTRANGE(""https://docs.google.com/spreadsheets/d/1uMKqWwuNQ-TCKboGA3Bb1qXb5uj2-faACNUINCz8PN4/edit?usp=share_link"",""มุกดาหาร!J80"")+IMPORTRANGE(""https://docs.googl"&amp;"e.com/spreadsheets/d/1oKaccgDdQABndOzGr688Dbfxb_V3YcF67VqEPBtdzsc/edit?usp=share_link"",""ยโสธร!J80"")+IMPORTRANGE(""https://docs.google.com/spreadsheets/d/1BRgc8xKpxZ0PX-gauieMVkV_IOxKSotf0yW8MabGprQ/edit?usp=share_link"",""ร้อยเอ็ด!J80"")+IMPORTRANGE("""&amp;"https://docs.google.com/spreadsheets/d/1IdolZc-dfdgMwAm_KZxYJl1sUOcIgnbGQzbWOlddedo/edit?usp=share_link"",""เลย!J80"")+IMPORTRANGE(""https://docs.google.com/spreadsheets/d/1tZ0nmtGuIRCaGAMXHlQU8EpR9LOAJvyKfc4f7EFmE34/edit?usp=share_link"",""ศรีสะเกษ!J80"""&amp;")+IMPORTRANGE(""https://docs.google.com/spreadsheets/d/1QC8psz9w0f9IVE9Xuc2FT_btkaOzZbbUSgYObpBuetM/edit?usp=share_link"",""สกลนคร!J80"")+IMPORTRANGE(""https://docs.google.com/spreadsheets/d/1wPdvRbu02d33MYVlbsCnyTiZpefEBs9NNktAnT1HZvw/edit?usp=share_link"&amp;""",""สุรินทร์!J80"")+IMPORTRANGE(""https://docs.google.com/spreadsheets/d/1GVExpf-Exi_2gmuqTYH28fseTB9MoKPXWcXCbSt_YrM/edit?usp=share_link"",""หนองคาย!J80"")+IMPORTRANGE(""https://docs.google.com/spreadsheets/d/16UeMz0UgOB5BZcoxP75eYGcLFtGYRn9GoesD4OX9m5U"&amp;"/edit?usp=share_link"",""หนองบัวลำภู!J80"")+IMPORTRANGE(""https://docs.google.com/spreadsheets/d/1uUP8Zo1-qaJLuIkRU0qlwLSE3DHkbdrrj2JGJiWBQZE/edit?usp=share_link"",""อำนาจเจริญ!J80"")+IMPORTRANGE(""https://docs.google.com/spreadsheets/d/1hb_taSOHanzRjqfzW"&amp;"PiFo8yiT83VV1L7vvUCLhOiHKc/edit?usp=share_link"",""อุดรธานี!J80"")+IMPORTRANGE(""https://docs.google.com/spreadsheets/d/17IOkEwkUd63EGNfyNDnM5de9YlZ7rwzTiW6-dokVjKI/edit?usp=share_link"",""อุบลราชธานี!J80"")
"),6)</f>
        <v>6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fb2B9NLcpJgjIieIJvenUTNPn0TimZDUi0OtYeiSQ_s/edit?usp=share_link"",""กาฬสินธุ์!I81"")+IMPORTRANGE(""https://docs.google.com/spreadsheets/d/1SaMnqrwRGmFYNR0MhpWmHuL5niYUd5E7vDq8X7whAlI/edit?usp=share_lin"&amp;"k"",""ขอนแก่น!I81"")
+IMPORTRANGE(""https://docs.google.com/spreadsheets/d/1xQzEtGHhTTgxHh6YUkKY1P4dRyjVhS74dGswLfAASA4/edit?usp=share_link"",""ชัยภูมิ!I81"")+IMPORTRANGE(""https://docs.google.com/spreadsheets/d/1EXMBoBxU3OFbjT2TRpneM33qFjqDzrKmn9ydcflfI0"&amp;"o/edit?usp=share_link"",""นครพนม!I81"")+IMPORTRANGE(""https://docs.google.com/spreadsheets/d/1bDQrolntRWtHumK8W-x-HXKntwxB9S3sF5aDeRS66Ko/edit?usp=share_link"",""นครราชสีมา!I81"")+IMPORTRANGE(""https://docs.google.com/spreadsheets/d/1_MzZ-2gVPiCW-d2VcafoC"&amp;"mFJQTSrZ6SQyFcMqRRQQ2w/edit?usp=share_link"",""บึงกาฬ!I81"")
+IMPORTRANGE(""https://docs.google.com/spreadsheets/d/1B3lPpzOuaNwVItLwLEZYl_qEblfcx7dRnbRkAw0l-pE/edit?usp=share_link"",""บุรีรัมย์!I81"")+IMPORTRANGE(""https://docs.google.com/spreadsheets/d/1"&amp;"9GOkiOqnzYbevLYWrMk4qFOXe3rX14BkSA8X-mq-a40/edit?usp=share_link"",""มหาสารคาม!I81"")+IMPORTRANGE(""https://docs.google.com/spreadsheets/d/1uMKqWwuNQ-TCKboGA3Bb1qXb5uj2-faACNUINCz8PN4/edit?usp=share_link"",""มุกดาหาร!I81"")+IMPORTRANGE(""https://docs.googl"&amp;"e.com/spreadsheets/d/1oKaccgDdQABndOzGr688Dbfxb_V3YcF67VqEPBtdzsc/edit?usp=share_link"",""ยโสธร!I81"")+IMPORTRANGE(""https://docs.google.com/spreadsheets/d/1BRgc8xKpxZ0PX-gauieMVkV_IOxKSotf0yW8MabGprQ/edit?usp=share_link"",""ร้อยเอ็ด!I81"")+IMPORTRANGE("""&amp;"https://docs.google.com/spreadsheets/d/1IdolZc-dfdgMwAm_KZxYJl1sUOcIgnbGQzbWOlddedo/edit?usp=share_link"",""เลย!I81"")+IMPORTRANGE(""https://docs.google.com/spreadsheets/d/1tZ0nmtGuIRCaGAMXHlQU8EpR9LOAJvyKfc4f7EFmE34/edit?usp=share_link"",""ศรีสะเกษ!I81"""&amp;")+IMPORTRANGE(""https://docs.google.com/spreadsheets/d/1QC8psz9w0f9IVE9Xuc2FT_btkaOzZbbUSgYObpBuetM/edit?usp=share_link"",""สกลนคร!I81"")+IMPORTRANGE(""https://docs.google.com/spreadsheets/d/1wPdvRbu02d33MYVlbsCnyTiZpefEBs9NNktAnT1HZvw/edit?usp=share_link"&amp;""",""สุรินทร์!I81"")+IMPORTRANGE(""https://docs.google.com/spreadsheets/d/1GVExpf-Exi_2gmuqTYH28fseTB9MoKPXWcXCbSt_YrM/edit?usp=share_link"",""หนองคาย!I81"")+IMPORTRANGE(""https://docs.google.com/spreadsheets/d/16UeMz0UgOB5BZcoxP75eYGcLFtGYRn9GoesD4OX9m5U"&amp;"/edit?usp=share_link"",""หนองบัวลำภู!I81"")+IMPORTRANGE(""https://docs.google.com/spreadsheets/d/1uUP8Zo1-qaJLuIkRU0qlwLSE3DHkbdrrj2JGJiWBQZE/edit?usp=share_link"",""อำนาจเจริญ!I81"")+IMPORTRANGE(""https://docs.google.com/spreadsheets/d/1hb_taSOHanzRjqfzW"&amp;"PiFo8yiT83VV1L7vvUCLhOiHKc/edit?usp=share_link"",""อุดรธานี!I81"")+IMPORTRANGE(""https://docs.google.com/spreadsheets/d/17IOkEwkUd63EGNfyNDnM5de9YlZ7rwzTiW6-dokVjKI/edit?usp=share_link"",""อุบลราชธานี!I81"")
"),270)</f>
        <v>270</v>
      </c>
      <c r="J81" s="183">
        <f ca="1">IFERROR(__xludf.DUMMYFUNCTION("IMPORTRANGE(""https://docs.google.com/spreadsheets/d/1fb2B9NLcpJgjIieIJvenUTNPn0TimZDUi0OtYeiSQ_s/edit?usp=share_link"",""กาฬสินธุ์!J81"")+IMPORTRANGE(""https://docs.google.com/spreadsheets/d/1SaMnqrwRGmFYNR0MhpWmHuL5niYUd5E7vDq8X7whAlI/edit?usp=share_lin"&amp;"k"",""ขอนแก่น!J81"")
+IMPORTRANGE(""https://docs.google.com/spreadsheets/d/1xQzEtGHhTTgxHh6YUkKY1P4dRyjVhS74dGswLfAASA4/edit?usp=share_link"",""ชัยภูมิ!J81"")+IMPORTRANGE(""https://docs.google.com/spreadsheets/d/1EXMBoBxU3OFbjT2TRpneM33qFjqDzrKmn9ydcflfI0"&amp;"o/edit?usp=share_link"",""นครพนม!J81"")+IMPORTRANGE(""https://docs.google.com/spreadsheets/d/1bDQrolntRWtHumK8W-x-HXKntwxB9S3sF5aDeRS66Ko/edit?usp=share_link"",""นครราชสีมา!J81"")+IMPORTRANGE(""https://docs.google.com/spreadsheets/d/1_MzZ-2gVPiCW-d2VcafoC"&amp;"mFJQTSrZ6SQyFcMqRRQQ2w/edit?usp=share_link"",""บึงกาฬ!J81"")
+IMPORTRANGE(""https://docs.google.com/spreadsheets/d/1B3lPpzOuaNwVItLwLEZYl_qEblfcx7dRnbRkAw0l-pE/edit?usp=share_link"",""บุรีรัมย์!J81"")+IMPORTRANGE(""https://docs.google.com/spreadsheets/d/1"&amp;"9GOkiOqnzYbevLYWrMk4qFOXe3rX14BkSA8X-mq-a40/edit?usp=share_link"",""มหาสารคาม!J81"")+IMPORTRANGE(""https://docs.google.com/spreadsheets/d/1uMKqWwuNQ-TCKboGA3Bb1qXb5uj2-faACNUINCz8PN4/edit?usp=share_link"",""มุกดาหาร!J81"")+IMPORTRANGE(""https://docs.googl"&amp;"e.com/spreadsheets/d/1oKaccgDdQABndOzGr688Dbfxb_V3YcF67VqEPBtdzsc/edit?usp=share_link"",""ยโสธร!J81"")+IMPORTRANGE(""https://docs.google.com/spreadsheets/d/1BRgc8xKpxZ0PX-gauieMVkV_IOxKSotf0yW8MabGprQ/edit?usp=share_link"",""ร้อยเอ็ด!J81"")+IMPORTRANGE("""&amp;"https://docs.google.com/spreadsheets/d/1IdolZc-dfdgMwAm_KZxYJl1sUOcIgnbGQzbWOlddedo/edit?usp=share_link"",""เลย!J81"")+IMPORTRANGE(""https://docs.google.com/spreadsheets/d/1tZ0nmtGuIRCaGAMXHlQU8EpR9LOAJvyKfc4f7EFmE34/edit?usp=share_link"",""ศรีสะเกษ!J81"""&amp;")+IMPORTRANGE(""https://docs.google.com/spreadsheets/d/1QC8psz9w0f9IVE9Xuc2FT_btkaOzZbbUSgYObpBuetM/edit?usp=share_link"",""สกลนคร!J81"")+IMPORTRANGE(""https://docs.google.com/spreadsheets/d/1wPdvRbu02d33MYVlbsCnyTiZpefEBs9NNktAnT1HZvw/edit?usp=share_link"&amp;""",""สุรินทร์!J81"")+IMPORTRANGE(""https://docs.google.com/spreadsheets/d/1GVExpf-Exi_2gmuqTYH28fseTB9MoKPXWcXCbSt_YrM/edit?usp=share_link"",""หนองคาย!J81"")+IMPORTRANGE(""https://docs.google.com/spreadsheets/d/16UeMz0UgOB5BZcoxP75eYGcLFtGYRn9GoesD4OX9m5U"&amp;"/edit?usp=share_link"",""หนองบัวลำภู!J81"")+IMPORTRANGE(""https://docs.google.com/spreadsheets/d/1uUP8Zo1-qaJLuIkRU0qlwLSE3DHkbdrrj2JGJiWBQZE/edit?usp=share_link"",""อำนาจเจริญ!J81"")+IMPORTRANGE(""https://docs.google.com/spreadsheets/d/1hb_taSOHanzRjqfzW"&amp;"PiFo8yiT83VV1L7vvUCLhOiHKc/edit?usp=share_link"",""อุดรธานี!J81"")+IMPORTRANGE(""https://docs.google.com/spreadsheets/d/17IOkEwkUd63EGNfyNDnM5de9YlZ7rwzTiW6-dokVjKI/edit?usp=share_link"",""อุบลราชธานี!J81"")
"),270)</f>
        <v>270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fb2B9NLcpJgjIieIJvenUTNPn0TimZDUi0OtYeiSQ_s/edit?usp=share_link"",""กาฬสินธุ์!I82"")+IMPORTRANGE(""https://docs.google.com/spreadsheets/d/1SaMnqrwRGmFYNR0MhpWmHuL5niYUd5E7vDq8X7whAlI/edit?usp=share_lin"&amp;"k"",""ขอนแก่น!I82"")
+IMPORTRANGE(""https://docs.google.com/spreadsheets/d/1xQzEtGHhTTgxHh6YUkKY1P4dRyjVhS74dGswLfAASA4/edit?usp=share_link"",""ชัยภูมิ!I82"")+IMPORTRANGE(""https://docs.google.com/spreadsheets/d/1EXMBoBxU3OFbjT2TRpneM33qFjqDzrKmn9ydcflfI0"&amp;"o/edit?usp=share_link"",""นครพนม!I82"")+IMPORTRANGE(""https://docs.google.com/spreadsheets/d/1bDQrolntRWtHumK8W-x-HXKntwxB9S3sF5aDeRS66Ko/edit?usp=share_link"",""นครราชสีมา!I82"")+IMPORTRANGE(""https://docs.google.com/spreadsheets/d/1_MzZ-2gVPiCW-d2VcafoC"&amp;"mFJQTSrZ6SQyFcMqRRQQ2w/edit?usp=share_link"",""บึงกาฬ!I82"")
+IMPORTRANGE(""https://docs.google.com/spreadsheets/d/1B3lPpzOuaNwVItLwLEZYl_qEblfcx7dRnbRkAw0l-pE/edit?usp=share_link"",""บุรีรัมย์!I82"")+IMPORTRANGE(""https://docs.google.com/spreadsheets/d/1"&amp;"9GOkiOqnzYbevLYWrMk4qFOXe3rX14BkSA8X-mq-a40/edit?usp=share_link"",""มหาสารคาม!I82"")+IMPORTRANGE(""https://docs.google.com/spreadsheets/d/1uMKqWwuNQ-TCKboGA3Bb1qXb5uj2-faACNUINCz8PN4/edit?usp=share_link"",""มุกดาหาร!I82"")+IMPORTRANGE(""https://docs.googl"&amp;"e.com/spreadsheets/d/1oKaccgDdQABndOzGr688Dbfxb_V3YcF67VqEPBtdzsc/edit?usp=share_link"",""ยโสธร!I82"")+IMPORTRANGE(""https://docs.google.com/spreadsheets/d/1BRgc8xKpxZ0PX-gauieMVkV_IOxKSotf0yW8MabGprQ/edit?usp=share_link"",""ร้อยเอ็ด!I82"")+IMPORTRANGE("""&amp;"https://docs.google.com/spreadsheets/d/1IdolZc-dfdgMwAm_KZxYJl1sUOcIgnbGQzbWOlddedo/edit?usp=share_link"",""เลย!I82"")+IMPORTRANGE(""https://docs.google.com/spreadsheets/d/1tZ0nmtGuIRCaGAMXHlQU8EpR9LOAJvyKfc4f7EFmE34/edit?usp=share_link"",""ศรีสะเกษ!I82"""&amp;")+IMPORTRANGE(""https://docs.google.com/spreadsheets/d/1QC8psz9w0f9IVE9Xuc2FT_btkaOzZbbUSgYObpBuetM/edit?usp=share_link"",""สกลนคร!I82"")+IMPORTRANGE(""https://docs.google.com/spreadsheets/d/1wPdvRbu02d33MYVlbsCnyTiZpefEBs9NNktAnT1HZvw/edit?usp=share_link"&amp;""",""สุรินทร์!I82"")+IMPORTRANGE(""https://docs.google.com/spreadsheets/d/1GVExpf-Exi_2gmuqTYH28fseTB9MoKPXWcXCbSt_YrM/edit?usp=share_link"",""หนองคาย!I82"")+IMPORTRANGE(""https://docs.google.com/spreadsheets/d/16UeMz0UgOB5BZcoxP75eYGcLFtGYRn9GoesD4OX9m5U"&amp;"/edit?usp=share_link"",""หนองบัวลำภู!I82"")+IMPORTRANGE(""https://docs.google.com/spreadsheets/d/1uUP8Zo1-qaJLuIkRU0qlwLSE3DHkbdrrj2JGJiWBQZE/edit?usp=share_link"",""อำนาจเจริญ!I82"")+IMPORTRANGE(""https://docs.google.com/spreadsheets/d/1hb_taSOHanzRjqfzW"&amp;"PiFo8yiT83VV1L7vvUCLhOiHKc/edit?usp=share_link"",""อุดรธานี!I82"")+IMPORTRANGE(""https://docs.google.com/spreadsheets/d/17IOkEwkUd63EGNfyNDnM5de9YlZ7rwzTiW6-dokVjKI/edit?usp=share_link"",""อุบลราชธานี!I82"")
"),8)</f>
        <v>8</v>
      </c>
      <c r="J82" s="183">
        <f ca="1">IFERROR(__xludf.DUMMYFUNCTION("IMPORTRANGE(""https://docs.google.com/spreadsheets/d/1fb2B9NLcpJgjIieIJvenUTNPn0TimZDUi0OtYeiSQ_s/edit?usp=share_link"",""กาฬสินธุ์!J82"")+IMPORTRANGE(""https://docs.google.com/spreadsheets/d/1SaMnqrwRGmFYNR0MhpWmHuL5niYUd5E7vDq8X7whAlI/edit?usp=share_lin"&amp;"k"",""ขอนแก่น!J82"")
+IMPORTRANGE(""https://docs.google.com/spreadsheets/d/1xQzEtGHhTTgxHh6YUkKY1P4dRyjVhS74dGswLfAASA4/edit?usp=share_link"",""ชัยภูมิ!J82"")+IMPORTRANGE(""https://docs.google.com/spreadsheets/d/1EXMBoBxU3OFbjT2TRpneM33qFjqDzrKmn9ydcflfI0"&amp;"o/edit?usp=share_link"",""นครพนม!J82"")+IMPORTRANGE(""https://docs.google.com/spreadsheets/d/1bDQrolntRWtHumK8W-x-HXKntwxB9S3sF5aDeRS66Ko/edit?usp=share_link"",""นครราชสีมา!J82"")+IMPORTRANGE(""https://docs.google.com/spreadsheets/d/1_MzZ-2gVPiCW-d2VcafoC"&amp;"mFJQTSrZ6SQyFcMqRRQQ2w/edit?usp=share_link"",""บึงกาฬ!J82"")
+IMPORTRANGE(""https://docs.google.com/spreadsheets/d/1B3lPpzOuaNwVItLwLEZYl_qEblfcx7dRnbRkAw0l-pE/edit?usp=share_link"",""บุรีรัมย์!J82"")+IMPORTRANGE(""https://docs.google.com/spreadsheets/d/1"&amp;"9GOkiOqnzYbevLYWrMk4qFOXe3rX14BkSA8X-mq-a40/edit?usp=share_link"",""มหาสารคาม!J82"")+IMPORTRANGE(""https://docs.google.com/spreadsheets/d/1uMKqWwuNQ-TCKboGA3Bb1qXb5uj2-faACNUINCz8PN4/edit?usp=share_link"",""มุกดาหาร!J82"")+IMPORTRANGE(""https://docs.googl"&amp;"e.com/spreadsheets/d/1oKaccgDdQABndOzGr688Dbfxb_V3YcF67VqEPBtdzsc/edit?usp=share_link"",""ยโสธร!J82"")+IMPORTRANGE(""https://docs.google.com/spreadsheets/d/1BRgc8xKpxZ0PX-gauieMVkV_IOxKSotf0yW8MabGprQ/edit?usp=share_link"",""ร้อยเอ็ด!J82"")+IMPORTRANGE("""&amp;"https://docs.google.com/spreadsheets/d/1IdolZc-dfdgMwAm_KZxYJl1sUOcIgnbGQzbWOlddedo/edit?usp=share_link"",""เลย!J82"")+IMPORTRANGE(""https://docs.google.com/spreadsheets/d/1tZ0nmtGuIRCaGAMXHlQU8EpR9LOAJvyKfc4f7EFmE34/edit?usp=share_link"",""ศรีสะเกษ!J82"""&amp;")+IMPORTRANGE(""https://docs.google.com/spreadsheets/d/1QC8psz9w0f9IVE9Xuc2FT_btkaOzZbbUSgYObpBuetM/edit?usp=share_link"",""สกลนคร!J82"")+IMPORTRANGE(""https://docs.google.com/spreadsheets/d/1wPdvRbu02d33MYVlbsCnyTiZpefEBs9NNktAnT1HZvw/edit?usp=share_link"&amp;""",""สุรินทร์!J82"")+IMPORTRANGE(""https://docs.google.com/spreadsheets/d/1GVExpf-Exi_2gmuqTYH28fseTB9MoKPXWcXCbSt_YrM/edit?usp=share_link"",""หนองคาย!J82"")+IMPORTRANGE(""https://docs.google.com/spreadsheets/d/16UeMz0UgOB5BZcoxP75eYGcLFtGYRn9GoesD4OX9m5U"&amp;"/edit?usp=share_link"",""หนองบัวลำภู!J82"")+IMPORTRANGE(""https://docs.google.com/spreadsheets/d/1uUP8Zo1-qaJLuIkRU0qlwLSE3DHkbdrrj2JGJiWBQZE/edit?usp=share_link"",""อำนาจเจริญ!J82"")+IMPORTRANGE(""https://docs.google.com/spreadsheets/d/1hb_taSOHanzRjqfzW"&amp;"PiFo8yiT83VV1L7vvUCLhOiHKc/edit?usp=share_link"",""อุดรธานี!J82"")+IMPORTRANGE(""https://docs.google.com/spreadsheets/d/17IOkEwkUd63EGNfyNDnM5de9YlZ7rwzTiW6-dokVjKI/edit?usp=share_link"",""อุบลราชธานี!J82"")
"),8)</f>
        <v>8</v>
      </c>
      <c r="K82" s="163">
        <f t="shared" ca="1" si="59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fb2B9NLcpJgjIieIJvenUTNPn0TimZDUi0OtYeiSQ_s/edit?usp=share_link"",""กาฬสินธุ์!I83"")+IMPORTRANGE(""https://docs.google.com/spreadsheets/d/1SaMnqrwRGmFYNR0MhpWmHuL5niYUd5E7vDq8X7whAlI/edit?usp=share_lin"&amp;"k"",""ขอนแก่น!I83"")
+IMPORTRANGE(""https://docs.google.com/spreadsheets/d/1xQzEtGHhTTgxHh6YUkKY1P4dRyjVhS74dGswLfAASA4/edit?usp=share_link"",""ชัยภูมิ!I83"")+IMPORTRANGE(""https://docs.google.com/spreadsheets/d/1EXMBoBxU3OFbjT2TRpneM33qFjqDzrKmn9ydcflfI0"&amp;"o/edit?usp=share_link"",""นครพนม!I83"")+IMPORTRANGE(""https://docs.google.com/spreadsheets/d/1bDQrolntRWtHumK8W-x-HXKntwxB9S3sF5aDeRS66Ko/edit?usp=share_link"",""นครราชสีมา!I83"")+IMPORTRANGE(""https://docs.google.com/spreadsheets/d/1_MzZ-2gVPiCW-d2VcafoC"&amp;"mFJQTSrZ6SQyFcMqRRQQ2w/edit?usp=share_link"",""บึงกาฬ!I83"")
+IMPORTRANGE(""https://docs.google.com/spreadsheets/d/1B3lPpzOuaNwVItLwLEZYl_qEblfcx7dRnbRkAw0l-pE/edit?usp=share_link"",""บุรีรัมย์!I83"")+IMPORTRANGE(""https://docs.google.com/spreadsheets/d/1"&amp;"9GOkiOqnzYbevLYWrMk4qFOXe3rX14BkSA8X-mq-a40/edit?usp=share_link"",""มหาสารคาม!I83"")+IMPORTRANGE(""https://docs.google.com/spreadsheets/d/1uMKqWwuNQ-TCKboGA3Bb1qXb5uj2-faACNUINCz8PN4/edit?usp=share_link"",""มุกดาหาร!I83"")+IMPORTRANGE(""https://docs.googl"&amp;"e.com/spreadsheets/d/1oKaccgDdQABndOzGr688Dbfxb_V3YcF67VqEPBtdzsc/edit?usp=share_link"",""ยโสธร!I83"")+IMPORTRANGE(""https://docs.google.com/spreadsheets/d/1BRgc8xKpxZ0PX-gauieMVkV_IOxKSotf0yW8MabGprQ/edit?usp=share_link"",""ร้อยเอ็ด!I83"")+IMPORTRANGE("""&amp;"https://docs.google.com/spreadsheets/d/1IdolZc-dfdgMwAm_KZxYJl1sUOcIgnbGQzbWOlddedo/edit?usp=share_link"",""เลย!I83"")+IMPORTRANGE(""https://docs.google.com/spreadsheets/d/1tZ0nmtGuIRCaGAMXHlQU8EpR9LOAJvyKfc4f7EFmE34/edit?usp=share_link"",""ศรีสะเกษ!I83"""&amp;")+IMPORTRANGE(""https://docs.google.com/spreadsheets/d/1QC8psz9w0f9IVE9Xuc2FT_btkaOzZbbUSgYObpBuetM/edit?usp=share_link"",""สกลนคร!I83"")+IMPORTRANGE(""https://docs.google.com/spreadsheets/d/1wPdvRbu02d33MYVlbsCnyTiZpefEBs9NNktAnT1HZvw/edit?usp=share_link"&amp;""",""สุรินทร์!I83"")+IMPORTRANGE(""https://docs.google.com/spreadsheets/d/1GVExpf-Exi_2gmuqTYH28fseTB9MoKPXWcXCbSt_YrM/edit?usp=share_link"",""หนองคาย!I83"")+IMPORTRANGE(""https://docs.google.com/spreadsheets/d/16UeMz0UgOB5BZcoxP75eYGcLFtGYRn9GoesD4OX9m5U"&amp;"/edit?usp=share_link"",""หนองบัวลำภู!I83"")+IMPORTRANGE(""https://docs.google.com/spreadsheets/d/1uUP8Zo1-qaJLuIkRU0qlwLSE3DHkbdrrj2JGJiWBQZE/edit?usp=share_link"",""อำนาจเจริญ!I83"")+IMPORTRANGE(""https://docs.google.com/spreadsheets/d/1hb_taSOHanzRjqfzW"&amp;"PiFo8yiT83VV1L7vvUCLhOiHKc/edit?usp=share_link"",""อุดรธานี!I83"")+IMPORTRANGE(""https://docs.google.com/spreadsheets/d/17IOkEwkUd63EGNfyNDnM5de9YlZ7rwzTiW6-dokVjKI/edit?usp=share_link"",""อุบลราชธานี!I83"")
"),373)</f>
        <v>373</v>
      </c>
      <c r="J83" s="183">
        <f ca="1">IFERROR(__xludf.DUMMYFUNCTION("IMPORTRANGE(""https://docs.google.com/spreadsheets/d/1fb2B9NLcpJgjIieIJvenUTNPn0TimZDUi0OtYeiSQ_s/edit?usp=share_link"",""กาฬสินธุ์!J83"")+IMPORTRANGE(""https://docs.google.com/spreadsheets/d/1SaMnqrwRGmFYNR0MhpWmHuL5niYUd5E7vDq8X7whAlI/edit?usp=share_lin"&amp;"k"",""ขอนแก่น!J83"")
+IMPORTRANGE(""https://docs.google.com/spreadsheets/d/1xQzEtGHhTTgxHh6YUkKY1P4dRyjVhS74dGswLfAASA4/edit?usp=share_link"",""ชัยภูมิ!J83"")+IMPORTRANGE(""https://docs.google.com/spreadsheets/d/1EXMBoBxU3OFbjT2TRpneM33qFjqDzrKmn9ydcflfI0"&amp;"o/edit?usp=share_link"",""นครพนม!J83"")+IMPORTRANGE(""https://docs.google.com/spreadsheets/d/1bDQrolntRWtHumK8W-x-HXKntwxB9S3sF5aDeRS66Ko/edit?usp=share_link"",""นครราชสีมา!J83"")+IMPORTRANGE(""https://docs.google.com/spreadsheets/d/1_MzZ-2gVPiCW-d2VcafoC"&amp;"mFJQTSrZ6SQyFcMqRRQQ2w/edit?usp=share_link"",""บึงกาฬ!J83"")
+IMPORTRANGE(""https://docs.google.com/spreadsheets/d/1B3lPpzOuaNwVItLwLEZYl_qEblfcx7dRnbRkAw0l-pE/edit?usp=share_link"",""บุรีรัมย์!J83"")+IMPORTRANGE(""https://docs.google.com/spreadsheets/d/1"&amp;"9GOkiOqnzYbevLYWrMk4qFOXe3rX14BkSA8X-mq-a40/edit?usp=share_link"",""มหาสารคาม!J83"")+IMPORTRANGE(""https://docs.google.com/spreadsheets/d/1uMKqWwuNQ-TCKboGA3Bb1qXb5uj2-faACNUINCz8PN4/edit?usp=share_link"",""มุกดาหาร!J83"")+IMPORTRANGE(""https://docs.googl"&amp;"e.com/spreadsheets/d/1oKaccgDdQABndOzGr688Dbfxb_V3YcF67VqEPBtdzsc/edit?usp=share_link"",""ยโสธร!J83"")+IMPORTRANGE(""https://docs.google.com/spreadsheets/d/1BRgc8xKpxZ0PX-gauieMVkV_IOxKSotf0yW8MabGprQ/edit?usp=share_link"",""ร้อยเอ็ด!J83"")+IMPORTRANGE("""&amp;"https://docs.google.com/spreadsheets/d/1IdolZc-dfdgMwAm_KZxYJl1sUOcIgnbGQzbWOlddedo/edit?usp=share_link"",""เลย!J83"")+IMPORTRANGE(""https://docs.google.com/spreadsheets/d/1tZ0nmtGuIRCaGAMXHlQU8EpR9LOAJvyKfc4f7EFmE34/edit?usp=share_link"",""ศรีสะเกษ!J83"""&amp;")+IMPORTRANGE(""https://docs.google.com/spreadsheets/d/1QC8psz9w0f9IVE9Xuc2FT_btkaOzZbbUSgYObpBuetM/edit?usp=share_link"",""สกลนคร!J83"")+IMPORTRANGE(""https://docs.google.com/spreadsheets/d/1wPdvRbu02d33MYVlbsCnyTiZpefEBs9NNktAnT1HZvw/edit?usp=share_link"&amp;""",""สุรินทร์!J83"")+IMPORTRANGE(""https://docs.google.com/spreadsheets/d/1GVExpf-Exi_2gmuqTYH28fseTB9MoKPXWcXCbSt_YrM/edit?usp=share_link"",""หนองคาย!J83"")+IMPORTRANGE(""https://docs.google.com/spreadsheets/d/16UeMz0UgOB5BZcoxP75eYGcLFtGYRn9GoesD4OX9m5U"&amp;"/edit?usp=share_link"",""หนองบัวลำภู!J83"")+IMPORTRANGE(""https://docs.google.com/spreadsheets/d/1uUP8Zo1-qaJLuIkRU0qlwLSE3DHkbdrrj2JGJiWBQZE/edit?usp=share_link"",""อำนาจเจริญ!J83"")+IMPORTRANGE(""https://docs.google.com/spreadsheets/d/1hb_taSOHanzRjqfzW"&amp;"PiFo8yiT83VV1L7vvUCLhOiHKc/edit?usp=share_link"",""อุดรธานี!J83"")+IMPORTRANGE(""https://docs.google.com/spreadsheets/d/17IOkEwkUd63EGNfyNDnM5de9YlZ7rwzTiW6-dokVjKI/edit?usp=share_link"",""อุบลราชธานี!J83"")
"),373)</f>
        <v>373</v>
      </c>
      <c r="K83" s="163">
        <f t="shared" ca="1" si="59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fb2B9NLcpJgjIieIJvenUTNPn0TimZDUi0OtYeiSQ_s/edit?usp=share_link"",""กาฬสินธุ์!I84"")+IMPORTRANGE(""https://docs.google.com/spreadsheets/d/1SaMnqrwRGmFYNR0MhpWmHuL5niYUd5E7vDq8X7whAlI/edit?usp=share_lin"&amp;"k"",""ขอนแก่น!I84"")
+IMPORTRANGE(""https://docs.google.com/spreadsheets/d/1xQzEtGHhTTgxHh6YUkKY1P4dRyjVhS74dGswLfAASA4/edit?usp=share_link"",""ชัยภูมิ!I84"")+IMPORTRANGE(""https://docs.google.com/spreadsheets/d/1EXMBoBxU3OFbjT2TRpneM33qFjqDzrKmn9ydcflfI0"&amp;"o/edit?usp=share_link"",""นครพนม!I84"")+IMPORTRANGE(""https://docs.google.com/spreadsheets/d/1bDQrolntRWtHumK8W-x-HXKntwxB9S3sF5aDeRS66Ko/edit?usp=share_link"",""นครราชสีมา!I84"")+IMPORTRANGE(""https://docs.google.com/spreadsheets/d/1_MzZ-2gVPiCW-d2VcafoC"&amp;"mFJQTSrZ6SQyFcMqRRQQ2w/edit?usp=share_link"",""บึงกาฬ!I84"")
+IMPORTRANGE(""https://docs.google.com/spreadsheets/d/1B3lPpzOuaNwVItLwLEZYl_qEblfcx7dRnbRkAw0l-pE/edit?usp=share_link"",""บุรีรัมย์!I84"")+IMPORTRANGE(""https://docs.google.com/spreadsheets/d/1"&amp;"9GOkiOqnzYbevLYWrMk4qFOXe3rX14BkSA8X-mq-a40/edit?usp=share_link"",""มหาสารคาม!I84"")+IMPORTRANGE(""https://docs.google.com/spreadsheets/d/1uMKqWwuNQ-TCKboGA3Bb1qXb5uj2-faACNUINCz8PN4/edit?usp=share_link"",""มุกดาหาร!I84"")+IMPORTRANGE(""https://docs.googl"&amp;"e.com/spreadsheets/d/1oKaccgDdQABndOzGr688Dbfxb_V3YcF67VqEPBtdzsc/edit?usp=share_link"",""ยโสธร!I84"")+IMPORTRANGE(""https://docs.google.com/spreadsheets/d/1BRgc8xKpxZ0PX-gauieMVkV_IOxKSotf0yW8MabGprQ/edit?usp=share_link"",""ร้อยเอ็ด!I84"")+IMPORTRANGE("""&amp;"https://docs.google.com/spreadsheets/d/1IdolZc-dfdgMwAm_KZxYJl1sUOcIgnbGQzbWOlddedo/edit?usp=share_link"",""เลย!I84"")+IMPORTRANGE(""https://docs.google.com/spreadsheets/d/1tZ0nmtGuIRCaGAMXHlQU8EpR9LOAJvyKfc4f7EFmE34/edit?usp=share_link"",""ศรีสะเกษ!I84"""&amp;")+IMPORTRANGE(""https://docs.google.com/spreadsheets/d/1QC8psz9w0f9IVE9Xuc2FT_btkaOzZbbUSgYObpBuetM/edit?usp=share_link"",""สกลนคร!I84"")+IMPORTRANGE(""https://docs.google.com/spreadsheets/d/1wPdvRbu02d33MYVlbsCnyTiZpefEBs9NNktAnT1HZvw/edit?usp=share_link"&amp;""",""สุรินทร์!I84"")+IMPORTRANGE(""https://docs.google.com/spreadsheets/d/1GVExpf-Exi_2gmuqTYH28fseTB9MoKPXWcXCbSt_YrM/edit?usp=share_link"",""หนองคาย!I84"")+IMPORTRANGE(""https://docs.google.com/spreadsheets/d/16UeMz0UgOB5BZcoxP75eYGcLFtGYRn9GoesD4OX9m5U"&amp;"/edit?usp=share_link"",""หนองบัวลำภู!I84"")+IMPORTRANGE(""https://docs.google.com/spreadsheets/d/1uUP8Zo1-qaJLuIkRU0qlwLSE3DHkbdrrj2JGJiWBQZE/edit?usp=share_link"",""อำนาจเจริญ!I84"")+IMPORTRANGE(""https://docs.google.com/spreadsheets/d/1hb_taSOHanzRjqfzW"&amp;"PiFo8yiT83VV1L7vvUCLhOiHKc/edit?usp=share_link"",""อุดรธานี!I84"")+IMPORTRANGE(""https://docs.google.com/spreadsheets/d/17IOkEwkUd63EGNfyNDnM5de9YlZ7rwzTiW6-dokVjKI/edit?usp=share_link"",""อุบลราชธานี!I84"")
"),17)</f>
        <v>17</v>
      </c>
      <c r="J84" s="183">
        <f ca="1">IFERROR(__xludf.DUMMYFUNCTION("IMPORTRANGE(""https://docs.google.com/spreadsheets/d/1fb2B9NLcpJgjIieIJvenUTNPn0TimZDUi0OtYeiSQ_s/edit?usp=share_link"",""กาฬสินธุ์!J84"")+IMPORTRANGE(""https://docs.google.com/spreadsheets/d/1SaMnqrwRGmFYNR0MhpWmHuL5niYUd5E7vDq8X7whAlI/edit?usp=share_lin"&amp;"k"",""ขอนแก่น!J84"")
+IMPORTRANGE(""https://docs.google.com/spreadsheets/d/1xQzEtGHhTTgxHh6YUkKY1P4dRyjVhS74dGswLfAASA4/edit?usp=share_link"",""ชัยภูมิ!J84"")+IMPORTRANGE(""https://docs.google.com/spreadsheets/d/1EXMBoBxU3OFbjT2TRpneM33qFjqDzrKmn9ydcflfI0"&amp;"o/edit?usp=share_link"",""นครพนม!J84"")+IMPORTRANGE(""https://docs.google.com/spreadsheets/d/1bDQrolntRWtHumK8W-x-HXKntwxB9S3sF5aDeRS66Ko/edit?usp=share_link"",""นครราชสีมา!J84"")+IMPORTRANGE(""https://docs.google.com/spreadsheets/d/1_MzZ-2gVPiCW-d2VcafoC"&amp;"mFJQTSrZ6SQyFcMqRRQQ2w/edit?usp=share_link"",""บึงกาฬ!J84"")
+IMPORTRANGE(""https://docs.google.com/spreadsheets/d/1B3lPpzOuaNwVItLwLEZYl_qEblfcx7dRnbRkAw0l-pE/edit?usp=share_link"",""บุรีรัมย์!J84"")+IMPORTRANGE(""https://docs.google.com/spreadsheets/d/1"&amp;"9GOkiOqnzYbevLYWrMk4qFOXe3rX14BkSA8X-mq-a40/edit?usp=share_link"",""มหาสารคาม!J84"")+IMPORTRANGE(""https://docs.google.com/spreadsheets/d/1uMKqWwuNQ-TCKboGA3Bb1qXb5uj2-faACNUINCz8PN4/edit?usp=share_link"",""มุกดาหาร!J84"")+IMPORTRANGE(""https://docs.googl"&amp;"e.com/spreadsheets/d/1oKaccgDdQABndOzGr688Dbfxb_V3YcF67VqEPBtdzsc/edit?usp=share_link"",""ยโสธร!J84"")+IMPORTRANGE(""https://docs.google.com/spreadsheets/d/1BRgc8xKpxZ0PX-gauieMVkV_IOxKSotf0yW8MabGprQ/edit?usp=share_link"",""ร้อยเอ็ด!J84"")+IMPORTRANGE("""&amp;"https://docs.google.com/spreadsheets/d/1IdolZc-dfdgMwAm_KZxYJl1sUOcIgnbGQzbWOlddedo/edit?usp=share_link"",""เลย!J84"")+IMPORTRANGE(""https://docs.google.com/spreadsheets/d/1tZ0nmtGuIRCaGAMXHlQU8EpR9LOAJvyKfc4f7EFmE34/edit?usp=share_link"",""ศรีสะเกษ!J84"""&amp;")+IMPORTRANGE(""https://docs.google.com/spreadsheets/d/1QC8psz9w0f9IVE9Xuc2FT_btkaOzZbbUSgYObpBuetM/edit?usp=share_link"",""สกลนคร!J84"")+IMPORTRANGE(""https://docs.google.com/spreadsheets/d/1wPdvRbu02d33MYVlbsCnyTiZpefEBs9NNktAnT1HZvw/edit?usp=share_link"&amp;""",""สุรินทร์!J84"")+IMPORTRANGE(""https://docs.google.com/spreadsheets/d/1GVExpf-Exi_2gmuqTYH28fseTB9MoKPXWcXCbSt_YrM/edit?usp=share_link"",""หนองคาย!J84"")+IMPORTRANGE(""https://docs.google.com/spreadsheets/d/16UeMz0UgOB5BZcoxP75eYGcLFtGYRn9GoesD4OX9m5U"&amp;"/edit?usp=share_link"",""หนองบัวลำภู!J84"")+IMPORTRANGE(""https://docs.google.com/spreadsheets/d/1uUP8Zo1-qaJLuIkRU0qlwLSE3DHkbdrrj2JGJiWBQZE/edit?usp=share_link"",""อำนาจเจริญ!J84"")+IMPORTRANGE(""https://docs.google.com/spreadsheets/d/1hb_taSOHanzRjqfzW"&amp;"PiFo8yiT83VV1L7vvUCLhOiHKc/edit?usp=share_link"",""อุดรธานี!J84"")+IMPORTRANGE(""https://docs.google.com/spreadsheets/d/17IOkEwkUd63EGNfyNDnM5de9YlZ7rwzTiW6-dokVjKI/edit?usp=share_link"",""อุบลราชธานี!J84"")
"),17)</f>
        <v>17</v>
      </c>
      <c r="K84" s="163">
        <f t="shared" ca="1" si="59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795</v>
      </c>
      <c r="J86" s="144">
        <f t="shared" ca="1" si="61"/>
        <v>795</v>
      </c>
      <c r="K86" s="145">
        <f t="shared" ref="K86:K87" ca="1" si="62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265</v>
      </c>
      <c r="J87" s="144">
        <f t="shared" ca="1" si="63"/>
        <v>265</v>
      </c>
      <c r="K87" s="145">
        <f t="shared" ca="1" si="62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2299260</v>
      </c>
      <c r="M88" s="155">
        <f t="shared" ca="1" si="64"/>
        <v>2487050</v>
      </c>
      <c r="N88" s="155">
        <f t="shared" ca="1" si="64"/>
        <v>2487050</v>
      </c>
      <c r="O88" s="155">
        <f t="shared" ref="O88:O96" ca="1" si="65">IF(L88&gt;0,N88*100/L88,0)</f>
        <v>108.16741038421057</v>
      </c>
      <c r="P88" s="155">
        <f t="shared" ref="P88:P96" ca="1" si="6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2299260</v>
      </c>
      <c r="M90" s="45">
        <f t="shared" ca="1" si="68"/>
        <v>2487050</v>
      </c>
      <c r="N90" s="45">
        <f t="shared" ca="1" si="68"/>
        <v>2487050</v>
      </c>
      <c r="O90" s="45">
        <f t="shared" ca="1" si="65"/>
        <v>108.16741038421057</v>
      </c>
      <c r="P90" s="45">
        <f t="shared" ca="1" si="6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2299260</v>
      </c>
      <c r="M91" s="38">
        <f t="shared" ca="1" si="69"/>
        <v>2487050</v>
      </c>
      <c r="N91" s="38">
        <f t="shared" ca="1" si="69"/>
        <v>2487050</v>
      </c>
      <c r="O91" s="38">
        <f t="shared" ca="1" si="65"/>
        <v>108.16741038421057</v>
      </c>
      <c r="P91" s="38">
        <f t="shared" ca="1" si="6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fb2B9NLcpJgjIieIJvenUTNPn0TimZDUi0OtYeiSQ_s/edit?usp=share_link"",""กาฬสินธุ์!L93"")+IMPORTRANGE(""https://docs.google.com/spreadsheets/d/1SaMnqrwRGmFYNR0MhpWmHuL5niYUd5E7vDq8X7whAlI/edit?usp=share_lin"&amp;"k"",""ขอนแก่น!L93"")
+IMPORTRANGE(""https://docs.google.com/spreadsheets/d/1xQzEtGHhTTgxHh6YUkKY1P4dRyjVhS74dGswLfAASA4/edit?usp=share_link"",""ชัยภูมิ!L93"")+IMPORTRANGE(""https://docs.google.com/spreadsheets/d/1EXMBoBxU3OFbjT2TRpneM33qFjqDzrKmn9ydcflfI0"&amp;"o/edit?usp=share_link"",""นครพนม!L93"")+IMPORTRANGE(""https://docs.google.com/spreadsheets/d/1bDQrolntRWtHumK8W-x-HXKntwxB9S3sF5aDeRS66Ko/edit?usp=share_link"",""นครราชสีมา!L93"")+IMPORTRANGE(""https://docs.google.com/spreadsheets/d/1_MzZ-2gVPiCW-d2VcafoC"&amp;"mFJQTSrZ6SQyFcMqRRQQ2w/edit?usp=share_link"",""บึงกาฬ!L93"")
+IMPORTRANGE(""https://docs.google.com/spreadsheets/d/1B3lPpzOuaNwVItLwLEZYl_qEblfcx7dRnbRkAw0l-pE/edit?usp=share_link"",""บุรีรัมย์!L93"")+IMPORTRANGE(""https://docs.google.com/spreadsheets/d/1"&amp;"9GOkiOqnzYbevLYWrMk4qFOXe3rX14BkSA8X-mq-a40/edit?usp=share_link"",""มหาสารคาม!L93"")+IMPORTRANGE(""https://docs.google.com/spreadsheets/d/1uMKqWwuNQ-TCKboGA3Bb1qXb5uj2-faACNUINCz8PN4/edit?usp=share_link"",""มุกดาหาร!L93"")+IMPORTRANGE(""https://docs.googl"&amp;"e.com/spreadsheets/d/1oKaccgDdQABndOzGr688Dbfxb_V3YcF67VqEPBtdzsc/edit?usp=share_link"",""ยโสธร!L93"")+IMPORTRANGE(""https://docs.google.com/spreadsheets/d/1BRgc8xKpxZ0PX-gauieMVkV_IOxKSotf0yW8MabGprQ/edit?usp=share_link"",""ร้อยเอ็ด!L93"")+IMPORTRANGE("""&amp;"https://docs.google.com/spreadsheets/d/1IdolZc-dfdgMwAm_KZxYJl1sUOcIgnbGQzbWOlddedo/edit?usp=share_link"",""เลย!L93"")+IMPORTRANGE(""https://docs.google.com/spreadsheets/d/1tZ0nmtGuIRCaGAMXHlQU8EpR9LOAJvyKfc4f7EFmE34/edit?usp=share_link"",""ศรีสะเกษ!L93"""&amp;")+IMPORTRANGE(""https://docs.google.com/spreadsheets/d/1QC8psz9w0f9IVE9Xuc2FT_btkaOzZbbUSgYObpBuetM/edit?usp=share_link"",""สกลนคร!L93"")+IMPORTRANGE(""https://docs.google.com/spreadsheets/d/1wPdvRbu02d33MYVlbsCnyTiZpefEBs9NNktAnT1HZvw/edit?usp=share_link"&amp;""",""สุรินทร์!L93"")+IMPORTRANGE(""https://docs.google.com/spreadsheets/d/1GVExpf-Exi_2gmuqTYH28fseTB9MoKPXWcXCbSt_YrM/edit?usp=share_link"",""หนองคาย!L93"")+IMPORTRANGE(""https://docs.google.com/spreadsheets/d/16UeMz0UgOB5BZcoxP75eYGcLFtGYRn9GoesD4OX9m5U"&amp;"/edit?usp=share_link"",""หนองบัวลำภู!L93"")+IMPORTRANGE(""https://docs.google.com/spreadsheets/d/1uUP8Zo1-qaJLuIkRU0qlwLSE3DHkbdrrj2JGJiWBQZE/edit?usp=share_link"",""อำนาจเจริญ!L93"")+IMPORTRANGE(""https://docs.google.com/spreadsheets/d/1hb_taSOHanzRjqfzW"&amp;"PiFo8yiT83VV1L7vvUCLhOiHKc/edit?usp=share_link"",""อุดรธานี!L93"")+IMPORTRANGE(""https://docs.google.com/spreadsheets/d/17IOkEwkUd63EGNfyNDnM5de9YlZ7rwzTiW6-dokVjKI/edit?usp=share_link"",""อุบลราชธานี!L93"")
"),2299260)</f>
        <v>2299260</v>
      </c>
      <c r="M93" s="45">
        <f ca="1">IFERROR(__xludf.DUMMYFUNCTION("IMPORTRANGE(""https://docs.google.com/spreadsheets/d/1fb2B9NLcpJgjIieIJvenUTNPn0TimZDUi0OtYeiSQ_s/edit?usp=share_link"",""กาฬสินธุ์!M93"")+IMPORTRANGE(""https://docs.google.com/spreadsheets/d/1SaMnqrwRGmFYNR0MhpWmHuL5niYUd5E7vDq8X7whAlI/edit?usp=share_lin"&amp;"k"",""ขอนแก่น!M93"")
+IMPORTRANGE(""https://docs.google.com/spreadsheets/d/1xQzEtGHhTTgxHh6YUkKY1P4dRyjVhS74dGswLfAASA4/edit?usp=share_link"",""ชัยภูมิ!M93"")+IMPORTRANGE(""https://docs.google.com/spreadsheets/d/1EXMBoBxU3OFbjT2TRpneM33qFjqDzrKmn9ydcflfI0"&amp;"o/edit?usp=share_link"",""นครพนม!M93"")+IMPORTRANGE(""https://docs.google.com/spreadsheets/d/1bDQrolntRWtHumK8W-x-HXKntwxB9S3sF5aDeRS66Ko/edit?usp=share_link"",""นครราชสีมา!M93"")+IMPORTRANGE(""https://docs.google.com/spreadsheets/d/1_MzZ-2gVPiCW-d2VcafoC"&amp;"mFJQTSrZ6SQyFcMqRRQQ2w/edit?usp=share_link"",""บึงกาฬ!M93"")
+IMPORTRANGE(""https://docs.google.com/spreadsheets/d/1B3lPpzOuaNwVItLwLEZYl_qEblfcx7dRnbRkAw0l-pE/edit?usp=share_link"",""บุรีรัมย์!M93"")+IMPORTRANGE(""https://docs.google.com/spreadsheets/d/1"&amp;"9GOkiOqnzYbevLYWrMk4qFOXe3rX14BkSA8X-mq-a40/edit?usp=share_link"",""มหาสารคาม!M93"")+IMPORTRANGE(""https://docs.google.com/spreadsheets/d/1uMKqWwuNQ-TCKboGA3Bb1qXb5uj2-faACNUINCz8PN4/edit?usp=share_link"",""มุกดาหาร!M93"")+IMPORTRANGE(""https://docs.googl"&amp;"e.com/spreadsheets/d/1oKaccgDdQABndOzGr688Dbfxb_V3YcF67VqEPBtdzsc/edit?usp=share_link"",""ยโสธร!M93"")+IMPORTRANGE(""https://docs.google.com/spreadsheets/d/1BRgc8xKpxZ0PX-gauieMVkV_IOxKSotf0yW8MabGprQ/edit?usp=share_link"",""ร้อยเอ็ด!M93"")+IMPORTRANGE("""&amp;"https://docs.google.com/spreadsheets/d/1IdolZc-dfdgMwAm_KZxYJl1sUOcIgnbGQzbWOlddedo/edit?usp=share_link"",""เลย!M93"")+IMPORTRANGE(""https://docs.google.com/spreadsheets/d/1tZ0nmtGuIRCaGAMXHlQU8EpR9LOAJvyKfc4f7EFmE34/edit?usp=share_link"",""ศรีสะเกษ!M93"""&amp;")+IMPORTRANGE(""https://docs.google.com/spreadsheets/d/1QC8psz9w0f9IVE9Xuc2FT_btkaOzZbbUSgYObpBuetM/edit?usp=share_link"",""สกลนคร!M93"")+IMPORTRANGE(""https://docs.google.com/spreadsheets/d/1wPdvRbu02d33MYVlbsCnyTiZpefEBs9NNktAnT1HZvw/edit?usp=share_link"&amp;""",""สุรินทร์!M93"")+IMPORTRANGE(""https://docs.google.com/spreadsheets/d/1GVExpf-Exi_2gmuqTYH28fseTB9MoKPXWcXCbSt_YrM/edit?usp=share_link"",""หนองคาย!M93"")+IMPORTRANGE(""https://docs.google.com/spreadsheets/d/16UeMz0UgOB5BZcoxP75eYGcLFtGYRn9GoesD4OX9m5U"&amp;"/edit?usp=share_link"",""หนองบัวลำภู!M93"")+IMPORTRANGE(""https://docs.google.com/spreadsheets/d/1uUP8Zo1-qaJLuIkRU0qlwLSE3DHkbdrrj2JGJiWBQZE/edit?usp=share_link"",""อำนาจเจริญ!M93"")+IMPORTRANGE(""https://docs.google.com/spreadsheets/d/1hb_taSOHanzRjqfzW"&amp;"PiFo8yiT83VV1L7vvUCLhOiHKc/edit?usp=share_link"",""อุดรธานี!M93"")+IMPORTRANGE(""https://docs.google.com/spreadsheets/d/17IOkEwkUd63EGNfyNDnM5de9YlZ7rwzTiW6-dokVjKI/edit?usp=share_link"",""อุบลราชธานี!M93"")
"),2487050)</f>
        <v>2487050</v>
      </c>
      <c r="N93" s="45">
        <f ca="1">IFERROR(__xludf.DUMMYFUNCTION("IMPORTRANGE(""https://docs.google.com/spreadsheets/d/1fb2B9NLcpJgjIieIJvenUTNPn0TimZDUi0OtYeiSQ_s/edit?usp=share_link"",""กาฬสินธุ์!N93"")+IMPORTRANGE(""https://docs.google.com/spreadsheets/d/1SaMnqrwRGmFYNR0MhpWmHuL5niYUd5E7vDq8X7whAlI/edit?usp=share_lin"&amp;"k"",""ขอนแก่น!N93"")
+IMPORTRANGE(""https://docs.google.com/spreadsheets/d/1xQzEtGHhTTgxHh6YUkKY1P4dRyjVhS74dGswLfAASA4/edit?usp=share_link"",""ชัยภูมิ!N93"")+IMPORTRANGE(""https://docs.google.com/spreadsheets/d/1EXMBoBxU3OFbjT2TRpneM33qFjqDzrKmn9ydcflfI0"&amp;"o/edit?usp=share_link"",""นครพนม!N93"")+IMPORTRANGE(""https://docs.google.com/spreadsheets/d/1bDQrolntRWtHumK8W-x-HXKntwxB9S3sF5aDeRS66Ko/edit?usp=share_link"",""นครราชสีมา!N93"")+IMPORTRANGE(""https://docs.google.com/spreadsheets/d/1_MzZ-2gVPiCW-d2VcafoC"&amp;"mFJQTSrZ6SQyFcMqRRQQ2w/edit?usp=share_link"",""บึงกาฬ!N93"")
+IMPORTRANGE(""https://docs.google.com/spreadsheets/d/1B3lPpzOuaNwVItLwLEZYl_qEblfcx7dRnbRkAw0l-pE/edit?usp=share_link"",""บุรีรัมย์!N93"")+IMPORTRANGE(""https://docs.google.com/spreadsheets/d/1"&amp;"9GOkiOqnzYbevLYWrMk4qFOXe3rX14BkSA8X-mq-a40/edit?usp=share_link"",""มหาสารคาม!N93"")+IMPORTRANGE(""https://docs.google.com/spreadsheets/d/1uMKqWwuNQ-TCKboGA3Bb1qXb5uj2-faACNUINCz8PN4/edit?usp=share_link"",""มุกดาหาร!N93"")+IMPORTRANGE(""https://docs.googl"&amp;"e.com/spreadsheets/d/1oKaccgDdQABndOzGr688Dbfxb_V3YcF67VqEPBtdzsc/edit?usp=share_link"",""ยโสธร!N93"")+IMPORTRANGE(""https://docs.google.com/spreadsheets/d/1BRgc8xKpxZ0PX-gauieMVkV_IOxKSotf0yW8MabGprQ/edit?usp=share_link"",""ร้อยเอ็ด!N93"")+IMPORTRANGE("""&amp;"https://docs.google.com/spreadsheets/d/1IdolZc-dfdgMwAm_KZxYJl1sUOcIgnbGQzbWOlddedo/edit?usp=share_link"",""เลย!N93"")+IMPORTRANGE(""https://docs.google.com/spreadsheets/d/1tZ0nmtGuIRCaGAMXHlQU8EpR9LOAJvyKfc4f7EFmE34/edit?usp=share_link"",""ศรีสะเกษ!N93"""&amp;")+IMPORTRANGE(""https://docs.google.com/spreadsheets/d/1QC8psz9w0f9IVE9Xuc2FT_btkaOzZbbUSgYObpBuetM/edit?usp=share_link"",""สกลนคร!N93"")+IMPORTRANGE(""https://docs.google.com/spreadsheets/d/1wPdvRbu02d33MYVlbsCnyTiZpefEBs9NNktAnT1HZvw/edit?usp=share_link"&amp;""",""สุรินทร์!N93"")+IMPORTRANGE(""https://docs.google.com/spreadsheets/d/1GVExpf-Exi_2gmuqTYH28fseTB9MoKPXWcXCbSt_YrM/edit?usp=share_link"",""หนองคาย!N93"")+IMPORTRANGE(""https://docs.google.com/spreadsheets/d/16UeMz0UgOB5BZcoxP75eYGcLFtGYRn9GoesD4OX9m5U"&amp;"/edit?usp=share_link"",""หนองบัวลำภู!N93"")+IMPORTRANGE(""https://docs.google.com/spreadsheets/d/1uUP8Zo1-qaJLuIkRU0qlwLSE3DHkbdrrj2JGJiWBQZE/edit?usp=share_link"",""อำนาจเจริญ!N93"")+IMPORTRANGE(""https://docs.google.com/spreadsheets/d/1hb_taSOHanzRjqfzW"&amp;"PiFo8yiT83VV1L7vvUCLhOiHKc/edit?usp=share_link"",""อุดรธานี!N93"")+IMPORTRANGE(""https://docs.google.com/spreadsheets/d/17IOkEwkUd63EGNfyNDnM5de9YlZ7rwzTiW6-dokVjKI/edit?usp=share_link"",""อุบลราชธานี!N93"")
"),2487050)</f>
        <v>2487050</v>
      </c>
      <c r="O93" s="45">
        <f t="shared" ca="1" si="65"/>
        <v>108.16741038421057</v>
      </c>
      <c r="P93" s="45">
        <f t="shared" ca="1" si="6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fb2B9NLcpJgjIieIJvenUTNPn0TimZDUi0OtYeiSQ_s/edit?usp=share_link"",""กาฬสินธุ์!L96"")+IMPORTRANGE(""https://docs.google.com/spreadsheets/d/1SaMnqrwRGmFYNR0MhpWmHuL5niYUd5E7vDq8X7whAlI/edit?usp=share_lin"&amp;"k"",""ขอนแก่น!L96"")
+IMPORTRANGE(""https://docs.google.com/spreadsheets/d/1xQzEtGHhTTgxHh6YUkKY1P4dRyjVhS74dGswLfAASA4/edit?usp=share_link"",""ชัยภูมิ!L96"")+IMPORTRANGE(""https://docs.google.com/spreadsheets/d/1EXMBoBxU3OFbjT2TRpneM33qFjqDzrKmn9ydcflfI0"&amp;"o/edit?usp=share_link"",""นครพนม!L96"")+IMPORTRANGE(""https://docs.google.com/spreadsheets/d/1bDQrolntRWtHumK8W-x-HXKntwxB9S3sF5aDeRS66Ko/edit?usp=share_link"",""นครราชสีมา!L96"")+IMPORTRANGE(""https://docs.google.com/spreadsheets/d/1_MzZ-2gVPiCW-d2VcafoC"&amp;"mFJQTSrZ6SQyFcMqRRQQ2w/edit?usp=share_link"",""บึงกาฬ!L96"")
+IMPORTRANGE(""https://docs.google.com/spreadsheets/d/1B3lPpzOuaNwVItLwLEZYl_qEblfcx7dRnbRkAw0l-pE/edit?usp=share_link"",""บุรีรัมย์!L96"")+IMPORTRANGE(""https://docs.google.com/spreadsheets/d/1"&amp;"9GOkiOqnzYbevLYWrMk4qFOXe3rX14BkSA8X-mq-a40/edit?usp=share_link"",""มหาสารคาม!L96"")+IMPORTRANGE(""https://docs.google.com/spreadsheets/d/1uMKqWwuNQ-TCKboGA3Bb1qXb5uj2-faACNUINCz8PN4/edit?usp=share_link"",""มุกดาหาร!L96"")+IMPORTRANGE(""https://docs.googl"&amp;"e.com/spreadsheets/d/1oKaccgDdQABndOzGr688Dbfxb_V3YcF67VqEPBtdzsc/edit?usp=share_link"",""ยโสธร!L96"")+IMPORTRANGE(""https://docs.google.com/spreadsheets/d/1BRgc8xKpxZ0PX-gauieMVkV_IOxKSotf0yW8MabGprQ/edit?usp=share_link"",""ร้อยเอ็ด!L96"")+IMPORTRANGE("""&amp;"https://docs.google.com/spreadsheets/d/1IdolZc-dfdgMwAm_KZxYJl1sUOcIgnbGQzbWOlddedo/edit?usp=share_link"",""เลย!L96"")+IMPORTRANGE(""https://docs.google.com/spreadsheets/d/1tZ0nmtGuIRCaGAMXHlQU8EpR9LOAJvyKfc4f7EFmE34/edit?usp=share_link"",""ศรีสะเกษ!L96"""&amp;")+IMPORTRANGE(""https://docs.google.com/spreadsheets/d/1QC8psz9w0f9IVE9Xuc2FT_btkaOzZbbUSgYObpBuetM/edit?usp=share_link"",""สกลนคร!L96"")+IMPORTRANGE(""https://docs.google.com/spreadsheets/d/1wPdvRbu02d33MYVlbsCnyTiZpefEBs9NNktAnT1HZvw/edit?usp=share_link"&amp;""",""สุรินทร์!L96"")+IMPORTRANGE(""https://docs.google.com/spreadsheets/d/1GVExpf-Exi_2gmuqTYH28fseTB9MoKPXWcXCbSt_YrM/edit?usp=share_link"",""หนองคาย!L96"")+IMPORTRANGE(""https://docs.google.com/spreadsheets/d/16UeMz0UgOB5BZcoxP75eYGcLFtGYRn9GoesD4OX9m5U"&amp;"/edit?usp=share_link"",""หนองบัวลำภู!L96"")+IMPORTRANGE(""https://docs.google.com/spreadsheets/d/1uUP8Zo1-qaJLuIkRU0qlwLSE3DHkbdrrj2JGJiWBQZE/edit?usp=share_link"",""อำนาจเจริญ!L96"")+IMPORTRANGE(""https://docs.google.com/spreadsheets/d/1hb_taSOHanzRjqfzW"&amp;"PiFo8yiT83VV1L7vvUCLhOiHKc/edit?usp=share_link"",""อุดรธานี!L96"")+IMPORTRANGE(""https://docs.google.com/spreadsheets/d/17IOkEwkUd63EGNfyNDnM5de9YlZ7rwzTiW6-dokVjKI/edit?usp=share_link"",""อุบลราชธานี!L96"")
"),0)</f>
        <v>0</v>
      </c>
      <c r="M96" s="45">
        <f ca="1">IFERROR(__xludf.DUMMYFUNCTION("IMPORTRANGE(""https://docs.google.com/spreadsheets/d/1fb2B9NLcpJgjIieIJvenUTNPn0TimZDUi0OtYeiSQ_s/edit?usp=share_link"",""กาฬสินธุ์!M96"")+IMPORTRANGE(""https://docs.google.com/spreadsheets/d/1SaMnqrwRGmFYNR0MhpWmHuL5niYUd5E7vDq8X7whAlI/edit?usp=share_lin"&amp;"k"",""ขอนแก่น!M96"")
+IMPORTRANGE(""https://docs.google.com/spreadsheets/d/1xQzEtGHhTTgxHh6YUkKY1P4dRyjVhS74dGswLfAASA4/edit?usp=share_link"",""ชัยภูมิ!M96"")+IMPORTRANGE(""https://docs.google.com/spreadsheets/d/1EXMBoBxU3OFbjT2TRpneM33qFjqDzrKmn9ydcflfI0"&amp;"o/edit?usp=share_link"",""นครพนม!M96"")+IMPORTRANGE(""https://docs.google.com/spreadsheets/d/1bDQrolntRWtHumK8W-x-HXKntwxB9S3sF5aDeRS66Ko/edit?usp=share_link"",""นครราชสีมา!M96"")+IMPORTRANGE(""https://docs.google.com/spreadsheets/d/1_MzZ-2gVPiCW-d2VcafoC"&amp;"mFJQTSrZ6SQyFcMqRRQQ2w/edit?usp=share_link"",""บึงกาฬ!M96"")
+IMPORTRANGE(""https://docs.google.com/spreadsheets/d/1B3lPpzOuaNwVItLwLEZYl_qEblfcx7dRnbRkAw0l-pE/edit?usp=share_link"",""บุรีรัมย์!M96"")+IMPORTRANGE(""https://docs.google.com/spreadsheets/d/1"&amp;"9GOkiOqnzYbevLYWrMk4qFOXe3rX14BkSA8X-mq-a40/edit?usp=share_link"",""มหาสารคาม!M96"")+IMPORTRANGE(""https://docs.google.com/spreadsheets/d/1uMKqWwuNQ-TCKboGA3Bb1qXb5uj2-faACNUINCz8PN4/edit?usp=share_link"",""มุกดาหาร!M96"")+IMPORTRANGE(""https://docs.googl"&amp;"e.com/spreadsheets/d/1oKaccgDdQABndOzGr688Dbfxb_V3YcF67VqEPBtdzsc/edit?usp=share_link"",""ยโสธร!M96"")+IMPORTRANGE(""https://docs.google.com/spreadsheets/d/1BRgc8xKpxZ0PX-gauieMVkV_IOxKSotf0yW8MabGprQ/edit?usp=share_link"",""ร้อยเอ็ด!M96"")+IMPORTRANGE("""&amp;"https://docs.google.com/spreadsheets/d/1IdolZc-dfdgMwAm_KZxYJl1sUOcIgnbGQzbWOlddedo/edit?usp=share_link"",""เลย!M96"")+IMPORTRANGE(""https://docs.google.com/spreadsheets/d/1tZ0nmtGuIRCaGAMXHlQU8EpR9LOAJvyKfc4f7EFmE34/edit?usp=share_link"",""ศรีสะเกษ!M96"""&amp;")+IMPORTRANGE(""https://docs.google.com/spreadsheets/d/1QC8psz9w0f9IVE9Xuc2FT_btkaOzZbbUSgYObpBuetM/edit?usp=share_link"",""สกลนคร!M96"")+IMPORTRANGE(""https://docs.google.com/spreadsheets/d/1wPdvRbu02d33MYVlbsCnyTiZpefEBs9NNktAnT1HZvw/edit?usp=share_link"&amp;""",""สุรินทร์!M96"")+IMPORTRANGE(""https://docs.google.com/spreadsheets/d/1GVExpf-Exi_2gmuqTYH28fseTB9MoKPXWcXCbSt_YrM/edit?usp=share_link"",""หนองคาย!M96"")+IMPORTRANGE(""https://docs.google.com/spreadsheets/d/16UeMz0UgOB5BZcoxP75eYGcLFtGYRn9GoesD4OX9m5U"&amp;"/edit?usp=share_link"",""หนองบัวลำภู!M96"")+IMPORTRANGE(""https://docs.google.com/spreadsheets/d/1uUP8Zo1-qaJLuIkRU0qlwLSE3DHkbdrrj2JGJiWBQZE/edit?usp=share_link"",""อำนาจเจริญ!M96"")+IMPORTRANGE(""https://docs.google.com/spreadsheets/d/1hb_taSOHanzRjqfzW"&amp;"PiFo8yiT83VV1L7vvUCLhOiHKc/edit?usp=share_link"",""อุดรธานี!M96"")+IMPORTRANGE(""https://docs.google.com/spreadsheets/d/17IOkEwkUd63EGNfyNDnM5de9YlZ7rwzTiW6-dokVjKI/edit?usp=share_link"",""อุบลราชธานี!M96"")
"),0)</f>
        <v>0</v>
      </c>
      <c r="N96" s="45">
        <f ca="1">IFERROR(__xludf.DUMMYFUNCTION("IMPORTRANGE(""https://docs.google.com/spreadsheets/d/1fb2B9NLcpJgjIieIJvenUTNPn0TimZDUi0OtYeiSQ_s/edit?usp=share_link"",""กาฬสินธุ์!N96"")+IMPORTRANGE(""https://docs.google.com/spreadsheets/d/1SaMnqrwRGmFYNR0MhpWmHuL5niYUd5E7vDq8X7whAlI/edit?usp=share_lin"&amp;"k"",""ขอนแก่น!N96"")
+IMPORTRANGE(""https://docs.google.com/spreadsheets/d/1xQzEtGHhTTgxHh6YUkKY1P4dRyjVhS74dGswLfAASA4/edit?usp=share_link"",""ชัยภูมิ!N96"")+IMPORTRANGE(""https://docs.google.com/spreadsheets/d/1EXMBoBxU3OFbjT2TRpneM33qFjqDzrKmn9ydcflfI0"&amp;"o/edit?usp=share_link"",""นครพนม!N96"")+IMPORTRANGE(""https://docs.google.com/spreadsheets/d/1bDQrolntRWtHumK8W-x-HXKntwxB9S3sF5aDeRS66Ko/edit?usp=share_link"",""นครราชสีมา!N96"")+IMPORTRANGE(""https://docs.google.com/spreadsheets/d/1_MzZ-2gVPiCW-d2VcafoC"&amp;"mFJQTSrZ6SQyFcMqRRQQ2w/edit?usp=share_link"",""บึงกาฬ!N96"")
+IMPORTRANGE(""https://docs.google.com/spreadsheets/d/1B3lPpzOuaNwVItLwLEZYl_qEblfcx7dRnbRkAw0l-pE/edit?usp=share_link"",""บุรีรัมย์!N96"")+IMPORTRANGE(""https://docs.google.com/spreadsheets/d/1"&amp;"9GOkiOqnzYbevLYWrMk4qFOXe3rX14BkSA8X-mq-a40/edit?usp=share_link"",""มหาสารคาม!N96"")+IMPORTRANGE(""https://docs.google.com/spreadsheets/d/1uMKqWwuNQ-TCKboGA3Bb1qXb5uj2-faACNUINCz8PN4/edit?usp=share_link"",""มุกดาหาร!N96"")+IMPORTRANGE(""https://docs.googl"&amp;"e.com/spreadsheets/d/1oKaccgDdQABndOzGr688Dbfxb_V3YcF67VqEPBtdzsc/edit?usp=share_link"",""ยโสธร!N96"")+IMPORTRANGE(""https://docs.google.com/spreadsheets/d/1BRgc8xKpxZ0PX-gauieMVkV_IOxKSotf0yW8MabGprQ/edit?usp=share_link"",""ร้อยเอ็ด!N96"")+IMPORTRANGE("""&amp;"https://docs.google.com/spreadsheets/d/1IdolZc-dfdgMwAm_KZxYJl1sUOcIgnbGQzbWOlddedo/edit?usp=share_link"",""เลย!N96"")+IMPORTRANGE(""https://docs.google.com/spreadsheets/d/1tZ0nmtGuIRCaGAMXHlQU8EpR9LOAJvyKfc4f7EFmE34/edit?usp=share_link"",""ศรีสะเกษ!N96"""&amp;")+IMPORTRANGE(""https://docs.google.com/spreadsheets/d/1QC8psz9w0f9IVE9Xuc2FT_btkaOzZbbUSgYObpBuetM/edit?usp=share_link"",""สกลนคร!N96"")+IMPORTRANGE(""https://docs.google.com/spreadsheets/d/1wPdvRbu02d33MYVlbsCnyTiZpefEBs9NNktAnT1HZvw/edit?usp=share_link"&amp;""",""สุรินทร์!N96"")+IMPORTRANGE(""https://docs.google.com/spreadsheets/d/1GVExpf-Exi_2gmuqTYH28fseTB9MoKPXWcXCbSt_YrM/edit?usp=share_link"",""หนองคาย!N96"")+IMPORTRANGE(""https://docs.google.com/spreadsheets/d/16UeMz0UgOB5BZcoxP75eYGcLFtGYRn9GoesD4OX9m5U"&amp;"/edit?usp=share_link"",""หนองบัวลำภู!N96"")+IMPORTRANGE(""https://docs.google.com/spreadsheets/d/1uUP8Zo1-qaJLuIkRU0qlwLSE3DHkbdrrj2JGJiWBQZE/edit?usp=share_link"",""อำนาจเจริญ!N96"")+IMPORTRANGE(""https://docs.google.com/spreadsheets/d/1hb_taSOHanzRjqfzW"&amp;"PiFo8yiT83VV1L7vvUCLhOiHKc/edit?usp=share_link"",""อุดรธานี!N96"")+IMPORTRANGE(""https://docs.google.com/spreadsheets/d/17IOkEwkUd63EGNfyNDnM5de9YlZ7rwzTiW6-dokVjKI/edit?usp=share_link"",""อุบลราชธานี!N96"")
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fb2B9NLcpJgjIieIJvenUTNPn0TimZDUi0OtYeiSQ_s/edit?usp=share_link"",""กาฬสินธุ์!I98"")+IMPORTRANGE(""https://docs.google.com/spreadsheets/d/1SaMnqrwRGmFYNR0MhpWmHuL5niYUd5E7vDq8X7whAlI/edit?usp=share_lin"&amp;"k"",""ขอนแก่น!I98"")
+IMPORTRANGE(""https://docs.google.com/spreadsheets/d/1xQzEtGHhTTgxHh6YUkKY1P4dRyjVhS74dGswLfAASA4/edit?usp=share_link"",""ชัยภูมิ!I98"")+IMPORTRANGE(""https://docs.google.com/spreadsheets/d/1EXMBoBxU3OFbjT2TRpneM33qFjqDzrKmn9ydcflfI0"&amp;"o/edit?usp=share_link"",""นครพนม!I98"")+IMPORTRANGE(""https://docs.google.com/spreadsheets/d/1bDQrolntRWtHumK8W-x-HXKntwxB9S3sF5aDeRS66Ko/edit?usp=share_link"",""นครราชสีมา!I98"")+IMPORTRANGE(""https://docs.google.com/spreadsheets/d/1_MzZ-2gVPiCW-d2VcafoC"&amp;"mFJQTSrZ6SQyFcMqRRQQ2w/edit?usp=share_link"",""บึงกาฬ!I98"")
+IMPORTRANGE(""https://docs.google.com/spreadsheets/d/1B3lPpzOuaNwVItLwLEZYl_qEblfcx7dRnbRkAw0l-pE/edit?usp=share_link"",""บุรีรัมย์!I98"")+IMPORTRANGE(""https://docs.google.com/spreadsheets/d/1"&amp;"9GOkiOqnzYbevLYWrMk4qFOXe3rX14BkSA8X-mq-a40/edit?usp=share_link"",""มหาสารคาม!I98"")+IMPORTRANGE(""https://docs.google.com/spreadsheets/d/1uMKqWwuNQ-TCKboGA3Bb1qXb5uj2-faACNUINCz8PN4/edit?usp=share_link"",""มุกดาหาร!I98"")+IMPORTRANGE(""https://docs.googl"&amp;"e.com/spreadsheets/d/1oKaccgDdQABndOzGr688Dbfxb_V3YcF67VqEPBtdzsc/edit?usp=share_link"",""ยโสธร!I98"")+IMPORTRANGE(""https://docs.google.com/spreadsheets/d/1BRgc8xKpxZ0PX-gauieMVkV_IOxKSotf0yW8MabGprQ/edit?usp=share_link"",""ร้อยเอ็ด!I98"")+IMPORTRANGE("""&amp;"https://docs.google.com/spreadsheets/d/1IdolZc-dfdgMwAm_KZxYJl1sUOcIgnbGQzbWOlddedo/edit?usp=share_link"",""เลย!I98"")+IMPORTRANGE(""https://docs.google.com/spreadsheets/d/1tZ0nmtGuIRCaGAMXHlQU8EpR9LOAJvyKfc4f7EFmE34/edit?usp=share_link"",""ศรีสะเกษ!I98"""&amp;")+IMPORTRANGE(""https://docs.google.com/spreadsheets/d/1QC8psz9w0f9IVE9Xuc2FT_btkaOzZbbUSgYObpBuetM/edit?usp=share_link"",""สกลนคร!I98"")+IMPORTRANGE(""https://docs.google.com/spreadsheets/d/1wPdvRbu02d33MYVlbsCnyTiZpefEBs9NNktAnT1HZvw/edit?usp=share_link"&amp;""",""สุรินทร์!I98"")+IMPORTRANGE(""https://docs.google.com/spreadsheets/d/1GVExpf-Exi_2gmuqTYH28fseTB9MoKPXWcXCbSt_YrM/edit?usp=share_link"",""หนองคาย!I98"")+IMPORTRANGE(""https://docs.google.com/spreadsheets/d/16UeMz0UgOB5BZcoxP75eYGcLFtGYRn9GoesD4OX9m5U"&amp;"/edit?usp=share_link"",""หนองบัวลำภู!I98"")+IMPORTRANGE(""https://docs.google.com/spreadsheets/d/1uUP8Zo1-qaJLuIkRU0qlwLSE3DHkbdrrj2JGJiWBQZE/edit?usp=share_link"",""อำนาจเจริญ!I98"")+IMPORTRANGE(""https://docs.google.com/spreadsheets/d/1hb_taSOHanzRjqfzW"&amp;"PiFo8yiT83VV1L7vvUCLhOiHKc/edit?usp=share_link"",""อุดรธานี!I98"")+IMPORTRANGE(""https://docs.google.com/spreadsheets/d/17IOkEwkUd63EGNfyNDnM5de9YlZ7rwzTiW6-dokVjKI/edit?usp=share_link"",""อุบลราชธานี!I98"")
"),795)</f>
        <v>795</v>
      </c>
      <c r="J98" s="37">
        <f ca="1">J102</f>
        <v>795</v>
      </c>
      <c r="K98" s="38">
        <f t="shared" ref="K98:K100" ca="1" si="71">IF(I98&gt;0,J98*100/I98,0)</f>
        <v>100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fb2B9NLcpJgjIieIJvenUTNPn0TimZDUi0OtYeiSQ_s/edit?usp=share_link"",""กาฬสินธุ์!I99"")+IMPORTRANGE(""https://docs.google.com/spreadsheets/d/1SaMnqrwRGmFYNR0MhpWmHuL5niYUd5E7vDq8X7whAlI/edit?usp=share_lin"&amp;"k"",""ขอนแก่น!I99"")
+IMPORTRANGE(""https://docs.google.com/spreadsheets/d/1xQzEtGHhTTgxHh6YUkKY1P4dRyjVhS74dGswLfAASA4/edit?usp=share_link"",""ชัยภูมิ!I99"")+IMPORTRANGE(""https://docs.google.com/spreadsheets/d/1EXMBoBxU3OFbjT2TRpneM33qFjqDzrKmn9ydcflfI0"&amp;"o/edit?usp=share_link"",""นครพนม!I99"")+IMPORTRANGE(""https://docs.google.com/spreadsheets/d/1bDQrolntRWtHumK8W-x-HXKntwxB9S3sF5aDeRS66Ko/edit?usp=share_link"",""นครราชสีมา!I99"")+IMPORTRANGE(""https://docs.google.com/spreadsheets/d/1_MzZ-2gVPiCW-d2VcafoC"&amp;"mFJQTSrZ6SQyFcMqRRQQ2w/edit?usp=share_link"",""บึงกาฬ!I99"")
+IMPORTRANGE(""https://docs.google.com/spreadsheets/d/1B3lPpzOuaNwVItLwLEZYl_qEblfcx7dRnbRkAw0l-pE/edit?usp=share_link"",""บุรีรัมย์!I99"")+IMPORTRANGE(""https://docs.google.com/spreadsheets/d/1"&amp;"9GOkiOqnzYbevLYWrMk4qFOXe3rX14BkSA8X-mq-a40/edit?usp=share_link"",""มหาสารคาม!I99"")+IMPORTRANGE(""https://docs.google.com/spreadsheets/d/1uMKqWwuNQ-TCKboGA3Bb1qXb5uj2-faACNUINCz8PN4/edit?usp=share_link"",""มุกดาหาร!I99"")+IMPORTRANGE(""https://docs.googl"&amp;"e.com/spreadsheets/d/1oKaccgDdQABndOzGr688Dbfxb_V3YcF67VqEPBtdzsc/edit?usp=share_link"",""ยโสธร!I99"")+IMPORTRANGE(""https://docs.google.com/spreadsheets/d/1BRgc8xKpxZ0PX-gauieMVkV_IOxKSotf0yW8MabGprQ/edit?usp=share_link"",""ร้อยเอ็ด!I99"")+IMPORTRANGE("""&amp;"https://docs.google.com/spreadsheets/d/1IdolZc-dfdgMwAm_KZxYJl1sUOcIgnbGQzbWOlddedo/edit?usp=share_link"",""เลย!I99"")+IMPORTRANGE(""https://docs.google.com/spreadsheets/d/1tZ0nmtGuIRCaGAMXHlQU8EpR9LOAJvyKfc4f7EFmE34/edit?usp=share_link"",""ศรีสะเกษ!I99"""&amp;")+IMPORTRANGE(""https://docs.google.com/spreadsheets/d/1QC8psz9w0f9IVE9Xuc2FT_btkaOzZbbUSgYObpBuetM/edit?usp=share_link"",""สกลนคร!I99"")+IMPORTRANGE(""https://docs.google.com/spreadsheets/d/1wPdvRbu02d33MYVlbsCnyTiZpefEBs9NNktAnT1HZvw/edit?usp=share_link"&amp;""",""สุรินทร์!I99"")+IMPORTRANGE(""https://docs.google.com/spreadsheets/d/1GVExpf-Exi_2gmuqTYH28fseTB9MoKPXWcXCbSt_YrM/edit?usp=share_link"",""หนองคาย!I99"")+IMPORTRANGE(""https://docs.google.com/spreadsheets/d/16UeMz0UgOB5BZcoxP75eYGcLFtGYRn9GoesD4OX9m5U"&amp;"/edit?usp=share_link"",""หนองบัวลำภู!I99"")+IMPORTRANGE(""https://docs.google.com/spreadsheets/d/1uUP8Zo1-qaJLuIkRU0qlwLSE3DHkbdrrj2JGJiWBQZE/edit?usp=share_link"",""อำนาจเจริญ!I99"")+IMPORTRANGE(""https://docs.google.com/spreadsheets/d/1hb_taSOHanzRjqfzW"&amp;"PiFo8yiT83VV1L7vvUCLhOiHKc/edit?usp=share_link"",""อุดรธานี!I99"")+IMPORTRANGE(""https://docs.google.com/spreadsheets/d/17IOkEwkUd63EGNfyNDnM5de9YlZ7rwzTiW6-dokVjKI/edit?usp=share_link"",""อุบลราชธานี!I99"")
"),265)</f>
        <v>265</v>
      </c>
      <c r="J99" s="37">
        <f ca="1">J104</f>
        <v>265</v>
      </c>
      <c r="K99" s="38">
        <f t="shared" ca="1" si="71"/>
        <v>100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fb2B9NLcpJgjIieIJvenUTNPn0TimZDUi0OtYeiSQ_s/edit?usp=share_link"",""กาฬสินธุ์!I100"")+IMPORTRANGE(""https://docs.google.com/spreadsheets/d/1SaMnqrwRGmFYNR0MhpWmHuL5niYUd5E7vDq8X7whAlI/edit?usp=share_li"&amp;"nk"",""ขอนแก่น!I100"")
+IMPORTRANGE(""https://docs.google.com/spreadsheets/d/1xQzEtGHhTTgxHh6YUkKY1P4dRyjVhS74dGswLfAASA4/edit?usp=share_link"",""ชัยภูมิ!I100"")+IMPORTRANGE(""https://docs.google.com/spreadsheets/d/1EXMBoBxU3OFbjT2TRpneM33qFjqDzrKmn9ydcfl"&amp;"fI0o/edit?usp=share_link"",""นครพนม!I100"")+IMPORTRANGE(""https://docs.google.com/spreadsheets/d/1bDQrolntRWtHumK8W-x-HXKntwxB9S3sF5aDeRS66Ko/edit?usp=share_link"",""นครราชสีมา!I100"")+IMPORTRANGE(""https://docs.google.com/spreadsheets/d/1_MzZ-2gVPiCW-d2V"&amp;"cafoCmFJQTSrZ6SQyFcMqRRQQ2w/edit?usp=share_link"",""บึงกาฬ!I100"")
+IMPORTRANGE(""https://docs.google.com/spreadsheets/d/1B3lPpzOuaNwVItLwLEZYl_qEblfcx7dRnbRkAw0l-pE/edit?usp=share_link"",""บุรีรัมย์!I100"")+IMPORTRANGE(""https://docs.google.com/spreadshe"&amp;"ets/d/19GOkiOqnzYbevLYWrMk4qFOXe3rX14BkSA8X-mq-a40/edit?usp=share_link"",""มหาสารคาม!I100"")+IMPORTRANGE(""https://docs.google.com/spreadsheets/d/1uMKqWwuNQ-TCKboGA3Bb1qXb5uj2-faACNUINCz8PN4/edit?usp=share_link"",""มุกดาหาร!I100"")+IMPORTRANGE(""https://d"&amp;"ocs.google.com/spreadsheets/d/1oKaccgDdQABndOzGr688Dbfxb_V3YcF67VqEPBtdzsc/edit?usp=share_link"",""ยโสธร!I100"")+IMPORTRANGE(""https://docs.google.com/spreadsheets/d/1BRgc8xKpxZ0PX-gauieMVkV_IOxKSotf0yW8MabGprQ/edit?usp=share_link"",""ร้อยเอ็ด!I100"")+IMP"&amp;"ORTRANGE(""https://docs.google.com/spreadsheets/d/1IdolZc-dfdgMwAm_KZxYJl1sUOcIgnbGQzbWOlddedo/edit?usp=share_link"",""เลย!I100"")+IMPORTRANGE(""https://docs.google.com/spreadsheets/d/1tZ0nmtGuIRCaGAMXHlQU8EpR9LOAJvyKfc4f7EFmE34/edit?usp=share_link"",""ศร"&amp;"ีสะเกษ!I100"")+IMPORTRANGE(""https://docs.google.com/spreadsheets/d/1QC8psz9w0f9IVE9Xuc2FT_btkaOzZbbUSgYObpBuetM/edit?usp=share_link"",""สกลนคร!I100"")+IMPORTRANGE(""https://docs.google.com/spreadsheets/d/1wPdvRbu02d33MYVlbsCnyTiZpefEBs9NNktAnT1HZvw/edit?"&amp;"usp=share_link"",""สุรินทร์!I100"")+IMPORTRANGE(""https://docs.google.com/spreadsheets/d/1GVExpf-Exi_2gmuqTYH28fseTB9MoKPXWcXCbSt_YrM/edit?usp=share_link"",""หนองคาย!I100"")+IMPORTRANGE(""https://docs.google.com/spreadsheets/d/16UeMz0UgOB5BZcoxP75eYGcLFtG"&amp;"YRn9GoesD4OX9m5U/edit?usp=share_link"",""หนองบัวลำภู!I100"")+IMPORTRANGE(""https://docs.google.com/spreadsheets/d/1uUP8Zo1-qaJLuIkRU0qlwLSE3DHkbdrrj2JGJiWBQZE/edit?usp=share_link"",""อำนาจเจริญ!I100"")+IMPORTRANGE(""https://docs.google.com/spreadsheets/d/"&amp;"1hb_taSOHanzRjqfzWPiFo8yiT83VV1L7vvUCLhOiHKc/edit?usp=share_link"",""อุดรธานี!I100"")+IMPORTRANGE(""https://docs.google.com/spreadsheets/d/17IOkEwkUd63EGNfyNDnM5de9YlZ7rwzTiW6-dokVjKI/edit?usp=share_link"",""อุบลราชธานี!I100"")
"),33)</f>
        <v>33</v>
      </c>
      <c r="J100" s="37">
        <f ca="1">J107+J110</f>
        <v>33</v>
      </c>
      <c r="K100" s="38">
        <f t="shared" ca="1" si="71"/>
        <v>100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fb2B9NLcpJgjIieIJvenUTNPn0TimZDUi0OtYeiSQ_s/edit?usp=share_link"",""กาฬสินธุ์!I102"")+IMPORTRANGE(""https://docs.google.com/spreadsheets/d/1SaMnqrwRGmFYNR0MhpWmHuL5niYUd5E7vDq8X7whAlI/edit?usp=share_li"&amp;"nk"",""ขอนแก่น!I102"")
+IMPORTRANGE(""https://docs.google.com/spreadsheets/d/1xQzEtGHhTTgxHh6YUkKY1P4dRyjVhS74dGswLfAASA4/edit?usp=share_link"",""ชัยภูมิ!I102"")+IMPORTRANGE(""https://docs.google.com/spreadsheets/d/1EXMBoBxU3OFbjT2TRpneM33qFjqDzrKmn9ydcfl"&amp;"fI0o/edit?usp=share_link"",""นครพนม!I102"")+IMPORTRANGE(""https://docs.google.com/spreadsheets/d/1bDQrolntRWtHumK8W-x-HXKntwxB9S3sF5aDeRS66Ko/edit?usp=share_link"",""นครราชสีมา!I102"")+IMPORTRANGE(""https://docs.google.com/spreadsheets/d/1_MzZ-2gVPiCW-d2V"&amp;"cafoCmFJQTSrZ6SQyFcMqRRQQ2w/edit?usp=share_link"",""บึงกาฬ!I102"")
+IMPORTRANGE(""https://docs.google.com/spreadsheets/d/1B3lPpzOuaNwVItLwLEZYl_qEblfcx7dRnbRkAw0l-pE/edit?usp=share_link"",""บุรีรัมย์!I102"")+IMPORTRANGE(""https://docs.google.com/spreadshe"&amp;"ets/d/19GOkiOqnzYbevLYWrMk4qFOXe3rX14BkSA8X-mq-a40/edit?usp=share_link"",""มหาสารคาม!I102"")+IMPORTRANGE(""https://docs.google.com/spreadsheets/d/1uMKqWwuNQ-TCKboGA3Bb1qXb5uj2-faACNUINCz8PN4/edit?usp=share_link"",""มุกดาหาร!I102"")+IMPORTRANGE(""https://d"&amp;"ocs.google.com/spreadsheets/d/1oKaccgDdQABndOzGr688Dbfxb_V3YcF67VqEPBtdzsc/edit?usp=share_link"",""ยโสธร!I102"")+IMPORTRANGE(""https://docs.google.com/spreadsheets/d/1BRgc8xKpxZ0PX-gauieMVkV_IOxKSotf0yW8MabGprQ/edit?usp=share_link"",""ร้อยเอ็ด!I102"")+IMP"&amp;"ORTRANGE(""https://docs.google.com/spreadsheets/d/1IdolZc-dfdgMwAm_KZxYJl1sUOcIgnbGQzbWOlddedo/edit?usp=share_link"",""เลย!I102"")+IMPORTRANGE(""https://docs.google.com/spreadsheets/d/1tZ0nmtGuIRCaGAMXHlQU8EpR9LOAJvyKfc4f7EFmE34/edit?usp=share_link"",""ศร"&amp;"ีสะเกษ!I102"")+IMPORTRANGE(""https://docs.google.com/spreadsheets/d/1QC8psz9w0f9IVE9Xuc2FT_btkaOzZbbUSgYObpBuetM/edit?usp=share_link"",""สกลนคร!I102"")+IMPORTRANGE(""https://docs.google.com/spreadsheets/d/1wPdvRbu02d33MYVlbsCnyTiZpefEBs9NNktAnT1HZvw/edit?"&amp;"usp=share_link"",""สุรินทร์!I102"")+IMPORTRANGE(""https://docs.google.com/spreadsheets/d/1GVExpf-Exi_2gmuqTYH28fseTB9MoKPXWcXCbSt_YrM/edit?usp=share_link"",""หนองคาย!I102"")+IMPORTRANGE(""https://docs.google.com/spreadsheets/d/16UeMz0UgOB5BZcoxP75eYGcLFtG"&amp;"YRn9GoesD4OX9m5U/edit?usp=share_link"",""หนองบัวลำภู!I102"")+IMPORTRANGE(""https://docs.google.com/spreadsheets/d/1uUP8Zo1-qaJLuIkRU0qlwLSE3DHkbdrrj2JGJiWBQZE/edit?usp=share_link"",""อำนาจเจริญ!I102"")+IMPORTRANGE(""https://docs.google.com/spreadsheets/d/"&amp;"1hb_taSOHanzRjqfzWPiFo8yiT83VV1L7vvUCLhOiHKc/edit?usp=share_link"",""อุดรธานี!I102"")+IMPORTRANGE(""https://docs.google.com/spreadsheets/d/17IOkEwkUd63EGNfyNDnM5de9YlZ7rwzTiW6-dokVjKI/edit?usp=share_link"",""อุบลราชธานี!I102"")
"),795)</f>
        <v>795</v>
      </c>
      <c r="J102" s="183">
        <f ca="1">IFERROR(__xludf.DUMMYFUNCTION("IMPORTRANGE(""https://docs.google.com/spreadsheets/d/1fb2B9NLcpJgjIieIJvenUTNPn0TimZDUi0OtYeiSQ_s/edit?usp=share_link"",""กาฬสินธุ์!J102"")+IMPORTRANGE(""https://docs.google.com/spreadsheets/d/1SaMnqrwRGmFYNR0MhpWmHuL5niYUd5E7vDq8X7whAlI/edit?usp=share_li"&amp;"nk"",""ขอนแก่น!J102"")
+IMPORTRANGE(""https://docs.google.com/spreadsheets/d/1xQzEtGHhTTgxHh6YUkKY1P4dRyjVhS74dGswLfAASA4/edit?usp=share_link"",""ชัยภูมิ!J102"")+IMPORTRANGE(""https://docs.google.com/spreadsheets/d/1EXMBoBxU3OFbjT2TRpneM33qFjqDzrKmn9ydcfl"&amp;"fI0o/edit?usp=share_link"",""นครพนม!J102"")+IMPORTRANGE(""https://docs.google.com/spreadsheets/d/1bDQrolntRWtHumK8W-x-HXKntwxB9S3sF5aDeRS66Ko/edit?usp=share_link"",""นครราชสีมา!J102"")+IMPORTRANGE(""https://docs.google.com/spreadsheets/d/1_MzZ-2gVPiCW-d2V"&amp;"cafoCmFJQTSrZ6SQyFcMqRRQQ2w/edit?usp=share_link"",""บึงกาฬ!J102"")
+IMPORTRANGE(""https://docs.google.com/spreadsheets/d/1B3lPpzOuaNwVItLwLEZYl_qEblfcx7dRnbRkAw0l-pE/edit?usp=share_link"",""บุรีรัมย์!J102"")+IMPORTRANGE(""https://docs.google.com/spreadshe"&amp;"ets/d/19GOkiOqnzYbevLYWrMk4qFOXe3rX14BkSA8X-mq-a40/edit?usp=share_link"",""มหาสารคาม!J102"")+IMPORTRANGE(""https://docs.google.com/spreadsheets/d/1uMKqWwuNQ-TCKboGA3Bb1qXb5uj2-faACNUINCz8PN4/edit?usp=share_link"",""มุกดาหาร!J102"")+IMPORTRANGE(""https://d"&amp;"ocs.google.com/spreadsheets/d/1oKaccgDdQABndOzGr688Dbfxb_V3YcF67VqEPBtdzsc/edit?usp=share_link"",""ยโสธร!J102"")+IMPORTRANGE(""https://docs.google.com/spreadsheets/d/1BRgc8xKpxZ0PX-gauieMVkV_IOxKSotf0yW8MabGprQ/edit?usp=share_link"",""ร้อยเอ็ด!J102"")+IMP"&amp;"ORTRANGE(""https://docs.google.com/spreadsheets/d/1IdolZc-dfdgMwAm_KZxYJl1sUOcIgnbGQzbWOlddedo/edit?usp=share_link"",""เลย!J102"")+IMPORTRANGE(""https://docs.google.com/spreadsheets/d/1tZ0nmtGuIRCaGAMXHlQU8EpR9LOAJvyKfc4f7EFmE34/edit?usp=share_link"",""ศร"&amp;"ีสะเกษ!J102"")+IMPORTRANGE(""https://docs.google.com/spreadsheets/d/1QC8psz9w0f9IVE9Xuc2FT_btkaOzZbbUSgYObpBuetM/edit?usp=share_link"",""สกลนคร!J102"")+IMPORTRANGE(""https://docs.google.com/spreadsheets/d/1wPdvRbu02d33MYVlbsCnyTiZpefEBs9NNktAnT1HZvw/edit?"&amp;"usp=share_link"",""สุรินทร์!J102"")+IMPORTRANGE(""https://docs.google.com/spreadsheets/d/1GVExpf-Exi_2gmuqTYH28fseTB9MoKPXWcXCbSt_YrM/edit?usp=share_link"",""หนองคาย!J102"")+IMPORTRANGE(""https://docs.google.com/spreadsheets/d/16UeMz0UgOB5BZcoxP75eYGcLFtG"&amp;"YRn9GoesD4OX9m5U/edit?usp=share_link"",""หนองบัวลำภู!J102"")+IMPORTRANGE(""https://docs.google.com/spreadsheets/d/1uUP8Zo1-qaJLuIkRU0qlwLSE3DHkbdrrj2JGJiWBQZE/edit?usp=share_link"",""อำนาจเจริญ!J102"")+IMPORTRANGE(""https://docs.google.com/spreadsheets/d/"&amp;"1hb_taSOHanzRjqfzWPiFo8yiT83VV1L7vvUCLhOiHKc/edit?usp=share_link"",""อุดรธานี!J102"")+IMPORTRANGE(""https://docs.google.com/spreadsheets/d/17IOkEwkUd63EGNfyNDnM5de9YlZ7rwzTiW6-dokVjKI/edit?usp=share_link"",""อุบลราชธานี!J102"")
"),795)</f>
        <v>795</v>
      </c>
      <c r="K102" s="38">
        <f t="shared" ref="K102:K104" ca="1" si="72">IF(I102&gt;0,J102*100/I102,0)</f>
        <v>100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fb2B9NLcpJgjIieIJvenUTNPn0TimZDUi0OtYeiSQ_s/edit?usp=share_link"",""กาฬสินธุ์!I103"")+IMPORTRANGE(""https://docs.google.com/spreadsheets/d/1SaMnqrwRGmFYNR0MhpWmHuL5niYUd5E7vDq8X7whAlI/edit?usp=share_li"&amp;"nk"",""ขอนแก่น!I103"")
+IMPORTRANGE(""https://docs.google.com/spreadsheets/d/1xQzEtGHhTTgxHh6YUkKY1P4dRyjVhS74dGswLfAASA4/edit?usp=share_link"",""ชัยภูมิ!I103"")+IMPORTRANGE(""https://docs.google.com/spreadsheets/d/1EXMBoBxU3OFbjT2TRpneM33qFjqDzrKmn9ydcfl"&amp;"fI0o/edit?usp=share_link"",""นครพนม!I103"")+IMPORTRANGE(""https://docs.google.com/spreadsheets/d/1bDQrolntRWtHumK8W-x-HXKntwxB9S3sF5aDeRS66Ko/edit?usp=share_link"",""นครราชสีมา!I103"")+IMPORTRANGE(""https://docs.google.com/spreadsheets/d/1_MzZ-2gVPiCW-d2V"&amp;"cafoCmFJQTSrZ6SQyFcMqRRQQ2w/edit?usp=share_link"",""บึงกาฬ!I103"")
+IMPORTRANGE(""https://docs.google.com/spreadsheets/d/1B3lPpzOuaNwVItLwLEZYl_qEblfcx7dRnbRkAw0l-pE/edit?usp=share_link"",""บุรีรัมย์!I103"")+IMPORTRANGE(""https://docs.google.com/spreadshe"&amp;"ets/d/19GOkiOqnzYbevLYWrMk4qFOXe3rX14BkSA8X-mq-a40/edit?usp=share_link"",""มหาสารคาม!I103"")+IMPORTRANGE(""https://docs.google.com/spreadsheets/d/1uMKqWwuNQ-TCKboGA3Bb1qXb5uj2-faACNUINCz8PN4/edit?usp=share_link"",""มุกดาหาร!I103"")+IMPORTRANGE(""https://d"&amp;"ocs.google.com/spreadsheets/d/1oKaccgDdQABndOzGr688Dbfxb_V3YcF67VqEPBtdzsc/edit?usp=share_link"",""ยโสธร!I103"")+IMPORTRANGE(""https://docs.google.com/spreadsheets/d/1BRgc8xKpxZ0PX-gauieMVkV_IOxKSotf0yW8MabGprQ/edit?usp=share_link"",""ร้อยเอ็ด!I103"")+IMP"&amp;"ORTRANGE(""https://docs.google.com/spreadsheets/d/1IdolZc-dfdgMwAm_KZxYJl1sUOcIgnbGQzbWOlddedo/edit?usp=share_link"",""เลย!I103"")+IMPORTRANGE(""https://docs.google.com/spreadsheets/d/1tZ0nmtGuIRCaGAMXHlQU8EpR9LOAJvyKfc4f7EFmE34/edit?usp=share_link"",""ศร"&amp;"ีสะเกษ!I103"")+IMPORTRANGE(""https://docs.google.com/spreadsheets/d/1QC8psz9w0f9IVE9Xuc2FT_btkaOzZbbUSgYObpBuetM/edit?usp=share_link"",""สกลนคร!I103"")+IMPORTRANGE(""https://docs.google.com/spreadsheets/d/1wPdvRbu02d33MYVlbsCnyTiZpefEBs9NNktAnT1HZvw/edit?"&amp;"usp=share_link"",""สุรินทร์!I103"")+IMPORTRANGE(""https://docs.google.com/spreadsheets/d/1GVExpf-Exi_2gmuqTYH28fseTB9MoKPXWcXCbSt_YrM/edit?usp=share_link"",""หนองคาย!I103"")+IMPORTRANGE(""https://docs.google.com/spreadsheets/d/16UeMz0UgOB5BZcoxP75eYGcLFtG"&amp;"YRn9GoesD4OX9m5U/edit?usp=share_link"",""หนองบัวลำภู!I103"")+IMPORTRANGE(""https://docs.google.com/spreadsheets/d/1uUP8Zo1-qaJLuIkRU0qlwLSE3DHkbdrrj2JGJiWBQZE/edit?usp=share_link"",""อำนาจเจริญ!I103"")+IMPORTRANGE(""https://docs.google.com/spreadsheets/d/"&amp;"1hb_taSOHanzRjqfzWPiFo8yiT83VV1L7vvUCLhOiHKc/edit?usp=share_link"",""อุดรธานี!I103"")+IMPORTRANGE(""https://docs.google.com/spreadsheets/d/17IOkEwkUd63EGNfyNDnM5de9YlZ7rwzTiW6-dokVjKI/edit?usp=share_link"",""อุบลราชธานี!I103"")
"),265)</f>
        <v>265</v>
      </c>
      <c r="J103" s="183">
        <f ca="1">IFERROR(__xludf.DUMMYFUNCTION("IMPORTRANGE(""https://docs.google.com/spreadsheets/d/1fb2B9NLcpJgjIieIJvenUTNPn0TimZDUi0OtYeiSQ_s/edit?usp=share_link"",""กาฬสินธุ์!J103"")+IMPORTRANGE(""https://docs.google.com/spreadsheets/d/1SaMnqrwRGmFYNR0MhpWmHuL5niYUd5E7vDq8X7whAlI/edit?usp=share_li"&amp;"nk"",""ขอนแก่น!J103"")
+IMPORTRANGE(""https://docs.google.com/spreadsheets/d/1xQzEtGHhTTgxHh6YUkKY1P4dRyjVhS74dGswLfAASA4/edit?usp=share_link"",""ชัยภูมิ!J103"")+IMPORTRANGE(""https://docs.google.com/spreadsheets/d/1EXMBoBxU3OFbjT2TRpneM33qFjqDzrKmn9ydcfl"&amp;"fI0o/edit?usp=share_link"",""นครพนม!J103"")+IMPORTRANGE(""https://docs.google.com/spreadsheets/d/1bDQrolntRWtHumK8W-x-HXKntwxB9S3sF5aDeRS66Ko/edit?usp=share_link"",""นครราชสีมา!J103"")+IMPORTRANGE(""https://docs.google.com/spreadsheets/d/1_MzZ-2gVPiCW-d2V"&amp;"cafoCmFJQTSrZ6SQyFcMqRRQQ2w/edit?usp=share_link"",""บึงกาฬ!J103"")
+IMPORTRANGE(""https://docs.google.com/spreadsheets/d/1B3lPpzOuaNwVItLwLEZYl_qEblfcx7dRnbRkAw0l-pE/edit?usp=share_link"",""บุรีรัมย์!J103"")+IMPORTRANGE(""https://docs.google.com/spreadshe"&amp;"ets/d/19GOkiOqnzYbevLYWrMk4qFOXe3rX14BkSA8X-mq-a40/edit?usp=share_link"",""มหาสารคาม!J103"")+IMPORTRANGE(""https://docs.google.com/spreadsheets/d/1uMKqWwuNQ-TCKboGA3Bb1qXb5uj2-faACNUINCz8PN4/edit?usp=share_link"",""มุกดาหาร!J103"")+IMPORTRANGE(""https://d"&amp;"ocs.google.com/spreadsheets/d/1oKaccgDdQABndOzGr688Dbfxb_V3YcF67VqEPBtdzsc/edit?usp=share_link"",""ยโสธร!J103"")+IMPORTRANGE(""https://docs.google.com/spreadsheets/d/1BRgc8xKpxZ0PX-gauieMVkV_IOxKSotf0yW8MabGprQ/edit?usp=share_link"",""ร้อยเอ็ด!J103"")+IMP"&amp;"ORTRANGE(""https://docs.google.com/spreadsheets/d/1IdolZc-dfdgMwAm_KZxYJl1sUOcIgnbGQzbWOlddedo/edit?usp=share_link"",""เลย!J103"")+IMPORTRANGE(""https://docs.google.com/spreadsheets/d/1tZ0nmtGuIRCaGAMXHlQU8EpR9LOAJvyKfc4f7EFmE34/edit?usp=share_link"",""ศร"&amp;"ีสะเกษ!J103"")+IMPORTRANGE(""https://docs.google.com/spreadsheets/d/1QC8psz9w0f9IVE9Xuc2FT_btkaOzZbbUSgYObpBuetM/edit?usp=share_link"",""สกลนคร!J103"")+IMPORTRANGE(""https://docs.google.com/spreadsheets/d/1wPdvRbu02d33MYVlbsCnyTiZpefEBs9NNktAnT1HZvw/edit?"&amp;"usp=share_link"",""สุรินทร์!J103"")+IMPORTRANGE(""https://docs.google.com/spreadsheets/d/1GVExpf-Exi_2gmuqTYH28fseTB9MoKPXWcXCbSt_YrM/edit?usp=share_link"",""หนองคาย!J103"")+IMPORTRANGE(""https://docs.google.com/spreadsheets/d/16UeMz0UgOB5BZcoxP75eYGcLFtG"&amp;"YRn9GoesD4OX9m5U/edit?usp=share_link"",""หนองบัวลำภู!J103"")+IMPORTRANGE(""https://docs.google.com/spreadsheets/d/1uUP8Zo1-qaJLuIkRU0qlwLSE3DHkbdrrj2JGJiWBQZE/edit?usp=share_link"",""อำนาจเจริญ!J103"")+IMPORTRANGE(""https://docs.google.com/spreadsheets/d/"&amp;"1hb_taSOHanzRjqfzWPiFo8yiT83VV1L7vvUCLhOiHKc/edit?usp=share_link"",""อุดรธานี!J103"")+IMPORTRANGE(""https://docs.google.com/spreadsheets/d/17IOkEwkUd63EGNfyNDnM5de9YlZ7rwzTiW6-dokVjKI/edit?usp=share_link"",""อุบลราชธานี!J103"")
"),265)</f>
        <v>265</v>
      </c>
      <c r="K103" s="38">
        <f t="shared" ca="1" si="72"/>
        <v>100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fb2B9NLcpJgjIieIJvenUTNPn0TimZDUi0OtYeiSQ_s/edit?usp=share_link"",""กาฬสินธุ์!I104"")+IMPORTRANGE(""https://docs.google.com/spreadsheets/d/1SaMnqrwRGmFYNR0MhpWmHuL5niYUd5E7vDq8X7whAlI/edit?usp=share_li"&amp;"nk"",""ขอนแก่น!I104"")
+IMPORTRANGE(""https://docs.google.com/spreadsheets/d/1xQzEtGHhTTgxHh6YUkKY1P4dRyjVhS74dGswLfAASA4/edit?usp=share_link"",""ชัยภูมิ!I104"")+IMPORTRANGE(""https://docs.google.com/spreadsheets/d/1EXMBoBxU3OFbjT2TRpneM33qFjqDzrKmn9ydcfl"&amp;"fI0o/edit?usp=share_link"",""นครพนม!I104"")+IMPORTRANGE(""https://docs.google.com/spreadsheets/d/1bDQrolntRWtHumK8W-x-HXKntwxB9S3sF5aDeRS66Ko/edit?usp=share_link"",""นครราชสีมา!I104"")+IMPORTRANGE(""https://docs.google.com/spreadsheets/d/1_MzZ-2gVPiCW-d2V"&amp;"cafoCmFJQTSrZ6SQyFcMqRRQQ2w/edit?usp=share_link"",""บึงกาฬ!I104"")
+IMPORTRANGE(""https://docs.google.com/spreadsheets/d/1B3lPpzOuaNwVItLwLEZYl_qEblfcx7dRnbRkAw0l-pE/edit?usp=share_link"",""บุรีรัมย์!I104"")+IMPORTRANGE(""https://docs.google.com/spreadshe"&amp;"ets/d/19GOkiOqnzYbevLYWrMk4qFOXe3rX14BkSA8X-mq-a40/edit?usp=share_link"",""มหาสารคาม!I104"")+IMPORTRANGE(""https://docs.google.com/spreadsheets/d/1uMKqWwuNQ-TCKboGA3Bb1qXb5uj2-faACNUINCz8PN4/edit?usp=share_link"",""มุกดาหาร!I104"")+IMPORTRANGE(""https://d"&amp;"ocs.google.com/spreadsheets/d/1oKaccgDdQABndOzGr688Dbfxb_V3YcF67VqEPBtdzsc/edit?usp=share_link"",""ยโสธร!I104"")+IMPORTRANGE(""https://docs.google.com/spreadsheets/d/1BRgc8xKpxZ0PX-gauieMVkV_IOxKSotf0yW8MabGprQ/edit?usp=share_link"",""ร้อยเอ็ด!I104"")+IMP"&amp;"ORTRANGE(""https://docs.google.com/spreadsheets/d/1IdolZc-dfdgMwAm_KZxYJl1sUOcIgnbGQzbWOlddedo/edit?usp=share_link"",""เลย!I104"")+IMPORTRANGE(""https://docs.google.com/spreadsheets/d/1tZ0nmtGuIRCaGAMXHlQU8EpR9LOAJvyKfc4f7EFmE34/edit?usp=share_link"",""ศร"&amp;"ีสะเกษ!I104"")+IMPORTRANGE(""https://docs.google.com/spreadsheets/d/1QC8psz9w0f9IVE9Xuc2FT_btkaOzZbbUSgYObpBuetM/edit?usp=share_link"",""สกลนคร!I104"")+IMPORTRANGE(""https://docs.google.com/spreadsheets/d/1wPdvRbu02d33MYVlbsCnyTiZpefEBs9NNktAnT1HZvw/edit?"&amp;"usp=share_link"",""สุรินทร์!I104"")+IMPORTRANGE(""https://docs.google.com/spreadsheets/d/1GVExpf-Exi_2gmuqTYH28fseTB9MoKPXWcXCbSt_YrM/edit?usp=share_link"",""หนองคาย!I104"")+IMPORTRANGE(""https://docs.google.com/spreadsheets/d/16UeMz0UgOB5BZcoxP75eYGcLFtG"&amp;"YRn9GoesD4OX9m5U/edit?usp=share_link"",""หนองบัวลำภู!I104"")+IMPORTRANGE(""https://docs.google.com/spreadsheets/d/1uUP8Zo1-qaJLuIkRU0qlwLSE3DHkbdrrj2JGJiWBQZE/edit?usp=share_link"",""อำนาจเจริญ!I104"")+IMPORTRANGE(""https://docs.google.com/spreadsheets/d/"&amp;"1hb_taSOHanzRjqfzWPiFo8yiT83VV1L7vvUCLhOiHKc/edit?usp=share_link"",""อุดรธานี!I104"")+IMPORTRANGE(""https://docs.google.com/spreadsheets/d/17IOkEwkUd63EGNfyNDnM5de9YlZ7rwzTiW6-dokVjKI/edit?usp=share_link"",""อุบลราชธานี!I104"")
"),265)</f>
        <v>265</v>
      </c>
      <c r="J104" s="183">
        <f ca="1">IFERROR(__xludf.DUMMYFUNCTION("IMPORTRANGE(""https://docs.google.com/spreadsheets/d/1fb2B9NLcpJgjIieIJvenUTNPn0TimZDUi0OtYeiSQ_s/edit?usp=share_link"",""กาฬสินธุ์!J104"")+IMPORTRANGE(""https://docs.google.com/spreadsheets/d/1SaMnqrwRGmFYNR0MhpWmHuL5niYUd5E7vDq8X7whAlI/edit?usp=share_li"&amp;"nk"",""ขอนแก่น!J104"")
+IMPORTRANGE(""https://docs.google.com/spreadsheets/d/1xQzEtGHhTTgxHh6YUkKY1P4dRyjVhS74dGswLfAASA4/edit?usp=share_link"",""ชัยภูมิ!J104"")+IMPORTRANGE(""https://docs.google.com/spreadsheets/d/1EXMBoBxU3OFbjT2TRpneM33qFjqDzrKmn9ydcfl"&amp;"fI0o/edit?usp=share_link"",""นครพนม!J104"")+IMPORTRANGE(""https://docs.google.com/spreadsheets/d/1bDQrolntRWtHumK8W-x-HXKntwxB9S3sF5aDeRS66Ko/edit?usp=share_link"",""นครราชสีมา!J104"")+IMPORTRANGE(""https://docs.google.com/spreadsheets/d/1_MzZ-2gVPiCW-d2V"&amp;"cafoCmFJQTSrZ6SQyFcMqRRQQ2w/edit?usp=share_link"",""บึงกาฬ!J104"")
+IMPORTRANGE(""https://docs.google.com/spreadsheets/d/1B3lPpzOuaNwVItLwLEZYl_qEblfcx7dRnbRkAw0l-pE/edit?usp=share_link"",""บุรีรัมย์!J104"")+IMPORTRANGE(""https://docs.google.com/spreadshe"&amp;"ets/d/19GOkiOqnzYbevLYWrMk4qFOXe3rX14BkSA8X-mq-a40/edit?usp=share_link"",""มหาสารคาม!J104"")+IMPORTRANGE(""https://docs.google.com/spreadsheets/d/1uMKqWwuNQ-TCKboGA3Bb1qXb5uj2-faACNUINCz8PN4/edit?usp=share_link"",""มุกดาหาร!J104"")+IMPORTRANGE(""https://d"&amp;"ocs.google.com/spreadsheets/d/1oKaccgDdQABndOzGr688Dbfxb_V3YcF67VqEPBtdzsc/edit?usp=share_link"",""ยโสธร!J104"")+IMPORTRANGE(""https://docs.google.com/spreadsheets/d/1BRgc8xKpxZ0PX-gauieMVkV_IOxKSotf0yW8MabGprQ/edit?usp=share_link"",""ร้อยเอ็ด!J104"")+IMP"&amp;"ORTRANGE(""https://docs.google.com/spreadsheets/d/1IdolZc-dfdgMwAm_KZxYJl1sUOcIgnbGQzbWOlddedo/edit?usp=share_link"",""เลย!J104"")+IMPORTRANGE(""https://docs.google.com/spreadsheets/d/1tZ0nmtGuIRCaGAMXHlQU8EpR9LOAJvyKfc4f7EFmE34/edit?usp=share_link"",""ศร"&amp;"ีสะเกษ!J104"")+IMPORTRANGE(""https://docs.google.com/spreadsheets/d/1QC8psz9w0f9IVE9Xuc2FT_btkaOzZbbUSgYObpBuetM/edit?usp=share_link"",""สกลนคร!J104"")+IMPORTRANGE(""https://docs.google.com/spreadsheets/d/1wPdvRbu02d33MYVlbsCnyTiZpefEBs9NNktAnT1HZvw/edit?"&amp;"usp=share_link"",""สุรินทร์!J104"")+IMPORTRANGE(""https://docs.google.com/spreadsheets/d/1GVExpf-Exi_2gmuqTYH28fseTB9MoKPXWcXCbSt_YrM/edit?usp=share_link"",""หนองคาย!J104"")+IMPORTRANGE(""https://docs.google.com/spreadsheets/d/16UeMz0UgOB5BZcoxP75eYGcLFtG"&amp;"YRn9GoesD4OX9m5U/edit?usp=share_link"",""หนองบัวลำภู!J104"")+IMPORTRANGE(""https://docs.google.com/spreadsheets/d/1uUP8Zo1-qaJLuIkRU0qlwLSE3DHkbdrrj2JGJiWBQZE/edit?usp=share_link"",""อำนาจเจริญ!J104"")+IMPORTRANGE(""https://docs.google.com/spreadsheets/d/"&amp;"1hb_taSOHanzRjqfzWPiFo8yiT83VV1L7vvUCLhOiHKc/edit?usp=share_link"",""อุดรธานี!J104"")+IMPORTRANGE(""https://docs.google.com/spreadsheets/d/17IOkEwkUd63EGNfyNDnM5de9YlZ7rwzTiW6-dokVjKI/edit?usp=share_link"",""อุบลราชธานี!J104"")
"),265)</f>
        <v>265</v>
      </c>
      <c r="K104" s="38">
        <f t="shared" ca="1" si="72"/>
        <v>100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fb2B9NLcpJgjIieIJvenUTNPn0TimZDUi0OtYeiSQ_s/edit?usp=share_link"",""กาฬสินธุ์!I106"")+IMPORTRANGE(""https://docs.google.com/spreadsheets/d/1SaMnqrwRGmFYNR0MhpWmHuL5niYUd5E7vDq8X7whAlI/edit?usp=share_li"&amp;"nk"",""ขอนแก่น!I106"")
+IMPORTRANGE(""https://docs.google.com/spreadsheets/d/1xQzEtGHhTTgxHh6YUkKY1P4dRyjVhS74dGswLfAASA4/edit?usp=share_link"",""ชัยภูมิ!I106"")+IMPORTRANGE(""https://docs.google.com/spreadsheets/d/1EXMBoBxU3OFbjT2TRpneM33qFjqDzrKmn9ydcfl"&amp;"fI0o/edit?usp=share_link"",""นครพนม!I106"")+IMPORTRANGE(""https://docs.google.com/spreadsheets/d/1bDQrolntRWtHumK8W-x-HXKntwxB9S3sF5aDeRS66Ko/edit?usp=share_link"",""นครราชสีมา!I106"")+IMPORTRANGE(""https://docs.google.com/spreadsheets/d/1_MzZ-2gVPiCW-d2V"&amp;"cafoCmFJQTSrZ6SQyFcMqRRQQ2w/edit?usp=share_link"",""บึงกาฬ!I106"")
+IMPORTRANGE(""https://docs.google.com/spreadsheets/d/1B3lPpzOuaNwVItLwLEZYl_qEblfcx7dRnbRkAw0l-pE/edit?usp=share_link"",""บุรีรัมย์!I106"")+IMPORTRANGE(""https://docs.google.com/spreadshe"&amp;"ets/d/19GOkiOqnzYbevLYWrMk4qFOXe3rX14BkSA8X-mq-a40/edit?usp=share_link"",""มหาสารคาม!I106"")+IMPORTRANGE(""https://docs.google.com/spreadsheets/d/1uMKqWwuNQ-TCKboGA3Bb1qXb5uj2-faACNUINCz8PN4/edit?usp=share_link"",""มุกดาหาร!I106"")+IMPORTRANGE(""https://d"&amp;"ocs.google.com/spreadsheets/d/1oKaccgDdQABndOzGr688Dbfxb_V3YcF67VqEPBtdzsc/edit?usp=share_link"",""ยโสธร!I106"")+IMPORTRANGE(""https://docs.google.com/spreadsheets/d/1BRgc8xKpxZ0PX-gauieMVkV_IOxKSotf0yW8MabGprQ/edit?usp=share_link"",""ร้อยเอ็ด!I106"")+IMP"&amp;"ORTRANGE(""https://docs.google.com/spreadsheets/d/1IdolZc-dfdgMwAm_KZxYJl1sUOcIgnbGQzbWOlddedo/edit?usp=share_link"",""เลย!I106"")+IMPORTRANGE(""https://docs.google.com/spreadsheets/d/1tZ0nmtGuIRCaGAMXHlQU8EpR9LOAJvyKfc4f7EFmE34/edit?usp=share_link"",""ศร"&amp;"ีสะเกษ!I106"")+IMPORTRANGE(""https://docs.google.com/spreadsheets/d/1QC8psz9w0f9IVE9Xuc2FT_btkaOzZbbUSgYObpBuetM/edit?usp=share_link"",""สกลนคร!I106"")+IMPORTRANGE(""https://docs.google.com/spreadsheets/d/1wPdvRbu02d33MYVlbsCnyTiZpefEBs9NNktAnT1HZvw/edit?"&amp;"usp=share_link"",""สุรินทร์!I106"")+IMPORTRANGE(""https://docs.google.com/spreadsheets/d/1GVExpf-Exi_2gmuqTYH28fseTB9MoKPXWcXCbSt_YrM/edit?usp=share_link"",""หนองคาย!I106"")+IMPORTRANGE(""https://docs.google.com/spreadsheets/d/16UeMz0UgOB5BZcoxP75eYGcLFtG"&amp;"YRn9GoesD4OX9m5U/edit?usp=share_link"",""หนองบัวลำภู!I106"")+IMPORTRANGE(""https://docs.google.com/spreadsheets/d/1uUP8Zo1-qaJLuIkRU0qlwLSE3DHkbdrrj2JGJiWBQZE/edit?usp=share_link"",""อำนาจเจริญ!I106"")+IMPORTRANGE(""https://docs.google.com/spreadsheets/d/"&amp;"1hb_taSOHanzRjqfzWPiFo8yiT83VV1L7vvUCLhOiHKc/edit?usp=share_link"",""อุดรธานี!I106"")+IMPORTRANGE(""https://docs.google.com/spreadsheets/d/17IOkEwkUd63EGNfyNDnM5de9YlZ7rwzTiW6-dokVjKI/edit?usp=share_link"",""อุบลราชธานี!I106"")
"),18)</f>
        <v>18</v>
      </c>
      <c r="J106" s="183">
        <f ca="1">IFERROR(__xludf.DUMMYFUNCTION("IMPORTRANGE(""https://docs.google.com/spreadsheets/d/1fb2B9NLcpJgjIieIJvenUTNPn0TimZDUi0OtYeiSQ_s/edit?usp=share_link"",""กาฬสินธุ์!J106"")+IMPORTRANGE(""https://docs.google.com/spreadsheets/d/1SaMnqrwRGmFYNR0MhpWmHuL5niYUd5E7vDq8X7whAlI/edit?usp=share_li"&amp;"nk"",""ขอนแก่น!J106"")
+IMPORTRANGE(""https://docs.google.com/spreadsheets/d/1xQzEtGHhTTgxHh6YUkKY1P4dRyjVhS74dGswLfAASA4/edit?usp=share_link"",""ชัยภูมิ!J106"")+IMPORTRANGE(""https://docs.google.com/spreadsheets/d/1EXMBoBxU3OFbjT2TRpneM33qFjqDzrKmn9ydcfl"&amp;"fI0o/edit?usp=share_link"",""นครพนม!J106"")+IMPORTRANGE(""https://docs.google.com/spreadsheets/d/1bDQrolntRWtHumK8W-x-HXKntwxB9S3sF5aDeRS66Ko/edit?usp=share_link"",""นครราชสีมา!J106"")+IMPORTRANGE(""https://docs.google.com/spreadsheets/d/1_MzZ-2gVPiCW-d2V"&amp;"cafoCmFJQTSrZ6SQyFcMqRRQQ2w/edit?usp=share_link"",""บึงกาฬ!J106"")
+IMPORTRANGE(""https://docs.google.com/spreadsheets/d/1B3lPpzOuaNwVItLwLEZYl_qEblfcx7dRnbRkAw0l-pE/edit?usp=share_link"",""บุรีรัมย์!J106"")+IMPORTRANGE(""https://docs.google.com/spreadshe"&amp;"ets/d/19GOkiOqnzYbevLYWrMk4qFOXe3rX14BkSA8X-mq-a40/edit?usp=share_link"",""มหาสารคาม!J106"")+IMPORTRANGE(""https://docs.google.com/spreadsheets/d/1uMKqWwuNQ-TCKboGA3Bb1qXb5uj2-faACNUINCz8PN4/edit?usp=share_link"",""มุกดาหาร!J106"")+IMPORTRANGE(""https://d"&amp;"ocs.google.com/spreadsheets/d/1oKaccgDdQABndOzGr688Dbfxb_V3YcF67VqEPBtdzsc/edit?usp=share_link"",""ยโสธร!J106"")+IMPORTRANGE(""https://docs.google.com/spreadsheets/d/1BRgc8xKpxZ0PX-gauieMVkV_IOxKSotf0yW8MabGprQ/edit?usp=share_link"",""ร้อยเอ็ด!J106"")+IMP"&amp;"ORTRANGE(""https://docs.google.com/spreadsheets/d/1IdolZc-dfdgMwAm_KZxYJl1sUOcIgnbGQzbWOlddedo/edit?usp=share_link"",""เลย!J106"")+IMPORTRANGE(""https://docs.google.com/spreadsheets/d/1tZ0nmtGuIRCaGAMXHlQU8EpR9LOAJvyKfc4f7EFmE34/edit?usp=share_link"",""ศร"&amp;"ีสะเกษ!J106"")+IMPORTRANGE(""https://docs.google.com/spreadsheets/d/1QC8psz9w0f9IVE9Xuc2FT_btkaOzZbbUSgYObpBuetM/edit?usp=share_link"",""สกลนคร!J106"")+IMPORTRANGE(""https://docs.google.com/spreadsheets/d/1wPdvRbu02d33MYVlbsCnyTiZpefEBs9NNktAnT1HZvw/edit?"&amp;"usp=share_link"",""สุรินทร์!J106"")+IMPORTRANGE(""https://docs.google.com/spreadsheets/d/1GVExpf-Exi_2gmuqTYH28fseTB9MoKPXWcXCbSt_YrM/edit?usp=share_link"",""หนองคาย!J106"")+IMPORTRANGE(""https://docs.google.com/spreadsheets/d/16UeMz0UgOB5BZcoxP75eYGcLFtG"&amp;"YRn9GoesD4OX9m5U/edit?usp=share_link"",""หนองบัวลำภู!J106"")+IMPORTRANGE(""https://docs.google.com/spreadsheets/d/1uUP8Zo1-qaJLuIkRU0qlwLSE3DHkbdrrj2JGJiWBQZE/edit?usp=share_link"",""อำนาจเจริญ!J106"")+IMPORTRANGE(""https://docs.google.com/spreadsheets/d/"&amp;"1hb_taSOHanzRjqfzWPiFo8yiT83VV1L7vvUCLhOiHKc/edit?usp=share_link"",""อุดรธานี!J106"")+IMPORTRANGE(""https://docs.google.com/spreadsheets/d/17IOkEwkUd63EGNfyNDnM5de9YlZ7rwzTiW6-dokVjKI/edit?usp=share_link"",""อุบลราชธานี!J106"")
"),18)</f>
        <v>18</v>
      </c>
      <c r="K106" s="38">
        <f t="shared" ref="K106:K107" ca="1" si="73">IF(I106&gt;0,J106*100/I106,0)</f>
        <v>100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fb2B9NLcpJgjIieIJvenUTNPn0TimZDUi0OtYeiSQ_s/edit?usp=share_link"",""กาฬสินธุ์!I107"")+IMPORTRANGE(""https://docs.google.com/spreadsheets/d/1SaMnqrwRGmFYNR0MhpWmHuL5niYUd5E7vDq8X7whAlI/edit?usp=share_li"&amp;"nk"",""ขอนแก่น!I107"")
+IMPORTRANGE(""https://docs.google.com/spreadsheets/d/1xQzEtGHhTTgxHh6YUkKY1P4dRyjVhS74dGswLfAASA4/edit?usp=share_link"",""ชัยภูมิ!I107"")+IMPORTRANGE(""https://docs.google.com/spreadsheets/d/1EXMBoBxU3OFbjT2TRpneM33qFjqDzrKmn9ydcfl"&amp;"fI0o/edit?usp=share_link"",""นครพนม!I107"")+IMPORTRANGE(""https://docs.google.com/spreadsheets/d/1bDQrolntRWtHumK8W-x-HXKntwxB9S3sF5aDeRS66Ko/edit?usp=share_link"",""นครราชสีมา!I107"")+IMPORTRANGE(""https://docs.google.com/spreadsheets/d/1_MzZ-2gVPiCW-d2V"&amp;"cafoCmFJQTSrZ6SQyFcMqRRQQ2w/edit?usp=share_link"",""บึงกาฬ!I107"")
+IMPORTRANGE(""https://docs.google.com/spreadsheets/d/1B3lPpzOuaNwVItLwLEZYl_qEblfcx7dRnbRkAw0l-pE/edit?usp=share_link"",""บุรีรัมย์!I107"")+IMPORTRANGE(""https://docs.google.com/spreadshe"&amp;"ets/d/19GOkiOqnzYbevLYWrMk4qFOXe3rX14BkSA8X-mq-a40/edit?usp=share_link"",""มหาสารคาม!I107"")+IMPORTRANGE(""https://docs.google.com/spreadsheets/d/1uMKqWwuNQ-TCKboGA3Bb1qXb5uj2-faACNUINCz8PN4/edit?usp=share_link"",""มุกดาหาร!I107"")+IMPORTRANGE(""https://d"&amp;"ocs.google.com/spreadsheets/d/1oKaccgDdQABndOzGr688Dbfxb_V3YcF67VqEPBtdzsc/edit?usp=share_link"",""ยโสธร!I107"")+IMPORTRANGE(""https://docs.google.com/spreadsheets/d/1BRgc8xKpxZ0PX-gauieMVkV_IOxKSotf0yW8MabGprQ/edit?usp=share_link"",""ร้อยเอ็ด!I107"")+IMP"&amp;"ORTRANGE(""https://docs.google.com/spreadsheets/d/1IdolZc-dfdgMwAm_KZxYJl1sUOcIgnbGQzbWOlddedo/edit?usp=share_link"",""เลย!I107"")+IMPORTRANGE(""https://docs.google.com/spreadsheets/d/1tZ0nmtGuIRCaGAMXHlQU8EpR9LOAJvyKfc4f7EFmE34/edit?usp=share_link"",""ศร"&amp;"ีสะเกษ!I107"")+IMPORTRANGE(""https://docs.google.com/spreadsheets/d/1QC8psz9w0f9IVE9Xuc2FT_btkaOzZbbUSgYObpBuetM/edit?usp=share_link"",""สกลนคร!I107"")+IMPORTRANGE(""https://docs.google.com/spreadsheets/d/1wPdvRbu02d33MYVlbsCnyTiZpefEBs9NNktAnT1HZvw/edit?"&amp;"usp=share_link"",""สุรินทร์!I107"")+IMPORTRANGE(""https://docs.google.com/spreadsheets/d/1GVExpf-Exi_2gmuqTYH28fseTB9MoKPXWcXCbSt_YrM/edit?usp=share_link"",""หนองคาย!I107"")+IMPORTRANGE(""https://docs.google.com/spreadsheets/d/16UeMz0UgOB5BZcoxP75eYGcLFtG"&amp;"YRn9GoesD4OX9m5U/edit?usp=share_link"",""หนองบัวลำภู!I107"")+IMPORTRANGE(""https://docs.google.com/spreadsheets/d/1uUP8Zo1-qaJLuIkRU0qlwLSE3DHkbdrrj2JGJiWBQZE/edit?usp=share_link"",""อำนาจเจริญ!I107"")+IMPORTRANGE(""https://docs.google.com/spreadsheets/d/"&amp;"1hb_taSOHanzRjqfzWPiFo8yiT83VV1L7vvUCLhOiHKc/edit?usp=share_link"",""อุดรธานี!I107"")+IMPORTRANGE(""https://docs.google.com/spreadsheets/d/17IOkEwkUd63EGNfyNDnM5de9YlZ7rwzTiW6-dokVjKI/edit?usp=share_link"",""อุบลราชธานี!I107"")
"),18)</f>
        <v>18</v>
      </c>
      <c r="J107" s="183">
        <f ca="1">IFERROR(__xludf.DUMMYFUNCTION("IMPORTRANGE(""https://docs.google.com/spreadsheets/d/1fb2B9NLcpJgjIieIJvenUTNPn0TimZDUi0OtYeiSQ_s/edit?usp=share_link"",""กาฬสินธุ์!J107"")+IMPORTRANGE(""https://docs.google.com/spreadsheets/d/1SaMnqrwRGmFYNR0MhpWmHuL5niYUd5E7vDq8X7whAlI/edit?usp=share_li"&amp;"nk"",""ขอนแก่น!J107"")
+IMPORTRANGE(""https://docs.google.com/spreadsheets/d/1xQzEtGHhTTgxHh6YUkKY1P4dRyjVhS74dGswLfAASA4/edit?usp=share_link"",""ชัยภูมิ!J107"")+IMPORTRANGE(""https://docs.google.com/spreadsheets/d/1EXMBoBxU3OFbjT2TRpneM33qFjqDzrKmn9ydcfl"&amp;"fI0o/edit?usp=share_link"",""นครพนม!J107"")+IMPORTRANGE(""https://docs.google.com/spreadsheets/d/1bDQrolntRWtHumK8W-x-HXKntwxB9S3sF5aDeRS66Ko/edit?usp=share_link"",""นครราชสีมา!J107"")+IMPORTRANGE(""https://docs.google.com/spreadsheets/d/1_MzZ-2gVPiCW-d2V"&amp;"cafoCmFJQTSrZ6SQyFcMqRRQQ2w/edit?usp=share_link"",""บึงกาฬ!J107"")
+IMPORTRANGE(""https://docs.google.com/spreadsheets/d/1B3lPpzOuaNwVItLwLEZYl_qEblfcx7dRnbRkAw0l-pE/edit?usp=share_link"",""บุรีรัมย์!J107"")+IMPORTRANGE(""https://docs.google.com/spreadshe"&amp;"ets/d/19GOkiOqnzYbevLYWrMk4qFOXe3rX14BkSA8X-mq-a40/edit?usp=share_link"",""มหาสารคาม!J107"")+IMPORTRANGE(""https://docs.google.com/spreadsheets/d/1uMKqWwuNQ-TCKboGA3Bb1qXb5uj2-faACNUINCz8PN4/edit?usp=share_link"",""มุกดาหาร!J107"")+IMPORTRANGE(""https://d"&amp;"ocs.google.com/spreadsheets/d/1oKaccgDdQABndOzGr688Dbfxb_V3YcF67VqEPBtdzsc/edit?usp=share_link"",""ยโสธร!J107"")+IMPORTRANGE(""https://docs.google.com/spreadsheets/d/1BRgc8xKpxZ0PX-gauieMVkV_IOxKSotf0yW8MabGprQ/edit?usp=share_link"",""ร้อยเอ็ด!J107"")+IMP"&amp;"ORTRANGE(""https://docs.google.com/spreadsheets/d/1IdolZc-dfdgMwAm_KZxYJl1sUOcIgnbGQzbWOlddedo/edit?usp=share_link"",""เลย!J107"")+IMPORTRANGE(""https://docs.google.com/spreadsheets/d/1tZ0nmtGuIRCaGAMXHlQU8EpR9LOAJvyKfc4f7EFmE34/edit?usp=share_link"",""ศร"&amp;"ีสะเกษ!J107"")+IMPORTRANGE(""https://docs.google.com/spreadsheets/d/1QC8psz9w0f9IVE9Xuc2FT_btkaOzZbbUSgYObpBuetM/edit?usp=share_link"",""สกลนคร!J107"")+IMPORTRANGE(""https://docs.google.com/spreadsheets/d/1wPdvRbu02d33MYVlbsCnyTiZpefEBs9NNktAnT1HZvw/edit?"&amp;"usp=share_link"",""สุรินทร์!J107"")+IMPORTRANGE(""https://docs.google.com/spreadsheets/d/1GVExpf-Exi_2gmuqTYH28fseTB9MoKPXWcXCbSt_YrM/edit?usp=share_link"",""หนองคาย!J107"")+IMPORTRANGE(""https://docs.google.com/spreadsheets/d/16UeMz0UgOB5BZcoxP75eYGcLFtG"&amp;"YRn9GoesD4OX9m5U/edit?usp=share_link"",""หนองบัวลำภู!J107"")+IMPORTRANGE(""https://docs.google.com/spreadsheets/d/1uUP8Zo1-qaJLuIkRU0qlwLSE3DHkbdrrj2JGJiWBQZE/edit?usp=share_link"",""อำนาจเจริญ!J107"")+IMPORTRANGE(""https://docs.google.com/spreadsheets/d/"&amp;"1hb_taSOHanzRjqfzWPiFo8yiT83VV1L7vvUCLhOiHKc/edit?usp=share_link"",""อุดรธานี!J107"")+IMPORTRANGE(""https://docs.google.com/spreadsheets/d/17IOkEwkUd63EGNfyNDnM5de9YlZ7rwzTiW6-dokVjKI/edit?usp=share_link"",""อุบลราชธานี!J107"")
"),18)</f>
        <v>18</v>
      </c>
      <c r="K107" s="38">
        <f t="shared" ca="1" si="73"/>
        <v>100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fb2B9NLcpJgjIieIJvenUTNPn0TimZDUi0OtYeiSQ_s/edit?usp=share_link"",""กาฬสินธุ์!I109"")+IMPORTRANGE(""https://docs.google.com/spreadsheets/d/1SaMnqrwRGmFYNR0MhpWmHuL5niYUd5E7vDq8X7whAlI/edit?usp=share_li"&amp;"nk"",""ขอนแก่น!I109"")
+IMPORTRANGE(""https://docs.google.com/spreadsheets/d/1xQzEtGHhTTgxHh6YUkKY1P4dRyjVhS74dGswLfAASA4/edit?usp=share_link"",""ชัยภูมิ!I109"")+IMPORTRANGE(""https://docs.google.com/spreadsheets/d/1EXMBoBxU3OFbjT2TRpneM33qFjqDzrKmn9ydcfl"&amp;"fI0o/edit?usp=share_link"",""นครพนม!I109"")+IMPORTRANGE(""https://docs.google.com/spreadsheets/d/1bDQrolntRWtHumK8W-x-HXKntwxB9S3sF5aDeRS66Ko/edit?usp=share_link"",""นครราชสีมา!I109"")+IMPORTRANGE(""https://docs.google.com/spreadsheets/d/1_MzZ-2gVPiCW-d2V"&amp;"cafoCmFJQTSrZ6SQyFcMqRRQQ2w/edit?usp=share_link"",""บึงกาฬ!I109"")
+IMPORTRANGE(""https://docs.google.com/spreadsheets/d/1B3lPpzOuaNwVItLwLEZYl_qEblfcx7dRnbRkAw0l-pE/edit?usp=share_link"",""บุรีรัมย์!I109"")+IMPORTRANGE(""https://docs.google.com/spreadshe"&amp;"ets/d/19GOkiOqnzYbevLYWrMk4qFOXe3rX14BkSA8X-mq-a40/edit?usp=share_link"",""มหาสารคาม!I109"")+IMPORTRANGE(""https://docs.google.com/spreadsheets/d/1uMKqWwuNQ-TCKboGA3Bb1qXb5uj2-faACNUINCz8PN4/edit?usp=share_link"",""มุกดาหาร!I109"")+IMPORTRANGE(""https://d"&amp;"ocs.google.com/spreadsheets/d/1oKaccgDdQABndOzGr688Dbfxb_V3YcF67VqEPBtdzsc/edit?usp=share_link"",""ยโสธร!I109"")+IMPORTRANGE(""https://docs.google.com/spreadsheets/d/1BRgc8xKpxZ0PX-gauieMVkV_IOxKSotf0yW8MabGprQ/edit?usp=share_link"",""ร้อยเอ็ด!I109"")+IMP"&amp;"ORTRANGE(""https://docs.google.com/spreadsheets/d/1IdolZc-dfdgMwAm_KZxYJl1sUOcIgnbGQzbWOlddedo/edit?usp=share_link"",""เลย!I109"")+IMPORTRANGE(""https://docs.google.com/spreadsheets/d/1tZ0nmtGuIRCaGAMXHlQU8EpR9LOAJvyKfc4f7EFmE34/edit?usp=share_link"",""ศร"&amp;"ีสะเกษ!I109"")+IMPORTRANGE(""https://docs.google.com/spreadsheets/d/1QC8psz9w0f9IVE9Xuc2FT_btkaOzZbbUSgYObpBuetM/edit?usp=share_link"",""สกลนคร!I109"")+IMPORTRANGE(""https://docs.google.com/spreadsheets/d/1wPdvRbu02d33MYVlbsCnyTiZpefEBs9NNktAnT1HZvw/edit?"&amp;"usp=share_link"",""สุรินทร์!I109"")+IMPORTRANGE(""https://docs.google.com/spreadsheets/d/1GVExpf-Exi_2gmuqTYH28fseTB9MoKPXWcXCbSt_YrM/edit?usp=share_link"",""หนองคาย!I109"")+IMPORTRANGE(""https://docs.google.com/spreadsheets/d/16UeMz0UgOB5BZcoxP75eYGcLFtG"&amp;"YRn9GoesD4OX9m5U/edit?usp=share_link"",""หนองบัวลำภู!I109"")+IMPORTRANGE(""https://docs.google.com/spreadsheets/d/1uUP8Zo1-qaJLuIkRU0qlwLSE3DHkbdrrj2JGJiWBQZE/edit?usp=share_link"",""อำนาจเจริญ!I109"")+IMPORTRANGE(""https://docs.google.com/spreadsheets/d/"&amp;"1hb_taSOHanzRjqfzWPiFo8yiT83VV1L7vvUCLhOiHKc/edit?usp=share_link"",""อุดรธานี!I109"")+IMPORTRANGE(""https://docs.google.com/spreadsheets/d/17IOkEwkUd63EGNfyNDnM5de9YlZ7rwzTiW6-dokVjKI/edit?usp=share_link"",""อุบลราชธานี!I109"")
"),15)</f>
        <v>15</v>
      </c>
      <c r="J109" s="183">
        <f ca="1">IFERROR(__xludf.DUMMYFUNCTION("IMPORTRANGE(""https://docs.google.com/spreadsheets/d/1fb2B9NLcpJgjIieIJvenUTNPn0TimZDUi0OtYeiSQ_s/edit?usp=share_link"",""กาฬสินธุ์!J109"")+IMPORTRANGE(""https://docs.google.com/spreadsheets/d/1SaMnqrwRGmFYNR0MhpWmHuL5niYUd5E7vDq8X7whAlI/edit?usp=share_li"&amp;"nk"",""ขอนแก่น!J109"")
+IMPORTRANGE(""https://docs.google.com/spreadsheets/d/1xQzEtGHhTTgxHh6YUkKY1P4dRyjVhS74dGswLfAASA4/edit?usp=share_link"",""ชัยภูมิ!J109"")+IMPORTRANGE(""https://docs.google.com/spreadsheets/d/1EXMBoBxU3OFbjT2TRpneM33qFjqDzrKmn9ydcfl"&amp;"fI0o/edit?usp=share_link"",""นครพนม!J109"")+IMPORTRANGE(""https://docs.google.com/spreadsheets/d/1bDQrolntRWtHumK8W-x-HXKntwxB9S3sF5aDeRS66Ko/edit?usp=share_link"",""นครราชสีมา!J109"")+IMPORTRANGE(""https://docs.google.com/spreadsheets/d/1_MzZ-2gVPiCW-d2V"&amp;"cafoCmFJQTSrZ6SQyFcMqRRQQ2w/edit?usp=share_link"",""บึงกาฬ!J109"")
+IMPORTRANGE(""https://docs.google.com/spreadsheets/d/1B3lPpzOuaNwVItLwLEZYl_qEblfcx7dRnbRkAw0l-pE/edit?usp=share_link"",""บุรีรัมย์!J109"")+IMPORTRANGE(""https://docs.google.com/spreadshe"&amp;"ets/d/19GOkiOqnzYbevLYWrMk4qFOXe3rX14BkSA8X-mq-a40/edit?usp=share_link"",""มหาสารคาม!J109"")+IMPORTRANGE(""https://docs.google.com/spreadsheets/d/1uMKqWwuNQ-TCKboGA3Bb1qXb5uj2-faACNUINCz8PN4/edit?usp=share_link"",""มุกดาหาร!J109"")+IMPORTRANGE(""https://d"&amp;"ocs.google.com/spreadsheets/d/1oKaccgDdQABndOzGr688Dbfxb_V3YcF67VqEPBtdzsc/edit?usp=share_link"",""ยโสธร!J109"")+IMPORTRANGE(""https://docs.google.com/spreadsheets/d/1BRgc8xKpxZ0PX-gauieMVkV_IOxKSotf0yW8MabGprQ/edit?usp=share_link"",""ร้อยเอ็ด!J109"")+IMP"&amp;"ORTRANGE(""https://docs.google.com/spreadsheets/d/1IdolZc-dfdgMwAm_KZxYJl1sUOcIgnbGQzbWOlddedo/edit?usp=share_link"",""เลย!J109"")+IMPORTRANGE(""https://docs.google.com/spreadsheets/d/1tZ0nmtGuIRCaGAMXHlQU8EpR9LOAJvyKfc4f7EFmE34/edit?usp=share_link"",""ศร"&amp;"ีสะเกษ!J109"")+IMPORTRANGE(""https://docs.google.com/spreadsheets/d/1QC8psz9w0f9IVE9Xuc2FT_btkaOzZbbUSgYObpBuetM/edit?usp=share_link"",""สกลนคร!J109"")+IMPORTRANGE(""https://docs.google.com/spreadsheets/d/1wPdvRbu02d33MYVlbsCnyTiZpefEBs9NNktAnT1HZvw/edit?"&amp;"usp=share_link"",""สุรินทร์!J109"")+IMPORTRANGE(""https://docs.google.com/spreadsheets/d/1GVExpf-Exi_2gmuqTYH28fseTB9MoKPXWcXCbSt_YrM/edit?usp=share_link"",""หนองคาย!J109"")+IMPORTRANGE(""https://docs.google.com/spreadsheets/d/16UeMz0UgOB5BZcoxP75eYGcLFtG"&amp;"YRn9GoesD4OX9m5U/edit?usp=share_link"",""หนองบัวลำภู!J109"")+IMPORTRANGE(""https://docs.google.com/spreadsheets/d/1uUP8Zo1-qaJLuIkRU0qlwLSE3DHkbdrrj2JGJiWBQZE/edit?usp=share_link"",""อำนาจเจริญ!J109"")+IMPORTRANGE(""https://docs.google.com/spreadsheets/d/"&amp;"1hb_taSOHanzRjqfzWPiFo8yiT83VV1L7vvUCLhOiHKc/edit?usp=share_link"",""อุดรธานี!J109"")+IMPORTRANGE(""https://docs.google.com/spreadsheets/d/17IOkEwkUd63EGNfyNDnM5de9YlZ7rwzTiW6-dokVjKI/edit?usp=share_link"",""อุบลราชธานี!J109"")
"),14)</f>
        <v>14</v>
      </c>
      <c r="K109" s="38">
        <f t="shared" ref="K109:K116" ca="1" si="74">IF(I109&gt;0,J109*100/I109,0)</f>
        <v>93.333333333333329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fb2B9NLcpJgjIieIJvenUTNPn0TimZDUi0OtYeiSQ_s/edit?usp=share_link"",""กาฬสินธุ์!I110"")+IMPORTRANGE(""https://docs.google.com/spreadsheets/d/1SaMnqrwRGmFYNR0MhpWmHuL5niYUd5E7vDq8X7whAlI/edit?usp=share_li"&amp;"nk"",""ขอนแก่น!I110"")
+IMPORTRANGE(""https://docs.google.com/spreadsheets/d/1xQzEtGHhTTgxHh6YUkKY1P4dRyjVhS74dGswLfAASA4/edit?usp=share_link"",""ชัยภูมิ!I110"")+IMPORTRANGE(""https://docs.google.com/spreadsheets/d/1EXMBoBxU3OFbjT2TRpneM33qFjqDzrKmn9ydcfl"&amp;"fI0o/edit?usp=share_link"",""นครพนม!I110"")+IMPORTRANGE(""https://docs.google.com/spreadsheets/d/1bDQrolntRWtHumK8W-x-HXKntwxB9S3sF5aDeRS66Ko/edit?usp=share_link"",""นครราชสีมา!I110"")+IMPORTRANGE(""https://docs.google.com/spreadsheets/d/1_MzZ-2gVPiCW-d2V"&amp;"cafoCmFJQTSrZ6SQyFcMqRRQQ2w/edit?usp=share_link"",""บึงกาฬ!I110"")
+IMPORTRANGE(""https://docs.google.com/spreadsheets/d/1B3lPpzOuaNwVItLwLEZYl_qEblfcx7dRnbRkAw0l-pE/edit?usp=share_link"",""บุรีรัมย์!I110"")+IMPORTRANGE(""https://docs.google.com/spreadshe"&amp;"ets/d/19GOkiOqnzYbevLYWrMk4qFOXe3rX14BkSA8X-mq-a40/edit?usp=share_link"",""มหาสารคาม!I110"")+IMPORTRANGE(""https://docs.google.com/spreadsheets/d/1uMKqWwuNQ-TCKboGA3Bb1qXb5uj2-faACNUINCz8PN4/edit?usp=share_link"",""มุกดาหาร!I110"")+IMPORTRANGE(""https://d"&amp;"ocs.google.com/spreadsheets/d/1oKaccgDdQABndOzGr688Dbfxb_V3YcF67VqEPBtdzsc/edit?usp=share_link"",""ยโสธร!I110"")+IMPORTRANGE(""https://docs.google.com/spreadsheets/d/1BRgc8xKpxZ0PX-gauieMVkV_IOxKSotf0yW8MabGprQ/edit?usp=share_link"",""ร้อยเอ็ด!I110"")+IMP"&amp;"ORTRANGE(""https://docs.google.com/spreadsheets/d/1IdolZc-dfdgMwAm_KZxYJl1sUOcIgnbGQzbWOlddedo/edit?usp=share_link"",""เลย!I110"")+IMPORTRANGE(""https://docs.google.com/spreadsheets/d/1tZ0nmtGuIRCaGAMXHlQU8EpR9LOAJvyKfc4f7EFmE34/edit?usp=share_link"",""ศร"&amp;"ีสะเกษ!I110"")+IMPORTRANGE(""https://docs.google.com/spreadsheets/d/1QC8psz9w0f9IVE9Xuc2FT_btkaOzZbbUSgYObpBuetM/edit?usp=share_link"",""สกลนคร!I110"")+IMPORTRANGE(""https://docs.google.com/spreadsheets/d/1wPdvRbu02d33MYVlbsCnyTiZpefEBs9NNktAnT1HZvw/edit?"&amp;"usp=share_link"",""สุรินทร์!I110"")+IMPORTRANGE(""https://docs.google.com/spreadsheets/d/1GVExpf-Exi_2gmuqTYH28fseTB9MoKPXWcXCbSt_YrM/edit?usp=share_link"",""หนองคาย!I110"")+IMPORTRANGE(""https://docs.google.com/spreadsheets/d/16UeMz0UgOB5BZcoxP75eYGcLFtG"&amp;"YRn9GoesD4OX9m5U/edit?usp=share_link"",""หนองบัวลำภู!I110"")+IMPORTRANGE(""https://docs.google.com/spreadsheets/d/1uUP8Zo1-qaJLuIkRU0qlwLSE3DHkbdrrj2JGJiWBQZE/edit?usp=share_link"",""อำนาจเจริญ!I110"")+IMPORTRANGE(""https://docs.google.com/spreadsheets/d/"&amp;"1hb_taSOHanzRjqfzWPiFo8yiT83VV1L7vvUCLhOiHKc/edit?usp=share_link"",""อุดรธานี!I110"")+IMPORTRANGE(""https://docs.google.com/spreadsheets/d/17IOkEwkUd63EGNfyNDnM5de9YlZ7rwzTiW6-dokVjKI/edit?usp=share_link"",""อุบลราชธานี!I110"")
"),15)</f>
        <v>15</v>
      </c>
      <c r="J110" s="183">
        <f ca="1">IFERROR(__xludf.DUMMYFUNCTION("IMPORTRANGE(""https://docs.google.com/spreadsheets/d/1fb2B9NLcpJgjIieIJvenUTNPn0TimZDUi0OtYeiSQ_s/edit?usp=share_link"",""กาฬสินธุ์!J110"")+IMPORTRANGE(""https://docs.google.com/spreadsheets/d/1SaMnqrwRGmFYNR0MhpWmHuL5niYUd5E7vDq8X7whAlI/edit?usp=share_li"&amp;"nk"",""ขอนแก่น!J110"")
+IMPORTRANGE(""https://docs.google.com/spreadsheets/d/1xQzEtGHhTTgxHh6YUkKY1P4dRyjVhS74dGswLfAASA4/edit?usp=share_link"",""ชัยภูมิ!J110"")+IMPORTRANGE(""https://docs.google.com/spreadsheets/d/1EXMBoBxU3OFbjT2TRpneM33qFjqDzrKmn9ydcfl"&amp;"fI0o/edit?usp=share_link"",""นครพนม!J110"")+IMPORTRANGE(""https://docs.google.com/spreadsheets/d/1bDQrolntRWtHumK8W-x-HXKntwxB9S3sF5aDeRS66Ko/edit?usp=share_link"",""นครราชสีมา!J110"")+IMPORTRANGE(""https://docs.google.com/spreadsheets/d/1_MzZ-2gVPiCW-d2V"&amp;"cafoCmFJQTSrZ6SQyFcMqRRQQ2w/edit?usp=share_link"",""บึงกาฬ!J110"")
+IMPORTRANGE(""https://docs.google.com/spreadsheets/d/1B3lPpzOuaNwVItLwLEZYl_qEblfcx7dRnbRkAw0l-pE/edit?usp=share_link"",""บุรีรัมย์!J110"")+IMPORTRANGE(""https://docs.google.com/spreadshe"&amp;"ets/d/19GOkiOqnzYbevLYWrMk4qFOXe3rX14BkSA8X-mq-a40/edit?usp=share_link"",""มหาสารคาม!J110"")+IMPORTRANGE(""https://docs.google.com/spreadsheets/d/1uMKqWwuNQ-TCKboGA3Bb1qXb5uj2-faACNUINCz8PN4/edit?usp=share_link"",""มุกดาหาร!J110"")+IMPORTRANGE(""https://d"&amp;"ocs.google.com/spreadsheets/d/1oKaccgDdQABndOzGr688Dbfxb_V3YcF67VqEPBtdzsc/edit?usp=share_link"",""ยโสธร!J110"")+IMPORTRANGE(""https://docs.google.com/spreadsheets/d/1BRgc8xKpxZ0PX-gauieMVkV_IOxKSotf0yW8MabGprQ/edit?usp=share_link"",""ร้อยเอ็ด!J110"")+IMP"&amp;"ORTRANGE(""https://docs.google.com/spreadsheets/d/1IdolZc-dfdgMwAm_KZxYJl1sUOcIgnbGQzbWOlddedo/edit?usp=share_link"",""เลย!J110"")+IMPORTRANGE(""https://docs.google.com/spreadsheets/d/1tZ0nmtGuIRCaGAMXHlQU8EpR9LOAJvyKfc4f7EFmE34/edit?usp=share_link"",""ศร"&amp;"ีสะเกษ!J110"")+IMPORTRANGE(""https://docs.google.com/spreadsheets/d/1QC8psz9w0f9IVE9Xuc2FT_btkaOzZbbUSgYObpBuetM/edit?usp=share_link"",""สกลนคร!J110"")+IMPORTRANGE(""https://docs.google.com/spreadsheets/d/1wPdvRbu02d33MYVlbsCnyTiZpefEBs9NNktAnT1HZvw/edit?"&amp;"usp=share_link"",""สุรินทร์!J110"")+IMPORTRANGE(""https://docs.google.com/spreadsheets/d/1GVExpf-Exi_2gmuqTYH28fseTB9MoKPXWcXCbSt_YrM/edit?usp=share_link"",""หนองคาย!J110"")+IMPORTRANGE(""https://docs.google.com/spreadsheets/d/16UeMz0UgOB5BZcoxP75eYGcLFtG"&amp;"YRn9GoesD4OX9m5U/edit?usp=share_link"",""หนองบัวลำภู!J110"")+IMPORTRANGE(""https://docs.google.com/spreadsheets/d/1uUP8Zo1-qaJLuIkRU0qlwLSE3DHkbdrrj2JGJiWBQZE/edit?usp=share_link"",""อำนาจเจริญ!J110"")+IMPORTRANGE(""https://docs.google.com/spreadsheets/d/"&amp;"1hb_taSOHanzRjqfzWPiFo8yiT83VV1L7vvUCLhOiHKc/edit?usp=share_link"",""อุดรธานี!J110"")+IMPORTRANGE(""https://docs.google.com/spreadsheets/d/17IOkEwkUd63EGNfyNDnM5de9YlZ7rwzTiW6-dokVjKI/edit?usp=share_link"",""อุบลราชธานี!J110"")
"),15)</f>
        <v>15</v>
      </c>
      <c r="K110" s="38">
        <f t="shared" ca="1" si="74"/>
        <v>100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fb2B9NLcpJgjIieIJvenUTNPn0TimZDUi0OtYeiSQ_s/edit?usp=share_link"",""กาฬสินธุ์!I111"")+IMPORTRANGE(""https://docs.google.com/spreadsheets/d/1SaMnqrwRGmFYNR0MhpWmHuL5niYUd5E7vDq8X7whAlI/edit?usp=share_li"&amp;"nk"",""ขอนแก่น!I111"")
+IMPORTRANGE(""https://docs.google.com/spreadsheets/d/1xQzEtGHhTTgxHh6YUkKY1P4dRyjVhS74dGswLfAASA4/edit?usp=share_link"",""ชัยภูมิ!I111"")+IMPORTRANGE(""https://docs.google.com/spreadsheets/d/1EXMBoBxU3OFbjT2TRpneM33qFjqDzrKmn9ydcfl"&amp;"fI0o/edit?usp=share_link"",""นครพนม!I111"")+IMPORTRANGE(""https://docs.google.com/spreadsheets/d/1bDQrolntRWtHumK8W-x-HXKntwxB9S3sF5aDeRS66Ko/edit?usp=share_link"",""นครราชสีมา!I111"")+IMPORTRANGE(""https://docs.google.com/spreadsheets/d/1_MzZ-2gVPiCW-d2V"&amp;"cafoCmFJQTSrZ6SQyFcMqRRQQ2w/edit?usp=share_link"",""บึงกาฬ!I111"")
+IMPORTRANGE(""https://docs.google.com/spreadsheets/d/1B3lPpzOuaNwVItLwLEZYl_qEblfcx7dRnbRkAw0l-pE/edit?usp=share_link"",""บุรีรัมย์!I111"")+IMPORTRANGE(""https://docs.google.com/spreadshe"&amp;"ets/d/19GOkiOqnzYbevLYWrMk4qFOXe3rX14BkSA8X-mq-a40/edit?usp=share_link"",""มหาสารคาม!I111"")+IMPORTRANGE(""https://docs.google.com/spreadsheets/d/1uMKqWwuNQ-TCKboGA3Bb1qXb5uj2-faACNUINCz8PN4/edit?usp=share_link"",""มุกดาหาร!I111"")+IMPORTRANGE(""https://d"&amp;"ocs.google.com/spreadsheets/d/1oKaccgDdQABndOzGr688Dbfxb_V3YcF67VqEPBtdzsc/edit?usp=share_link"",""ยโสธร!I111"")+IMPORTRANGE(""https://docs.google.com/spreadsheets/d/1BRgc8xKpxZ0PX-gauieMVkV_IOxKSotf0yW8MabGprQ/edit?usp=share_link"",""ร้อยเอ็ด!I111"")+IMP"&amp;"ORTRANGE(""https://docs.google.com/spreadsheets/d/1IdolZc-dfdgMwAm_KZxYJl1sUOcIgnbGQzbWOlddedo/edit?usp=share_link"",""เลย!I111"")+IMPORTRANGE(""https://docs.google.com/spreadsheets/d/1tZ0nmtGuIRCaGAMXHlQU8EpR9LOAJvyKfc4f7EFmE34/edit?usp=share_link"",""ศร"&amp;"ีสะเกษ!I111"")+IMPORTRANGE(""https://docs.google.com/spreadsheets/d/1QC8psz9w0f9IVE9Xuc2FT_btkaOzZbbUSgYObpBuetM/edit?usp=share_link"",""สกลนคร!I111"")+IMPORTRANGE(""https://docs.google.com/spreadsheets/d/1wPdvRbu02d33MYVlbsCnyTiZpefEBs9NNktAnT1HZvw/edit?"&amp;"usp=share_link"",""สุรินทร์!I111"")+IMPORTRANGE(""https://docs.google.com/spreadsheets/d/1GVExpf-Exi_2gmuqTYH28fseTB9MoKPXWcXCbSt_YrM/edit?usp=share_link"",""หนองคาย!I111"")+IMPORTRANGE(""https://docs.google.com/spreadsheets/d/16UeMz0UgOB5BZcoxP75eYGcLFtG"&amp;"YRn9GoesD4OX9m5U/edit?usp=share_link"",""หนองบัวลำภู!I111"")+IMPORTRANGE(""https://docs.google.com/spreadsheets/d/1uUP8Zo1-qaJLuIkRU0qlwLSE3DHkbdrrj2JGJiWBQZE/edit?usp=share_link"",""อำนาจเจริญ!I111"")+IMPORTRANGE(""https://docs.google.com/spreadsheets/d/"&amp;"1hb_taSOHanzRjqfzWPiFo8yiT83VV1L7vvUCLhOiHKc/edit?usp=share_link"",""อุดรธานี!I111"")+IMPORTRANGE(""https://docs.google.com/spreadsheets/d/17IOkEwkUd63EGNfyNDnM5de9YlZ7rwzTiW6-dokVjKI/edit?usp=share_link"",""อุบลราชธานี!I111"")
"),265)</f>
        <v>265</v>
      </c>
      <c r="J111" s="194">
        <f ca="1">J114</f>
        <v>265</v>
      </c>
      <c r="K111" s="195">
        <f t="shared" ca="1" si="74"/>
        <v>100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33</v>
      </c>
      <c r="J112" s="194">
        <f t="shared" ca="1" si="75"/>
        <v>33</v>
      </c>
      <c r="K112" s="195">
        <f t="shared" ca="1" si="74"/>
        <v>100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fb2B9NLcpJgjIieIJvenUTNPn0TimZDUi0OtYeiSQ_s/edit?usp=share_link"",""กาฬสินธุ์!I113"")+IMPORTRANGE(""https://docs.google.com/spreadsheets/d/1SaMnqrwRGmFYNR0MhpWmHuL5niYUd5E7vDq8X7whAlI/edit?usp=share_li"&amp;"nk"",""ขอนแก่น!I113"")
+IMPORTRANGE(""https://docs.google.com/spreadsheets/d/1xQzEtGHhTTgxHh6YUkKY1P4dRyjVhS74dGswLfAASA4/edit?usp=share_link"",""ชัยภูมิ!I113"")+IMPORTRANGE(""https://docs.google.com/spreadsheets/d/1EXMBoBxU3OFbjT2TRpneM33qFjqDzrKmn9ydcfl"&amp;"fI0o/edit?usp=share_link"",""นครพนม!I113"")+IMPORTRANGE(""https://docs.google.com/spreadsheets/d/1bDQrolntRWtHumK8W-x-HXKntwxB9S3sF5aDeRS66Ko/edit?usp=share_link"",""นครราชสีมา!I113"")+IMPORTRANGE(""https://docs.google.com/spreadsheets/d/1_MzZ-2gVPiCW-d2V"&amp;"cafoCmFJQTSrZ6SQyFcMqRRQQ2w/edit?usp=share_link"",""บึงกาฬ!I113"")
+IMPORTRANGE(""https://docs.google.com/spreadsheets/d/1B3lPpzOuaNwVItLwLEZYl_qEblfcx7dRnbRkAw0l-pE/edit?usp=share_link"",""บุรีรัมย์!I113"")+IMPORTRANGE(""https://docs.google.com/spreadshe"&amp;"ets/d/19GOkiOqnzYbevLYWrMk4qFOXe3rX14BkSA8X-mq-a40/edit?usp=share_link"",""มหาสารคาม!I113"")+IMPORTRANGE(""https://docs.google.com/spreadsheets/d/1uMKqWwuNQ-TCKboGA3Bb1qXb5uj2-faACNUINCz8PN4/edit?usp=share_link"",""มุกดาหาร!I113"")+IMPORTRANGE(""https://d"&amp;"ocs.google.com/spreadsheets/d/1oKaccgDdQABndOzGr688Dbfxb_V3YcF67VqEPBtdzsc/edit?usp=share_link"",""ยโสธร!I113"")+IMPORTRANGE(""https://docs.google.com/spreadsheets/d/1BRgc8xKpxZ0PX-gauieMVkV_IOxKSotf0yW8MabGprQ/edit?usp=share_link"",""ร้อยเอ็ด!I113"")+IMP"&amp;"ORTRANGE(""https://docs.google.com/spreadsheets/d/1IdolZc-dfdgMwAm_KZxYJl1sUOcIgnbGQzbWOlddedo/edit?usp=share_link"",""เลย!I113"")+IMPORTRANGE(""https://docs.google.com/spreadsheets/d/1tZ0nmtGuIRCaGAMXHlQU8EpR9LOAJvyKfc4f7EFmE34/edit?usp=share_link"",""ศร"&amp;"ีสะเกษ!I113"")+IMPORTRANGE(""https://docs.google.com/spreadsheets/d/1QC8psz9w0f9IVE9Xuc2FT_btkaOzZbbUSgYObpBuetM/edit?usp=share_link"",""สกลนคร!I113"")+IMPORTRANGE(""https://docs.google.com/spreadsheets/d/1wPdvRbu02d33MYVlbsCnyTiZpefEBs9NNktAnT1HZvw/edit?"&amp;"usp=share_link"",""สุรินทร์!I113"")+IMPORTRANGE(""https://docs.google.com/spreadsheets/d/1GVExpf-Exi_2gmuqTYH28fseTB9MoKPXWcXCbSt_YrM/edit?usp=share_link"",""หนองคาย!I113"")+IMPORTRANGE(""https://docs.google.com/spreadsheets/d/16UeMz0UgOB5BZcoxP75eYGcLFtG"&amp;"YRn9GoesD4OX9m5U/edit?usp=share_link"",""หนองบัวลำภู!I113"")+IMPORTRANGE(""https://docs.google.com/spreadsheets/d/1uUP8Zo1-qaJLuIkRU0qlwLSE3DHkbdrrj2JGJiWBQZE/edit?usp=share_link"",""อำนาจเจริญ!I113"")+IMPORTRANGE(""https://docs.google.com/spreadsheets/d/"&amp;"1hb_taSOHanzRjqfzWPiFo8yiT83VV1L7vvUCLhOiHKc/edit?usp=share_link"",""อุดรธานี!I113"")+IMPORTRANGE(""https://docs.google.com/spreadsheets/d/17IOkEwkUd63EGNfyNDnM5de9YlZ7rwzTiW6-dokVjKI/edit?usp=share_link"",""อุบลราชธานี!I113"")
"),265)</f>
        <v>265</v>
      </c>
      <c r="J113" s="183">
        <f ca="1">IFERROR(__xludf.DUMMYFUNCTION("IMPORTRANGE(""https://docs.google.com/spreadsheets/d/1fb2B9NLcpJgjIieIJvenUTNPn0TimZDUi0OtYeiSQ_s/edit?usp=share_link"",""กาฬสินธุ์!J113"")+IMPORTRANGE(""https://docs.google.com/spreadsheets/d/1SaMnqrwRGmFYNR0MhpWmHuL5niYUd5E7vDq8X7whAlI/edit?usp=share_li"&amp;"nk"",""ขอนแก่น!J113"")
+IMPORTRANGE(""https://docs.google.com/spreadsheets/d/1xQzEtGHhTTgxHh6YUkKY1P4dRyjVhS74dGswLfAASA4/edit?usp=share_link"",""ชัยภูมิ!J113"")+IMPORTRANGE(""https://docs.google.com/spreadsheets/d/1EXMBoBxU3OFbjT2TRpneM33qFjqDzrKmn9ydcfl"&amp;"fI0o/edit?usp=share_link"",""นครพนม!J113"")+IMPORTRANGE(""https://docs.google.com/spreadsheets/d/1bDQrolntRWtHumK8W-x-HXKntwxB9S3sF5aDeRS66Ko/edit?usp=share_link"",""นครราชสีมา!J113"")+IMPORTRANGE(""https://docs.google.com/spreadsheets/d/1_MzZ-2gVPiCW-d2V"&amp;"cafoCmFJQTSrZ6SQyFcMqRRQQ2w/edit?usp=share_link"",""บึงกาฬ!J113"")
+IMPORTRANGE(""https://docs.google.com/spreadsheets/d/1B3lPpzOuaNwVItLwLEZYl_qEblfcx7dRnbRkAw0l-pE/edit?usp=share_link"",""บุรีรัมย์!J113"")+IMPORTRANGE(""https://docs.google.com/spreadshe"&amp;"ets/d/19GOkiOqnzYbevLYWrMk4qFOXe3rX14BkSA8X-mq-a40/edit?usp=share_link"",""มหาสารคาม!J113"")+IMPORTRANGE(""https://docs.google.com/spreadsheets/d/1uMKqWwuNQ-TCKboGA3Bb1qXb5uj2-faACNUINCz8PN4/edit?usp=share_link"",""มุกดาหาร!J113"")+IMPORTRANGE(""https://d"&amp;"ocs.google.com/spreadsheets/d/1oKaccgDdQABndOzGr688Dbfxb_V3YcF67VqEPBtdzsc/edit?usp=share_link"",""ยโสธร!J113"")+IMPORTRANGE(""https://docs.google.com/spreadsheets/d/1BRgc8xKpxZ0PX-gauieMVkV_IOxKSotf0yW8MabGprQ/edit?usp=share_link"",""ร้อยเอ็ด!J113"")+IMP"&amp;"ORTRANGE(""https://docs.google.com/spreadsheets/d/1IdolZc-dfdgMwAm_KZxYJl1sUOcIgnbGQzbWOlddedo/edit?usp=share_link"",""เลย!J113"")+IMPORTRANGE(""https://docs.google.com/spreadsheets/d/1tZ0nmtGuIRCaGAMXHlQU8EpR9LOAJvyKfc4f7EFmE34/edit?usp=share_link"",""ศร"&amp;"ีสะเกษ!J113"")+IMPORTRANGE(""https://docs.google.com/spreadsheets/d/1QC8psz9w0f9IVE9Xuc2FT_btkaOzZbbUSgYObpBuetM/edit?usp=share_link"",""สกลนคร!J113"")+IMPORTRANGE(""https://docs.google.com/spreadsheets/d/1wPdvRbu02d33MYVlbsCnyTiZpefEBs9NNktAnT1HZvw/edit?"&amp;"usp=share_link"",""สุรินทร์!J113"")+IMPORTRANGE(""https://docs.google.com/spreadsheets/d/1GVExpf-Exi_2gmuqTYH28fseTB9MoKPXWcXCbSt_YrM/edit?usp=share_link"",""หนองคาย!J113"")+IMPORTRANGE(""https://docs.google.com/spreadsheets/d/16UeMz0UgOB5BZcoxP75eYGcLFtG"&amp;"YRn9GoesD4OX9m5U/edit?usp=share_link"",""หนองบัวลำภู!J113"")+IMPORTRANGE(""https://docs.google.com/spreadsheets/d/1uUP8Zo1-qaJLuIkRU0qlwLSE3DHkbdrrj2JGJiWBQZE/edit?usp=share_link"",""อำนาจเจริญ!J113"")+IMPORTRANGE(""https://docs.google.com/spreadsheets/d/"&amp;"1hb_taSOHanzRjqfzWPiFo8yiT83VV1L7vvUCLhOiHKc/edit?usp=share_link"",""อุดรธานี!J113"")+IMPORTRANGE(""https://docs.google.com/spreadsheets/d/17IOkEwkUd63EGNfyNDnM5de9YlZ7rwzTiW6-dokVjKI/edit?usp=share_link"",""อุบลราชธานี!J113"")
"),265)</f>
        <v>265</v>
      </c>
      <c r="K113" s="38">
        <f t="shared" ca="1" si="74"/>
        <v>100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fb2B9NLcpJgjIieIJvenUTNPn0TimZDUi0OtYeiSQ_s/edit?usp=share_link"",""กาฬสินธุ์!I114"")+IMPORTRANGE(""https://docs.google.com/spreadsheets/d/1SaMnqrwRGmFYNR0MhpWmHuL5niYUd5E7vDq8X7whAlI/edit?usp=share_li"&amp;"nk"",""ขอนแก่น!I114"")
+IMPORTRANGE(""https://docs.google.com/spreadsheets/d/1xQzEtGHhTTgxHh6YUkKY1P4dRyjVhS74dGswLfAASA4/edit?usp=share_link"",""ชัยภูมิ!I114"")+IMPORTRANGE(""https://docs.google.com/spreadsheets/d/1EXMBoBxU3OFbjT2TRpneM33qFjqDzrKmn9ydcfl"&amp;"fI0o/edit?usp=share_link"",""นครพนม!I114"")+IMPORTRANGE(""https://docs.google.com/spreadsheets/d/1bDQrolntRWtHumK8W-x-HXKntwxB9S3sF5aDeRS66Ko/edit?usp=share_link"",""นครราชสีมา!I114"")+IMPORTRANGE(""https://docs.google.com/spreadsheets/d/1_MzZ-2gVPiCW-d2V"&amp;"cafoCmFJQTSrZ6SQyFcMqRRQQ2w/edit?usp=share_link"",""บึงกาฬ!I114"")
+IMPORTRANGE(""https://docs.google.com/spreadsheets/d/1B3lPpzOuaNwVItLwLEZYl_qEblfcx7dRnbRkAw0l-pE/edit?usp=share_link"",""บุรีรัมย์!I114"")+IMPORTRANGE(""https://docs.google.com/spreadshe"&amp;"ets/d/19GOkiOqnzYbevLYWrMk4qFOXe3rX14BkSA8X-mq-a40/edit?usp=share_link"",""มหาสารคาม!I114"")+IMPORTRANGE(""https://docs.google.com/spreadsheets/d/1uMKqWwuNQ-TCKboGA3Bb1qXb5uj2-faACNUINCz8PN4/edit?usp=share_link"",""มุกดาหาร!I114"")+IMPORTRANGE(""https://d"&amp;"ocs.google.com/spreadsheets/d/1oKaccgDdQABndOzGr688Dbfxb_V3YcF67VqEPBtdzsc/edit?usp=share_link"",""ยโสธร!I114"")+IMPORTRANGE(""https://docs.google.com/spreadsheets/d/1BRgc8xKpxZ0PX-gauieMVkV_IOxKSotf0yW8MabGprQ/edit?usp=share_link"",""ร้อยเอ็ด!I114"")+IMP"&amp;"ORTRANGE(""https://docs.google.com/spreadsheets/d/1IdolZc-dfdgMwAm_KZxYJl1sUOcIgnbGQzbWOlddedo/edit?usp=share_link"",""เลย!I114"")+IMPORTRANGE(""https://docs.google.com/spreadsheets/d/1tZ0nmtGuIRCaGAMXHlQU8EpR9LOAJvyKfc4f7EFmE34/edit?usp=share_link"",""ศร"&amp;"ีสะเกษ!I114"")+IMPORTRANGE(""https://docs.google.com/spreadsheets/d/1QC8psz9w0f9IVE9Xuc2FT_btkaOzZbbUSgYObpBuetM/edit?usp=share_link"",""สกลนคร!I114"")+IMPORTRANGE(""https://docs.google.com/spreadsheets/d/1wPdvRbu02d33MYVlbsCnyTiZpefEBs9NNktAnT1HZvw/edit?"&amp;"usp=share_link"",""สุรินทร์!I114"")+IMPORTRANGE(""https://docs.google.com/spreadsheets/d/1GVExpf-Exi_2gmuqTYH28fseTB9MoKPXWcXCbSt_YrM/edit?usp=share_link"",""หนองคาย!I114"")+IMPORTRANGE(""https://docs.google.com/spreadsheets/d/16UeMz0UgOB5BZcoxP75eYGcLFtG"&amp;"YRn9GoesD4OX9m5U/edit?usp=share_link"",""หนองบัวลำภู!I114"")+IMPORTRANGE(""https://docs.google.com/spreadsheets/d/1uUP8Zo1-qaJLuIkRU0qlwLSE3DHkbdrrj2JGJiWBQZE/edit?usp=share_link"",""อำนาจเจริญ!I114"")+IMPORTRANGE(""https://docs.google.com/spreadsheets/d/"&amp;"1hb_taSOHanzRjqfzWPiFo8yiT83VV1L7vvUCLhOiHKc/edit?usp=share_link"",""อุดรธานี!I114"")+IMPORTRANGE(""https://docs.google.com/spreadsheets/d/17IOkEwkUd63EGNfyNDnM5de9YlZ7rwzTiW6-dokVjKI/edit?usp=share_link"",""อุบลราชธานี!I114"")
"),265)</f>
        <v>265</v>
      </c>
      <c r="J114" s="183">
        <f ca="1">IFERROR(__xludf.DUMMYFUNCTION("IMPORTRANGE(""https://docs.google.com/spreadsheets/d/1fb2B9NLcpJgjIieIJvenUTNPn0TimZDUi0OtYeiSQ_s/edit?usp=share_link"",""กาฬสินธุ์!J114"")+IMPORTRANGE(""https://docs.google.com/spreadsheets/d/1SaMnqrwRGmFYNR0MhpWmHuL5niYUd5E7vDq8X7whAlI/edit?usp=share_li"&amp;"nk"",""ขอนแก่น!J114"")
+IMPORTRANGE(""https://docs.google.com/spreadsheets/d/1xQzEtGHhTTgxHh6YUkKY1P4dRyjVhS74dGswLfAASA4/edit?usp=share_link"",""ชัยภูมิ!J114"")+IMPORTRANGE(""https://docs.google.com/spreadsheets/d/1EXMBoBxU3OFbjT2TRpneM33qFjqDzrKmn9ydcfl"&amp;"fI0o/edit?usp=share_link"",""นครพนม!J114"")+IMPORTRANGE(""https://docs.google.com/spreadsheets/d/1bDQrolntRWtHumK8W-x-HXKntwxB9S3sF5aDeRS66Ko/edit?usp=share_link"",""นครราชสีมา!J114"")+IMPORTRANGE(""https://docs.google.com/spreadsheets/d/1_MzZ-2gVPiCW-d2V"&amp;"cafoCmFJQTSrZ6SQyFcMqRRQQ2w/edit?usp=share_link"",""บึงกาฬ!J114"")
+IMPORTRANGE(""https://docs.google.com/spreadsheets/d/1B3lPpzOuaNwVItLwLEZYl_qEblfcx7dRnbRkAw0l-pE/edit?usp=share_link"",""บุรีรัมย์!J114"")+IMPORTRANGE(""https://docs.google.com/spreadshe"&amp;"ets/d/19GOkiOqnzYbevLYWrMk4qFOXe3rX14BkSA8X-mq-a40/edit?usp=share_link"",""มหาสารคาม!J114"")+IMPORTRANGE(""https://docs.google.com/spreadsheets/d/1uMKqWwuNQ-TCKboGA3Bb1qXb5uj2-faACNUINCz8PN4/edit?usp=share_link"",""มุกดาหาร!J114"")+IMPORTRANGE(""https://d"&amp;"ocs.google.com/spreadsheets/d/1oKaccgDdQABndOzGr688Dbfxb_V3YcF67VqEPBtdzsc/edit?usp=share_link"",""ยโสธร!J114"")+IMPORTRANGE(""https://docs.google.com/spreadsheets/d/1BRgc8xKpxZ0PX-gauieMVkV_IOxKSotf0yW8MabGprQ/edit?usp=share_link"",""ร้อยเอ็ด!J114"")+IMP"&amp;"ORTRANGE(""https://docs.google.com/spreadsheets/d/1IdolZc-dfdgMwAm_KZxYJl1sUOcIgnbGQzbWOlddedo/edit?usp=share_link"",""เลย!J114"")+IMPORTRANGE(""https://docs.google.com/spreadsheets/d/1tZ0nmtGuIRCaGAMXHlQU8EpR9LOAJvyKfc4f7EFmE34/edit?usp=share_link"",""ศร"&amp;"ีสะเกษ!J114"")+IMPORTRANGE(""https://docs.google.com/spreadsheets/d/1QC8psz9w0f9IVE9Xuc2FT_btkaOzZbbUSgYObpBuetM/edit?usp=share_link"",""สกลนคร!J114"")+IMPORTRANGE(""https://docs.google.com/spreadsheets/d/1wPdvRbu02d33MYVlbsCnyTiZpefEBs9NNktAnT1HZvw/edit?"&amp;"usp=share_link"",""สุรินทร์!J114"")+IMPORTRANGE(""https://docs.google.com/spreadsheets/d/1GVExpf-Exi_2gmuqTYH28fseTB9MoKPXWcXCbSt_YrM/edit?usp=share_link"",""หนองคาย!J114"")+IMPORTRANGE(""https://docs.google.com/spreadsheets/d/16UeMz0UgOB5BZcoxP75eYGcLFtG"&amp;"YRn9GoesD4OX9m5U/edit?usp=share_link"",""หนองบัวลำภู!J114"")+IMPORTRANGE(""https://docs.google.com/spreadsheets/d/1uUP8Zo1-qaJLuIkRU0qlwLSE3DHkbdrrj2JGJiWBQZE/edit?usp=share_link"",""อำนาจเจริญ!J114"")+IMPORTRANGE(""https://docs.google.com/spreadsheets/d/"&amp;"1hb_taSOHanzRjqfzWPiFo8yiT83VV1L7vvUCLhOiHKc/edit?usp=share_link"",""อุดรธานี!J114"")+IMPORTRANGE(""https://docs.google.com/spreadsheets/d/17IOkEwkUd63EGNfyNDnM5de9YlZ7rwzTiW6-dokVjKI/edit?usp=share_link"",""อุบลราชธานี!J114"")
"),265)</f>
        <v>265</v>
      </c>
      <c r="K114" s="38">
        <f t="shared" ca="1" si="74"/>
        <v>100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fb2B9NLcpJgjIieIJvenUTNPn0TimZDUi0OtYeiSQ_s/edit?usp=share_link"",""กาฬสินธุ์!I115"")+IMPORTRANGE(""https://docs.google.com/spreadsheets/d/1SaMnqrwRGmFYNR0MhpWmHuL5niYUd5E7vDq8X7whAlI/edit?usp=share_li"&amp;"nk"",""ขอนแก่น!I115"")
+IMPORTRANGE(""https://docs.google.com/spreadsheets/d/1xQzEtGHhTTgxHh6YUkKY1P4dRyjVhS74dGswLfAASA4/edit?usp=share_link"",""ชัยภูมิ!I115"")+IMPORTRANGE(""https://docs.google.com/spreadsheets/d/1EXMBoBxU3OFbjT2TRpneM33qFjqDzrKmn9ydcfl"&amp;"fI0o/edit?usp=share_link"",""นครพนม!I115"")+IMPORTRANGE(""https://docs.google.com/spreadsheets/d/1bDQrolntRWtHumK8W-x-HXKntwxB9S3sF5aDeRS66Ko/edit?usp=share_link"",""นครราชสีมา!I115"")+IMPORTRANGE(""https://docs.google.com/spreadsheets/d/1_MzZ-2gVPiCW-d2V"&amp;"cafoCmFJQTSrZ6SQyFcMqRRQQ2w/edit?usp=share_link"",""บึงกาฬ!I115"")
+IMPORTRANGE(""https://docs.google.com/spreadsheets/d/1B3lPpzOuaNwVItLwLEZYl_qEblfcx7dRnbRkAw0l-pE/edit?usp=share_link"",""บุรีรัมย์!I115"")+IMPORTRANGE(""https://docs.google.com/spreadshe"&amp;"ets/d/19GOkiOqnzYbevLYWrMk4qFOXe3rX14BkSA8X-mq-a40/edit?usp=share_link"",""มหาสารคาม!I115"")+IMPORTRANGE(""https://docs.google.com/spreadsheets/d/1uMKqWwuNQ-TCKboGA3Bb1qXb5uj2-faACNUINCz8PN4/edit?usp=share_link"",""มุกดาหาร!I115"")+IMPORTRANGE(""https://d"&amp;"ocs.google.com/spreadsheets/d/1oKaccgDdQABndOzGr688Dbfxb_V3YcF67VqEPBtdzsc/edit?usp=share_link"",""ยโสธร!I115"")+IMPORTRANGE(""https://docs.google.com/spreadsheets/d/1BRgc8xKpxZ0PX-gauieMVkV_IOxKSotf0yW8MabGprQ/edit?usp=share_link"",""ร้อยเอ็ด!I115"")+IMP"&amp;"ORTRANGE(""https://docs.google.com/spreadsheets/d/1IdolZc-dfdgMwAm_KZxYJl1sUOcIgnbGQzbWOlddedo/edit?usp=share_link"",""เลย!I115"")+IMPORTRANGE(""https://docs.google.com/spreadsheets/d/1tZ0nmtGuIRCaGAMXHlQU8EpR9LOAJvyKfc4f7EFmE34/edit?usp=share_link"",""ศร"&amp;"ีสะเกษ!I115"")+IMPORTRANGE(""https://docs.google.com/spreadsheets/d/1QC8psz9w0f9IVE9Xuc2FT_btkaOzZbbUSgYObpBuetM/edit?usp=share_link"",""สกลนคร!I115"")+IMPORTRANGE(""https://docs.google.com/spreadsheets/d/1wPdvRbu02d33MYVlbsCnyTiZpefEBs9NNktAnT1HZvw/edit?"&amp;"usp=share_link"",""สุรินทร์!I115"")+IMPORTRANGE(""https://docs.google.com/spreadsheets/d/1GVExpf-Exi_2gmuqTYH28fseTB9MoKPXWcXCbSt_YrM/edit?usp=share_link"",""หนองคาย!I115"")+IMPORTRANGE(""https://docs.google.com/spreadsheets/d/16UeMz0UgOB5BZcoxP75eYGcLFtG"&amp;"YRn9GoesD4OX9m5U/edit?usp=share_link"",""หนองบัวลำภู!I115"")+IMPORTRANGE(""https://docs.google.com/spreadsheets/d/1uUP8Zo1-qaJLuIkRU0qlwLSE3DHkbdrrj2JGJiWBQZE/edit?usp=share_link"",""อำนาจเจริญ!I115"")+IMPORTRANGE(""https://docs.google.com/spreadsheets/d/"&amp;"1hb_taSOHanzRjqfzWPiFo8yiT83VV1L7vvUCLhOiHKc/edit?usp=share_link"",""อุดรธานี!I115"")+IMPORTRANGE(""https://docs.google.com/spreadsheets/d/17IOkEwkUd63EGNfyNDnM5de9YlZ7rwzTiW6-dokVjKI/edit?usp=share_link"",""อุบลราชธานี!I115"")
"),18)</f>
        <v>18</v>
      </c>
      <c r="J115" s="183">
        <f ca="1">IFERROR(__xludf.DUMMYFUNCTION("IMPORTRANGE(""https://docs.google.com/spreadsheets/d/1fb2B9NLcpJgjIieIJvenUTNPn0TimZDUi0OtYeiSQ_s/edit?usp=share_link"",""กาฬสินธุ์!J115"")+IMPORTRANGE(""https://docs.google.com/spreadsheets/d/1SaMnqrwRGmFYNR0MhpWmHuL5niYUd5E7vDq8X7whAlI/edit?usp=share_li"&amp;"nk"",""ขอนแก่น!J115"")
+IMPORTRANGE(""https://docs.google.com/spreadsheets/d/1xQzEtGHhTTgxHh6YUkKY1P4dRyjVhS74dGswLfAASA4/edit?usp=share_link"",""ชัยภูมิ!J115"")+IMPORTRANGE(""https://docs.google.com/spreadsheets/d/1EXMBoBxU3OFbjT2TRpneM33qFjqDzrKmn9ydcfl"&amp;"fI0o/edit?usp=share_link"",""นครพนม!J115"")+IMPORTRANGE(""https://docs.google.com/spreadsheets/d/1bDQrolntRWtHumK8W-x-HXKntwxB9S3sF5aDeRS66Ko/edit?usp=share_link"",""นครราชสีมา!J115"")+IMPORTRANGE(""https://docs.google.com/spreadsheets/d/1_MzZ-2gVPiCW-d2V"&amp;"cafoCmFJQTSrZ6SQyFcMqRRQQ2w/edit?usp=share_link"",""บึงกาฬ!J115"")
+IMPORTRANGE(""https://docs.google.com/spreadsheets/d/1B3lPpzOuaNwVItLwLEZYl_qEblfcx7dRnbRkAw0l-pE/edit?usp=share_link"",""บุรีรัมย์!J115"")+IMPORTRANGE(""https://docs.google.com/spreadshe"&amp;"ets/d/19GOkiOqnzYbevLYWrMk4qFOXe3rX14BkSA8X-mq-a40/edit?usp=share_link"",""มหาสารคาม!J115"")+IMPORTRANGE(""https://docs.google.com/spreadsheets/d/1uMKqWwuNQ-TCKboGA3Bb1qXb5uj2-faACNUINCz8PN4/edit?usp=share_link"",""มุกดาหาร!J115"")+IMPORTRANGE(""https://d"&amp;"ocs.google.com/spreadsheets/d/1oKaccgDdQABndOzGr688Dbfxb_V3YcF67VqEPBtdzsc/edit?usp=share_link"",""ยโสธร!J115"")+IMPORTRANGE(""https://docs.google.com/spreadsheets/d/1BRgc8xKpxZ0PX-gauieMVkV_IOxKSotf0yW8MabGprQ/edit?usp=share_link"",""ร้อยเอ็ด!J115"")+IMP"&amp;"ORTRANGE(""https://docs.google.com/spreadsheets/d/1IdolZc-dfdgMwAm_KZxYJl1sUOcIgnbGQzbWOlddedo/edit?usp=share_link"",""เลย!J115"")+IMPORTRANGE(""https://docs.google.com/spreadsheets/d/1tZ0nmtGuIRCaGAMXHlQU8EpR9LOAJvyKfc4f7EFmE34/edit?usp=share_link"",""ศร"&amp;"ีสะเกษ!J115"")+IMPORTRANGE(""https://docs.google.com/spreadsheets/d/1QC8psz9w0f9IVE9Xuc2FT_btkaOzZbbUSgYObpBuetM/edit?usp=share_link"",""สกลนคร!J115"")+IMPORTRANGE(""https://docs.google.com/spreadsheets/d/1wPdvRbu02d33MYVlbsCnyTiZpefEBs9NNktAnT1HZvw/edit?"&amp;"usp=share_link"",""สุรินทร์!J115"")+IMPORTRANGE(""https://docs.google.com/spreadsheets/d/1GVExpf-Exi_2gmuqTYH28fseTB9MoKPXWcXCbSt_YrM/edit?usp=share_link"",""หนองคาย!J115"")+IMPORTRANGE(""https://docs.google.com/spreadsheets/d/16UeMz0UgOB5BZcoxP75eYGcLFtG"&amp;"YRn9GoesD4OX9m5U/edit?usp=share_link"",""หนองบัวลำภู!J115"")+IMPORTRANGE(""https://docs.google.com/spreadsheets/d/1uUP8Zo1-qaJLuIkRU0qlwLSE3DHkbdrrj2JGJiWBQZE/edit?usp=share_link"",""อำนาจเจริญ!J115"")+IMPORTRANGE(""https://docs.google.com/spreadsheets/d/"&amp;"1hb_taSOHanzRjqfzWPiFo8yiT83VV1L7vvUCLhOiHKc/edit?usp=share_link"",""อุดรธานี!J115"")+IMPORTRANGE(""https://docs.google.com/spreadsheets/d/17IOkEwkUd63EGNfyNDnM5de9YlZ7rwzTiW6-dokVjKI/edit?usp=share_link"",""อุบลราชธานี!J115"")
"),18)</f>
        <v>18</v>
      </c>
      <c r="K115" s="38">
        <f t="shared" ca="1" si="74"/>
        <v>100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fb2B9NLcpJgjIieIJvenUTNPn0TimZDUi0OtYeiSQ_s/edit?usp=share_link"",""กาฬสินธุ์!I116"")+IMPORTRANGE(""https://docs.google.com/spreadsheets/d/1SaMnqrwRGmFYNR0MhpWmHuL5niYUd5E7vDq8X7whAlI/edit?usp=share_li"&amp;"nk"",""ขอนแก่น!I116"")
+IMPORTRANGE(""https://docs.google.com/spreadsheets/d/1xQzEtGHhTTgxHh6YUkKY1P4dRyjVhS74dGswLfAASA4/edit?usp=share_link"",""ชัยภูมิ!I116"")+IMPORTRANGE(""https://docs.google.com/spreadsheets/d/1EXMBoBxU3OFbjT2TRpneM33qFjqDzrKmn9ydcfl"&amp;"fI0o/edit?usp=share_link"",""นครพนม!I116"")+IMPORTRANGE(""https://docs.google.com/spreadsheets/d/1bDQrolntRWtHumK8W-x-HXKntwxB9S3sF5aDeRS66Ko/edit?usp=share_link"",""นครราชสีมา!I116"")+IMPORTRANGE(""https://docs.google.com/spreadsheets/d/1_MzZ-2gVPiCW-d2V"&amp;"cafoCmFJQTSrZ6SQyFcMqRRQQ2w/edit?usp=share_link"",""บึงกาฬ!I116"")
+IMPORTRANGE(""https://docs.google.com/spreadsheets/d/1B3lPpzOuaNwVItLwLEZYl_qEblfcx7dRnbRkAw0l-pE/edit?usp=share_link"",""บุรีรัมย์!I116"")+IMPORTRANGE(""https://docs.google.com/spreadshe"&amp;"ets/d/19GOkiOqnzYbevLYWrMk4qFOXe3rX14BkSA8X-mq-a40/edit?usp=share_link"",""มหาสารคาม!I116"")+IMPORTRANGE(""https://docs.google.com/spreadsheets/d/1uMKqWwuNQ-TCKboGA3Bb1qXb5uj2-faACNUINCz8PN4/edit?usp=share_link"",""มุกดาหาร!I116"")+IMPORTRANGE(""https://d"&amp;"ocs.google.com/spreadsheets/d/1oKaccgDdQABndOzGr688Dbfxb_V3YcF67VqEPBtdzsc/edit?usp=share_link"",""ยโสธร!I116"")+IMPORTRANGE(""https://docs.google.com/spreadsheets/d/1BRgc8xKpxZ0PX-gauieMVkV_IOxKSotf0yW8MabGprQ/edit?usp=share_link"",""ร้อยเอ็ด!I116"")+IMP"&amp;"ORTRANGE(""https://docs.google.com/spreadsheets/d/1IdolZc-dfdgMwAm_KZxYJl1sUOcIgnbGQzbWOlddedo/edit?usp=share_link"",""เลย!I116"")+IMPORTRANGE(""https://docs.google.com/spreadsheets/d/1tZ0nmtGuIRCaGAMXHlQU8EpR9LOAJvyKfc4f7EFmE34/edit?usp=share_link"",""ศร"&amp;"ีสะเกษ!I116"")+IMPORTRANGE(""https://docs.google.com/spreadsheets/d/1QC8psz9w0f9IVE9Xuc2FT_btkaOzZbbUSgYObpBuetM/edit?usp=share_link"",""สกลนคร!I116"")+IMPORTRANGE(""https://docs.google.com/spreadsheets/d/1wPdvRbu02d33MYVlbsCnyTiZpefEBs9NNktAnT1HZvw/edit?"&amp;"usp=share_link"",""สุรินทร์!I116"")+IMPORTRANGE(""https://docs.google.com/spreadsheets/d/1GVExpf-Exi_2gmuqTYH28fseTB9MoKPXWcXCbSt_YrM/edit?usp=share_link"",""หนองคาย!I116"")+IMPORTRANGE(""https://docs.google.com/spreadsheets/d/16UeMz0UgOB5BZcoxP75eYGcLFtG"&amp;"YRn9GoesD4OX9m5U/edit?usp=share_link"",""หนองบัวลำภู!I116"")+IMPORTRANGE(""https://docs.google.com/spreadsheets/d/1uUP8Zo1-qaJLuIkRU0qlwLSE3DHkbdrrj2JGJiWBQZE/edit?usp=share_link"",""อำนาจเจริญ!I116"")+IMPORTRANGE(""https://docs.google.com/spreadsheets/d/"&amp;"1hb_taSOHanzRjqfzWPiFo8yiT83VV1L7vvUCLhOiHKc/edit?usp=share_link"",""อุดรธานี!I116"")+IMPORTRANGE(""https://docs.google.com/spreadsheets/d/17IOkEwkUd63EGNfyNDnM5de9YlZ7rwzTiW6-dokVjKI/edit?usp=share_link"",""อุบลราชธานี!I116"")
"),15)</f>
        <v>15</v>
      </c>
      <c r="J116" s="183">
        <f ca="1">IFERROR(__xludf.DUMMYFUNCTION("IMPORTRANGE(""https://docs.google.com/spreadsheets/d/1fb2B9NLcpJgjIieIJvenUTNPn0TimZDUi0OtYeiSQ_s/edit?usp=share_link"",""กาฬสินธุ์!J116"")+IMPORTRANGE(""https://docs.google.com/spreadsheets/d/1SaMnqrwRGmFYNR0MhpWmHuL5niYUd5E7vDq8X7whAlI/edit?usp=share_li"&amp;"nk"",""ขอนแก่น!J116"")
+IMPORTRANGE(""https://docs.google.com/spreadsheets/d/1xQzEtGHhTTgxHh6YUkKY1P4dRyjVhS74dGswLfAASA4/edit?usp=share_link"",""ชัยภูมิ!J116"")+IMPORTRANGE(""https://docs.google.com/spreadsheets/d/1EXMBoBxU3OFbjT2TRpneM33qFjqDzrKmn9ydcfl"&amp;"fI0o/edit?usp=share_link"",""นครพนม!J116"")+IMPORTRANGE(""https://docs.google.com/spreadsheets/d/1bDQrolntRWtHumK8W-x-HXKntwxB9S3sF5aDeRS66Ko/edit?usp=share_link"",""นครราชสีมา!J116"")+IMPORTRANGE(""https://docs.google.com/spreadsheets/d/1_MzZ-2gVPiCW-d2V"&amp;"cafoCmFJQTSrZ6SQyFcMqRRQQ2w/edit?usp=share_link"",""บึงกาฬ!J116"")
+IMPORTRANGE(""https://docs.google.com/spreadsheets/d/1B3lPpzOuaNwVItLwLEZYl_qEblfcx7dRnbRkAw0l-pE/edit?usp=share_link"",""บุรีรัมย์!J116"")+IMPORTRANGE(""https://docs.google.com/spreadshe"&amp;"ets/d/19GOkiOqnzYbevLYWrMk4qFOXe3rX14BkSA8X-mq-a40/edit?usp=share_link"",""มหาสารคาม!J116"")+IMPORTRANGE(""https://docs.google.com/spreadsheets/d/1uMKqWwuNQ-TCKboGA3Bb1qXb5uj2-faACNUINCz8PN4/edit?usp=share_link"",""มุกดาหาร!J116"")+IMPORTRANGE(""https://d"&amp;"ocs.google.com/spreadsheets/d/1oKaccgDdQABndOzGr688Dbfxb_V3YcF67VqEPBtdzsc/edit?usp=share_link"",""ยโสธร!J116"")+IMPORTRANGE(""https://docs.google.com/spreadsheets/d/1BRgc8xKpxZ0PX-gauieMVkV_IOxKSotf0yW8MabGprQ/edit?usp=share_link"",""ร้อยเอ็ด!J116"")+IMP"&amp;"ORTRANGE(""https://docs.google.com/spreadsheets/d/1IdolZc-dfdgMwAm_KZxYJl1sUOcIgnbGQzbWOlddedo/edit?usp=share_link"",""เลย!J116"")+IMPORTRANGE(""https://docs.google.com/spreadsheets/d/1tZ0nmtGuIRCaGAMXHlQU8EpR9LOAJvyKfc4f7EFmE34/edit?usp=share_link"",""ศร"&amp;"ีสะเกษ!J116"")+IMPORTRANGE(""https://docs.google.com/spreadsheets/d/1QC8psz9w0f9IVE9Xuc2FT_btkaOzZbbUSgYObpBuetM/edit?usp=share_link"",""สกลนคร!J116"")+IMPORTRANGE(""https://docs.google.com/spreadsheets/d/1wPdvRbu02d33MYVlbsCnyTiZpefEBs9NNktAnT1HZvw/edit?"&amp;"usp=share_link"",""สุรินทร์!J116"")+IMPORTRANGE(""https://docs.google.com/spreadsheets/d/1GVExpf-Exi_2gmuqTYH28fseTB9MoKPXWcXCbSt_YrM/edit?usp=share_link"",""หนองคาย!J116"")+IMPORTRANGE(""https://docs.google.com/spreadsheets/d/16UeMz0UgOB5BZcoxP75eYGcLFtG"&amp;"YRn9GoesD4OX9m5U/edit?usp=share_link"",""หนองบัวลำภู!J116"")+IMPORTRANGE(""https://docs.google.com/spreadsheets/d/1uUP8Zo1-qaJLuIkRU0qlwLSE3DHkbdrrj2JGJiWBQZE/edit?usp=share_link"",""อำนาจเจริญ!J116"")+IMPORTRANGE(""https://docs.google.com/spreadsheets/d/"&amp;"1hb_taSOHanzRjqfzWPiFo8yiT83VV1L7vvUCLhOiHKc/edit?usp=share_link"",""อุดรธานี!J116"")+IMPORTRANGE(""https://docs.google.com/spreadsheets/d/17IOkEwkUd63EGNfyNDnM5de9YlZ7rwzTiW6-dokVjKI/edit?usp=share_link"",""อุบลราชธานี!J116"")
"),15)</f>
        <v>15</v>
      </c>
      <c r="K116" s="38">
        <f t="shared" ca="1" si="74"/>
        <v>100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fb2B9NLcpJgjIieIJvenUTNPn0TimZDUi0OtYeiSQ_s/edit?usp=share_link"",""กาฬสินธุ์!I118"")+IMPORTRANGE(""https://docs.google.com/spreadsheets/d/1SaMnqrwRGmFYNR0MhpWmHuL5niYUd5E7vDq8X7whAlI/edit?usp=share_li"&amp;"nk"",""ขอนแก่น!I118"")
+IMPORTRANGE(""https://docs.google.com/spreadsheets/d/1xQzEtGHhTTgxHh6YUkKY1P4dRyjVhS74dGswLfAASA4/edit?usp=share_link"",""ชัยภูมิ!I118"")+IMPORTRANGE(""https://docs.google.com/spreadsheets/d/1EXMBoBxU3OFbjT2TRpneM33qFjqDzrKmn9ydcfl"&amp;"fI0o/edit?usp=share_link"",""นครพนม!I118"")+IMPORTRANGE(""https://docs.google.com/spreadsheets/d/1bDQrolntRWtHumK8W-x-HXKntwxB9S3sF5aDeRS66Ko/edit?usp=share_link"",""นครราชสีมา!I118"")+IMPORTRANGE(""https://docs.google.com/spreadsheets/d/1_MzZ-2gVPiCW-d2V"&amp;"cafoCmFJQTSrZ6SQyFcMqRRQQ2w/edit?usp=share_link"",""บึงกาฬ!I118"")
+IMPORTRANGE(""https://docs.google.com/spreadsheets/d/1B3lPpzOuaNwVItLwLEZYl_qEblfcx7dRnbRkAw0l-pE/edit?usp=share_link"",""บุรีรัมย์!I118"")+IMPORTRANGE(""https://docs.google.com/spreadshe"&amp;"ets/d/19GOkiOqnzYbevLYWrMk4qFOXe3rX14BkSA8X-mq-a40/edit?usp=share_link"",""มหาสารคาม!I118"")+IMPORTRANGE(""https://docs.google.com/spreadsheets/d/1uMKqWwuNQ-TCKboGA3Bb1qXb5uj2-faACNUINCz8PN4/edit?usp=share_link"",""มุกดาหาร!I118"")+IMPORTRANGE(""https://d"&amp;"ocs.google.com/spreadsheets/d/1oKaccgDdQABndOzGr688Dbfxb_V3YcF67VqEPBtdzsc/edit?usp=share_link"",""ยโสธร!I118"")+IMPORTRANGE(""https://docs.google.com/spreadsheets/d/1BRgc8xKpxZ0PX-gauieMVkV_IOxKSotf0yW8MabGprQ/edit?usp=share_link"",""ร้อยเอ็ด!I118"")+IMP"&amp;"ORTRANGE(""https://docs.google.com/spreadsheets/d/1IdolZc-dfdgMwAm_KZxYJl1sUOcIgnbGQzbWOlddedo/edit?usp=share_link"",""เลย!I118"")+IMPORTRANGE(""https://docs.google.com/spreadsheets/d/1tZ0nmtGuIRCaGAMXHlQU8EpR9LOAJvyKfc4f7EFmE34/edit?usp=share_link"",""ศร"&amp;"ีสะเกษ!I118"")+IMPORTRANGE(""https://docs.google.com/spreadsheets/d/1QC8psz9w0f9IVE9Xuc2FT_btkaOzZbbUSgYObpBuetM/edit?usp=share_link"",""สกลนคร!I118"")+IMPORTRANGE(""https://docs.google.com/spreadsheets/d/1wPdvRbu02d33MYVlbsCnyTiZpefEBs9NNktAnT1HZvw/edit?"&amp;"usp=share_link"",""สุรินทร์!I118"")+IMPORTRANGE(""https://docs.google.com/spreadsheets/d/1GVExpf-Exi_2gmuqTYH28fseTB9MoKPXWcXCbSt_YrM/edit?usp=share_link"",""หนองคาย!I118"")+IMPORTRANGE(""https://docs.google.com/spreadsheets/d/16UeMz0UgOB5BZcoxP75eYGcLFtG"&amp;"YRn9GoesD4OX9m5U/edit?usp=share_link"",""หนองบัวลำภู!I118"")+IMPORTRANGE(""https://docs.google.com/spreadsheets/d/1uUP8Zo1-qaJLuIkRU0qlwLSE3DHkbdrrj2JGJiWBQZE/edit?usp=share_link"",""อำนาจเจริญ!I118"")+IMPORTRANGE(""https://docs.google.com/spreadsheets/d/"&amp;"1hb_taSOHanzRjqfzWPiFo8yiT83VV1L7vvUCLhOiHKc/edit?usp=share_link"",""อุดรธานี!I118"")+IMPORTRANGE(""https://docs.google.com/spreadsheets/d/17IOkEwkUd63EGNfyNDnM5de9YlZ7rwzTiW6-dokVjKI/edit?usp=share_link"",""อุบลราชธานี!I118"")
"),0)</f>
        <v>0</v>
      </c>
      <c r="J118" s="144">
        <f ca="1">IFERROR(__xludf.DUMMYFUNCTION("IMPORTRANGE(""https://docs.google.com/spreadsheets/d/1fb2B9NLcpJgjIieIJvenUTNPn0TimZDUi0OtYeiSQ_s/edit?usp=share_link"",""กาฬสินธุ์!J118"")+IMPORTRANGE(""https://docs.google.com/spreadsheets/d/1SaMnqrwRGmFYNR0MhpWmHuL5niYUd5E7vDq8X7whAlI/edit?usp=share_li"&amp;"nk"",""ขอนแก่น!J118"")
+IMPORTRANGE(""https://docs.google.com/spreadsheets/d/1xQzEtGHhTTgxHh6YUkKY1P4dRyjVhS74dGswLfAASA4/edit?usp=share_link"",""ชัยภูมิ!J118"")+IMPORTRANGE(""https://docs.google.com/spreadsheets/d/1EXMBoBxU3OFbjT2TRpneM33qFjqDzrKmn9ydcfl"&amp;"fI0o/edit?usp=share_link"",""นครพนม!J118"")+IMPORTRANGE(""https://docs.google.com/spreadsheets/d/1bDQrolntRWtHumK8W-x-HXKntwxB9S3sF5aDeRS66Ko/edit?usp=share_link"",""นครราชสีมา!J118"")+IMPORTRANGE(""https://docs.google.com/spreadsheets/d/1_MzZ-2gVPiCW-d2V"&amp;"cafoCmFJQTSrZ6SQyFcMqRRQQ2w/edit?usp=share_link"",""บึงกาฬ!J118"")
+IMPORTRANGE(""https://docs.google.com/spreadsheets/d/1B3lPpzOuaNwVItLwLEZYl_qEblfcx7dRnbRkAw0l-pE/edit?usp=share_link"",""บุรีรัมย์!J118"")+IMPORTRANGE(""https://docs.google.com/spreadshe"&amp;"ets/d/19GOkiOqnzYbevLYWrMk4qFOXe3rX14BkSA8X-mq-a40/edit?usp=share_link"",""มหาสารคาม!J118"")+IMPORTRANGE(""https://docs.google.com/spreadsheets/d/1uMKqWwuNQ-TCKboGA3Bb1qXb5uj2-faACNUINCz8PN4/edit?usp=share_link"",""มุกดาหาร!J118"")+IMPORTRANGE(""https://d"&amp;"ocs.google.com/spreadsheets/d/1oKaccgDdQABndOzGr688Dbfxb_V3YcF67VqEPBtdzsc/edit?usp=share_link"",""ยโสธร!J118"")+IMPORTRANGE(""https://docs.google.com/spreadsheets/d/1BRgc8xKpxZ0PX-gauieMVkV_IOxKSotf0yW8MabGprQ/edit?usp=share_link"",""ร้อยเอ็ด!J118"")+IMP"&amp;"ORTRANGE(""https://docs.google.com/spreadsheets/d/1IdolZc-dfdgMwAm_KZxYJl1sUOcIgnbGQzbWOlddedo/edit?usp=share_link"",""เลย!J118"")+IMPORTRANGE(""https://docs.google.com/spreadsheets/d/1tZ0nmtGuIRCaGAMXHlQU8EpR9LOAJvyKfc4f7EFmE34/edit?usp=share_link"",""ศร"&amp;"ีสะเกษ!J118"")+IMPORTRANGE(""https://docs.google.com/spreadsheets/d/1QC8psz9w0f9IVE9Xuc2FT_btkaOzZbbUSgYObpBuetM/edit?usp=share_link"",""สกลนคร!J118"")+IMPORTRANGE(""https://docs.google.com/spreadsheets/d/1wPdvRbu02d33MYVlbsCnyTiZpefEBs9NNktAnT1HZvw/edit?"&amp;"usp=share_link"",""สุรินทร์!J118"")+IMPORTRANGE(""https://docs.google.com/spreadsheets/d/1GVExpf-Exi_2gmuqTYH28fseTB9MoKPXWcXCbSt_YrM/edit?usp=share_link"",""หนองคาย!J118"")+IMPORTRANGE(""https://docs.google.com/spreadsheets/d/16UeMz0UgOB5BZcoxP75eYGcLFtG"&amp;"YRn9GoesD4OX9m5U/edit?usp=share_link"",""หนองบัวลำภู!J118"")+IMPORTRANGE(""https://docs.google.com/spreadsheets/d/1uUP8Zo1-qaJLuIkRU0qlwLSE3DHkbdrrj2JGJiWBQZE/edit?usp=share_link"",""อำนาจเจริญ!J118"")+IMPORTRANGE(""https://docs.google.com/spreadsheets/d/"&amp;"1hb_taSOHanzRjqfzWPiFo8yiT83VV1L7vvUCLhOiHKc/edit?usp=share_link"",""อุดรธานี!J118"")+IMPORTRANGE(""https://docs.google.com/spreadsheets/d/17IOkEwkUd63EGNfyNDnM5de9YlZ7rwzTiW6-dokVjKI/edit?usp=share_link"",""อุบลราชธานี!J118"")
"),0)</f>
        <v>0</v>
      </c>
      <c r="K118" s="145">
        <f ca="1"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507800</v>
      </c>
      <c r="M119" s="155">
        <f t="shared" ca="1" si="76"/>
        <v>507785</v>
      </c>
      <c r="N119" s="155">
        <f t="shared" ca="1" si="76"/>
        <v>507785</v>
      </c>
      <c r="O119" s="155">
        <f t="shared" ref="O119:O127" ca="1" si="77">IF(L119&gt;0,N119*100/L119,0)</f>
        <v>99.9970460811343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507800</v>
      </c>
      <c r="M121" s="45">
        <f t="shared" ca="1" si="80"/>
        <v>507785</v>
      </c>
      <c r="N121" s="45">
        <f t="shared" ca="1" si="80"/>
        <v>507785</v>
      </c>
      <c r="O121" s="45">
        <f t="shared" ca="1" si="77"/>
        <v>99.9970460811343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fb2B9NLcpJgjIieIJvenUTNPn0TimZDUi0OtYeiSQ_s/edit?usp=share_link"",""กาฬสินธุ์!L124"")+IMPORTRANGE(""https://docs.google.com/spreadsheets/d/1SaMnqrwRGmFYNR0MhpWmHuL5niYUd5E7vDq8X7whAlI/edit?usp=share_li"&amp;"nk"",""ขอนแก่น!L124"")
+IMPORTRANGE(""https://docs.google.com/spreadsheets/d/1xQzEtGHhTTgxHh6YUkKY1P4dRyjVhS74dGswLfAASA4/edit?usp=share_link"",""ชัยภูมิ!L124"")+IMPORTRANGE(""https://docs.google.com/spreadsheets/d/1EXMBoBxU3OFbjT2TRpneM33qFjqDzrKmn9ydcfl"&amp;"fI0o/edit?usp=share_link"",""นครพนม!L124"")+IMPORTRANGE(""https://docs.google.com/spreadsheets/d/1bDQrolntRWtHumK8W-x-HXKntwxB9S3sF5aDeRS66Ko/edit?usp=share_link"",""นครราชสีมา!L124"")+IMPORTRANGE(""https://docs.google.com/spreadsheets/d/1_MzZ-2gVPiCW-d2V"&amp;"cafoCmFJQTSrZ6SQyFcMqRRQQ2w/edit?usp=share_link"",""บึงกาฬ!L124"")
+IMPORTRANGE(""https://docs.google.com/spreadsheets/d/1B3lPpzOuaNwVItLwLEZYl_qEblfcx7dRnbRkAw0l-pE/edit?usp=share_link"",""บุรีรัมย์!L124"")+IMPORTRANGE(""https://docs.google.com/spreadshe"&amp;"ets/d/19GOkiOqnzYbevLYWrMk4qFOXe3rX14BkSA8X-mq-a40/edit?usp=share_link"",""มหาสารคาม!L124"")+IMPORTRANGE(""https://docs.google.com/spreadsheets/d/1uMKqWwuNQ-TCKboGA3Bb1qXb5uj2-faACNUINCz8PN4/edit?usp=share_link"",""มุกดาหาร!L124"")+IMPORTRANGE(""https://d"&amp;"ocs.google.com/spreadsheets/d/1oKaccgDdQABndOzGr688Dbfxb_V3YcF67VqEPBtdzsc/edit?usp=share_link"",""ยโสธร!L124"")+IMPORTRANGE(""https://docs.google.com/spreadsheets/d/1BRgc8xKpxZ0PX-gauieMVkV_IOxKSotf0yW8MabGprQ/edit?usp=share_link"",""ร้อยเอ็ด!L124"")+IMP"&amp;"ORTRANGE(""https://docs.google.com/spreadsheets/d/1IdolZc-dfdgMwAm_KZxYJl1sUOcIgnbGQzbWOlddedo/edit?usp=share_link"",""เลย!L124"")+IMPORTRANGE(""https://docs.google.com/spreadsheets/d/1tZ0nmtGuIRCaGAMXHlQU8EpR9LOAJvyKfc4f7EFmE34/edit?usp=share_link"",""ศร"&amp;"ีสะเกษ!L124"")+IMPORTRANGE(""https://docs.google.com/spreadsheets/d/1QC8psz9w0f9IVE9Xuc2FT_btkaOzZbbUSgYObpBuetM/edit?usp=share_link"",""สกลนคร!L124"")+IMPORTRANGE(""https://docs.google.com/spreadsheets/d/1wPdvRbu02d33MYVlbsCnyTiZpefEBs9NNktAnT1HZvw/edit?"&amp;"usp=share_link"",""สุรินทร์!L124"")+IMPORTRANGE(""https://docs.google.com/spreadsheets/d/1GVExpf-Exi_2gmuqTYH28fseTB9MoKPXWcXCbSt_YrM/edit?usp=share_link"",""หนองคาย!L124"")+IMPORTRANGE(""https://docs.google.com/spreadsheets/d/16UeMz0UgOB5BZcoxP75eYGcLFtG"&amp;"YRn9GoesD4OX9m5U/edit?usp=share_link"",""หนองบัวลำภู!L124"")+IMPORTRANGE(""https://docs.google.com/spreadsheets/d/1uUP8Zo1-qaJLuIkRU0qlwLSE3DHkbdrrj2JGJiWBQZE/edit?usp=share_link"",""อำนาจเจริญ!L124"")+IMPORTRANGE(""https://docs.google.com/spreadsheets/d/"&amp;"1hb_taSOHanzRjqfzWPiFo8yiT83VV1L7vvUCLhOiHKc/edit?usp=share_link"",""อุดรธานี!L124"")+IMPORTRANGE(""https://docs.google.com/spreadsheets/d/17IOkEwkUd63EGNfyNDnM5de9YlZ7rwzTiW6-dokVjKI/edit?usp=share_link"",""อุบลราชธานี!L124"")
"),0)</f>
        <v>0</v>
      </c>
      <c r="M124" s="45">
        <f ca="1">IFERROR(__xludf.DUMMYFUNCTION("IMPORTRANGE(""https://docs.google.com/spreadsheets/d/1fb2B9NLcpJgjIieIJvenUTNPn0TimZDUi0OtYeiSQ_s/edit?usp=share_link"",""กาฬสินธุ์!M124"")+IMPORTRANGE(""https://docs.google.com/spreadsheets/d/1SaMnqrwRGmFYNR0MhpWmHuL5niYUd5E7vDq8X7whAlI/edit?usp=share_li"&amp;"nk"",""ขอนแก่น!M124"")
+IMPORTRANGE(""https://docs.google.com/spreadsheets/d/1xQzEtGHhTTgxHh6YUkKY1P4dRyjVhS74dGswLfAASA4/edit?usp=share_link"",""ชัยภูมิ!M124"")+IMPORTRANGE(""https://docs.google.com/spreadsheets/d/1EXMBoBxU3OFbjT2TRpneM33qFjqDzrKmn9ydcfl"&amp;"fI0o/edit?usp=share_link"",""นครพนม!M124"")+IMPORTRANGE(""https://docs.google.com/spreadsheets/d/1bDQrolntRWtHumK8W-x-HXKntwxB9S3sF5aDeRS66Ko/edit?usp=share_link"",""นครราชสีมา!M124"")+IMPORTRANGE(""https://docs.google.com/spreadsheets/d/1_MzZ-2gVPiCW-d2V"&amp;"cafoCmFJQTSrZ6SQyFcMqRRQQ2w/edit?usp=share_link"",""บึงกาฬ!M124"")
+IMPORTRANGE(""https://docs.google.com/spreadsheets/d/1B3lPpzOuaNwVItLwLEZYl_qEblfcx7dRnbRkAw0l-pE/edit?usp=share_link"",""บุรีรัมย์!M124"")+IMPORTRANGE(""https://docs.google.com/spreadshe"&amp;"ets/d/19GOkiOqnzYbevLYWrMk4qFOXe3rX14BkSA8X-mq-a40/edit?usp=share_link"",""มหาสารคาม!M124"")+IMPORTRANGE(""https://docs.google.com/spreadsheets/d/1uMKqWwuNQ-TCKboGA3Bb1qXb5uj2-faACNUINCz8PN4/edit?usp=share_link"",""มุกดาหาร!M124"")+IMPORTRANGE(""https://d"&amp;"ocs.google.com/spreadsheets/d/1oKaccgDdQABndOzGr688Dbfxb_V3YcF67VqEPBtdzsc/edit?usp=share_link"",""ยโสธร!M124"")+IMPORTRANGE(""https://docs.google.com/spreadsheets/d/1BRgc8xKpxZ0PX-gauieMVkV_IOxKSotf0yW8MabGprQ/edit?usp=share_link"",""ร้อยเอ็ด!M124"")+IMP"&amp;"ORTRANGE(""https://docs.google.com/spreadsheets/d/1IdolZc-dfdgMwAm_KZxYJl1sUOcIgnbGQzbWOlddedo/edit?usp=share_link"",""เลย!M124"")+IMPORTRANGE(""https://docs.google.com/spreadsheets/d/1tZ0nmtGuIRCaGAMXHlQU8EpR9LOAJvyKfc4f7EFmE34/edit?usp=share_link"",""ศร"&amp;"ีสะเกษ!M124"")+IMPORTRANGE(""https://docs.google.com/spreadsheets/d/1QC8psz9w0f9IVE9Xuc2FT_btkaOzZbbUSgYObpBuetM/edit?usp=share_link"",""สกลนคร!M124"")+IMPORTRANGE(""https://docs.google.com/spreadsheets/d/1wPdvRbu02d33MYVlbsCnyTiZpefEBs9NNktAnT1HZvw/edit?"&amp;"usp=share_link"",""สุรินทร์!M124"")+IMPORTRANGE(""https://docs.google.com/spreadsheets/d/1GVExpf-Exi_2gmuqTYH28fseTB9MoKPXWcXCbSt_YrM/edit?usp=share_link"",""หนองคาย!M124"")+IMPORTRANGE(""https://docs.google.com/spreadsheets/d/16UeMz0UgOB5BZcoxP75eYGcLFtG"&amp;"YRn9GoesD4OX9m5U/edit?usp=share_link"",""หนองบัวลำภู!M124"")+IMPORTRANGE(""https://docs.google.com/spreadsheets/d/1uUP8Zo1-qaJLuIkRU0qlwLSE3DHkbdrrj2JGJiWBQZE/edit?usp=share_link"",""อำนาจเจริญ!M124"")+IMPORTRANGE(""https://docs.google.com/spreadsheets/d/"&amp;"1hb_taSOHanzRjqfzWPiFo8yiT83VV1L7vvUCLhOiHKc/edit?usp=share_link"",""อุดรธานี!M124"")+IMPORTRANGE(""https://docs.google.com/spreadsheets/d/17IOkEwkUd63EGNfyNDnM5de9YlZ7rwzTiW6-dokVjKI/edit?usp=share_link"",""อุบลราชธานี!M124"")
"),0)</f>
        <v>0</v>
      </c>
      <c r="N124" s="45">
        <f ca="1">IFERROR(__xludf.DUMMYFUNCTION("IMPORTRANGE(""https://docs.google.com/spreadsheets/d/1fb2B9NLcpJgjIieIJvenUTNPn0TimZDUi0OtYeiSQ_s/edit?usp=share_link"",""กาฬสินธุ์!N124"")+IMPORTRANGE(""https://docs.google.com/spreadsheets/d/1SaMnqrwRGmFYNR0MhpWmHuL5niYUd5E7vDq8X7whAlI/edit?usp=share_li"&amp;"nk"",""ขอนแก่น!N124"")
+IMPORTRANGE(""https://docs.google.com/spreadsheets/d/1xQzEtGHhTTgxHh6YUkKY1P4dRyjVhS74dGswLfAASA4/edit?usp=share_link"",""ชัยภูมิ!N124"")+IMPORTRANGE(""https://docs.google.com/spreadsheets/d/1EXMBoBxU3OFbjT2TRpneM33qFjqDzrKmn9ydcfl"&amp;"fI0o/edit?usp=share_link"",""นครพนม!N124"")+IMPORTRANGE(""https://docs.google.com/spreadsheets/d/1bDQrolntRWtHumK8W-x-HXKntwxB9S3sF5aDeRS66Ko/edit?usp=share_link"",""นครราชสีมา!N124"")+IMPORTRANGE(""https://docs.google.com/spreadsheets/d/1_MzZ-2gVPiCW-d2V"&amp;"cafoCmFJQTSrZ6SQyFcMqRRQQ2w/edit?usp=share_link"",""บึงกาฬ!N124"")
+IMPORTRANGE(""https://docs.google.com/spreadsheets/d/1B3lPpzOuaNwVItLwLEZYl_qEblfcx7dRnbRkAw0l-pE/edit?usp=share_link"",""บุรีรัมย์!N124"")+IMPORTRANGE(""https://docs.google.com/spreadshe"&amp;"ets/d/19GOkiOqnzYbevLYWrMk4qFOXe3rX14BkSA8X-mq-a40/edit?usp=share_link"",""มหาสารคาม!N124"")+IMPORTRANGE(""https://docs.google.com/spreadsheets/d/1uMKqWwuNQ-TCKboGA3Bb1qXb5uj2-faACNUINCz8PN4/edit?usp=share_link"",""มุกดาหาร!N124"")+IMPORTRANGE(""https://d"&amp;"ocs.google.com/spreadsheets/d/1oKaccgDdQABndOzGr688Dbfxb_V3YcF67VqEPBtdzsc/edit?usp=share_link"",""ยโสธร!N124"")+IMPORTRANGE(""https://docs.google.com/spreadsheets/d/1BRgc8xKpxZ0PX-gauieMVkV_IOxKSotf0yW8MabGprQ/edit?usp=share_link"",""ร้อยเอ็ด!N124"")+IMP"&amp;"ORTRANGE(""https://docs.google.com/spreadsheets/d/1IdolZc-dfdgMwAm_KZxYJl1sUOcIgnbGQzbWOlddedo/edit?usp=share_link"",""เลย!N124"")+IMPORTRANGE(""https://docs.google.com/spreadsheets/d/1tZ0nmtGuIRCaGAMXHlQU8EpR9LOAJvyKfc4f7EFmE34/edit?usp=share_link"",""ศร"&amp;"ีสะเกษ!N124"")+IMPORTRANGE(""https://docs.google.com/spreadsheets/d/1QC8psz9w0f9IVE9Xuc2FT_btkaOzZbbUSgYObpBuetM/edit?usp=share_link"",""สกลนคร!N124"")+IMPORTRANGE(""https://docs.google.com/spreadsheets/d/1wPdvRbu02d33MYVlbsCnyTiZpefEBs9NNktAnT1HZvw/edit?"&amp;"usp=share_link"",""สุรินทร์!N124"")+IMPORTRANGE(""https://docs.google.com/spreadsheets/d/1GVExpf-Exi_2gmuqTYH28fseTB9MoKPXWcXCbSt_YrM/edit?usp=share_link"",""หนองคาย!N124"")+IMPORTRANGE(""https://docs.google.com/spreadsheets/d/16UeMz0UgOB5BZcoxP75eYGcLFtG"&amp;"YRn9GoesD4OX9m5U/edit?usp=share_link"",""หนองบัวลำภู!N124"")+IMPORTRANGE(""https://docs.google.com/spreadsheets/d/1uUP8Zo1-qaJLuIkRU0qlwLSE3DHkbdrrj2JGJiWBQZE/edit?usp=share_link"",""อำนาจเจริญ!N124"")+IMPORTRANGE(""https://docs.google.com/spreadsheets/d/"&amp;"1hb_taSOHanzRjqfzWPiFo8yiT83VV1L7vvUCLhOiHKc/edit?usp=share_link"",""อุดรธานี!N124"")+IMPORTRANGE(""https://docs.google.com/spreadsheets/d/17IOkEwkUd63EGNfyNDnM5de9YlZ7rwzTiW6-dokVjKI/edit?usp=share_link"",""อุบลราชธานี!N124"")
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507800</v>
      </c>
      <c r="M125" s="38">
        <f t="shared" ca="1" si="82"/>
        <v>507785</v>
      </c>
      <c r="N125" s="38">
        <f t="shared" ca="1" si="82"/>
        <v>507785</v>
      </c>
      <c r="O125" s="38">
        <f t="shared" ca="1" si="77"/>
        <v>99.9970460811343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fb2B9NLcpJgjIieIJvenUTNPn0TimZDUi0OtYeiSQ_s/edit?usp=share_link"",""กาฬสินธุ์!L127"")+IMPORTRANGE(""https://docs.google.com/spreadsheets/d/1SaMnqrwRGmFYNR0MhpWmHuL5niYUd5E7vDq8X7whAlI/edit?usp=share_li"&amp;"nk"",""ขอนแก่น!L127"")
+IMPORTRANGE(""https://docs.google.com/spreadsheets/d/1xQzEtGHhTTgxHh6YUkKY1P4dRyjVhS74dGswLfAASA4/edit?usp=share_link"",""ชัยภูมิ!L127"")+IMPORTRANGE(""https://docs.google.com/spreadsheets/d/1EXMBoBxU3OFbjT2TRpneM33qFjqDzrKmn9ydcfl"&amp;"fI0o/edit?usp=share_link"",""นครพนม!L127"")+IMPORTRANGE(""https://docs.google.com/spreadsheets/d/1bDQrolntRWtHumK8W-x-HXKntwxB9S3sF5aDeRS66Ko/edit?usp=share_link"",""นครราชสีมา!L127"")+IMPORTRANGE(""https://docs.google.com/spreadsheets/d/1_MzZ-2gVPiCW-d2V"&amp;"cafoCmFJQTSrZ6SQyFcMqRRQQ2w/edit?usp=share_link"",""บึงกาฬ!L127"")
+IMPORTRANGE(""https://docs.google.com/spreadsheets/d/1B3lPpzOuaNwVItLwLEZYl_qEblfcx7dRnbRkAw0l-pE/edit?usp=share_link"",""บุรีรัมย์!L127"")+IMPORTRANGE(""https://docs.google.com/spreadshe"&amp;"ets/d/19GOkiOqnzYbevLYWrMk4qFOXe3rX14BkSA8X-mq-a40/edit?usp=share_link"",""มหาสารคาม!L127"")+IMPORTRANGE(""https://docs.google.com/spreadsheets/d/1uMKqWwuNQ-TCKboGA3Bb1qXb5uj2-faACNUINCz8PN4/edit?usp=share_link"",""มุกดาหาร!L127"")+IMPORTRANGE(""https://d"&amp;"ocs.google.com/spreadsheets/d/1oKaccgDdQABndOzGr688Dbfxb_V3YcF67VqEPBtdzsc/edit?usp=share_link"",""ยโสธร!L127"")+IMPORTRANGE(""https://docs.google.com/spreadsheets/d/1BRgc8xKpxZ0PX-gauieMVkV_IOxKSotf0yW8MabGprQ/edit?usp=share_link"",""ร้อยเอ็ด!L127"")+IMP"&amp;"ORTRANGE(""https://docs.google.com/spreadsheets/d/1IdolZc-dfdgMwAm_KZxYJl1sUOcIgnbGQzbWOlddedo/edit?usp=share_link"",""เลย!L127"")+IMPORTRANGE(""https://docs.google.com/spreadsheets/d/1tZ0nmtGuIRCaGAMXHlQU8EpR9LOAJvyKfc4f7EFmE34/edit?usp=share_link"",""ศร"&amp;"ีสะเกษ!L127"")+IMPORTRANGE(""https://docs.google.com/spreadsheets/d/1QC8psz9w0f9IVE9Xuc2FT_btkaOzZbbUSgYObpBuetM/edit?usp=share_link"",""สกลนคร!L127"")+IMPORTRANGE(""https://docs.google.com/spreadsheets/d/1wPdvRbu02d33MYVlbsCnyTiZpefEBs9NNktAnT1HZvw/edit?"&amp;"usp=share_link"",""สุรินทร์!L127"")+IMPORTRANGE(""https://docs.google.com/spreadsheets/d/1GVExpf-Exi_2gmuqTYH28fseTB9MoKPXWcXCbSt_YrM/edit?usp=share_link"",""หนองคาย!L127"")+IMPORTRANGE(""https://docs.google.com/spreadsheets/d/16UeMz0UgOB5BZcoxP75eYGcLFtG"&amp;"YRn9GoesD4OX9m5U/edit?usp=share_link"",""หนองบัวลำภู!L127"")+IMPORTRANGE(""https://docs.google.com/spreadsheets/d/1uUP8Zo1-qaJLuIkRU0qlwLSE3DHkbdrrj2JGJiWBQZE/edit?usp=share_link"",""อำนาจเจริญ!L127"")+IMPORTRANGE(""https://docs.google.com/spreadsheets/d/"&amp;"1hb_taSOHanzRjqfzWPiFo8yiT83VV1L7vvUCLhOiHKc/edit?usp=share_link"",""อุดรธานี!L127"")+IMPORTRANGE(""https://docs.google.com/spreadsheets/d/17IOkEwkUd63EGNfyNDnM5de9YlZ7rwzTiW6-dokVjKI/edit?usp=share_link"",""อุบลราชธานี!L127"")
"),507800)</f>
        <v>507800</v>
      </c>
      <c r="M127" s="45">
        <f ca="1">IFERROR(__xludf.DUMMYFUNCTION("IMPORTRANGE(""https://docs.google.com/spreadsheets/d/1fb2B9NLcpJgjIieIJvenUTNPn0TimZDUi0OtYeiSQ_s/edit?usp=share_link"",""กาฬสินธุ์!M127"")+IMPORTRANGE(""https://docs.google.com/spreadsheets/d/1SaMnqrwRGmFYNR0MhpWmHuL5niYUd5E7vDq8X7whAlI/edit?usp=share_li"&amp;"nk"",""ขอนแก่น!M127"")
+IMPORTRANGE(""https://docs.google.com/spreadsheets/d/1xQzEtGHhTTgxHh6YUkKY1P4dRyjVhS74dGswLfAASA4/edit?usp=share_link"",""ชัยภูมิ!M127"")+IMPORTRANGE(""https://docs.google.com/spreadsheets/d/1EXMBoBxU3OFbjT2TRpneM33qFjqDzrKmn9ydcfl"&amp;"fI0o/edit?usp=share_link"",""นครพนม!M127"")+IMPORTRANGE(""https://docs.google.com/spreadsheets/d/1bDQrolntRWtHumK8W-x-HXKntwxB9S3sF5aDeRS66Ko/edit?usp=share_link"",""นครราชสีมา!M127"")+IMPORTRANGE(""https://docs.google.com/spreadsheets/d/1_MzZ-2gVPiCW-d2V"&amp;"cafoCmFJQTSrZ6SQyFcMqRRQQ2w/edit?usp=share_link"",""บึงกาฬ!M127"")
+IMPORTRANGE(""https://docs.google.com/spreadsheets/d/1B3lPpzOuaNwVItLwLEZYl_qEblfcx7dRnbRkAw0l-pE/edit?usp=share_link"",""บุรีรัมย์!M127"")+IMPORTRANGE(""https://docs.google.com/spreadshe"&amp;"ets/d/19GOkiOqnzYbevLYWrMk4qFOXe3rX14BkSA8X-mq-a40/edit?usp=share_link"",""มหาสารคาม!M127"")+IMPORTRANGE(""https://docs.google.com/spreadsheets/d/1uMKqWwuNQ-TCKboGA3Bb1qXb5uj2-faACNUINCz8PN4/edit?usp=share_link"",""มุกดาหาร!M127"")+IMPORTRANGE(""https://d"&amp;"ocs.google.com/spreadsheets/d/1oKaccgDdQABndOzGr688Dbfxb_V3YcF67VqEPBtdzsc/edit?usp=share_link"",""ยโสธร!M127"")+IMPORTRANGE(""https://docs.google.com/spreadsheets/d/1BRgc8xKpxZ0PX-gauieMVkV_IOxKSotf0yW8MabGprQ/edit?usp=share_link"",""ร้อยเอ็ด!M127"")+IMP"&amp;"ORTRANGE(""https://docs.google.com/spreadsheets/d/1IdolZc-dfdgMwAm_KZxYJl1sUOcIgnbGQzbWOlddedo/edit?usp=share_link"",""เลย!M127"")+IMPORTRANGE(""https://docs.google.com/spreadsheets/d/1tZ0nmtGuIRCaGAMXHlQU8EpR9LOAJvyKfc4f7EFmE34/edit?usp=share_link"",""ศร"&amp;"ีสะเกษ!M127"")+IMPORTRANGE(""https://docs.google.com/spreadsheets/d/1QC8psz9w0f9IVE9Xuc2FT_btkaOzZbbUSgYObpBuetM/edit?usp=share_link"",""สกลนคร!M127"")+IMPORTRANGE(""https://docs.google.com/spreadsheets/d/1wPdvRbu02d33MYVlbsCnyTiZpefEBs9NNktAnT1HZvw/edit?"&amp;"usp=share_link"",""สุรินทร์!M127"")+IMPORTRANGE(""https://docs.google.com/spreadsheets/d/1GVExpf-Exi_2gmuqTYH28fseTB9MoKPXWcXCbSt_YrM/edit?usp=share_link"",""หนองคาย!M127"")+IMPORTRANGE(""https://docs.google.com/spreadsheets/d/16UeMz0UgOB5BZcoxP75eYGcLFtG"&amp;"YRn9GoesD4OX9m5U/edit?usp=share_link"",""หนองบัวลำภู!M127"")+IMPORTRANGE(""https://docs.google.com/spreadsheets/d/1uUP8Zo1-qaJLuIkRU0qlwLSE3DHkbdrrj2JGJiWBQZE/edit?usp=share_link"",""อำนาจเจริญ!M127"")+IMPORTRANGE(""https://docs.google.com/spreadsheets/d/"&amp;"1hb_taSOHanzRjqfzWPiFo8yiT83VV1L7vvUCLhOiHKc/edit?usp=share_link"",""อุดรธานี!M127"")+IMPORTRANGE(""https://docs.google.com/spreadsheets/d/17IOkEwkUd63EGNfyNDnM5de9YlZ7rwzTiW6-dokVjKI/edit?usp=share_link"",""อุบลราชธานี!M127"")
"),507785)</f>
        <v>507785</v>
      </c>
      <c r="N127" s="45">
        <f ca="1">IFERROR(__xludf.DUMMYFUNCTION("IMPORTRANGE(""https://docs.google.com/spreadsheets/d/1fb2B9NLcpJgjIieIJvenUTNPn0TimZDUi0OtYeiSQ_s/edit?usp=share_link"",""กาฬสินธุ์!N127"")+IMPORTRANGE(""https://docs.google.com/spreadsheets/d/1SaMnqrwRGmFYNR0MhpWmHuL5niYUd5E7vDq8X7whAlI/edit?usp=share_li"&amp;"nk"",""ขอนแก่น!N127"")
+IMPORTRANGE(""https://docs.google.com/spreadsheets/d/1xQzEtGHhTTgxHh6YUkKY1P4dRyjVhS74dGswLfAASA4/edit?usp=share_link"",""ชัยภูมิ!N127"")+IMPORTRANGE(""https://docs.google.com/spreadsheets/d/1EXMBoBxU3OFbjT2TRpneM33qFjqDzrKmn9ydcfl"&amp;"fI0o/edit?usp=share_link"",""นครพนม!N127"")+IMPORTRANGE(""https://docs.google.com/spreadsheets/d/1bDQrolntRWtHumK8W-x-HXKntwxB9S3sF5aDeRS66Ko/edit?usp=share_link"",""นครราชสีมา!N127"")+IMPORTRANGE(""https://docs.google.com/spreadsheets/d/1_MzZ-2gVPiCW-d2V"&amp;"cafoCmFJQTSrZ6SQyFcMqRRQQ2w/edit?usp=share_link"",""บึงกาฬ!N127"")
+IMPORTRANGE(""https://docs.google.com/spreadsheets/d/1B3lPpzOuaNwVItLwLEZYl_qEblfcx7dRnbRkAw0l-pE/edit?usp=share_link"",""บุรีรัมย์!N127"")+IMPORTRANGE(""https://docs.google.com/spreadshe"&amp;"ets/d/19GOkiOqnzYbevLYWrMk4qFOXe3rX14BkSA8X-mq-a40/edit?usp=share_link"",""มหาสารคาม!N127"")+IMPORTRANGE(""https://docs.google.com/spreadsheets/d/1uMKqWwuNQ-TCKboGA3Bb1qXb5uj2-faACNUINCz8PN4/edit?usp=share_link"",""มุกดาหาร!N127"")+IMPORTRANGE(""https://d"&amp;"ocs.google.com/spreadsheets/d/1oKaccgDdQABndOzGr688Dbfxb_V3YcF67VqEPBtdzsc/edit?usp=share_link"",""ยโสธร!N127"")+IMPORTRANGE(""https://docs.google.com/spreadsheets/d/1BRgc8xKpxZ0PX-gauieMVkV_IOxKSotf0yW8MabGprQ/edit?usp=share_link"",""ร้อยเอ็ด!N127"")+IMP"&amp;"ORTRANGE(""https://docs.google.com/spreadsheets/d/1IdolZc-dfdgMwAm_KZxYJl1sUOcIgnbGQzbWOlddedo/edit?usp=share_link"",""เลย!N127"")+IMPORTRANGE(""https://docs.google.com/spreadsheets/d/1tZ0nmtGuIRCaGAMXHlQU8EpR9LOAJvyKfc4f7EFmE34/edit?usp=share_link"",""ศร"&amp;"ีสะเกษ!N127"")+IMPORTRANGE(""https://docs.google.com/spreadsheets/d/1QC8psz9w0f9IVE9Xuc2FT_btkaOzZbbUSgYObpBuetM/edit?usp=share_link"",""สกลนคร!N127"")+IMPORTRANGE(""https://docs.google.com/spreadsheets/d/1wPdvRbu02d33MYVlbsCnyTiZpefEBs9NNktAnT1HZvw/edit?"&amp;"usp=share_link"",""สุรินทร์!N127"")+IMPORTRANGE(""https://docs.google.com/spreadsheets/d/1GVExpf-Exi_2gmuqTYH28fseTB9MoKPXWcXCbSt_YrM/edit?usp=share_link"",""หนองคาย!N127"")+IMPORTRANGE(""https://docs.google.com/spreadsheets/d/16UeMz0UgOB5BZcoxP75eYGcLFtG"&amp;"YRn9GoesD4OX9m5U/edit?usp=share_link"",""หนองบัวลำภู!N127"")+IMPORTRANGE(""https://docs.google.com/spreadsheets/d/1uUP8Zo1-qaJLuIkRU0qlwLSE3DHkbdrrj2JGJiWBQZE/edit?usp=share_link"",""อำนาจเจริญ!N127"")+IMPORTRANGE(""https://docs.google.com/spreadsheets/d/"&amp;"1hb_taSOHanzRjqfzWPiFo8yiT83VV1L7vvUCLhOiHKc/edit?usp=share_link"",""อุดรธานี!N127"")+IMPORTRANGE(""https://docs.google.com/spreadsheets/d/17IOkEwkUd63EGNfyNDnM5de9YlZ7rwzTiW6-dokVjKI/edit?usp=share_link"",""อุบลราชธานี!N127"")
"),507785)</f>
        <v>507785</v>
      </c>
      <c r="O127" s="45">
        <f t="shared" ca="1" si="77"/>
        <v>99.9970460811343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14</v>
      </c>
      <c r="J130" s="144">
        <f t="shared" ca="1" si="83"/>
        <v>14</v>
      </c>
      <c r="K130" s="145">
        <f t="shared" ref="K130:K131" ca="1" si="84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140</v>
      </c>
      <c r="J131" s="144">
        <f t="shared" ca="1" si="85"/>
        <v>140</v>
      </c>
      <c r="K131" s="145">
        <f t="shared" ca="1" si="84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2460570</v>
      </c>
      <c r="M132" s="155">
        <f t="shared" ca="1" si="86"/>
        <v>2598970</v>
      </c>
      <c r="N132" s="155">
        <f t="shared" ca="1" si="86"/>
        <v>2598970</v>
      </c>
      <c r="O132" s="155">
        <f t="shared" ref="O132:O140" ca="1" si="87">IF(L132&gt;0,N132*100/L132,0)</f>
        <v>105.62471297301032</v>
      </c>
      <c r="P132" s="155">
        <f t="shared" ref="P132:P140" ca="1" si="88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2460570</v>
      </c>
      <c r="M134" s="45">
        <f t="shared" ca="1" si="90"/>
        <v>2598970</v>
      </c>
      <c r="N134" s="45">
        <f t="shared" ca="1" si="90"/>
        <v>2598970</v>
      </c>
      <c r="O134" s="45">
        <f t="shared" ca="1" si="87"/>
        <v>105.62471297301032</v>
      </c>
      <c r="P134" s="45">
        <f t="shared" ca="1" si="88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1018570</v>
      </c>
      <c r="M135" s="38">
        <f t="shared" ca="1" si="91"/>
        <v>1119970</v>
      </c>
      <c r="N135" s="38">
        <f t="shared" ca="1" si="91"/>
        <v>1119970</v>
      </c>
      <c r="O135" s="38">
        <f t="shared" ca="1" si="87"/>
        <v>109.95513317690488</v>
      </c>
      <c r="P135" s="38">
        <f t="shared" ca="1" si="88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fb2B9NLcpJgjIieIJvenUTNPn0TimZDUi0OtYeiSQ_s/edit?usp=share_link"",""กาฬสินธุ์!L137"")+IMPORTRANGE(""https://docs.google.com/spreadsheets/d/1SaMnqrwRGmFYNR0MhpWmHuL5niYUd5E7vDq8X7whAlI/edit?usp=share_li"&amp;"nk"",""ขอนแก่น!L137"")
+IMPORTRANGE(""https://docs.google.com/spreadsheets/d/1xQzEtGHhTTgxHh6YUkKY1P4dRyjVhS74dGswLfAASA4/edit?usp=share_link"",""ชัยภูมิ!L137"")+IMPORTRANGE(""https://docs.google.com/spreadsheets/d/1EXMBoBxU3OFbjT2TRpneM33qFjqDzrKmn9ydcfl"&amp;"fI0o/edit?usp=share_link"",""นครพนม!L137"")+IMPORTRANGE(""https://docs.google.com/spreadsheets/d/1bDQrolntRWtHumK8W-x-HXKntwxB9S3sF5aDeRS66Ko/edit?usp=share_link"",""นครราชสีมา!L137"")+IMPORTRANGE(""https://docs.google.com/spreadsheets/d/1_MzZ-2gVPiCW-d2V"&amp;"cafoCmFJQTSrZ6SQyFcMqRRQQ2w/edit?usp=share_link"",""บึงกาฬ!L137"")
+IMPORTRANGE(""https://docs.google.com/spreadsheets/d/1B3lPpzOuaNwVItLwLEZYl_qEblfcx7dRnbRkAw0l-pE/edit?usp=share_link"",""บุรีรัมย์!L137"")+IMPORTRANGE(""https://docs.google.com/spreadshe"&amp;"ets/d/19GOkiOqnzYbevLYWrMk4qFOXe3rX14BkSA8X-mq-a40/edit?usp=share_link"",""มหาสารคาม!L137"")+IMPORTRANGE(""https://docs.google.com/spreadsheets/d/1uMKqWwuNQ-TCKboGA3Bb1qXb5uj2-faACNUINCz8PN4/edit?usp=share_link"",""มุกดาหาร!L137"")+IMPORTRANGE(""https://d"&amp;"ocs.google.com/spreadsheets/d/1oKaccgDdQABndOzGr688Dbfxb_V3YcF67VqEPBtdzsc/edit?usp=share_link"",""ยโสธร!L137"")+IMPORTRANGE(""https://docs.google.com/spreadsheets/d/1BRgc8xKpxZ0PX-gauieMVkV_IOxKSotf0yW8MabGprQ/edit?usp=share_link"",""ร้อยเอ็ด!L137"")+IMP"&amp;"ORTRANGE(""https://docs.google.com/spreadsheets/d/1IdolZc-dfdgMwAm_KZxYJl1sUOcIgnbGQzbWOlddedo/edit?usp=share_link"",""เลย!L137"")+IMPORTRANGE(""https://docs.google.com/spreadsheets/d/1tZ0nmtGuIRCaGAMXHlQU8EpR9LOAJvyKfc4f7EFmE34/edit?usp=share_link"",""ศร"&amp;"ีสะเกษ!L137"")+IMPORTRANGE(""https://docs.google.com/spreadsheets/d/1QC8psz9w0f9IVE9Xuc2FT_btkaOzZbbUSgYObpBuetM/edit?usp=share_link"",""สกลนคร!L137"")+IMPORTRANGE(""https://docs.google.com/spreadsheets/d/1wPdvRbu02d33MYVlbsCnyTiZpefEBs9NNktAnT1HZvw/edit?"&amp;"usp=share_link"",""สุรินทร์!L137"")+IMPORTRANGE(""https://docs.google.com/spreadsheets/d/1GVExpf-Exi_2gmuqTYH28fseTB9MoKPXWcXCbSt_YrM/edit?usp=share_link"",""หนองคาย!L137"")+IMPORTRANGE(""https://docs.google.com/spreadsheets/d/16UeMz0UgOB5BZcoxP75eYGcLFtG"&amp;"YRn9GoesD4OX9m5U/edit?usp=share_link"",""หนองบัวลำภู!L137"")+IMPORTRANGE(""https://docs.google.com/spreadsheets/d/1uUP8Zo1-qaJLuIkRU0qlwLSE3DHkbdrrj2JGJiWBQZE/edit?usp=share_link"",""อำนาจเจริญ!L137"")+IMPORTRANGE(""https://docs.google.com/spreadsheets/d/"&amp;"1hb_taSOHanzRjqfzWPiFo8yiT83VV1L7vvUCLhOiHKc/edit?usp=share_link"",""อุดรธานี!L137"")+IMPORTRANGE(""https://docs.google.com/spreadsheets/d/17IOkEwkUd63EGNfyNDnM5de9YlZ7rwzTiW6-dokVjKI/edit?usp=share_link"",""อุบลราชธานี!L137"")
"),1018570)</f>
        <v>1018570</v>
      </c>
      <c r="M137" s="45">
        <f ca="1">IFERROR(__xludf.DUMMYFUNCTION("IMPORTRANGE(""https://docs.google.com/spreadsheets/d/1fb2B9NLcpJgjIieIJvenUTNPn0TimZDUi0OtYeiSQ_s/edit?usp=share_link"",""กาฬสินธุ์!M137"")+IMPORTRANGE(""https://docs.google.com/spreadsheets/d/1SaMnqrwRGmFYNR0MhpWmHuL5niYUd5E7vDq8X7whAlI/edit?usp=share_li"&amp;"nk"",""ขอนแก่น!M137"")
+IMPORTRANGE(""https://docs.google.com/spreadsheets/d/1xQzEtGHhTTgxHh6YUkKY1P4dRyjVhS74dGswLfAASA4/edit?usp=share_link"",""ชัยภูมิ!M137"")+IMPORTRANGE(""https://docs.google.com/spreadsheets/d/1EXMBoBxU3OFbjT2TRpneM33qFjqDzrKmn9ydcfl"&amp;"fI0o/edit?usp=share_link"",""นครพนม!M137"")+IMPORTRANGE(""https://docs.google.com/spreadsheets/d/1bDQrolntRWtHumK8W-x-HXKntwxB9S3sF5aDeRS66Ko/edit?usp=share_link"",""นครราชสีมา!M137"")+IMPORTRANGE(""https://docs.google.com/spreadsheets/d/1_MzZ-2gVPiCW-d2V"&amp;"cafoCmFJQTSrZ6SQyFcMqRRQQ2w/edit?usp=share_link"",""บึงกาฬ!M137"")
+IMPORTRANGE(""https://docs.google.com/spreadsheets/d/1B3lPpzOuaNwVItLwLEZYl_qEblfcx7dRnbRkAw0l-pE/edit?usp=share_link"",""บุรีรัมย์!M137"")+IMPORTRANGE(""https://docs.google.com/spreadshe"&amp;"ets/d/19GOkiOqnzYbevLYWrMk4qFOXe3rX14BkSA8X-mq-a40/edit?usp=share_link"",""มหาสารคาม!M137"")+IMPORTRANGE(""https://docs.google.com/spreadsheets/d/1uMKqWwuNQ-TCKboGA3Bb1qXb5uj2-faACNUINCz8PN4/edit?usp=share_link"",""มุกดาหาร!M137"")+IMPORTRANGE(""https://d"&amp;"ocs.google.com/spreadsheets/d/1oKaccgDdQABndOzGr688Dbfxb_V3YcF67VqEPBtdzsc/edit?usp=share_link"",""ยโสธร!M137"")+IMPORTRANGE(""https://docs.google.com/spreadsheets/d/1BRgc8xKpxZ0PX-gauieMVkV_IOxKSotf0yW8MabGprQ/edit?usp=share_link"",""ร้อยเอ็ด!M137"")+IMP"&amp;"ORTRANGE(""https://docs.google.com/spreadsheets/d/1IdolZc-dfdgMwAm_KZxYJl1sUOcIgnbGQzbWOlddedo/edit?usp=share_link"",""เลย!M137"")+IMPORTRANGE(""https://docs.google.com/spreadsheets/d/1tZ0nmtGuIRCaGAMXHlQU8EpR9LOAJvyKfc4f7EFmE34/edit?usp=share_link"",""ศร"&amp;"ีสะเกษ!M137"")+IMPORTRANGE(""https://docs.google.com/spreadsheets/d/1QC8psz9w0f9IVE9Xuc2FT_btkaOzZbbUSgYObpBuetM/edit?usp=share_link"",""สกลนคร!M137"")+IMPORTRANGE(""https://docs.google.com/spreadsheets/d/1wPdvRbu02d33MYVlbsCnyTiZpefEBs9NNktAnT1HZvw/edit?"&amp;"usp=share_link"",""สุรินทร์!M137"")+IMPORTRANGE(""https://docs.google.com/spreadsheets/d/1GVExpf-Exi_2gmuqTYH28fseTB9MoKPXWcXCbSt_YrM/edit?usp=share_link"",""หนองคาย!M137"")+IMPORTRANGE(""https://docs.google.com/spreadsheets/d/16UeMz0UgOB5BZcoxP75eYGcLFtG"&amp;"YRn9GoesD4OX9m5U/edit?usp=share_link"",""หนองบัวลำภู!M137"")+IMPORTRANGE(""https://docs.google.com/spreadsheets/d/1uUP8Zo1-qaJLuIkRU0qlwLSE3DHkbdrrj2JGJiWBQZE/edit?usp=share_link"",""อำนาจเจริญ!M137"")+IMPORTRANGE(""https://docs.google.com/spreadsheets/d/"&amp;"1hb_taSOHanzRjqfzWPiFo8yiT83VV1L7vvUCLhOiHKc/edit?usp=share_link"",""อุดรธานี!M137"")+IMPORTRANGE(""https://docs.google.com/spreadsheets/d/17IOkEwkUd63EGNfyNDnM5de9YlZ7rwzTiW6-dokVjKI/edit?usp=share_link"",""อุบลราชธานี!M137"")
"),1119970)</f>
        <v>1119970</v>
      </c>
      <c r="N137" s="45">
        <f ca="1">IFERROR(__xludf.DUMMYFUNCTION("IMPORTRANGE(""https://docs.google.com/spreadsheets/d/1fb2B9NLcpJgjIieIJvenUTNPn0TimZDUi0OtYeiSQ_s/edit?usp=share_link"",""กาฬสินธุ์!N137"")+IMPORTRANGE(""https://docs.google.com/spreadsheets/d/1SaMnqrwRGmFYNR0MhpWmHuL5niYUd5E7vDq8X7whAlI/edit?usp=share_li"&amp;"nk"",""ขอนแก่น!N137"")
+IMPORTRANGE(""https://docs.google.com/spreadsheets/d/1xQzEtGHhTTgxHh6YUkKY1P4dRyjVhS74dGswLfAASA4/edit?usp=share_link"",""ชัยภูมิ!N137"")+IMPORTRANGE(""https://docs.google.com/spreadsheets/d/1EXMBoBxU3OFbjT2TRpneM33qFjqDzrKmn9ydcfl"&amp;"fI0o/edit?usp=share_link"",""นครพนม!N137"")+IMPORTRANGE(""https://docs.google.com/spreadsheets/d/1bDQrolntRWtHumK8W-x-HXKntwxB9S3sF5aDeRS66Ko/edit?usp=share_link"",""นครราชสีมา!N137"")+IMPORTRANGE(""https://docs.google.com/spreadsheets/d/1_MzZ-2gVPiCW-d2V"&amp;"cafoCmFJQTSrZ6SQyFcMqRRQQ2w/edit?usp=share_link"",""บึงกาฬ!N137"")
+IMPORTRANGE(""https://docs.google.com/spreadsheets/d/1B3lPpzOuaNwVItLwLEZYl_qEblfcx7dRnbRkAw0l-pE/edit?usp=share_link"",""บุรีรัมย์!N137"")+IMPORTRANGE(""https://docs.google.com/spreadshe"&amp;"ets/d/19GOkiOqnzYbevLYWrMk4qFOXe3rX14BkSA8X-mq-a40/edit?usp=share_link"",""มหาสารคาม!N137"")+IMPORTRANGE(""https://docs.google.com/spreadsheets/d/1uMKqWwuNQ-TCKboGA3Bb1qXb5uj2-faACNUINCz8PN4/edit?usp=share_link"",""มุกดาหาร!N137"")+IMPORTRANGE(""https://d"&amp;"ocs.google.com/spreadsheets/d/1oKaccgDdQABndOzGr688Dbfxb_V3YcF67VqEPBtdzsc/edit?usp=share_link"",""ยโสธร!N137"")+IMPORTRANGE(""https://docs.google.com/spreadsheets/d/1BRgc8xKpxZ0PX-gauieMVkV_IOxKSotf0yW8MabGprQ/edit?usp=share_link"",""ร้อยเอ็ด!N137"")+IMP"&amp;"ORTRANGE(""https://docs.google.com/spreadsheets/d/1IdolZc-dfdgMwAm_KZxYJl1sUOcIgnbGQzbWOlddedo/edit?usp=share_link"",""เลย!N137"")+IMPORTRANGE(""https://docs.google.com/spreadsheets/d/1tZ0nmtGuIRCaGAMXHlQU8EpR9LOAJvyKfc4f7EFmE34/edit?usp=share_link"",""ศร"&amp;"ีสะเกษ!N137"")+IMPORTRANGE(""https://docs.google.com/spreadsheets/d/1QC8psz9w0f9IVE9Xuc2FT_btkaOzZbbUSgYObpBuetM/edit?usp=share_link"",""สกลนคร!N137"")+IMPORTRANGE(""https://docs.google.com/spreadsheets/d/1wPdvRbu02d33MYVlbsCnyTiZpefEBs9NNktAnT1HZvw/edit?"&amp;"usp=share_link"",""สุรินทร์!N137"")+IMPORTRANGE(""https://docs.google.com/spreadsheets/d/1GVExpf-Exi_2gmuqTYH28fseTB9MoKPXWcXCbSt_YrM/edit?usp=share_link"",""หนองคาย!N137"")+IMPORTRANGE(""https://docs.google.com/spreadsheets/d/16UeMz0UgOB5BZcoxP75eYGcLFtG"&amp;"YRn9GoesD4OX9m5U/edit?usp=share_link"",""หนองบัวลำภู!N137"")+IMPORTRANGE(""https://docs.google.com/spreadsheets/d/1uUP8Zo1-qaJLuIkRU0qlwLSE3DHkbdrrj2JGJiWBQZE/edit?usp=share_link"",""อำนาจเจริญ!N137"")+IMPORTRANGE(""https://docs.google.com/spreadsheets/d/"&amp;"1hb_taSOHanzRjqfzWPiFo8yiT83VV1L7vvUCLhOiHKc/edit?usp=share_link"",""อุดรธานี!N137"")+IMPORTRANGE(""https://docs.google.com/spreadsheets/d/17IOkEwkUd63EGNfyNDnM5de9YlZ7rwzTiW6-dokVjKI/edit?usp=share_link"",""อุบลราชธานี!N137"")
"),1119970)</f>
        <v>1119970</v>
      </c>
      <c r="O137" s="45">
        <f t="shared" ca="1" si="87"/>
        <v>109.95513317690488</v>
      </c>
      <c r="P137" s="45">
        <f t="shared" ca="1" si="88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1442000</v>
      </c>
      <c r="M138" s="38">
        <f t="shared" ca="1" si="92"/>
        <v>1479000</v>
      </c>
      <c r="N138" s="38">
        <f t="shared" ca="1" si="92"/>
        <v>1479000</v>
      </c>
      <c r="O138" s="38">
        <f t="shared" ca="1" si="87"/>
        <v>102.56588072122052</v>
      </c>
      <c r="P138" s="38">
        <f t="shared" ca="1" si="88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fb2B9NLcpJgjIieIJvenUTNPn0TimZDUi0OtYeiSQ_s/edit?usp=share_link"",""กาฬสินธุ์!L140"")+IMPORTRANGE(""https://docs.google.com/spreadsheets/d/1SaMnqrwRGmFYNR0MhpWmHuL5niYUd5E7vDq8X7whAlI/edit?usp=share_li"&amp;"nk"",""ขอนแก่น!L140"")
+IMPORTRANGE(""https://docs.google.com/spreadsheets/d/1xQzEtGHhTTgxHh6YUkKY1P4dRyjVhS74dGswLfAASA4/edit?usp=share_link"",""ชัยภูมิ!L140"")+IMPORTRANGE(""https://docs.google.com/spreadsheets/d/1EXMBoBxU3OFbjT2TRpneM33qFjqDzrKmn9ydcfl"&amp;"fI0o/edit?usp=share_link"",""นครพนม!L140"")+IMPORTRANGE(""https://docs.google.com/spreadsheets/d/1bDQrolntRWtHumK8W-x-HXKntwxB9S3sF5aDeRS66Ko/edit?usp=share_link"",""นครราชสีมา!L140"")+IMPORTRANGE(""https://docs.google.com/spreadsheets/d/1_MzZ-2gVPiCW-d2V"&amp;"cafoCmFJQTSrZ6SQyFcMqRRQQ2w/edit?usp=share_link"",""บึงกาฬ!L140"")
+IMPORTRANGE(""https://docs.google.com/spreadsheets/d/1B3lPpzOuaNwVItLwLEZYl_qEblfcx7dRnbRkAw0l-pE/edit?usp=share_link"",""บุรีรัมย์!L140"")+IMPORTRANGE(""https://docs.google.com/spreadshe"&amp;"ets/d/19GOkiOqnzYbevLYWrMk4qFOXe3rX14BkSA8X-mq-a40/edit?usp=share_link"",""มหาสารคาม!L140"")+IMPORTRANGE(""https://docs.google.com/spreadsheets/d/1uMKqWwuNQ-TCKboGA3Bb1qXb5uj2-faACNUINCz8PN4/edit?usp=share_link"",""มุกดาหาร!L140"")+IMPORTRANGE(""https://d"&amp;"ocs.google.com/spreadsheets/d/1oKaccgDdQABndOzGr688Dbfxb_V3YcF67VqEPBtdzsc/edit?usp=share_link"",""ยโสธร!L140"")+IMPORTRANGE(""https://docs.google.com/spreadsheets/d/1BRgc8xKpxZ0PX-gauieMVkV_IOxKSotf0yW8MabGprQ/edit?usp=share_link"",""ร้อยเอ็ด!L140"")+IMP"&amp;"ORTRANGE(""https://docs.google.com/spreadsheets/d/1IdolZc-dfdgMwAm_KZxYJl1sUOcIgnbGQzbWOlddedo/edit?usp=share_link"",""เลย!L140"")+IMPORTRANGE(""https://docs.google.com/spreadsheets/d/1tZ0nmtGuIRCaGAMXHlQU8EpR9LOAJvyKfc4f7EFmE34/edit?usp=share_link"",""ศร"&amp;"ีสะเกษ!L140"")+IMPORTRANGE(""https://docs.google.com/spreadsheets/d/1QC8psz9w0f9IVE9Xuc2FT_btkaOzZbbUSgYObpBuetM/edit?usp=share_link"",""สกลนคร!L140"")+IMPORTRANGE(""https://docs.google.com/spreadsheets/d/1wPdvRbu02d33MYVlbsCnyTiZpefEBs9NNktAnT1HZvw/edit?"&amp;"usp=share_link"",""สุรินทร์!L140"")+IMPORTRANGE(""https://docs.google.com/spreadsheets/d/1GVExpf-Exi_2gmuqTYH28fseTB9MoKPXWcXCbSt_YrM/edit?usp=share_link"",""หนองคาย!L140"")+IMPORTRANGE(""https://docs.google.com/spreadsheets/d/16UeMz0UgOB5BZcoxP75eYGcLFtG"&amp;"YRn9GoesD4OX9m5U/edit?usp=share_link"",""หนองบัวลำภู!L140"")+IMPORTRANGE(""https://docs.google.com/spreadsheets/d/1uUP8Zo1-qaJLuIkRU0qlwLSE3DHkbdrrj2JGJiWBQZE/edit?usp=share_link"",""อำนาจเจริญ!L140"")+IMPORTRANGE(""https://docs.google.com/spreadsheets/d/"&amp;"1hb_taSOHanzRjqfzWPiFo8yiT83VV1L7vvUCLhOiHKc/edit?usp=share_link"",""อุดรธานี!L140"")+IMPORTRANGE(""https://docs.google.com/spreadsheets/d/17IOkEwkUd63EGNfyNDnM5de9YlZ7rwzTiW6-dokVjKI/edit?usp=share_link"",""อุบลราชธานี!L140"")
"),1442000)</f>
        <v>1442000</v>
      </c>
      <c r="M140" s="45">
        <f ca="1">IFERROR(__xludf.DUMMYFUNCTION("IMPORTRANGE(""https://docs.google.com/spreadsheets/d/1fb2B9NLcpJgjIieIJvenUTNPn0TimZDUi0OtYeiSQ_s/edit?usp=share_link"",""กาฬสินธุ์!M140"")+IMPORTRANGE(""https://docs.google.com/spreadsheets/d/1SaMnqrwRGmFYNR0MhpWmHuL5niYUd5E7vDq8X7whAlI/edit?usp=share_li"&amp;"nk"",""ขอนแก่น!M140"")
+IMPORTRANGE(""https://docs.google.com/spreadsheets/d/1xQzEtGHhTTgxHh6YUkKY1P4dRyjVhS74dGswLfAASA4/edit?usp=share_link"",""ชัยภูมิ!M140"")+IMPORTRANGE(""https://docs.google.com/spreadsheets/d/1EXMBoBxU3OFbjT2TRpneM33qFjqDzrKmn9ydcfl"&amp;"fI0o/edit?usp=share_link"",""นครพนม!M140"")+IMPORTRANGE(""https://docs.google.com/spreadsheets/d/1bDQrolntRWtHumK8W-x-HXKntwxB9S3sF5aDeRS66Ko/edit?usp=share_link"",""นครราชสีมา!M140"")+IMPORTRANGE(""https://docs.google.com/spreadsheets/d/1_MzZ-2gVPiCW-d2V"&amp;"cafoCmFJQTSrZ6SQyFcMqRRQQ2w/edit?usp=share_link"",""บึงกาฬ!M140"")
+IMPORTRANGE(""https://docs.google.com/spreadsheets/d/1B3lPpzOuaNwVItLwLEZYl_qEblfcx7dRnbRkAw0l-pE/edit?usp=share_link"",""บุรีรัมย์!M140"")+IMPORTRANGE(""https://docs.google.com/spreadshe"&amp;"ets/d/19GOkiOqnzYbevLYWrMk4qFOXe3rX14BkSA8X-mq-a40/edit?usp=share_link"",""มหาสารคาม!M140"")+IMPORTRANGE(""https://docs.google.com/spreadsheets/d/1uMKqWwuNQ-TCKboGA3Bb1qXb5uj2-faACNUINCz8PN4/edit?usp=share_link"",""มุกดาหาร!M140"")+IMPORTRANGE(""https://d"&amp;"ocs.google.com/spreadsheets/d/1oKaccgDdQABndOzGr688Dbfxb_V3YcF67VqEPBtdzsc/edit?usp=share_link"",""ยโสธร!M140"")+IMPORTRANGE(""https://docs.google.com/spreadsheets/d/1BRgc8xKpxZ0PX-gauieMVkV_IOxKSotf0yW8MabGprQ/edit?usp=share_link"",""ร้อยเอ็ด!M140"")+IMP"&amp;"ORTRANGE(""https://docs.google.com/spreadsheets/d/1IdolZc-dfdgMwAm_KZxYJl1sUOcIgnbGQzbWOlddedo/edit?usp=share_link"",""เลย!M140"")+IMPORTRANGE(""https://docs.google.com/spreadsheets/d/1tZ0nmtGuIRCaGAMXHlQU8EpR9LOAJvyKfc4f7EFmE34/edit?usp=share_link"",""ศร"&amp;"ีสะเกษ!M140"")+IMPORTRANGE(""https://docs.google.com/spreadsheets/d/1QC8psz9w0f9IVE9Xuc2FT_btkaOzZbbUSgYObpBuetM/edit?usp=share_link"",""สกลนคร!M140"")+IMPORTRANGE(""https://docs.google.com/spreadsheets/d/1wPdvRbu02d33MYVlbsCnyTiZpefEBs9NNktAnT1HZvw/edit?"&amp;"usp=share_link"",""สุรินทร์!M140"")+IMPORTRANGE(""https://docs.google.com/spreadsheets/d/1GVExpf-Exi_2gmuqTYH28fseTB9MoKPXWcXCbSt_YrM/edit?usp=share_link"",""หนองคาย!M140"")+IMPORTRANGE(""https://docs.google.com/spreadsheets/d/16UeMz0UgOB5BZcoxP75eYGcLFtG"&amp;"YRn9GoesD4OX9m5U/edit?usp=share_link"",""หนองบัวลำภู!M140"")+IMPORTRANGE(""https://docs.google.com/spreadsheets/d/1uUP8Zo1-qaJLuIkRU0qlwLSE3DHkbdrrj2JGJiWBQZE/edit?usp=share_link"",""อำนาจเจริญ!M140"")+IMPORTRANGE(""https://docs.google.com/spreadsheets/d/"&amp;"1hb_taSOHanzRjqfzWPiFo8yiT83VV1L7vvUCLhOiHKc/edit?usp=share_link"",""อุดรธานี!M140"")+IMPORTRANGE(""https://docs.google.com/spreadsheets/d/17IOkEwkUd63EGNfyNDnM5de9YlZ7rwzTiW6-dokVjKI/edit?usp=share_link"",""อุบลราชธานี!M140"")
"),1479000)</f>
        <v>1479000</v>
      </c>
      <c r="N140" s="45">
        <f ca="1">IFERROR(__xludf.DUMMYFUNCTION("IMPORTRANGE(""https://docs.google.com/spreadsheets/d/1fb2B9NLcpJgjIieIJvenUTNPn0TimZDUi0OtYeiSQ_s/edit?usp=share_link"",""กาฬสินธุ์!N140"")+IMPORTRANGE(""https://docs.google.com/spreadsheets/d/1SaMnqrwRGmFYNR0MhpWmHuL5niYUd5E7vDq8X7whAlI/edit?usp=share_li"&amp;"nk"",""ขอนแก่น!N140"")
+IMPORTRANGE(""https://docs.google.com/spreadsheets/d/1xQzEtGHhTTgxHh6YUkKY1P4dRyjVhS74dGswLfAASA4/edit?usp=share_link"",""ชัยภูมิ!N140"")+IMPORTRANGE(""https://docs.google.com/spreadsheets/d/1EXMBoBxU3OFbjT2TRpneM33qFjqDzrKmn9ydcfl"&amp;"fI0o/edit?usp=share_link"",""นครพนม!N140"")+IMPORTRANGE(""https://docs.google.com/spreadsheets/d/1bDQrolntRWtHumK8W-x-HXKntwxB9S3sF5aDeRS66Ko/edit?usp=share_link"",""นครราชสีมา!N140"")+IMPORTRANGE(""https://docs.google.com/spreadsheets/d/1_MzZ-2gVPiCW-d2V"&amp;"cafoCmFJQTSrZ6SQyFcMqRRQQ2w/edit?usp=share_link"",""บึงกาฬ!N140"")
+IMPORTRANGE(""https://docs.google.com/spreadsheets/d/1B3lPpzOuaNwVItLwLEZYl_qEblfcx7dRnbRkAw0l-pE/edit?usp=share_link"",""บุรีรัมย์!N140"")+IMPORTRANGE(""https://docs.google.com/spreadshe"&amp;"ets/d/19GOkiOqnzYbevLYWrMk4qFOXe3rX14BkSA8X-mq-a40/edit?usp=share_link"",""มหาสารคาม!N140"")+IMPORTRANGE(""https://docs.google.com/spreadsheets/d/1uMKqWwuNQ-TCKboGA3Bb1qXb5uj2-faACNUINCz8PN4/edit?usp=share_link"",""มุกดาหาร!N140"")+IMPORTRANGE(""https://d"&amp;"ocs.google.com/spreadsheets/d/1oKaccgDdQABndOzGr688Dbfxb_V3YcF67VqEPBtdzsc/edit?usp=share_link"",""ยโสธร!N140"")+IMPORTRANGE(""https://docs.google.com/spreadsheets/d/1BRgc8xKpxZ0PX-gauieMVkV_IOxKSotf0yW8MabGprQ/edit?usp=share_link"",""ร้อยเอ็ด!N140"")+IMP"&amp;"ORTRANGE(""https://docs.google.com/spreadsheets/d/1IdolZc-dfdgMwAm_KZxYJl1sUOcIgnbGQzbWOlddedo/edit?usp=share_link"",""เลย!N140"")+IMPORTRANGE(""https://docs.google.com/spreadsheets/d/1tZ0nmtGuIRCaGAMXHlQU8EpR9LOAJvyKfc4f7EFmE34/edit?usp=share_link"",""ศร"&amp;"ีสะเกษ!N140"")+IMPORTRANGE(""https://docs.google.com/spreadsheets/d/1QC8psz9w0f9IVE9Xuc2FT_btkaOzZbbUSgYObpBuetM/edit?usp=share_link"",""สกลนคร!N140"")+IMPORTRANGE(""https://docs.google.com/spreadsheets/d/1wPdvRbu02d33MYVlbsCnyTiZpefEBs9NNktAnT1HZvw/edit?"&amp;"usp=share_link"",""สุรินทร์!N140"")+IMPORTRANGE(""https://docs.google.com/spreadsheets/d/1GVExpf-Exi_2gmuqTYH28fseTB9MoKPXWcXCbSt_YrM/edit?usp=share_link"",""หนองคาย!N140"")+IMPORTRANGE(""https://docs.google.com/spreadsheets/d/16UeMz0UgOB5BZcoxP75eYGcLFtG"&amp;"YRn9GoesD4OX9m5U/edit?usp=share_link"",""หนองบัวลำภู!N140"")+IMPORTRANGE(""https://docs.google.com/spreadsheets/d/1uUP8Zo1-qaJLuIkRU0qlwLSE3DHkbdrrj2JGJiWBQZE/edit?usp=share_link"",""อำนาจเจริญ!N140"")+IMPORTRANGE(""https://docs.google.com/spreadsheets/d/"&amp;"1hb_taSOHanzRjqfzWPiFo8yiT83VV1L7vvUCLhOiHKc/edit?usp=share_link"",""อุดรธานี!N140"")+IMPORTRANGE(""https://docs.google.com/spreadsheets/d/17IOkEwkUd63EGNfyNDnM5de9YlZ7rwzTiW6-dokVjKI/edit?usp=share_link"",""อุบลราชธานี!N140"")
"),1479000)</f>
        <v>1479000</v>
      </c>
      <c r="O140" s="45">
        <f t="shared" ca="1" si="87"/>
        <v>102.56588072122052</v>
      </c>
      <c r="P140" s="45">
        <f t="shared" ca="1" si="88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fb2B9NLcpJgjIieIJvenUTNPn0TimZDUi0OtYeiSQ_s/edit?usp=share_link"",""กาฬสินธุ์!J142"")+IMPORTRANGE(""https://docs.google.com/spreadsheets/d/1SaMnqrwRGmFYNR0MhpWmHuL5niYUd5E7vDq8X7whAlI/edit?usp=share_li"&amp;"nk"",""ขอนแก่น!J142"")
+IMPORTRANGE(""https://docs.google.com/spreadsheets/d/1xQzEtGHhTTgxHh6YUkKY1P4dRyjVhS74dGswLfAASA4/edit?usp=share_link"",""ชัยภูมิ!J142"")+IMPORTRANGE(""https://docs.google.com/spreadsheets/d/1EXMBoBxU3OFbjT2TRpneM33qFjqDzrKmn9ydcfl"&amp;"fI0o/edit?usp=share_link"",""นครพนม!J142"")+IMPORTRANGE(""https://docs.google.com/spreadsheets/d/1bDQrolntRWtHumK8W-x-HXKntwxB9S3sF5aDeRS66Ko/edit?usp=share_link"",""นครราชสีมา!J142"")+IMPORTRANGE(""https://docs.google.com/spreadsheets/d/1_MzZ-2gVPiCW-d2V"&amp;"cafoCmFJQTSrZ6SQyFcMqRRQQ2w/edit?usp=share_link"",""บึงกาฬ!J142"")
+IMPORTRANGE(""https://docs.google.com/spreadsheets/d/1B3lPpzOuaNwVItLwLEZYl_qEblfcx7dRnbRkAw0l-pE/edit?usp=share_link"",""บุรีรัมย์!J142"")+IMPORTRANGE(""https://docs.google.com/spreadshe"&amp;"ets/d/19GOkiOqnzYbevLYWrMk4qFOXe3rX14BkSA8X-mq-a40/edit?usp=share_link"",""มหาสารคาม!J142"")+IMPORTRANGE(""https://docs.google.com/spreadsheets/d/1uMKqWwuNQ-TCKboGA3Bb1qXb5uj2-faACNUINCz8PN4/edit?usp=share_link"",""มุกดาหาร!J142"")+IMPORTRANGE(""https://d"&amp;"ocs.google.com/spreadsheets/d/1oKaccgDdQABndOzGr688Dbfxb_V3YcF67VqEPBtdzsc/edit?usp=share_link"",""ยโสธร!J142"")+IMPORTRANGE(""https://docs.google.com/spreadsheets/d/1BRgc8xKpxZ0PX-gauieMVkV_IOxKSotf0yW8MabGprQ/edit?usp=share_link"",""ร้อยเอ็ด!J142"")+IMP"&amp;"ORTRANGE(""https://docs.google.com/spreadsheets/d/1IdolZc-dfdgMwAm_KZxYJl1sUOcIgnbGQzbWOlddedo/edit?usp=share_link"",""เลย!J142"")+IMPORTRANGE(""https://docs.google.com/spreadsheets/d/1tZ0nmtGuIRCaGAMXHlQU8EpR9LOAJvyKfc4f7EFmE34/edit?usp=share_link"",""ศร"&amp;"ีสะเกษ!J142"")+IMPORTRANGE(""https://docs.google.com/spreadsheets/d/1QC8psz9w0f9IVE9Xuc2FT_btkaOzZbbUSgYObpBuetM/edit?usp=share_link"",""สกลนคร!J142"")+IMPORTRANGE(""https://docs.google.com/spreadsheets/d/1wPdvRbu02d33MYVlbsCnyTiZpefEBs9NNktAnT1HZvw/edit?"&amp;"usp=share_link"",""สุรินทร์!J142"")+IMPORTRANGE(""https://docs.google.com/spreadsheets/d/1GVExpf-Exi_2gmuqTYH28fseTB9MoKPXWcXCbSt_YrM/edit?usp=share_link"",""หนองคาย!J142"")+IMPORTRANGE(""https://docs.google.com/spreadsheets/d/16UeMz0UgOB5BZcoxP75eYGcLFtG"&amp;"YRn9GoesD4OX9m5U/edit?usp=share_link"",""หนองบัวลำภู!J142"")+IMPORTRANGE(""https://docs.google.com/spreadsheets/d/1uUP8Zo1-qaJLuIkRU0qlwLSE3DHkbdrrj2JGJiWBQZE/edit?usp=share_link"",""อำนาจเจริญ!J142"")+IMPORTRANGE(""https://docs.google.com/spreadsheets/d/"&amp;"1hb_taSOHanzRjqfzWPiFo8yiT83VV1L7vvUCLhOiHKc/edit?usp=share_link"",""อุดรธานี!J142"")+IMPORTRANGE(""https://docs.google.com/spreadsheets/d/17IOkEwkUd63EGNfyNDnM5de9YlZ7rwzTiW6-dokVjKI/edit?usp=share_link"",""อุบลราชธานี!J142"")
"),70)</f>
        <v>70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140</v>
      </c>
      <c r="J143" s="37">
        <f ca="1">IFERROR(__xludf.DUMMYFUNCTION("IMPORTRANGE(""https://docs.google.com/spreadsheets/d/1fb2B9NLcpJgjIieIJvenUTNPn0TimZDUi0OtYeiSQ_s/edit?usp=share_link"",""กาฬสินธุ์!J143"")+IMPORTRANGE(""https://docs.google.com/spreadsheets/d/1SaMnqrwRGmFYNR0MhpWmHuL5niYUd5E7vDq8X7whAlI/edit?usp=share_li"&amp;"nk"",""ขอนแก่น!J143"")
+IMPORTRANGE(""https://docs.google.com/spreadsheets/d/1xQzEtGHhTTgxHh6YUkKY1P4dRyjVhS74dGswLfAASA4/edit?usp=share_link"",""ชัยภูมิ!J143"")+IMPORTRANGE(""https://docs.google.com/spreadsheets/d/1EXMBoBxU3OFbjT2TRpneM33qFjqDzrKmn9ydcfl"&amp;"fI0o/edit?usp=share_link"",""นครพนม!J143"")+IMPORTRANGE(""https://docs.google.com/spreadsheets/d/1bDQrolntRWtHumK8W-x-HXKntwxB9S3sF5aDeRS66Ko/edit?usp=share_link"",""นครราชสีมา!J143"")+IMPORTRANGE(""https://docs.google.com/spreadsheets/d/1_MzZ-2gVPiCW-d2V"&amp;"cafoCmFJQTSrZ6SQyFcMqRRQQ2w/edit?usp=share_link"",""บึงกาฬ!J143"")
+IMPORTRANGE(""https://docs.google.com/spreadsheets/d/1B3lPpzOuaNwVItLwLEZYl_qEblfcx7dRnbRkAw0l-pE/edit?usp=share_link"",""บุรีรัมย์!J143"")+IMPORTRANGE(""https://docs.google.com/spreadshe"&amp;"ets/d/19GOkiOqnzYbevLYWrMk4qFOXe3rX14BkSA8X-mq-a40/edit?usp=share_link"",""มหาสารคาม!J143"")+IMPORTRANGE(""https://docs.google.com/spreadsheets/d/1uMKqWwuNQ-TCKboGA3Bb1qXb5uj2-faACNUINCz8PN4/edit?usp=share_link"",""มุกดาหาร!J143"")+IMPORTRANGE(""https://d"&amp;"ocs.google.com/spreadsheets/d/1oKaccgDdQABndOzGr688Dbfxb_V3YcF67VqEPBtdzsc/edit?usp=share_link"",""ยโสธร!J143"")+IMPORTRANGE(""https://docs.google.com/spreadsheets/d/1BRgc8xKpxZ0PX-gauieMVkV_IOxKSotf0yW8MabGprQ/edit?usp=share_link"",""ร้อยเอ็ด!J143"")+IMP"&amp;"ORTRANGE(""https://docs.google.com/spreadsheets/d/1IdolZc-dfdgMwAm_KZxYJl1sUOcIgnbGQzbWOlddedo/edit?usp=share_link"",""เลย!J143"")+IMPORTRANGE(""https://docs.google.com/spreadsheets/d/1tZ0nmtGuIRCaGAMXHlQU8EpR9LOAJvyKfc4f7EFmE34/edit?usp=share_link"",""ศร"&amp;"ีสะเกษ!J143"")+IMPORTRANGE(""https://docs.google.com/spreadsheets/d/1QC8psz9w0f9IVE9Xuc2FT_btkaOzZbbUSgYObpBuetM/edit?usp=share_link"",""สกลนคร!J143"")+IMPORTRANGE(""https://docs.google.com/spreadsheets/d/1wPdvRbu02d33MYVlbsCnyTiZpefEBs9NNktAnT1HZvw/edit?"&amp;"usp=share_link"",""สุรินทร์!J143"")+IMPORTRANGE(""https://docs.google.com/spreadsheets/d/1GVExpf-Exi_2gmuqTYH28fseTB9MoKPXWcXCbSt_YrM/edit?usp=share_link"",""หนองคาย!J143"")+IMPORTRANGE(""https://docs.google.com/spreadsheets/d/16UeMz0UgOB5BZcoxP75eYGcLFtG"&amp;"YRn9GoesD4OX9m5U/edit?usp=share_link"",""หนองบัวลำภู!J143"")+IMPORTRANGE(""https://docs.google.com/spreadsheets/d/1uUP8Zo1-qaJLuIkRU0qlwLSE3DHkbdrrj2JGJiWBQZE/edit?usp=share_link"",""อำนาจเจริญ!J143"")+IMPORTRANGE(""https://docs.google.com/spreadsheets/d/"&amp;"1hb_taSOHanzRjqfzWPiFo8yiT83VV1L7vvUCLhOiHKc/edit?usp=share_link"",""อุดรธานี!J143"")+IMPORTRANGE(""https://docs.google.com/spreadsheets/d/17IOkEwkUd63EGNfyNDnM5de9YlZ7rwzTiW6-dokVjKI/edit?usp=share_link"",""อุบลราชธานี!J143"")
"),140)</f>
        <v>140</v>
      </c>
      <c r="K143" s="38">
        <f t="shared" ref="K143:K146" ca="1" si="93">IF(I143&gt;0,J143*100/I143,0)</f>
        <v>100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fb2B9NLcpJgjIieIJvenUTNPn0TimZDUi0OtYeiSQ_s/edit?usp=share_link"",""กาฬสินธุ์!I144"")+IMPORTRANGE(""https://docs.google.com/spreadsheets/d/1SaMnqrwRGmFYNR0MhpWmHuL5niYUd5E7vDq8X7whAlI/edit?usp=share_li"&amp;"nk"",""ขอนแก่น!I144"")
+IMPORTRANGE(""https://docs.google.com/spreadsheets/d/1xQzEtGHhTTgxHh6YUkKY1P4dRyjVhS74dGswLfAASA4/edit?usp=share_link"",""ชัยภูมิ!I144"")+IMPORTRANGE(""https://docs.google.com/spreadsheets/d/1EXMBoBxU3OFbjT2TRpneM33qFjqDzrKmn9ydcfl"&amp;"fI0o/edit?usp=share_link"",""นครพนม!I144"")+IMPORTRANGE(""https://docs.google.com/spreadsheets/d/1bDQrolntRWtHumK8W-x-HXKntwxB9S3sF5aDeRS66Ko/edit?usp=share_link"",""นครราชสีมา!I144"")+IMPORTRANGE(""https://docs.google.com/spreadsheets/d/1_MzZ-2gVPiCW-d2V"&amp;"cafoCmFJQTSrZ6SQyFcMqRRQQ2w/edit?usp=share_link"",""บึงกาฬ!I144"")
+IMPORTRANGE(""https://docs.google.com/spreadsheets/d/1B3lPpzOuaNwVItLwLEZYl_qEblfcx7dRnbRkAw0l-pE/edit?usp=share_link"",""บุรีรัมย์!I144"")+IMPORTRANGE(""https://docs.google.com/spreadshe"&amp;"ets/d/19GOkiOqnzYbevLYWrMk4qFOXe3rX14BkSA8X-mq-a40/edit?usp=share_link"",""มหาสารคาม!I144"")+IMPORTRANGE(""https://docs.google.com/spreadsheets/d/1uMKqWwuNQ-TCKboGA3Bb1qXb5uj2-faACNUINCz8PN4/edit?usp=share_link"",""มุกดาหาร!I144"")+IMPORTRANGE(""https://d"&amp;"ocs.google.com/spreadsheets/d/1oKaccgDdQABndOzGr688Dbfxb_V3YcF67VqEPBtdzsc/edit?usp=share_link"",""ยโสธร!I144"")+IMPORTRANGE(""https://docs.google.com/spreadsheets/d/1BRgc8xKpxZ0PX-gauieMVkV_IOxKSotf0yW8MabGprQ/edit?usp=share_link"",""ร้อยเอ็ด!I144"")+IMP"&amp;"ORTRANGE(""https://docs.google.com/spreadsheets/d/1IdolZc-dfdgMwAm_KZxYJl1sUOcIgnbGQzbWOlddedo/edit?usp=share_link"",""เลย!I144"")+IMPORTRANGE(""https://docs.google.com/spreadsheets/d/1tZ0nmtGuIRCaGAMXHlQU8EpR9LOAJvyKfc4f7EFmE34/edit?usp=share_link"",""ศร"&amp;"ีสะเกษ!I144"")+IMPORTRANGE(""https://docs.google.com/spreadsheets/d/1QC8psz9w0f9IVE9Xuc2FT_btkaOzZbbUSgYObpBuetM/edit?usp=share_link"",""สกลนคร!I144"")+IMPORTRANGE(""https://docs.google.com/spreadsheets/d/1wPdvRbu02d33MYVlbsCnyTiZpefEBs9NNktAnT1HZvw/edit?"&amp;"usp=share_link"",""สุรินทร์!I144"")+IMPORTRANGE(""https://docs.google.com/spreadsheets/d/1GVExpf-Exi_2gmuqTYH28fseTB9MoKPXWcXCbSt_YrM/edit?usp=share_link"",""หนองคาย!I144"")+IMPORTRANGE(""https://docs.google.com/spreadsheets/d/16UeMz0UgOB5BZcoxP75eYGcLFtG"&amp;"YRn9GoesD4OX9m5U/edit?usp=share_link"",""หนองบัวลำภู!I144"")+IMPORTRANGE(""https://docs.google.com/spreadsheets/d/1uUP8Zo1-qaJLuIkRU0qlwLSE3DHkbdrrj2JGJiWBQZE/edit?usp=share_link"",""อำนาจเจริญ!I144"")+IMPORTRANGE(""https://docs.google.com/spreadsheets/d/"&amp;"1hb_taSOHanzRjqfzWPiFo8yiT83VV1L7vvUCLhOiHKc/edit?usp=share_link"",""อุดรธานี!I144"")+IMPORTRANGE(""https://docs.google.com/spreadsheets/d/17IOkEwkUd63EGNfyNDnM5de9YlZ7rwzTiW6-dokVjKI/edit?usp=share_link"",""อุบลราชธานี!I144"")
"),70)</f>
        <v>70</v>
      </c>
      <c r="J144" s="183">
        <f ca="1">IFERROR(__xludf.DUMMYFUNCTION("IMPORTRANGE(""https://docs.google.com/spreadsheets/d/1fb2B9NLcpJgjIieIJvenUTNPn0TimZDUi0OtYeiSQ_s/edit?usp=share_link"",""กาฬสินธุ์!J144"")+IMPORTRANGE(""https://docs.google.com/spreadsheets/d/1SaMnqrwRGmFYNR0MhpWmHuL5niYUd5E7vDq8X7whAlI/edit?usp=share_li"&amp;"nk"",""ขอนแก่น!J144"")
+IMPORTRANGE(""https://docs.google.com/spreadsheets/d/1xQzEtGHhTTgxHh6YUkKY1P4dRyjVhS74dGswLfAASA4/edit?usp=share_link"",""ชัยภูมิ!J144"")+IMPORTRANGE(""https://docs.google.com/spreadsheets/d/1EXMBoBxU3OFbjT2TRpneM33qFjqDzrKmn9ydcfl"&amp;"fI0o/edit?usp=share_link"",""นครพนม!J144"")+IMPORTRANGE(""https://docs.google.com/spreadsheets/d/1bDQrolntRWtHumK8W-x-HXKntwxB9S3sF5aDeRS66Ko/edit?usp=share_link"",""นครราชสีมา!J144"")+IMPORTRANGE(""https://docs.google.com/spreadsheets/d/1_MzZ-2gVPiCW-d2V"&amp;"cafoCmFJQTSrZ6SQyFcMqRRQQ2w/edit?usp=share_link"",""บึงกาฬ!J144"")
+IMPORTRANGE(""https://docs.google.com/spreadsheets/d/1B3lPpzOuaNwVItLwLEZYl_qEblfcx7dRnbRkAw0l-pE/edit?usp=share_link"",""บุรีรัมย์!J144"")+IMPORTRANGE(""https://docs.google.com/spreadshe"&amp;"ets/d/19GOkiOqnzYbevLYWrMk4qFOXe3rX14BkSA8X-mq-a40/edit?usp=share_link"",""มหาสารคาม!J144"")+IMPORTRANGE(""https://docs.google.com/spreadsheets/d/1uMKqWwuNQ-TCKboGA3Bb1qXb5uj2-faACNUINCz8PN4/edit?usp=share_link"",""มุกดาหาร!J144"")+IMPORTRANGE(""https://d"&amp;"ocs.google.com/spreadsheets/d/1oKaccgDdQABndOzGr688Dbfxb_V3YcF67VqEPBtdzsc/edit?usp=share_link"",""ยโสธร!J144"")+IMPORTRANGE(""https://docs.google.com/spreadsheets/d/1BRgc8xKpxZ0PX-gauieMVkV_IOxKSotf0yW8MabGprQ/edit?usp=share_link"",""ร้อยเอ็ด!J144"")+IMP"&amp;"ORTRANGE(""https://docs.google.com/spreadsheets/d/1IdolZc-dfdgMwAm_KZxYJl1sUOcIgnbGQzbWOlddedo/edit?usp=share_link"",""เลย!J144"")+IMPORTRANGE(""https://docs.google.com/spreadsheets/d/1tZ0nmtGuIRCaGAMXHlQU8EpR9LOAJvyKfc4f7EFmE34/edit?usp=share_link"",""ศร"&amp;"ีสะเกษ!J144"")+IMPORTRANGE(""https://docs.google.com/spreadsheets/d/1QC8psz9w0f9IVE9Xuc2FT_btkaOzZbbUSgYObpBuetM/edit?usp=share_link"",""สกลนคร!J144"")+IMPORTRANGE(""https://docs.google.com/spreadsheets/d/1wPdvRbu02d33MYVlbsCnyTiZpefEBs9NNktAnT1HZvw/edit?"&amp;"usp=share_link"",""สุรินทร์!J144"")+IMPORTRANGE(""https://docs.google.com/spreadsheets/d/1GVExpf-Exi_2gmuqTYH28fseTB9MoKPXWcXCbSt_YrM/edit?usp=share_link"",""หนองคาย!J144"")+IMPORTRANGE(""https://docs.google.com/spreadsheets/d/16UeMz0UgOB5BZcoxP75eYGcLFtG"&amp;"YRn9GoesD4OX9m5U/edit?usp=share_link"",""หนองบัวลำภู!J144"")+IMPORTRANGE(""https://docs.google.com/spreadsheets/d/1uUP8Zo1-qaJLuIkRU0qlwLSE3DHkbdrrj2JGJiWBQZE/edit?usp=share_link"",""อำนาจเจริญ!J144"")+IMPORTRANGE(""https://docs.google.com/spreadsheets/d/"&amp;"1hb_taSOHanzRjqfzWPiFo8yiT83VV1L7vvUCLhOiHKc/edit?usp=share_link"",""อุดรธานี!J144"")+IMPORTRANGE(""https://docs.google.com/spreadsheets/d/17IOkEwkUd63EGNfyNDnM5de9YlZ7rwzTiW6-dokVjKI/edit?usp=share_link"",""อุบลราชธานี!J144"")
"),80)</f>
        <v>80</v>
      </c>
      <c r="K144" s="38">
        <f t="shared" ca="1" si="93"/>
        <v>114.28571428571429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fb2B9NLcpJgjIieIJvenUTNPn0TimZDUi0OtYeiSQ_s/edit?usp=share_link"",""กาฬสินธุ์!I145"")+IMPORTRANGE(""https://docs.google.com/spreadsheets/d/1SaMnqrwRGmFYNR0MhpWmHuL5niYUd5E7vDq8X7whAlI/edit?usp=share_li"&amp;"nk"",""ขอนแก่น!I145"")
+IMPORTRANGE(""https://docs.google.com/spreadsheets/d/1xQzEtGHhTTgxHh6YUkKY1P4dRyjVhS74dGswLfAASA4/edit?usp=share_link"",""ชัยภูมิ!I145"")+IMPORTRANGE(""https://docs.google.com/spreadsheets/d/1EXMBoBxU3OFbjT2TRpneM33qFjqDzrKmn9ydcfl"&amp;"fI0o/edit?usp=share_link"",""นครพนม!I145"")+IMPORTRANGE(""https://docs.google.com/spreadsheets/d/1bDQrolntRWtHumK8W-x-HXKntwxB9S3sF5aDeRS66Ko/edit?usp=share_link"",""นครราชสีมา!I145"")+IMPORTRANGE(""https://docs.google.com/spreadsheets/d/1_MzZ-2gVPiCW-d2V"&amp;"cafoCmFJQTSrZ6SQyFcMqRRQQ2w/edit?usp=share_link"",""บึงกาฬ!I145"")
+IMPORTRANGE(""https://docs.google.com/spreadsheets/d/1B3lPpzOuaNwVItLwLEZYl_qEblfcx7dRnbRkAw0l-pE/edit?usp=share_link"",""บุรีรัมย์!I145"")+IMPORTRANGE(""https://docs.google.com/spreadshe"&amp;"ets/d/19GOkiOqnzYbevLYWrMk4qFOXe3rX14BkSA8X-mq-a40/edit?usp=share_link"",""มหาสารคาม!I145"")+IMPORTRANGE(""https://docs.google.com/spreadsheets/d/1uMKqWwuNQ-TCKboGA3Bb1qXb5uj2-faACNUINCz8PN4/edit?usp=share_link"",""มุกดาหาร!I145"")+IMPORTRANGE(""https://d"&amp;"ocs.google.com/spreadsheets/d/1oKaccgDdQABndOzGr688Dbfxb_V3YcF67VqEPBtdzsc/edit?usp=share_link"",""ยโสธร!I145"")+IMPORTRANGE(""https://docs.google.com/spreadsheets/d/1BRgc8xKpxZ0PX-gauieMVkV_IOxKSotf0yW8MabGprQ/edit?usp=share_link"",""ร้อยเอ็ด!I145"")+IMP"&amp;"ORTRANGE(""https://docs.google.com/spreadsheets/d/1IdolZc-dfdgMwAm_KZxYJl1sUOcIgnbGQzbWOlddedo/edit?usp=share_link"",""เลย!I145"")+IMPORTRANGE(""https://docs.google.com/spreadsheets/d/1tZ0nmtGuIRCaGAMXHlQU8EpR9LOAJvyKfc4f7EFmE34/edit?usp=share_link"",""ศร"&amp;"ีสะเกษ!I145"")+IMPORTRANGE(""https://docs.google.com/spreadsheets/d/1QC8psz9w0f9IVE9Xuc2FT_btkaOzZbbUSgYObpBuetM/edit?usp=share_link"",""สกลนคร!I145"")+IMPORTRANGE(""https://docs.google.com/spreadsheets/d/1wPdvRbu02d33MYVlbsCnyTiZpefEBs9NNktAnT1HZvw/edit?"&amp;"usp=share_link"",""สุรินทร์!I145"")+IMPORTRANGE(""https://docs.google.com/spreadsheets/d/1GVExpf-Exi_2gmuqTYH28fseTB9MoKPXWcXCbSt_YrM/edit?usp=share_link"",""หนองคาย!I145"")+IMPORTRANGE(""https://docs.google.com/spreadsheets/d/16UeMz0UgOB5BZcoxP75eYGcLFtG"&amp;"YRn9GoesD4OX9m5U/edit?usp=share_link"",""หนองบัวลำภู!I145"")+IMPORTRANGE(""https://docs.google.com/spreadsheets/d/1uUP8Zo1-qaJLuIkRU0qlwLSE3DHkbdrrj2JGJiWBQZE/edit?usp=share_link"",""อำนาจเจริญ!I145"")+IMPORTRANGE(""https://docs.google.com/spreadsheets/d/"&amp;"1hb_taSOHanzRjqfzWPiFo8yiT83VV1L7vvUCLhOiHKc/edit?usp=share_link"",""อุดรธานี!I145"")+IMPORTRANGE(""https://docs.google.com/spreadsheets/d/17IOkEwkUd63EGNfyNDnM5de9YlZ7rwzTiW6-dokVjKI/edit?usp=share_link"",""อุบลราชธานี!I145"")
"),140)</f>
        <v>140</v>
      </c>
      <c r="J145" s="183">
        <f ca="1">IFERROR(__xludf.DUMMYFUNCTION("IMPORTRANGE(""https://docs.google.com/spreadsheets/d/1fb2B9NLcpJgjIieIJvenUTNPn0TimZDUi0OtYeiSQ_s/edit?usp=share_link"",""กาฬสินธุ์!J145"")+IMPORTRANGE(""https://docs.google.com/spreadsheets/d/1SaMnqrwRGmFYNR0MhpWmHuL5niYUd5E7vDq8X7whAlI/edit?usp=share_li"&amp;"nk"",""ขอนแก่น!J145"")
+IMPORTRANGE(""https://docs.google.com/spreadsheets/d/1xQzEtGHhTTgxHh6YUkKY1P4dRyjVhS74dGswLfAASA4/edit?usp=share_link"",""ชัยภูมิ!J145"")+IMPORTRANGE(""https://docs.google.com/spreadsheets/d/1EXMBoBxU3OFbjT2TRpneM33qFjqDzrKmn9ydcfl"&amp;"fI0o/edit?usp=share_link"",""นครพนม!J145"")+IMPORTRANGE(""https://docs.google.com/spreadsheets/d/1bDQrolntRWtHumK8W-x-HXKntwxB9S3sF5aDeRS66Ko/edit?usp=share_link"",""นครราชสีมา!J145"")+IMPORTRANGE(""https://docs.google.com/spreadsheets/d/1_MzZ-2gVPiCW-d2V"&amp;"cafoCmFJQTSrZ6SQyFcMqRRQQ2w/edit?usp=share_link"",""บึงกาฬ!J145"")
+IMPORTRANGE(""https://docs.google.com/spreadsheets/d/1B3lPpzOuaNwVItLwLEZYl_qEblfcx7dRnbRkAw0l-pE/edit?usp=share_link"",""บุรีรัมย์!J145"")+IMPORTRANGE(""https://docs.google.com/spreadshe"&amp;"ets/d/19GOkiOqnzYbevLYWrMk4qFOXe3rX14BkSA8X-mq-a40/edit?usp=share_link"",""มหาสารคาม!J145"")+IMPORTRANGE(""https://docs.google.com/spreadsheets/d/1uMKqWwuNQ-TCKboGA3Bb1qXb5uj2-faACNUINCz8PN4/edit?usp=share_link"",""มุกดาหาร!J145"")+IMPORTRANGE(""https://d"&amp;"ocs.google.com/spreadsheets/d/1oKaccgDdQABndOzGr688Dbfxb_V3YcF67VqEPBtdzsc/edit?usp=share_link"",""ยโสธร!J145"")+IMPORTRANGE(""https://docs.google.com/spreadsheets/d/1BRgc8xKpxZ0PX-gauieMVkV_IOxKSotf0yW8MabGprQ/edit?usp=share_link"",""ร้อยเอ็ด!J145"")+IMP"&amp;"ORTRANGE(""https://docs.google.com/spreadsheets/d/1IdolZc-dfdgMwAm_KZxYJl1sUOcIgnbGQzbWOlddedo/edit?usp=share_link"",""เลย!J145"")+IMPORTRANGE(""https://docs.google.com/spreadsheets/d/1tZ0nmtGuIRCaGAMXHlQU8EpR9LOAJvyKfc4f7EFmE34/edit?usp=share_link"",""ศร"&amp;"ีสะเกษ!J145"")+IMPORTRANGE(""https://docs.google.com/spreadsheets/d/1QC8psz9w0f9IVE9Xuc2FT_btkaOzZbbUSgYObpBuetM/edit?usp=share_link"",""สกลนคร!J145"")+IMPORTRANGE(""https://docs.google.com/spreadsheets/d/1wPdvRbu02d33MYVlbsCnyTiZpefEBs9NNktAnT1HZvw/edit?"&amp;"usp=share_link"",""สุรินทร์!J145"")+IMPORTRANGE(""https://docs.google.com/spreadsheets/d/1GVExpf-Exi_2gmuqTYH28fseTB9MoKPXWcXCbSt_YrM/edit?usp=share_link"",""หนองคาย!J145"")+IMPORTRANGE(""https://docs.google.com/spreadsheets/d/16UeMz0UgOB5BZcoxP75eYGcLFtG"&amp;"YRn9GoesD4OX9m5U/edit?usp=share_link"",""หนองบัวลำภู!J145"")+IMPORTRANGE(""https://docs.google.com/spreadsheets/d/1uUP8Zo1-qaJLuIkRU0qlwLSE3DHkbdrrj2JGJiWBQZE/edit?usp=share_link"",""อำนาจเจริญ!J145"")+IMPORTRANGE(""https://docs.google.com/spreadsheets/d/"&amp;"1hb_taSOHanzRjqfzWPiFo8yiT83VV1L7vvUCLhOiHKc/edit?usp=share_link"",""อุดรธานี!J145"")+IMPORTRANGE(""https://docs.google.com/spreadsheets/d/17IOkEwkUd63EGNfyNDnM5de9YlZ7rwzTiW6-dokVjKI/edit?usp=share_link"",""อุบลราชธานี!J145"")
"),140)</f>
        <v>140</v>
      </c>
      <c r="K145" s="38">
        <f t="shared" ca="1" si="93"/>
        <v>100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fb2B9NLcpJgjIieIJvenUTNPn0TimZDUi0OtYeiSQ_s/edit?usp=share_link"",""กาฬสินธุ์!I146"")+IMPORTRANGE(""https://docs.google.com/spreadsheets/d/1SaMnqrwRGmFYNR0MhpWmHuL5niYUd5E7vDq8X7whAlI/edit?usp=share_li"&amp;"nk"",""ขอนแก่น!I146"")
+IMPORTRANGE(""https://docs.google.com/spreadsheets/d/1xQzEtGHhTTgxHh6YUkKY1P4dRyjVhS74dGswLfAASA4/edit?usp=share_link"",""ชัยภูมิ!I146"")+IMPORTRANGE(""https://docs.google.com/spreadsheets/d/1EXMBoBxU3OFbjT2TRpneM33qFjqDzrKmn9ydcfl"&amp;"fI0o/edit?usp=share_link"",""นครพนม!I146"")+IMPORTRANGE(""https://docs.google.com/spreadsheets/d/1bDQrolntRWtHumK8W-x-HXKntwxB9S3sF5aDeRS66Ko/edit?usp=share_link"",""นครราชสีมา!I146"")+IMPORTRANGE(""https://docs.google.com/spreadsheets/d/1_MzZ-2gVPiCW-d2V"&amp;"cafoCmFJQTSrZ6SQyFcMqRRQQ2w/edit?usp=share_link"",""บึงกาฬ!I146"")
+IMPORTRANGE(""https://docs.google.com/spreadsheets/d/1B3lPpzOuaNwVItLwLEZYl_qEblfcx7dRnbRkAw0l-pE/edit?usp=share_link"",""บุรีรัมย์!I146"")+IMPORTRANGE(""https://docs.google.com/spreadshe"&amp;"ets/d/19GOkiOqnzYbevLYWrMk4qFOXe3rX14BkSA8X-mq-a40/edit?usp=share_link"",""มหาสารคาม!I146"")+IMPORTRANGE(""https://docs.google.com/spreadsheets/d/1uMKqWwuNQ-TCKboGA3Bb1qXb5uj2-faACNUINCz8PN4/edit?usp=share_link"",""มุกดาหาร!I146"")+IMPORTRANGE(""https://d"&amp;"ocs.google.com/spreadsheets/d/1oKaccgDdQABndOzGr688Dbfxb_V3YcF67VqEPBtdzsc/edit?usp=share_link"",""ยโสธร!I146"")+IMPORTRANGE(""https://docs.google.com/spreadsheets/d/1BRgc8xKpxZ0PX-gauieMVkV_IOxKSotf0yW8MabGprQ/edit?usp=share_link"",""ร้อยเอ็ด!I146"")+IMP"&amp;"ORTRANGE(""https://docs.google.com/spreadsheets/d/1IdolZc-dfdgMwAm_KZxYJl1sUOcIgnbGQzbWOlddedo/edit?usp=share_link"",""เลย!I146"")+IMPORTRANGE(""https://docs.google.com/spreadsheets/d/1tZ0nmtGuIRCaGAMXHlQU8EpR9LOAJvyKfc4f7EFmE34/edit?usp=share_link"",""ศร"&amp;"ีสะเกษ!I146"")+IMPORTRANGE(""https://docs.google.com/spreadsheets/d/1QC8psz9w0f9IVE9Xuc2FT_btkaOzZbbUSgYObpBuetM/edit?usp=share_link"",""สกลนคร!I146"")+IMPORTRANGE(""https://docs.google.com/spreadsheets/d/1wPdvRbu02d33MYVlbsCnyTiZpefEBs9NNktAnT1HZvw/edit?"&amp;"usp=share_link"",""สุรินทร์!I146"")+IMPORTRANGE(""https://docs.google.com/spreadsheets/d/1GVExpf-Exi_2gmuqTYH28fseTB9MoKPXWcXCbSt_YrM/edit?usp=share_link"",""หนองคาย!I146"")+IMPORTRANGE(""https://docs.google.com/spreadsheets/d/16UeMz0UgOB5BZcoxP75eYGcLFtG"&amp;"YRn9GoesD4OX9m5U/edit?usp=share_link"",""หนองบัวลำภู!I146"")+IMPORTRANGE(""https://docs.google.com/spreadsheets/d/1uUP8Zo1-qaJLuIkRU0qlwLSE3DHkbdrrj2JGJiWBQZE/edit?usp=share_link"",""อำนาจเจริญ!I146"")+IMPORTRANGE(""https://docs.google.com/spreadsheets/d/"&amp;"1hb_taSOHanzRjqfzWPiFo8yiT83VV1L7vvUCLhOiHKc/edit?usp=share_link"",""อุดรธานี!I146"")+IMPORTRANGE(""https://docs.google.com/spreadsheets/d/17IOkEwkUd63EGNfyNDnM5de9YlZ7rwzTiW6-dokVjKI/edit?usp=share_link"",""อุบลราชธานี!I146"")
"),14)</f>
        <v>14</v>
      </c>
      <c r="J146" s="183">
        <f ca="1">IFERROR(__xludf.DUMMYFUNCTION("IMPORTRANGE(""https://docs.google.com/spreadsheets/d/1fb2B9NLcpJgjIieIJvenUTNPn0TimZDUi0OtYeiSQ_s/edit?usp=share_link"",""กาฬสินธุ์!J146"")+IMPORTRANGE(""https://docs.google.com/spreadsheets/d/1SaMnqrwRGmFYNR0MhpWmHuL5niYUd5E7vDq8X7whAlI/edit?usp=share_li"&amp;"nk"",""ขอนแก่น!J146"")
+IMPORTRANGE(""https://docs.google.com/spreadsheets/d/1xQzEtGHhTTgxHh6YUkKY1P4dRyjVhS74dGswLfAASA4/edit?usp=share_link"",""ชัยภูมิ!J146"")+IMPORTRANGE(""https://docs.google.com/spreadsheets/d/1EXMBoBxU3OFbjT2TRpneM33qFjqDzrKmn9ydcfl"&amp;"fI0o/edit?usp=share_link"",""นครพนม!J146"")+IMPORTRANGE(""https://docs.google.com/spreadsheets/d/1bDQrolntRWtHumK8W-x-HXKntwxB9S3sF5aDeRS66Ko/edit?usp=share_link"",""นครราชสีมา!J146"")+IMPORTRANGE(""https://docs.google.com/spreadsheets/d/1_MzZ-2gVPiCW-d2V"&amp;"cafoCmFJQTSrZ6SQyFcMqRRQQ2w/edit?usp=share_link"",""บึงกาฬ!J146"")
+IMPORTRANGE(""https://docs.google.com/spreadsheets/d/1B3lPpzOuaNwVItLwLEZYl_qEblfcx7dRnbRkAw0l-pE/edit?usp=share_link"",""บุรีรัมย์!J146"")+IMPORTRANGE(""https://docs.google.com/spreadshe"&amp;"ets/d/19GOkiOqnzYbevLYWrMk4qFOXe3rX14BkSA8X-mq-a40/edit?usp=share_link"",""มหาสารคาม!J146"")+IMPORTRANGE(""https://docs.google.com/spreadsheets/d/1uMKqWwuNQ-TCKboGA3Bb1qXb5uj2-faACNUINCz8PN4/edit?usp=share_link"",""มุกดาหาร!J146"")+IMPORTRANGE(""https://d"&amp;"ocs.google.com/spreadsheets/d/1oKaccgDdQABndOzGr688Dbfxb_V3YcF67VqEPBtdzsc/edit?usp=share_link"",""ยโสธร!J146"")+IMPORTRANGE(""https://docs.google.com/spreadsheets/d/1BRgc8xKpxZ0PX-gauieMVkV_IOxKSotf0yW8MabGprQ/edit?usp=share_link"",""ร้อยเอ็ด!J146"")+IMP"&amp;"ORTRANGE(""https://docs.google.com/spreadsheets/d/1IdolZc-dfdgMwAm_KZxYJl1sUOcIgnbGQzbWOlddedo/edit?usp=share_link"",""เลย!J146"")+IMPORTRANGE(""https://docs.google.com/spreadsheets/d/1tZ0nmtGuIRCaGAMXHlQU8EpR9LOAJvyKfc4f7EFmE34/edit?usp=share_link"",""ศร"&amp;"ีสะเกษ!J146"")+IMPORTRANGE(""https://docs.google.com/spreadsheets/d/1QC8psz9w0f9IVE9Xuc2FT_btkaOzZbbUSgYObpBuetM/edit?usp=share_link"",""สกลนคร!J146"")+IMPORTRANGE(""https://docs.google.com/spreadsheets/d/1wPdvRbu02d33MYVlbsCnyTiZpefEBs9NNktAnT1HZvw/edit?"&amp;"usp=share_link"",""สุรินทร์!J146"")+IMPORTRANGE(""https://docs.google.com/spreadsheets/d/1GVExpf-Exi_2gmuqTYH28fseTB9MoKPXWcXCbSt_YrM/edit?usp=share_link"",""หนองคาย!J146"")+IMPORTRANGE(""https://docs.google.com/spreadsheets/d/16UeMz0UgOB5BZcoxP75eYGcLFtG"&amp;"YRn9GoesD4OX9m5U/edit?usp=share_link"",""หนองบัวลำภู!J146"")+IMPORTRANGE(""https://docs.google.com/spreadsheets/d/1uUP8Zo1-qaJLuIkRU0qlwLSE3DHkbdrrj2JGJiWBQZE/edit?usp=share_link"",""อำนาจเจริญ!J146"")+IMPORTRANGE(""https://docs.google.com/spreadsheets/d/"&amp;"1hb_taSOHanzRjqfzWPiFo8yiT83VV1L7vvUCLhOiHKc/edit?usp=share_link"",""อุดรธานี!J146"")+IMPORTRANGE(""https://docs.google.com/spreadsheets/d/17IOkEwkUd63EGNfyNDnM5de9YlZ7rwzTiW6-dokVjKI/edit?usp=share_link"",""อุบลราชธานี!J146"")
"),14)</f>
        <v>14</v>
      </c>
      <c r="K146" s="38">
        <f t="shared" ca="1" si="93"/>
        <v>100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130</v>
      </c>
      <c r="J148" s="144">
        <f t="shared" ca="1" si="94"/>
        <v>130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65000</v>
      </c>
      <c r="M149" s="155">
        <f t="shared" ca="1" si="95"/>
        <v>301116</v>
      </c>
      <c r="N149" s="155">
        <f t="shared" ca="1" si="95"/>
        <v>301116</v>
      </c>
      <c r="O149" s="155">
        <f t="shared" ref="O149:O157" ca="1" si="96">IF(L149&gt;0,N149*100/L149,0)</f>
        <v>463.25538461538463</v>
      </c>
      <c r="P149" s="155">
        <f t="shared" ref="P149:P157" ca="1" si="97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65000</v>
      </c>
      <c r="M151" s="45">
        <f t="shared" ca="1" si="99"/>
        <v>301116</v>
      </c>
      <c r="N151" s="45">
        <f t="shared" ca="1" si="99"/>
        <v>301116</v>
      </c>
      <c r="O151" s="45">
        <f t="shared" ca="1" si="96"/>
        <v>463.25538461538463</v>
      </c>
      <c r="P151" s="45">
        <f t="shared" ca="1" si="97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65000</v>
      </c>
      <c r="M152" s="38">
        <f t="shared" ca="1" si="100"/>
        <v>301116</v>
      </c>
      <c r="N152" s="38">
        <f t="shared" ca="1" si="100"/>
        <v>301116</v>
      </c>
      <c r="O152" s="38">
        <f t="shared" ca="1" si="96"/>
        <v>463.25538461538463</v>
      </c>
      <c r="P152" s="38">
        <f t="shared" ca="1" si="97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fb2B9NLcpJgjIieIJvenUTNPn0TimZDUi0OtYeiSQ_s/edit?usp=share_link"",""กาฬสินธุ์!L154"")+IMPORTRANGE(""https://docs.google.com/spreadsheets/d/1SaMnqrwRGmFYNR0MhpWmHuL5niYUd5E7vDq8X7whAlI/edit?usp=share_li"&amp;"nk"",""ขอนแก่น!L154"")
+IMPORTRANGE(""https://docs.google.com/spreadsheets/d/1xQzEtGHhTTgxHh6YUkKY1P4dRyjVhS74dGswLfAASA4/edit?usp=share_link"",""ชัยภูมิ!L154"")+IMPORTRANGE(""https://docs.google.com/spreadsheets/d/1EXMBoBxU3OFbjT2TRpneM33qFjqDzrKmn9ydcfl"&amp;"fI0o/edit?usp=share_link"",""นครพนม!L154"")+IMPORTRANGE(""https://docs.google.com/spreadsheets/d/1bDQrolntRWtHumK8W-x-HXKntwxB9S3sF5aDeRS66Ko/edit?usp=share_link"",""นครราชสีมา!L154"")+IMPORTRANGE(""https://docs.google.com/spreadsheets/d/1_MzZ-2gVPiCW-d2V"&amp;"cafoCmFJQTSrZ6SQyFcMqRRQQ2w/edit?usp=share_link"",""บึงกาฬ!L154"")
+IMPORTRANGE(""https://docs.google.com/spreadsheets/d/1B3lPpzOuaNwVItLwLEZYl_qEblfcx7dRnbRkAw0l-pE/edit?usp=share_link"",""บุรีรัมย์!L154"")+IMPORTRANGE(""https://docs.google.com/spreadshe"&amp;"ets/d/19GOkiOqnzYbevLYWrMk4qFOXe3rX14BkSA8X-mq-a40/edit?usp=share_link"",""มหาสารคาม!L154"")+IMPORTRANGE(""https://docs.google.com/spreadsheets/d/1uMKqWwuNQ-TCKboGA3Bb1qXb5uj2-faACNUINCz8PN4/edit?usp=share_link"",""มุกดาหาร!L154"")+IMPORTRANGE(""https://d"&amp;"ocs.google.com/spreadsheets/d/1oKaccgDdQABndOzGr688Dbfxb_V3YcF67VqEPBtdzsc/edit?usp=share_link"",""ยโสธร!L154"")+IMPORTRANGE(""https://docs.google.com/spreadsheets/d/1BRgc8xKpxZ0PX-gauieMVkV_IOxKSotf0yW8MabGprQ/edit?usp=share_link"",""ร้อยเอ็ด!L154"")+IMP"&amp;"ORTRANGE(""https://docs.google.com/spreadsheets/d/1IdolZc-dfdgMwAm_KZxYJl1sUOcIgnbGQzbWOlddedo/edit?usp=share_link"",""เลย!L154"")+IMPORTRANGE(""https://docs.google.com/spreadsheets/d/1tZ0nmtGuIRCaGAMXHlQU8EpR9LOAJvyKfc4f7EFmE34/edit?usp=share_link"",""ศร"&amp;"ีสะเกษ!L154"")+IMPORTRANGE(""https://docs.google.com/spreadsheets/d/1QC8psz9w0f9IVE9Xuc2FT_btkaOzZbbUSgYObpBuetM/edit?usp=share_link"",""สกลนคร!L154"")+IMPORTRANGE(""https://docs.google.com/spreadsheets/d/1wPdvRbu02d33MYVlbsCnyTiZpefEBs9NNktAnT1HZvw/edit?"&amp;"usp=share_link"",""สุรินทร์!L154"")+IMPORTRANGE(""https://docs.google.com/spreadsheets/d/1GVExpf-Exi_2gmuqTYH28fseTB9MoKPXWcXCbSt_YrM/edit?usp=share_link"",""หนองคาย!L154"")+IMPORTRANGE(""https://docs.google.com/spreadsheets/d/16UeMz0UgOB5BZcoxP75eYGcLFtG"&amp;"YRn9GoesD4OX9m5U/edit?usp=share_link"",""หนองบัวลำภู!L154"")+IMPORTRANGE(""https://docs.google.com/spreadsheets/d/1uUP8Zo1-qaJLuIkRU0qlwLSE3DHkbdrrj2JGJiWBQZE/edit?usp=share_link"",""อำนาจเจริญ!L154"")+IMPORTRANGE(""https://docs.google.com/spreadsheets/d/"&amp;"1hb_taSOHanzRjqfzWPiFo8yiT83VV1L7vvUCLhOiHKc/edit?usp=share_link"",""อุดรธานี!L154"")+IMPORTRANGE(""https://docs.google.com/spreadsheets/d/17IOkEwkUd63EGNfyNDnM5de9YlZ7rwzTiW6-dokVjKI/edit?usp=share_link"",""อุบลราชธานี!L154"")
"),65000)</f>
        <v>65000</v>
      </c>
      <c r="M154" s="45">
        <f ca="1">IFERROR(__xludf.DUMMYFUNCTION("IMPORTRANGE(""https://docs.google.com/spreadsheets/d/1fb2B9NLcpJgjIieIJvenUTNPn0TimZDUi0OtYeiSQ_s/edit?usp=share_link"",""กาฬสินธุ์!M154"")+IMPORTRANGE(""https://docs.google.com/spreadsheets/d/1SaMnqrwRGmFYNR0MhpWmHuL5niYUd5E7vDq8X7whAlI/edit?usp=share_li"&amp;"nk"",""ขอนแก่น!M154"")
+IMPORTRANGE(""https://docs.google.com/spreadsheets/d/1xQzEtGHhTTgxHh6YUkKY1P4dRyjVhS74dGswLfAASA4/edit?usp=share_link"",""ชัยภูมิ!M154"")+IMPORTRANGE(""https://docs.google.com/spreadsheets/d/1EXMBoBxU3OFbjT2TRpneM33qFjqDzrKmn9ydcfl"&amp;"fI0o/edit?usp=share_link"",""นครพนม!M154"")+IMPORTRANGE(""https://docs.google.com/spreadsheets/d/1bDQrolntRWtHumK8W-x-HXKntwxB9S3sF5aDeRS66Ko/edit?usp=share_link"",""นครราชสีมา!M154"")+IMPORTRANGE(""https://docs.google.com/spreadsheets/d/1_MzZ-2gVPiCW-d2V"&amp;"cafoCmFJQTSrZ6SQyFcMqRRQQ2w/edit?usp=share_link"",""บึงกาฬ!M154"")
+IMPORTRANGE(""https://docs.google.com/spreadsheets/d/1B3lPpzOuaNwVItLwLEZYl_qEblfcx7dRnbRkAw0l-pE/edit?usp=share_link"",""บุรีรัมย์!M154"")+IMPORTRANGE(""https://docs.google.com/spreadshe"&amp;"ets/d/19GOkiOqnzYbevLYWrMk4qFOXe3rX14BkSA8X-mq-a40/edit?usp=share_link"",""มหาสารคาม!M154"")+IMPORTRANGE(""https://docs.google.com/spreadsheets/d/1uMKqWwuNQ-TCKboGA3Bb1qXb5uj2-faACNUINCz8PN4/edit?usp=share_link"",""มุกดาหาร!M154"")+IMPORTRANGE(""https://d"&amp;"ocs.google.com/spreadsheets/d/1oKaccgDdQABndOzGr688Dbfxb_V3YcF67VqEPBtdzsc/edit?usp=share_link"",""ยโสธร!M154"")+IMPORTRANGE(""https://docs.google.com/spreadsheets/d/1BRgc8xKpxZ0PX-gauieMVkV_IOxKSotf0yW8MabGprQ/edit?usp=share_link"",""ร้อยเอ็ด!M154"")+IMP"&amp;"ORTRANGE(""https://docs.google.com/spreadsheets/d/1IdolZc-dfdgMwAm_KZxYJl1sUOcIgnbGQzbWOlddedo/edit?usp=share_link"",""เลย!M154"")+IMPORTRANGE(""https://docs.google.com/spreadsheets/d/1tZ0nmtGuIRCaGAMXHlQU8EpR9LOAJvyKfc4f7EFmE34/edit?usp=share_link"",""ศร"&amp;"ีสะเกษ!M154"")+IMPORTRANGE(""https://docs.google.com/spreadsheets/d/1QC8psz9w0f9IVE9Xuc2FT_btkaOzZbbUSgYObpBuetM/edit?usp=share_link"",""สกลนคร!M154"")+IMPORTRANGE(""https://docs.google.com/spreadsheets/d/1wPdvRbu02d33MYVlbsCnyTiZpefEBs9NNktAnT1HZvw/edit?"&amp;"usp=share_link"",""สุรินทร์!M154"")+IMPORTRANGE(""https://docs.google.com/spreadsheets/d/1GVExpf-Exi_2gmuqTYH28fseTB9MoKPXWcXCbSt_YrM/edit?usp=share_link"",""หนองคาย!M154"")+IMPORTRANGE(""https://docs.google.com/spreadsheets/d/16UeMz0UgOB5BZcoxP75eYGcLFtG"&amp;"YRn9GoesD4OX9m5U/edit?usp=share_link"",""หนองบัวลำภู!M154"")+IMPORTRANGE(""https://docs.google.com/spreadsheets/d/1uUP8Zo1-qaJLuIkRU0qlwLSE3DHkbdrrj2JGJiWBQZE/edit?usp=share_link"",""อำนาจเจริญ!M154"")+IMPORTRANGE(""https://docs.google.com/spreadsheets/d/"&amp;"1hb_taSOHanzRjqfzWPiFo8yiT83VV1L7vvUCLhOiHKc/edit?usp=share_link"",""อุดรธานี!M154"")+IMPORTRANGE(""https://docs.google.com/spreadsheets/d/17IOkEwkUd63EGNfyNDnM5de9YlZ7rwzTiW6-dokVjKI/edit?usp=share_link"",""อุบลราชธานี!M154"")
"),301116)</f>
        <v>301116</v>
      </c>
      <c r="N154" s="45">
        <f ca="1">IFERROR(__xludf.DUMMYFUNCTION("IMPORTRANGE(""https://docs.google.com/spreadsheets/d/1fb2B9NLcpJgjIieIJvenUTNPn0TimZDUi0OtYeiSQ_s/edit?usp=share_link"",""กาฬสินธุ์!N154"")+IMPORTRANGE(""https://docs.google.com/spreadsheets/d/1SaMnqrwRGmFYNR0MhpWmHuL5niYUd5E7vDq8X7whAlI/edit?usp=share_li"&amp;"nk"",""ขอนแก่น!N154"")
+IMPORTRANGE(""https://docs.google.com/spreadsheets/d/1xQzEtGHhTTgxHh6YUkKY1P4dRyjVhS74dGswLfAASA4/edit?usp=share_link"",""ชัยภูมิ!N154"")+IMPORTRANGE(""https://docs.google.com/spreadsheets/d/1EXMBoBxU3OFbjT2TRpneM33qFjqDzrKmn9ydcfl"&amp;"fI0o/edit?usp=share_link"",""นครพนม!N154"")+IMPORTRANGE(""https://docs.google.com/spreadsheets/d/1bDQrolntRWtHumK8W-x-HXKntwxB9S3sF5aDeRS66Ko/edit?usp=share_link"",""นครราชสีมา!N154"")+IMPORTRANGE(""https://docs.google.com/spreadsheets/d/1_MzZ-2gVPiCW-d2V"&amp;"cafoCmFJQTSrZ6SQyFcMqRRQQ2w/edit?usp=share_link"",""บึงกาฬ!N154"")
+IMPORTRANGE(""https://docs.google.com/spreadsheets/d/1B3lPpzOuaNwVItLwLEZYl_qEblfcx7dRnbRkAw0l-pE/edit?usp=share_link"",""บุรีรัมย์!N154"")+IMPORTRANGE(""https://docs.google.com/spreadshe"&amp;"ets/d/19GOkiOqnzYbevLYWrMk4qFOXe3rX14BkSA8X-mq-a40/edit?usp=share_link"",""มหาสารคาม!N154"")+IMPORTRANGE(""https://docs.google.com/spreadsheets/d/1uMKqWwuNQ-TCKboGA3Bb1qXb5uj2-faACNUINCz8PN4/edit?usp=share_link"",""มุกดาหาร!N154"")+IMPORTRANGE(""https://d"&amp;"ocs.google.com/spreadsheets/d/1oKaccgDdQABndOzGr688Dbfxb_V3YcF67VqEPBtdzsc/edit?usp=share_link"",""ยโสธร!N154"")+IMPORTRANGE(""https://docs.google.com/spreadsheets/d/1BRgc8xKpxZ0PX-gauieMVkV_IOxKSotf0yW8MabGprQ/edit?usp=share_link"",""ร้อยเอ็ด!N154"")+IMP"&amp;"ORTRANGE(""https://docs.google.com/spreadsheets/d/1IdolZc-dfdgMwAm_KZxYJl1sUOcIgnbGQzbWOlddedo/edit?usp=share_link"",""เลย!N154"")+IMPORTRANGE(""https://docs.google.com/spreadsheets/d/1tZ0nmtGuIRCaGAMXHlQU8EpR9LOAJvyKfc4f7EFmE34/edit?usp=share_link"",""ศร"&amp;"ีสะเกษ!N154"")+IMPORTRANGE(""https://docs.google.com/spreadsheets/d/1QC8psz9w0f9IVE9Xuc2FT_btkaOzZbbUSgYObpBuetM/edit?usp=share_link"",""สกลนคร!N154"")+IMPORTRANGE(""https://docs.google.com/spreadsheets/d/1wPdvRbu02d33MYVlbsCnyTiZpefEBs9NNktAnT1HZvw/edit?"&amp;"usp=share_link"",""สุรินทร์!N154"")+IMPORTRANGE(""https://docs.google.com/spreadsheets/d/1GVExpf-Exi_2gmuqTYH28fseTB9MoKPXWcXCbSt_YrM/edit?usp=share_link"",""หนองคาย!N154"")+IMPORTRANGE(""https://docs.google.com/spreadsheets/d/16UeMz0UgOB5BZcoxP75eYGcLFtG"&amp;"YRn9GoesD4OX9m5U/edit?usp=share_link"",""หนองบัวลำภู!N154"")+IMPORTRANGE(""https://docs.google.com/spreadsheets/d/1uUP8Zo1-qaJLuIkRU0qlwLSE3DHkbdrrj2JGJiWBQZE/edit?usp=share_link"",""อำนาจเจริญ!N154"")+IMPORTRANGE(""https://docs.google.com/spreadsheets/d/"&amp;"1hb_taSOHanzRjqfzWPiFo8yiT83VV1L7vvUCLhOiHKc/edit?usp=share_link"",""อุดรธานี!N154"")+IMPORTRANGE(""https://docs.google.com/spreadsheets/d/17IOkEwkUd63EGNfyNDnM5de9YlZ7rwzTiW6-dokVjKI/edit?usp=share_link"",""อุบลราชธานี!N154"")
"),301116)</f>
        <v>301116</v>
      </c>
      <c r="O154" s="45">
        <f t="shared" ca="1" si="96"/>
        <v>463.25538461538463</v>
      </c>
      <c r="P154" s="45">
        <f t="shared" ca="1" si="97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fb2B9NLcpJgjIieIJvenUTNPn0TimZDUi0OtYeiSQ_s/edit?usp=share_link"",""กาฬสินธุ์!L157"")+IMPORTRANGE(""https://docs.google.com/spreadsheets/d/1SaMnqrwRGmFYNR0MhpWmHuL5niYUd5E7vDq8X7whAlI/edit?usp=share_li"&amp;"nk"",""ขอนแก่น!L157"")
+IMPORTRANGE(""https://docs.google.com/spreadsheets/d/1xQzEtGHhTTgxHh6YUkKY1P4dRyjVhS74dGswLfAASA4/edit?usp=share_link"",""ชัยภูมิ!L157"")+IMPORTRANGE(""https://docs.google.com/spreadsheets/d/1EXMBoBxU3OFbjT2TRpneM33qFjqDzrKmn9ydcfl"&amp;"fI0o/edit?usp=share_link"",""นครพนม!L157"")+IMPORTRANGE(""https://docs.google.com/spreadsheets/d/1bDQrolntRWtHumK8W-x-HXKntwxB9S3sF5aDeRS66Ko/edit?usp=share_link"",""นครราชสีมา!L157"")+IMPORTRANGE(""https://docs.google.com/spreadsheets/d/1_MzZ-2gVPiCW-d2V"&amp;"cafoCmFJQTSrZ6SQyFcMqRRQQ2w/edit?usp=share_link"",""บึงกาฬ!L157"")
+IMPORTRANGE(""https://docs.google.com/spreadsheets/d/1B3lPpzOuaNwVItLwLEZYl_qEblfcx7dRnbRkAw0l-pE/edit?usp=share_link"",""บุรีรัมย์!L157"")+IMPORTRANGE(""https://docs.google.com/spreadshe"&amp;"ets/d/19GOkiOqnzYbevLYWrMk4qFOXe3rX14BkSA8X-mq-a40/edit?usp=share_link"",""มหาสารคาม!L157"")+IMPORTRANGE(""https://docs.google.com/spreadsheets/d/1uMKqWwuNQ-TCKboGA3Bb1qXb5uj2-faACNUINCz8PN4/edit?usp=share_link"",""มุกดาหาร!L157"")+IMPORTRANGE(""https://d"&amp;"ocs.google.com/spreadsheets/d/1oKaccgDdQABndOzGr688Dbfxb_V3YcF67VqEPBtdzsc/edit?usp=share_link"",""ยโสธร!L157"")+IMPORTRANGE(""https://docs.google.com/spreadsheets/d/1BRgc8xKpxZ0PX-gauieMVkV_IOxKSotf0yW8MabGprQ/edit?usp=share_link"",""ร้อยเอ็ด!L157"")+IMP"&amp;"ORTRANGE(""https://docs.google.com/spreadsheets/d/1IdolZc-dfdgMwAm_KZxYJl1sUOcIgnbGQzbWOlddedo/edit?usp=share_link"",""เลย!L157"")+IMPORTRANGE(""https://docs.google.com/spreadsheets/d/1tZ0nmtGuIRCaGAMXHlQU8EpR9LOAJvyKfc4f7EFmE34/edit?usp=share_link"",""ศร"&amp;"ีสะเกษ!L157"")+IMPORTRANGE(""https://docs.google.com/spreadsheets/d/1QC8psz9w0f9IVE9Xuc2FT_btkaOzZbbUSgYObpBuetM/edit?usp=share_link"",""สกลนคร!L157"")+IMPORTRANGE(""https://docs.google.com/spreadsheets/d/1wPdvRbu02d33MYVlbsCnyTiZpefEBs9NNktAnT1HZvw/edit?"&amp;"usp=share_link"",""สุรินทร์!L157"")+IMPORTRANGE(""https://docs.google.com/spreadsheets/d/1GVExpf-Exi_2gmuqTYH28fseTB9MoKPXWcXCbSt_YrM/edit?usp=share_link"",""หนองคาย!L157"")+IMPORTRANGE(""https://docs.google.com/spreadsheets/d/16UeMz0UgOB5BZcoxP75eYGcLFtG"&amp;"YRn9GoesD4OX9m5U/edit?usp=share_link"",""หนองบัวลำภู!L157"")+IMPORTRANGE(""https://docs.google.com/spreadsheets/d/1uUP8Zo1-qaJLuIkRU0qlwLSE3DHkbdrrj2JGJiWBQZE/edit?usp=share_link"",""อำนาจเจริญ!L157"")+IMPORTRANGE(""https://docs.google.com/spreadsheets/d/"&amp;"1hb_taSOHanzRjqfzWPiFo8yiT83VV1L7vvUCLhOiHKc/edit?usp=share_link"",""อุดรธานี!L157"")+IMPORTRANGE(""https://docs.google.com/spreadsheets/d/17IOkEwkUd63EGNfyNDnM5de9YlZ7rwzTiW6-dokVjKI/edit?usp=share_link"",""อุบลราชธานี!L157"")
"),0)</f>
        <v>0</v>
      </c>
      <c r="M157" s="45">
        <f ca="1">IFERROR(__xludf.DUMMYFUNCTION("IMPORTRANGE(""https://docs.google.com/spreadsheets/d/1fb2B9NLcpJgjIieIJvenUTNPn0TimZDUi0OtYeiSQ_s/edit?usp=share_link"",""กาฬสินธุ์!M157"")+IMPORTRANGE(""https://docs.google.com/spreadsheets/d/1SaMnqrwRGmFYNR0MhpWmHuL5niYUd5E7vDq8X7whAlI/edit?usp=share_li"&amp;"nk"",""ขอนแก่น!M157"")
+IMPORTRANGE(""https://docs.google.com/spreadsheets/d/1xQzEtGHhTTgxHh6YUkKY1P4dRyjVhS74dGswLfAASA4/edit?usp=share_link"",""ชัยภูมิ!M157"")+IMPORTRANGE(""https://docs.google.com/spreadsheets/d/1EXMBoBxU3OFbjT2TRpneM33qFjqDzrKmn9ydcfl"&amp;"fI0o/edit?usp=share_link"",""นครพนม!M157"")+IMPORTRANGE(""https://docs.google.com/spreadsheets/d/1bDQrolntRWtHumK8W-x-HXKntwxB9S3sF5aDeRS66Ko/edit?usp=share_link"",""นครราชสีมา!M157"")+IMPORTRANGE(""https://docs.google.com/spreadsheets/d/1_MzZ-2gVPiCW-d2V"&amp;"cafoCmFJQTSrZ6SQyFcMqRRQQ2w/edit?usp=share_link"",""บึงกาฬ!M157"")
+IMPORTRANGE(""https://docs.google.com/spreadsheets/d/1B3lPpzOuaNwVItLwLEZYl_qEblfcx7dRnbRkAw0l-pE/edit?usp=share_link"",""บุรีรัมย์!M157"")+IMPORTRANGE(""https://docs.google.com/spreadshe"&amp;"ets/d/19GOkiOqnzYbevLYWrMk4qFOXe3rX14BkSA8X-mq-a40/edit?usp=share_link"",""มหาสารคาม!M157"")+IMPORTRANGE(""https://docs.google.com/spreadsheets/d/1uMKqWwuNQ-TCKboGA3Bb1qXb5uj2-faACNUINCz8PN4/edit?usp=share_link"",""มุกดาหาร!M157"")+IMPORTRANGE(""https://d"&amp;"ocs.google.com/spreadsheets/d/1oKaccgDdQABndOzGr688Dbfxb_V3YcF67VqEPBtdzsc/edit?usp=share_link"",""ยโสธร!M157"")+IMPORTRANGE(""https://docs.google.com/spreadsheets/d/1BRgc8xKpxZ0PX-gauieMVkV_IOxKSotf0yW8MabGprQ/edit?usp=share_link"",""ร้อยเอ็ด!M157"")+IMP"&amp;"ORTRANGE(""https://docs.google.com/spreadsheets/d/1IdolZc-dfdgMwAm_KZxYJl1sUOcIgnbGQzbWOlddedo/edit?usp=share_link"",""เลย!M157"")+IMPORTRANGE(""https://docs.google.com/spreadsheets/d/1tZ0nmtGuIRCaGAMXHlQU8EpR9LOAJvyKfc4f7EFmE34/edit?usp=share_link"",""ศร"&amp;"ีสะเกษ!M157"")+IMPORTRANGE(""https://docs.google.com/spreadsheets/d/1QC8psz9w0f9IVE9Xuc2FT_btkaOzZbbUSgYObpBuetM/edit?usp=share_link"",""สกลนคร!M157"")+IMPORTRANGE(""https://docs.google.com/spreadsheets/d/1wPdvRbu02d33MYVlbsCnyTiZpefEBs9NNktAnT1HZvw/edit?"&amp;"usp=share_link"",""สุรินทร์!M157"")+IMPORTRANGE(""https://docs.google.com/spreadsheets/d/1GVExpf-Exi_2gmuqTYH28fseTB9MoKPXWcXCbSt_YrM/edit?usp=share_link"",""หนองคาย!M157"")+IMPORTRANGE(""https://docs.google.com/spreadsheets/d/16UeMz0UgOB5BZcoxP75eYGcLFtG"&amp;"YRn9GoesD4OX9m5U/edit?usp=share_link"",""หนองบัวลำภู!M157"")+IMPORTRANGE(""https://docs.google.com/spreadsheets/d/1uUP8Zo1-qaJLuIkRU0qlwLSE3DHkbdrrj2JGJiWBQZE/edit?usp=share_link"",""อำนาจเจริญ!M157"")+IMPORTRANGE(""https://docs.google.com/spreadsheets/d/"&amp;"1hb_taSOHanzRjqfzWPiFo8yiT83VV1L7vvUCLhOiHKc/edit?usp=share_link"",""อุดรธานี!M157"")+IMPORTRANGE(""https://docs.google.com/spreadsheets/d/17IOkEwkUd63EGNfyNDnM5de9YlZ7rwzTiW6-dokVjKI/edit?usp=share_link"",""อุบลราชธานี!M157"")
"),0)</f>
        <v>0</v>
      </c>
      <c r="N157" s="45">
        <f ca="1">IFERROR(__xludf.DUMMYFUNCTION("IMPORTRANGE(""https://docs.google.com/spreadsheets/d/1fb2B9NLcpJgjIieIJvenUTNPn0TimZDUi0OtYeiSQ_s/edit?usp=share_link"",""กาฬสินธุ์!N157"")+IMPORTRANGE(""https://docs.google.com/spreadsheets/d/1SaMnqrwRGmFYNR0MhpWmHuL5niYUd5E7vDq8X7whAlI/edit?usp=share_li"&amp;"nk"",""ขอนแก่น!N157"")
+IMPORTRANGE(""https://docs.google.com/spreadsheets/d/1xQzEtGHhTTgxHh6YUkKY1P4dRyjVhS74dGswLfAASA4/edit?usp=share_link"",""ชัยภูมิ!N157"")+IMPORTRANGE(""https://docs.google.com/spreadsheets/d/1EXMBoBxU3OFbjT2TRpneM33qFjqDzrKmn9ydcfl"&amp;"fI0o/edit?usp=share_link"",""นครพนม!N157"")+IMPORTRANGE(""https://docs.google.com/spreadsheets/d/1bDQrolntRWtHumK8W-x-HXKntwxB9S3sF5aDeRS66Ko/edit?usp=share_link"",""นครราชสีมา!N157"")+IMPORTRANGE(""https://docs.google.com/spreadsheets/d/1_MzZ-2gVPiCW-d2V"&amp;"cafoCmFJQTSrZ6SQyFcMqRRQQ2w/edit?usp=share_link"",""บึงกาฬ!N157"")
+IMPORTRANGE(""https://docs.google.com/spreadsheets/d/1B3lPpzOuaNwVItLwLEZYl_qEblfcx7dRnbRkAw0l-pE/edit?usp=share_link"",""บุรีรัมย์!N157"")+IMPORTRANGE(""https://docs.google.com/spreadshe"&amp;"ets/d/19GOkiOqnzYbevLYWrMk4qFOXe3rX14BkSA8X-mq-a40/edit?usp=share_link"",""มหาสารคาม!N157"")+IMPORTRANGE(""https://docs.google.com/spreadsheets/d/1uMKqWwuNQ-TCKboGA3Bb1qXb5uj2-faACNUINCz8PN4/edit?usp=share_link"",""มุกดาหาร!N157"")+IMPORTRANGE(""https://d"&amp;"ocs.google.com/spreadsheets/d/1oKaccgDdQABndOzGr688Dbfxb_V3YcF67VqEPBtdzsc/edit?usp=share_link"",""ยโสธร!N157"")+IMPORTRANGE(""https://docs.google.com/spreadsheets/d/1BRgc8xKpxZ0PX-gauieMVkV_IOxKSotf0yW8MabGprQ/edit?usp=share_link"",""ร้อยเอ็ด!N157"")+IMP"&amp;"ORTRANGE(""https://docs.google.com/spreadsheets/d/1IdolZc-dfdgMwAm_KZxYJl1sUOcIgnbGQzbWOlddedo/edit?usp=share_link"",""เลย!N157"")+IMPORTRANGE(""https://docs.google.com/spreadsheets/d/1tZ0nmtGuIRCaGAMXHlQU8EpR9LOAJvyKfc4f7EFmE34/edit?usp=share_link"",""ศร"&amp;"ีสะเกษ!N157"")+IMPORTRANGE(""https://docs.google.com/spreadsheets/d/1QC8psz9w0f9IVE9Xuc2FT_btkaOzZbbUSgYObpBuetM/edit?usp=share_link"",""สกลนคร!N157"")+IMPORTRANGE(""https://docs.google.com/spreadsheets/d/1wPdvRbu02d33MYVlbsCnyTiZpefEBs9NNktAnT1HZvw/edit?"&amp;"usp=share_link"",""สุรินทร์!N157"")+IMPORTRANGE(""https://docs.google.com/spreadsheets/d/1GVExpf-Exi_2gmuqTYH28fseTB9MoKPXWcXCbSt_YrM/edit?usp=share_link"",""หนองคาย!N157"")+IMPORTRANGE(""https://docs.google.com/spreadsheets/d/16UeMz0UgOB5BZcoxP75eYGcLFtG"&amp;"YRn9GoesD4OX9m5U/edit?usp=share_link"",""หนองบัวลำภู!N157"")+IMPORTRANGE(""https://docs.google.com/spreadsheets/d/1uUP8Zo1-qaJLuIkRU0qlwLSE3DHkbdrrj2JGJiWBQZE/edit?usp=share_link"",""อำนาจเจริญ!N157"")+IMPORTRANGE(""https://docs.google.com/spreadsheets/d/"&amp;"1hb_taSOHanzRjqfzWPiFo8yiT83VV1L7vvUCLhOiHKc/edit?usp=share_link"",""อุดรธานี!N157"")+IMPORTRANGE(""https://docs.google.com/spreadsheets/d/17IOkEwkUd63EGNfyNDnM5de9YlZ7rwzTiW6-dokVjKI/edit?usp=share_link"",""อุบลราชธานี!N157"")
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fb2B9NLcpJgjIieIJvenUTNPn0TimZDUi0OtYeiSQ_s/edit?usp=share_link"",""กาฬสินธุ์!I159"")+IMPORTRANGE(""https://docs.google.com/spreadsheets/d/1SaMnqrwRGmFYNR0MhpWmHuL5niYUd5E7vDq8X7whAlI/edit?usp=share_li"&amp;"nk"",""ขอนแก่น!I159"")
+IMPORTRANGE(""https://docs.google.com/spreadsheets/d/1xQzEtGHhTTgxHh6YUkKY1P4dRyjVhS74dGswLfAASA4/edit?usp=share_link"",""ชัยภูมิ!I159"")+IMPORTRANGE(""https://docs.google.com/spreadsheets/d/1EXMBoBxU3OFbjT2TRpneM33qFjqDzrKmn9ydcfl"&amp;"fI0o/edit?usp=share_link"",""นครพนม!I159"")+IMPORTRANGE(""https://docs.google.com/spreadsheets/d/1bDQrolntRWtHumK8W-x-HXKntwxB9S3sF5aDeRS66Ko/edit?usp=share_link"",""นครราชสีมา!I159"")+IMPORTRANGE(""https://docs.google.com/spreadsheets/d/1_MzZ-2gVPiCW-d2V"&amp;"cafoCmFJQTSrZ6SQyFcMqRRQQ2w/edit?usp=share_link"",""บึงกาฬ!I159"")
+IMPORTRANGE(""https://docs.google.com/spreadsheets/d/1B3lPpzOuaNwVItLwLEZYl_qEblfcx7dRnbRkAw0l-pE/edit?usp=share_link"",""บุรีรัมย์!I159"")+IMPORTRANGE(""https://docs.google.com/spreadshe"&amp;"ets/d/19GOkiOqnzYbevLYWrMk4qFOXe3rX14BkSA8X-mq-a40/edit?usp=share_link"",""มหาสารคาม!I159"")+IMPORTRANGE(""https://docs.google.com/spreadsheets/d/1uMKqWwuNQ-TCKboGA3Bb1qXb5uj2-faACNUINCz8PN4/edit?usp=share_link"",""มุกดาหาร!I159"")+IMPORTRANGE(""https://d"&amp;"ocs.google.com/spreadsheets/d/1oKaccgDdQABndOzGr688Dbfxb_V3YcF67VqEPBtdzsc/edit?usp=share_link"",""ยโสธร!I159"")+IMPORTRANGE(""https://docs.google.com/spreadsheets/d/1BRgc8xKpxZ0PX-gauieMVkV_IOxKSotf0yW8MabGprQ/edit?usp=share_link"",""ร้อยเอ็ด!I159"")+IMP"&amp;"ORTRANGE(""https://docs.google.com/spreadsheets/d/1IdolZc-dfdgMwAm_KZxYJl1sUOcIgnbGQzbWOlddedo/edit?usp=share_link"",""เลย!I159"")+IMPORTRANGE(""https://docs.google.com/spreadsheets/d/1tZ0nmtGuIRCaGAMXHlQU8EpR9LOAJvyKfc4f7EFmE34/edit?usp=share_link"",""ศร"&amp;"ีสะเกษ!I159"")+IMPORTRANGE(""https://docs.google.com/spreadsheets/d/1QC8psz9w0f9IVE9Xuc2FT_btkaOzZbbUSgYObpBuetM/edit?usp=share_link"",""สกลนคร!I159"")+IMPORTRANGE(""https://docs.google.com/spreadsheets/d/1wPdvRbu02d33MYVlbsCnyTiZpefEBs9NNktAnT1HZvw/edit?"&amp;"usp=share_link"",""สุรินทร์!I159"")+IMPORTRANGE(""https://docs.google.com/spreadsheets/d/1GVExpf-Exi_2gmuqTYH28fseTB9MoKPXWcXCbSt_YrM/edit?usp=share_link"",""หนองคาย!I159"")+IMPORTRANGE(""https://docs.google.com/spreadsheets/d/16UeMz0UgOB5BZcoxP75eYGcLFtG"&amp;"YRn9GoesD4OX9m5U/edit?usp=share_link"",""หนองบัวลำภู!I159"")+IMPORTRANGE(""https://docs.google.com/spreadsheets/d/1uUP8Zo1-qaJLuIkRU0qlwLSE3DHkbdrrj2JGJiWBQZE/edit?usp=share_link"",""อำนาจเจริญ!I159"")+IMPORTRANGE(""https://docs.google.com/spreadsheets/d/"&amp;"1hb_taSOHanzRjqfzWPiFo8yiT83VV1L7vvUCLhOiHKc/edit?usp=share_link"",""อุดรธานี!I159"")+IMPORTRANGE(""https://docs.google.com/spreadsheets/d/17IOkEwkUd63EGNfyNDnM5de9YlZ7rwzTiW6-dokVjKI/edit?usp=share_link"",""อุบลราชธานี!I159"")
"),130)</f>
        <v>130</v>
      </c>
      <c r="J159" s="183">
        <f ca="1">IFERROR(__xludf.DUMMYFUNCTION("IMPORTRANGE(""https://docs.google.com/spreadsheets/d/1fb2B9NLcpJgjIieIJvenUTNPn0TimZDUi0OtYeiSQ_s/edit?usp=share_link"",""กาฬสินธุ์!J159"")+IMPORTRANGE(""https://docs.google.com/spreadsheets/d/1SaMnqrwRGmFYNR0MhpWmHuL5niYUd5E7vDq8X7whAlI/edit?usp=share_li"&amp;"nk"",""ขอนแก่น!J159"")
+IMPORTRANGE(""https://docs.google.com/spreadsheets/d/1xQzEtGHhTTgxHh6YUkKY1P4dRyjVhS74dGswLfAASA4/edit?usp=share_link"",""ชัยภูมิ!J159"")+IMPORTRANGE(""https://docs.google.com/spreadsheets/d/1EXMBoBxU3OFbjT2TRpneM33qFjqDzrKmn9ydcfl"&amp;"fI0o/edit?usp=share_link"",""นครพนม!J159"")+IMPORTRANGE(""https://docs.google.com/spreadsheets/d/1bDQrolntRWtHumK8W-x-HXKntwxB9S3sF5aDeRS66Ko/edit?usp=share_link"",""นครราชสีมา!J159"")+IMPORTRANGE(""https://docs.google.com/spreadsheets/d/1_MzZ-2gVPiCW-d2V"&amp;"cafoCmFJQTSrZ6SQyFcMqRRQQ2w/edit?usp=share_link"",""บึงกาฬ!J159"")
+IMPORTRANGE(""https://docs.google.com/spreadsheets/d/1B3lPpzOuaNwVItLwLEZYl_qEblfcx7dRnbRkAw0l-pE/edit?usp=share_link"",""บุรีรัมย์!J159"")+IMPORTRANGE(""https://docs.google.com/spreadshe"&amp;"ets/d/19GOkiOqnzYbevLYWrMk4qFOXe3rX14BkSA8X-mq-a40/edit?usp=share_link"",""มหาสารคาม!J159"")+IMPORTRANGE(""https://docs.google.com/spreadsheets/d/1uMKqWwuNQ-TCKboGA3Bb1qXb5uj2-faACNUINCz8PN4/edit?usp=share_link"",""มุกดาหาร!J159"")+IMPORTRANGE(""https://d"&amp;"ocs.google.com/spreadsheets/d/1oKaccgDdQABndOzGr688Dbfxb_V3YcF67VqEPBtdzsc/edit?usp=share_link"",""ยโสธร!J159"")+IMPORTRANGE(""https://docs.google.com/spreadsheets/d/1BRgc8xKpxZ0PX-gauieMVkV_IOxKSotf0yW8MabGprQ/edit?usp=share_link"",""ร้อยเอ็ด!J159"")+IMP"&amp;"ORTRANGE(""https://docs.google.com/spreadsheets/d/1IdolZc-dfdgMwAm_KZxYJl1sUOcIgnbGQzbWOlddedo/edit?usp=share_link"",""เลย!J159"")+IMPORTRANGE(""https://docs.google.com/spreadsheets/d/1tZ0nmtGuIRCaGAMXHlQU8EpR9LOAJvyKfc4f7EFmE34/edit?usp=share_link"",""ศร"&amp;"ีสะเกษ!J159"")+IMPORTRANGE(""https://docs.google.com/spreadsheets/d/1QC8psz9w0f9IVE9Xuc2FT_btkaOzZbbUSgYObpBuetM/edit?usp=share_link"",""สกลนคร!J159"")+IMPORTRANGE(""https://docs.google.com/spreadsheets/d/1wPdvRbu02d33MYVlbsCnyTiZpefEBs9NNktAnT1HZvw/edit?"&amp;"usp=share_link"",""สุรินทร์!J159"")+IMPORTRANGE(""https://docs.google.com/spreadsheets/d/1GVExpf-Exi_2gmuqTYH28fseTB9MoKPXWcXCbSt_YrM/edit?usp=share_link"",""หนองคาย!J159"")+IMPORTRANGE(""https://docs.google.com/spreadsheets/d/16UeMz0UgOB5BZcoxP75eYGcLFtG"&amp;"YRn9GoesD4OX9m5U/edit?usp=share_link"",""หนองบัวลำภู!J159"")+IMPORTRANGE(""https://docs.google.com/spreadsheets/d/1uUP8Zo1-qaJLuIkRU0qlwLSE3DHkbdrrj2JGJiWBQZE/edit?usp=share_link"",""อำนาจเจริญ!J159"")+IMPORTRANGE(""https://docs.google.com/spreadsheets/d/"&amp;"1hb_taSOHanzRjqfzWPiFo8yiT83VV1L7vvUCLhOiHKc/edit?usp=share_link"",""อุดรธานี!J159"")+IMPORTRANGE(""https://docs.google.com/spreadsheets/d/17IOkEwkUd63EGNfyNDnM5de9YlZ7rwzTiW6-dokVjKI/edit?usp=share_link"",""อุบลราชธานี!J159"")
"),130)</f>
        <v>130</v>
      </c>
      <c r="K159" s="38">
        <f ca="1">IF(I159&gt;0,J159*100/I159,0)</f>
        <v>100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212</v>
      </c>
      <c r="J164" s="253">
        <f t="shared" ca="1" si="102"/>
        <v>212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422060</v>
      </c>
      <c r="M165" s="155">
        <f t="shared" ca="1" si="103"/>
        <v>798830</v>
      </c>
      <c r="N165" s="155">
        <f t="shared" ca="1" si="103"/>
        <v>798830</v>
      </c>
      <c r="O165" s="155">
        <f t="shared" ref="O165:O173" ca="1" si="104">IF(L165&gt;0,N165*100/L165,0)</f>
        <v>189.26929820404681</v>
      </c>
      <c r="P165" s="155">
        <f t="shared" ref="P165:P173" ca="1" si="105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422060</v>
      </c>
      <c r="M167" s="45">
        <f t="shared" ca="1" si="107"/>
        <v>798830</v>
      </c>
      <c r="N167" s="45">
        <f t="shared" ca="1" si="107"/>
        <v>798830</v>
      </c>
      <c r="O167" s="45">
        <f t="shared" ca="1" si="104"/>
        <v>189.26929820404681</v>
      </c>
      <c r="P167" s="45">
        <f t="shared" ca="1" si="105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422060</v>
      </c>
      <c r="M168" s="38">
        <f t="shared" ca="1" si="108"/>
        <v>798830</v>
      </c>
      <c r="N168" s="38">
        <f t="shared" ca="1" si="108"/>
        <v>798830</v>
      </c>
      <c r="O168" s="38">
        <f t="shared" ca="1" si="104"/>
        <v>189.26929820404681</v>
      </c>
      <c r="P168" s="38">
        <f t="shared" ca="1" si="105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fb2B9NLcpJgjIieIJvenUTNPn0TimZDUi0OtYeiSQ_s/edit?usp=share_link"",""กาฬสินธุ์!L170"")+IMPORTRANGE(""https://docs.google.com/spreadsheets/d/1SaMnqrwRGmFYNR0MhpWmHuL5niYUd5E7vDq8X7whAlI/edit?usp=share_li"&amp;"nk"",""ขอนแก่น!L170"")
+IMPORTRANGE(""https://docs.google.com/spreadsheets/d/1xQzEtGHhTTgxHh6YUkKY1P4dRyjVhS74dGswLfAASA4/edit?usp=share_link"",""ชัยภูมิ!L170"")+IMPORTRANGE(""https://docs.google.com/spreadsheets/d/1EXMBoBxU3OFbjT2TRpneM33qFjqDzrKmn9ydcfl"&amp;"fI0o/edit?usp=share_link"",""นครพนม!L170"")+IMPORTRANGE(""https://docs.google.com/spreadsheets/d/1bDQrolntRWtHumK8W-x-HXKntwxB9S3sF5aDeRS66Ko/edit?usp=share_link"",""นครราชสีมา!L170"")+IMPORTRANGE(""https://docs.google.com/spreadsheets/d/1_MzZ-2gVPiCW-d2V"&amp;"cafoCmFJQTSrZ6SQyFcMqRRQQ2w/edit?usp=share_link"",""บึงกาฬ!L170"")
+IMPORTRANGE(""https://docs.google.com/spreadsheets/d/1B3lPpzOuaNwVItLwLEZYl_qEblfcx7dRnbRkAw0l-pE/edit?usp=share_link"",""บุรีรัมย์!L170"")+IMPORTRANGE(""https://docs.google.com/spreadshe"&amp;"ets/d/19GOkiOqnzYbevLYWrMk4qFOXe3rX14BkSA8X-mq-a40/edit?usp=share_link"",""มหาสารคาม!L170"")+IMPORTRANGE(""https://docs.google.com/spreadsheets/d/1uMKqWwuNQ-TCKboGA3Bb1qXb5uj2-faACNUINCz8PN4/edit?usp=share_link"",""มุกดาหาร!L170"")+IMPORTRANGE(""https://d"&amp;"ocs.google.com/spreadsheets/d/1oKaccgDdQABndOzGr688Dbfxb_V3YcF67VqEPBtdzsc/edit?usp=share_link"",""ยโสธร!L170"")+IMPORTRANGE(""https://docs.google.com/spreadsheets/d/1BRgc8xKpxZ0PX-gauieMVkV_IOxKSotf0yW8MabGprQ/edit?usp=share_link"",""ร้อยเอ็ด!L170"")+IMP"&amp;"ORTRANGE(""https://docs.google.com/spreadsheets/d/1IdolZc-dfdgMwAm_KZxYJl1sUOcIgnbGQzbWOlddedo/edit?usp=share_link"",""เลย!L170"")+IMPORTRANGE(""https://docs.google.com/spreadsheets/d/1tZ0nmtGuIRCaGAMXHlQU8EpR9LOAJvyKfc4f7EFmE34/edit?usp=share_link"",""ศร"&amp;"ีสะเกษ!L170"")+IMPORTRANGE(""https://docs.google.com/spreadsheets/d/1QC8psz9w0f9IVE9Xuc2FT_btkaOzZbbUSgYObpBuetM/edit?usp=share_link"",""สกลนคร!L170"")+IMPORTRANGE(""https://docs.google.com/spreadsheets/d/1wPdvRbu02d33MYVlbsCnyTiZpefEBs9NNktAnT1HZvw/edit?"&amp;"usp=share_link"",""สุรินทร์!L170"")+IMPORTRANGE(""https://docs.google.com/spreadsheets/d/1GVExpf-Exi_2gmuqTYH28fseTB9MoKPXWcXCbSt_YrM/edit?usp=share_link"",""หนองคาย!L170"")+IMPORTRANGE(""https://docs.google.com/spreadsheets/d/16UeMz0UgOB5BZcoxP75eYGcLFtG"&amp;"YRn9GoesD4OX9m5U/edit?usp=share_link"",""หนองบัวลำภู!L170"")+IMPORTRANGE(""https://docs.google.com/spreadsheets/d/1uUP8Zo1-qaJLuIkRU0qlwLSE3DHkbdrrj2JGJiWBQZE/edit?usp=share_link"",""อำนาจเจริญ!L170"")+IMPORTRANGE(""https://docs.google.com/spreadsheets/d/"&amp;"1hb_taSOHanzRjqfzWPiFo8yiT83VV1L7vvUCLhOiHKc/edit?usp=share_link"",""อุดรธานี!L170"")+IMPORTRANGE(""https://docs.google.com/spreadsheets/d/17IOkEwkUd63EGNfyNDnM5de9YlZ7rwzTiW6-dokVjKI/edit?usp=share_link"",""อุบลราชธานี!L170"")
"),422060)</f>
        <v>422060</v>
      </c>
      <c r="M170" s="45">
        <f ca="1">IFERROR(__xludf.DUMMYFUNCTION("IMPORTRANGE(""https://docs.google.com/spreadsheets/d/1fb2B9NLcpJgjIieIJvenUTNPn0TimZDUi0OtYeiSQ_s/edit?usp=share_link"",""กาฬสินธุ์!M170"")+IMPORTRANGE(""https://docs.google.com/spreadsheets/d/1SaMnqrwRGmFYNR0MhpWmHuL5niYUd5E7vDq8X7whAlI/edit?usp=share_li"&amp;"nk"",""ขอนแก่น!M170"")
+IMPORTRANGE(""https://docs.google.com/spreadsheets/d/1xQzEtGHhTTgxHh6YUkKY1P4dRyjVhS74dGswLfAASA4/edit?usp=share_link"",""ชัยภูมิ!M170"")+IMPORTRANGE(""https://docs.google.com/spreadsheets/d/1EXMBoBxU3OFbjT2TRpneM33qFjqDzrKmn9ydcfl"&amp;"fI0o/edit?usp=share_link"",""นครพนม!M170"")+IMPORTRANGE(""https://docs.google.com/spreadsheets/d/1bDQrolntRWtHumK8W-x-HXKntwxB9S3sF5aDeRS66Ko/edit?usp=share_link"",""นครราชสีมา!M170"")+IMPORTRANGE(""https://docs.google.com/spreadsheets/d/1_MzZ-2gVPiCW-d2V"&amp;"cafoCmFJQTSrZ6SQyFcMqRRQQ2w/edit?usp=share_link"",""บึงกาฬ!M170"")
+IMPORTRANGE(""https://docs.google.com/spreadsheets/d/1B3lPpzOuaNwVItLwLEZYl_qEblfcx7dRnbRkAw0l-pE/edit?usp=share_link"",""บุรีรัมย์!M170"")+IMPORTRANGE(""https://docs.google.com/spreadshe"&amp;"ets/d/19GOkiOqnzYbevLYWrMk4qFOXe3rX14BkSA8X-mq-a40/edit?usp=share_link"",""มหาสารคาม!M170"")+IMPORTRANGE(""https://docs.google.com/spreadsheets/d/1uMKqWwuNQ-TCKboGA3Bb1qXb5uj2-faACNUINCz8PN4/edit?usp=share_link"",""มุกดาหาร!M170"")+IMPORTRANGE(""https://d"&amp;"ocs.google.com/spreadsheets/d/1oKaccgDdQABndOzGr688Dbfxb_V3YcF67VqEPBtdzsc/edit?usp=share_link"",""ยโสธร!M170"")+IMPORTRANGE(""https://docs.google.com/spreadsheets/d/1BRgc8xKpxZ0PX-gauieMVkV_IOxKSotf0yW8MabGprQ/edit?usp=share_link"",""ร้อยเอ็ด!M170"")+IMP"&amp;"ORTRANGE(""https://docs.google.com/spreadsheets/d/1IdolZc-dfdgMwAm_KZxYJl1sUOcIgnbGQzbWOlddedo/edit?usp=share_link"",""เลย!M170"")+IMPORTRANGE(""https://docs.google.com/spreadsheets/d/1tZ0nmtGuIRCaGAMXHlQU8EpR9LOAJvyKfc4f7EFmE34/edit?usp=share_link"",""ศร"&amp;"ีสะเกษ!M170"")+IMPORTRANGE(""https://docs.google.com/spreadsheets/d/1QC8psz9w0f9IVE9Xuc2FT_btkaOzZbbUSgYObpBuetM/edit?usp=share_link"",""สกลนคร!M170"")+IMPORTRANGE(""https://docs.google.com/spreadsheets/d/1wPdvRbu02d33MYVlbsCnyTiZpefEBs9NNktAnT1HZvw/edit?"&amp;"usp=share_link"",""สุรินทร์!M170"")+IMPORTRANGE(""https://docs.google.com/spreadsheets/d/1GVExpf-Exi_2gmuqTYH28fseTB9MoKPXWcXCbSt_YrM/edit?usp=share_link"",""หนองคาย!M170"")+IMPORTRANGE(""https://docs.google.com/spreadsheets/d/16UeMz0UgOB5BZcoxP75eYGcLFtG"&amp;"YRn9GoesD4OX9m5U/edit?usp=share_link"",""หนองบัวลำภู!M170"")+IMPORTRANGE(""https://docs.google.com/spreadsheets/d/1uUP8Zo1-qaJLuIkRU0qlwLSE3DHkbdrrj2JGJiWBQZE/edit?usp=share_link"",""อำนาจเจริญ!M170"")+IMPORTRANGE(""https://docs.google.com/spreadsheets/d/"&amp;"1hb_taSOHanzRjqfzWPiFo8yiT83VV1L7vvUCLhOiHKc/edit?usp=share_link"",""อุดรธานี!M170"")+IMPORTRANGE(""https://docs.google.com/spreadsheets/d/17IOkEwkUd63EGNfyNDnM5de9YlZ7rwzTiW6-dokVjKI/edit?usp=share_link"",""อุบลราชธานี!M170"")
"),798830)</f>
        <v>798830</v>
      </c>
      <c r="N170" s="45">
        <f ca="1">IFERROR(__xludf.DUMMYFUNCTION("IMPORTRANGE(""https://docs.google.com/spreadsheets/d/1fb2B9NLcpJgjIieIJvenUTNPn0TimZDUi0OtYeiSQ_s/edit?usp=share_link"",""กาฬสินธุ์!N170"")+IMPORTRANGE(""https://docs.google.com/spreadsheets/d/1SaMnqrwRGmFYNR0MhpWmHuL5niYUd5E7vDq8X7whAlI/edit?usp=share_li"&amp;"nk"",""ขอนแก่น!N170"")
+IMPORTRANGE(""https://docs.google.com/spreadsheets/d/1xQzEtGHhTTgxHh6YUkKY1P4dRyjVhS74dGswLfAASA4/edit?usp=share_link"",""ชัยภูมิ!N170"")+IMPORTRANGE(""https://docs.google.com/spreadsheets/d/1EXMBoBxU3OFbjT2TRpneM33qFjqDzrKmn9ydcfl"&amp;"fI0o/edit?usp=share_link"",""นครพนม!N170"")+IMPORTRANGE(""https://docs.google.com/spreadsheets/d/1bDQrolntRWtHumK8W-x-HXKntwxB9S3sF5aDeRS66Ko/edit?usp=share_link"",""นครราชสีมา!N170"")+IMPORTRANGE(""https://docs.google.com/spreadsheets/d/1_MzZ-2gVPiCW-d2V"&amp;"cafoCmFJQTSrZ6SQyFcMqRRQQ2w/edit?usp=share_link"",""บึงกาฬ!N170"")
+IMPORTRANGE(""https://docs.google.com/spreadsheets/d/1B3lPpzOuaNwVItLwLEZYl_qEblfcx7dRnbRkAw0l-pE/edit?usp=share_link"",""บุรีรัมย์!N170"")+IMPORTRANGE(""https://docs.google.com/spreadshe"&amp;"ets/d/19GOkiOqnzYbevLYWrMk4qFOXe3rX14BkSA8X-mq-a40/edit?usp=share_link"",""มหาสารคาม!N170"")+IMPORTRANGE(""https://docs.google.com/spreadsheets/d/1uMKqWwuNQ-TCKboGA3Bb1qXb5uj2-faACNUINCz8PN4/edit?usp=share_link"",""มุกดาหาร!N170"")+IMPORTRANGE(""https://d"&amp;"ocs.google.com/spreadsheets/d/1oKaccgDdQABndOzGr688Dbfxb_V3YcF67VqEPBtdzsc/edit?usp=share_link"",""ยโสธร!N170"")+IMPORTRANGE(""https://docs.google.com/spreadsheets/d/1BRgc8xKpxZ0PX-gauieMVkV_IOxKSotf0yW8MabGprQ/edit?usp=share_link"",""ร้อยเอ็ด!N170"")+IMP"&amp;"ORTRANGE(""https://docs.google.com/spreadsheets/d/1IdolZc-dfdgMwAm_KZxYJl1sUOcIgnbGQzbWOlddedo/edit?usp=share_link"",""เลย!N170"")+IMPORTRANGE(""https://docs.google.com/spreadsheets/d/1tZ0nmtGuIRCaGAMXHlQU8EpR9LOAJvyKfc4f7EFmE34/edit?usp=share_link"",""ศร"&amp;"ีสะเกษ!N170"")+IMPORTRANGE(""https://docs.google.com/spreadsheets/d/1QC8psz9w0f9IVE9Xuc2FT_btkaOzZbbUSgYObpBuetM/edit?usp=share_link"",""สกลนคร!N170"")+IMPORTRANGE(""https://docs.google.com/spreadsheets/d/1wPdvRbu02d33MYVlbsCnyTiZpefEBs9NNktAnT1HZvw/edit?"&amp;"usp=share_link"",""สุรินทร์!N170"")+IMPORTRANGE(""https://docs.google.com/spreadsheets/d/1GVExpf-Exi_2gmuqTYH28fseTB9MoKPXWcXCbSt_YrM/edit?usp=share_link"",""หนองคาย!N170"")+IMPORTRANGE(""https://docs.google.com/spreadsheets/d/16UeMz0UgOB5BZcoxP75eYGcLFtG"&amp;"YRn9GoesD4OX9m5U/edit?usp=share_link"",""หนองบัวลำภู!N170"")+IMPORTRANGE(""https://docs.google.com/spreadsheets/d/1uUP8Zo1-qaJLuIkRU0qlwLSE3DHkbdrrj2JGJiWBQZE/edit?usp=share_link"",""อำนาจเจริญ!N170"")+IMPORTRANGE(""https://docs.google.com/spreadsheets/d/"&amp;"1hb_taSOHanzRjqfzWPiFo8yiT83VV1L7vvUCLhOiHKc/edit?usp=share_link"",""อุดรธานี!N170"")+IMPORTRANGE(""https://docs.google.com/spreadsheets/d/17IOkEwkUd63EGNfyNDnM5de9YlZ7rwzTiW6-dokVjKI/edit?usp=share_link"",""อุบลราชธานี!N170"")
"),798830)</f>
        <v>798830</v>
      </c>
      <c r="O170" s="45">
        <f t="shared" ca="1" si="104"/>
        <v>189.26929820404681</v>
      </c>
      <c r="P170" s="45">
        <f t="shared" ca="1" si="105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fb2B9NLcpJgjIieIJvenUTNPn0TimZDUi0OtYeiSQ_s/edit?usp=share_link"",""กาฬสินธุ์!L173"")+IMPORTRANGE(""https://docs.google.com/spreadsheets/d/1SaMnqrwRGmFYNR0MhpWmHuL5niYUd5E7vDq8X7whAlI/edit?usp=share_li"&amp;"nk"",""ขอนแก่น!L173"")
+IMPORTRANGE(""https://docs.google.com/spreadsheets/d/1xQzEtGHhTTgxHh6YUkKY1P4dRyjVhS74dGswLfAASA4/edit?usp=share_link"",""ชัยภูมิ!L173"")+IMPORTRANGE(""https://docs.google.com/spreadsheets/d/1EXMBoBxU3OFbjT2TRpneM33qFjqDzrKmn9ydcfl"&amp;"fI0o/edit?usp=share_link"",""นครพนม!L173"")+IMPORTRANGE(""https://docs.google.com/spreadsheets/d/1bDQrolntRWtHumK8W-x-HXKntwxB9S3sF5aDeRS66Ko/edit?usp=share_link"",""นครราชสีมา!L173"")+IMPORTRANGE(""https://docs.google.com/spreadsheets/d/1_MzZ-2gVPiCW-d2V"&amp;"cafoCmFJQTSrZ6SQyFcMqRRQQ2w/edit?usp=share_link"",""บึงกาฬ!L173"")
+IMPORTRANGE(""https://docs.google.com/spreadsheets/d/1B3lPpzOuaNwVItLwLEZYl_qEblfcx7dRnbRkAw0l-pE/edit?usp=share_link"",""บุรีรัมย์!L173"")+IMPORTRANGE(""https://docs.google.com/spreadshe"&amp;"ets/d/19GOkiOqnzYbevLYWrMk4qFOXe3rX14BkSA8X-mq-a40/edit?usp=share_link"",""มหาสารคาม!L173"")+IMPORTRANGE(""https://docs.google.com/spreadsheets/d/1uMKqWwuNQ-TCKboGA3Bb1qXb5uj2-faACNUINCz8PN4/edit?usp=share_link"",""มุกดาหาร!L173"")+IMPORTRANGE(""https://d"&amp;"ocs.google.com/spreadsheets/d/1oKaccgDdQABndOzGr688Dbfxb_V3YcF67VqEPBtdzsc/edit?usp=share_link"",""ยโสธร!L173"")+IMPORTRANGE(""https://docs.google.com/spreadsheets/d/1BRgc8xKpxZ0PX-gauieMVkV_IOxKSotf0yW8MabGprQ/edit?usp=share_link"",""ร้อยเอ็ด!L173"")+IMP"&amp;"ORTRANGE(""https://docs.google.com/spreadsheets/d/1IdolZc-dfdgMwAm_KZxYJl1sUOcIgnbGQzbWOlddedo/edit?usp=share_link"",""เลย!L173"")+IMPORTRANGE(""https://docs.google.com/spreadsheets/d/1tZ0nmtGuIRCaGAMXHlQU8EpR9LOAJvyKfc4f7EFmE34/edit?usp=share_link"",""ศร"&amp;"ีสะเกษ!L173"")+IMPORTRANGE(""https://docs.google.com/spreadsheets/d/1QC8psz9w0f9IVE9Xuc2FT_btkaOzZbbUSgYObpBuetM/edit?usp=share_link"",""สกลนคร!L173"")+IMPORTRANGE(""https://docs.google.com/spreadsheets/d/1wPdvRbu02d33MYVlbsCnyTiZpefEBs9NNktAnT1HZvw/edit?"&amp;"usp=share_link"",""สุรินทร์!L173"")+IMPORTRANGE(""https://docs.google.com/spreadsheets/d/1GVExpf-Exi_2gmuqTYH28fseTB9MoKPXWcXCbSt_YrM/edit?usp=share_link"",""หนองคาย!L173"")+IMPORTRANGE(""https://docs.google.com/spreadsheets/d/16UeMz0UgOB5BZcoxP75eYGcLFtG"&amp;"YRn9GoesD4OX9m5U/edit?usp=share_link"",""หนองบัวลำภู!L173"")+IMPORTRANGE(""https://docs.google.com/spreadsheets/d/1uUP8Zo1-qaJLuIkRU0qlwLSE3DHkbdrrj2JGJiWBQZE/edit?usp=share_link"",""อำนาจเจริญ!L173"")+IMPORTRANGE(""https://docs.google.com/spreadsheets/d/"&amp;"1hb_taSOHanzRjqfzWPiFo8yiT83VV1L7vvUCLhOiHKc/edit?usp=share_link"",""อุดรธานี!L173"")+IMPORTRANGE(""https://docs.google.com/spreadsheets/d/17IOkEwkUd63EGNfyNDnM5de9YlZ7rwzTiW6-dokVjKI/edit?usp=share_link"",""อุบลราชธานี!L173"")
"),0)</f>
        <v>0</v>
      </c>
      <c r="M173" s="45">
        <f ca="1">IFERROR(__xludf.DUMMYFUNCTION("IMPORTRANGE(""https://docs.google.com/spreadsheets/d/1fb2B9NLcpJgjIieIJvenUTNPn0TimZDUi0OtYeiSQ_s/edit?usp=share_link"",""กาฬสินธุ์!M173"")+IMPORTRANGE(""https://docs.google.com/spreadsheets/d/1SaMnqrwRGmFYNR0MhpWmHuL5niYUd5E7vDq8X7whAlI/edit?usp=share_li"&amp;"nk"",""ขอนแก่น!M173"")
+IMPORTRANGE(""https://docs.google.com/spreadsheets/d/1xQzEtGHhTTgxHh6YUkKY1P4dRyjVhS74dGswLfAASA4/edit?usp=share_link"",""ชัยภูมิ!M173"")+IMPORTRANGE(""https://docs.google.com/spreadsheets/d/1EXMBoBxU3OFbjT2TRpneM33qFjqDzrKmn9ydcfl"&amp;"fI0o/edit?usp=share_link"",""นครพนม!M173"")+IMPORTRANGE(""https://docs.google.com/spreadsheets/d/1bDQrolntRWtHumK8W-x-HXKntwxB9S3sF5aDeRS66Ko/edit?usp=share_link"",""นครราชสีมา!M173"")+IMPORTRANGE(""https://docs.google.com/spreadsheets/d/1_MzZ-2gVPiCW-d2V"&amp;"cafoCmFJQTSrZ6SQyFcMqRRQQ2w/edit?usp=share_link"",""บึงกาฬ!M173"")
+IMPORTRANGE(""https://docs.google.com/spreadsheets/d/1B3lPpzOuaNwVItLwLEZYl_qEblfcx7dRnbRkAw0l-pE/edit?usp=share_link"",""บุรีรัมย์!M173"")+IMPORTRANGE(""https://docs.google.com/spreadshe"&amp;"ets/d/19GOkiOqnzYbevLYWrMk4qFOXe3rX14BkSA8X-mq-a40/edit?usp=share_link"",""มหาสารคาม!M173"")+IMPORTRANGE(""https://docs.google.com/spreadsheets/d/1uMKqWwuNQ-TCKboGA3Bb1qXb5uj2-faACNUINCz8PN4/edit?usp=share_link"",""มุกดาหาร!M173"")+IMPORTRANGE(""https://d"&amp;"ocs.google.com/spreadsheets/d/1oKaccgDdQABndOzGr688Dbfxb_V3YcF67VqEPBtdzsc/edit?usp=share_link"",""ยโสธร!M173"")+IMPORTRANGE(""https://docs.google.com/spreadsheets/d/1BRgc8xKpxZ0PX-gauieMVkV_IOxKSotf0yW8MabGprQ/edit?usp=share_link"",""ร้อยเอ็ด!M173"")+IMP"&amp;"ORTRANGE(""https://docs.google.com/spreadsheets/d/1IdolZc-dfdgMwAm_KZxYJl1sUOcIgnbGQzbWOlddedo/edit?usp=share_link"",""เลย!M173"")+IMPORTRANGE(""https://docs.google.com/spreadsheets/d/1tZ0nmtGuIRCaGAMXHlQU8EpR9LOAJvyKfc4f7EFmE34/edit?usp=share_link"",""ศร"&amp;"ีสะเกษ!M173"")+IMPORTRANGE(""https://docs.google.com/spreadsheets/d/1QC8psz9w0f9IVE9Xuc2FT_btkaOzZbbUSgYObpBuetM/edit?usp=share_link"",""สกลนคร!M173"")+IMPORTRANGE(""https://docs.google.com/spreadsheets/d/1wPdvRbu02d33MYVlbsCnyTiZpefEBs9NNktAnT1HZvw/edit?"&amp;"usp=share_link"",""สุรินทร์!M173"")+IMPORTRANGE(""https://docs.google.com/spreadsheets/d/1GVExpf-Exi_2gmuqTYH28fseTB9MoKPXWcXCbSt_YrM/edit?usp=share_link"",""หนองคาย!M173"")+IMPORTRANGE(""https://docs.google.com/spreadsheets/d/16UeMz0UgOB5BZcoxP75eYGcLFtG"&amp;"YRn9GoesD4OX9m5U/edit?usp=share_link"",""หนองบัวลำภู!M173"")+IMPORTRANGE(""https://docs.google.com/spreadsheets/d/1uUP8Zo1-qaJLuIkRU0qlwLSE3DHkbdrrj2JGJiWBQZE/edit?usp=share_link"",""อำนาจเจริญ!M173"")+IMPORTRANGE(""https://docs.google.com/spreadsheets/d/"&amp;"1hb_taSOHanzRjqfzWPiFo8yiT83VV1L7vvUCLhOiHKc/edit?usp=share_link"",""อุดรธานี!M173"")+IMPORTRANGE(""https://docs.google.com/spreadsheets/d/17IOkEwkUd63EGNfyNDnM5de9YlZ7rwzTiW6-dokVjKI/edit?usp=share_link"",""อุบลราชธานี!M173"")
"),0)</f>
        <v>0</v>
      </c>
      <c r="N173" s="45">
        <f ca="1">IFERROR(__xludf.DUMMYFUNCTION("IMPORTRANGE(""https://docs.google.com/spreadsheets/d/1fb2B9NLcpJgjIieIJvenUTNPn0TimZDUi0OtYeiSQ_s/edit?usp=share_link"",""กาฬสินธุ์!N173"")+IMPORTRANGE(""https://docs.google.com/spreadsheets/d/1SaMnqrwRGmFYNR0MhpWmHuL5niYUd5E7vDq8X7whAlI/edit?usp=share_li"&amp;"nk"",""ขอนแก่น!N173"")
+IMPORTRANGE(""https://docs.google.com/spreadsheets/d/1xQzEtGHhTTgxHh6YUkKY1P4dRyjVhS74dGswLfAASA4/edit?usp=share_link"",""ชัยภูมิ!N173"")+IMPORTRANGE(""https://docs.google.com/spreadsheets/d/1EXMBoBxU3OFbjT2TRpneM33qFjqDzrKmn9ydcfl"&amp;"fI0o/edit?usp=share_link"",""นครพนม!N173"")+IMPORTRANGE(""https://docs.google.com/spreadsheets/d/1bDQrolntRWtHumK8W-x-HXKntwxB9S3sF5aDeRS66Ko/edit?usp=share_link"",""นครราชสีมา!N173"")+IMPORTRANGE(""https://docs.google.com/spreadsheets/d/1_MzZ-2gVPiCW-d2V"&amp;"cafoCmFJQTSrZ6SQyFcMqRRQQ2w/edit?usp=share_link"",""บึงกาฬ!N173"")
+IMPORTRANGE(""https://docs.google.com/spreadsheets/d/1B3lPpzOuaNwVItLwLEZYl_qEblfcx7dRnbRkAw0l-pE/edit?usp=share_link"",""บุรีรัมย์!N173"")+IMPORTRANGE(""https://docs.google.com/spreadshe"&amp;"ets/d/19GOkiOqnzYbevLYWrMk4qFOXe3rX14BkSA8X-mq-a40/edit?usp=share_link"",""มหาสารคาม!N173"")+IMPORTRANGE(""https://docs.google.com/spreadsheets/d/1uMKqWwuNQ-TCKboGA3Bb1qXb5uj2-faACNUINCz8PN4/edit?usp=share_link"",""มุกดาหาร!N173"")+IMPORTRANGE(""https://d"&amp;"ocs.google.com/spreadsheets/d/1oKaccgDdQABndOzGr688Dbfxb_V3YcF67VqEPBtdzsc/edit?usp=share_link"",""ยโสธร!N173"")+IMPORTRANGE(""https://docs.google.com/spreadsheets/d/1BRgc8xKpxZ0PX-gauieMVkV_IOxKSotf0yW8MabGprQ/edit?usp=share_link"",""ร้อยเอ็ด!N173"")+IMP"&amp;"ORTRANGE(""https://docs.google.com/spreadsheets/d/1IdolZc-dfdgMwAm_KZxYJl1sUOcIgnbGQzbWOlddedo/edit?usp=share_link"",""เลย!N173"")+IMPORTRANGE(""https://docs.google.com/spreadsheets/d/1tZ0nmtGuIRCaGAMXHlQU8EpR9LOAJvyKfc4f7EFmE34/edit?usp=share_link"",""ศร"&amp;"ีสะเกษ!N173"")+IMPORTRANGE(""https://docs.google.com/spreadsheets/d/1QC8psz9w0f9IVE9Xuc2FT_btkaOzZbbUSgYObpBuetM/edit?usp=share_link"",""สกลนคร!N173"")+IMPORTRANGE(""https://docs.google.com/spreadsheets/d/1wPdvRbu02d33MYVlbsCnyTiZpefEBs9NNktAnT1HZvw/edit?"&amp;"usp=share_link"",""สุรินทร์!N173"")+IMPORTRANGE(""https://docs.google.com/spreadsheets/d/1GVExpf-Exi_2gmuqTYH28fseTB9MoKPXWcXCbSt_YrM/edit?usp=share_link"",""หนองคาย!N173"")+IMPORTRANGE(""https://docs.google.com/spreadsheets/d/16UeMz0UgOB5BZcoxP75eYGcLFtG"&amp;"YRn9GoesD4OX9m5U/edit?usp=share_link"",""หนองบัวลำภู!N173"")+IMPORTRANGE(""https://docs.google.com/spreadsheets/d/1uUP8Zo1-qaJLuIkRU0qlwLSE3DHkbdrrj2JGJiWBQZE/edit?usp=share_link"",""อำนาจเจริญ!N173"")+IMPORTRANGE(""https://docs.google.com/spreadsheets/d/"&amp;"1hb_taSOHanzRjqfzWPiFo8yiT83VV1L7vvUCLhOiHKc/edit?usp=share_link"",""อุดรธานี!N173"")+IMPORTRANGE(""https://docs.google.com/spreadsheets/d/17IOkEwkUd63EGNfyNDnM5de9YlZ7rwzTiW6-dokVjKI/edit?usp=share_link"",""อุบลราชธานี!N173"")
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212</v>
      </c>
      <c r="J174" s="261">
        <f t="shared" ca="1" si="110"/>
        <v>212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fb2B9NLcpJgjIieIJvenUTNPn0TimZDUi0OtYeiSQ_s/edit?usp=share_link"",""กาฬสินธุ์!I176"")+IMPORTRANGE(""https://docs.google.com/spreadsheets/d/1SaMnqrwRGmFYNR0MhpWmHuL5niYUd5E7vDq8X7whAlI/edit?usp=share_li"&amp;"nk"",""ขอนแก่น!I176"")
+IMPORTRANGE(""https://docs.google.com/spreadsheets/d/1xQzEtGHhTTgxHh6YUkKY1P4dRyjVhS74dGswLfAASA4/edit?usp=share_link"",""ชัยภูมิ!I176"")+IMPORTRANGE(""https://docs.google.com/spreadsheets/d/1EXMBoBxU3OFbjT2TRpneM33qFjqDzrKmn9ydcfl"&amp;"fI0o/edit?usp=share_link"",""นครพนม!I176"")+IMPORTRANGE(""https://docs.google.com/spreadsheets/d/1bDQrolntRWtHumK8W-x-HXKntwxB9S3sF5aDeRS66Ko/edit?usp=share_link"",""นครราชสีมา!I176"")+IMPORTRANGE(""https://docs.google.com/spreadsheets/d/1_MzZ-2gVPiCW-d2V"&amp;"cafoCmFJQTSrZ6SQyFcMqRRQQ2w/edit?usp=share_link"",""บึงกาฬ!I176"")
+IMPORTRANGE(""https://docs.google.com/spreadsheets/d/1B3lPpzOuaNwVItLwLEZYl_qEblfcx7dRnbRkAw0l-pE/edit?usp=share_link"",""บุรีรัมย์!I176"")+IMPORTRANGE(""https://docs.google.com/spreadshe"&amp;"ets/d/19GOkiOqnzYbevLYWrMk4qFOXe3rX14BkSA8X-mq-a40/edit?usp=share_link"",""มหาสารคาม!I176"")+IMPORTRANGE(""https://docs.google.com/spreadsheets/d/1uMKqWwuNQ-TCKboGA3Bb1qXb5uj2-faACNUINCz8PN4/edit?usp=share_link"",""มุกดาหาร!I176"")+IMPORTRANGE(""https://d"&amp;"ocs.google.com/spreadsheets/d/1oKaccgDdQABndOzGr688Dbfxb_V3YcF67VqEPBtdzsc/edit?usp=share_link"",""ยโสธร!I176"")+IMPORTRANGE(""https://docs.google.com/spreadsheets/d/1BRgc8xKpxZ0PX-gauieMVkV_IOxKSotf0yW8MabGprQ/edit?usp=share_link"",""ร้อยเอ็ด!I176"")+IMP"&amp;"ORTRANGE(""https://docs.google.com/spreadsheets/d/1IdolZc-dfdgMwAm_KZxYJl1sUOcIgnbGQzbWOlddedo/edit?usp=share_link"",""เลย!I176"")+IMPORTRANGE(""https://docs.google.com/spreadsheets/d/1tZ0nmtGuIRCaGAMXHlQU8EpR9LOAJvyKfc4f7EFmE34/edit?usp=share_link"",""ศร"&amp;"ีสะเกษ!I176"")+IMPORTRANGE(""https://docs.google.com/spreadsheets/d/1QC8psz9w0f9IVE9Xuc2FT_btkaOzZbbUSgYObpBuetM/edit?usp=share_link"",""สกลนคร!I176"")+IMPORTRANGE(""https://docs.google.com/spreadsheets/d/1wPdvRbu02d33MYVlbsCnyTiZpefEBs9NNktAnT1HZvw/edit?"&amp;"usp=share_link"",""สุรินทร์!I176"")+IMPORTRANGE(""https://docs.google.com/spreadsheets/d/1GVExpf-Exi_2gmuqTYH28fseTB9MoKPXWcXCbSt_YrM/edit?usp=share_link"",""หนองคาย!I176"")+IMPORTRANGE(""https://docs.google.com/spreadsheets/d/16UeMz0UgOB5BZcoxP75eYGcLFtG"&amp;"YRn9GoesD4OX9m5U/edit?usp=share_link"",""หนองบัวลำภู!I176"")+IMPORTRANGE(""https://docs.google.com/spreadsheets/d/1uUP8Zo1-qaJLuIkRU0qlwLSE3DHkbdrrj2JGJiWBQZE/edit?usp=share_link"",""อำนาจเจริญ!I176"")+IMPORTRANGE(""https://docs.google.com/spreadsheets/d/"&amp;"1hb_taSOHanzRjqfzWPiFo8yiT83VV1L7vvUCLhOiHKc/edit?usp=share_link"",""อุดรธานี!I176"")+IMPORTRANGE(""https://docs.google.com/spreadsheets/d/17IOkEwkUd63EGNfyNDnM5de9YlZ7rwzTiW6-dokVjKI/edit?usp=share_link"",""อุบลราชธานี!I176"")
"),212)</f>
        <v>212</v>
      </c>
      <c r="J176" s="183">
        <f ca="1">IFERROR(__xludf.DUMMYFUNCTION("IMPORTRANGE(""https://docs.google.com/spreadsheets/d/1fb2B9NLcpJgjIieIJvenUTNPn0TimZDUi0OtYeiSQ_s/edit?usp=share_link"",""กาฬสินธุ์!J176"")+IMPORTRANGE(""https://docs.google.com/spreadsheets/d/1SaMnqrwRGmFYNR0MhpWmHuL5niYUd5E7vDq8X7whAlI/edit?usp=share_li"&amp;"nk"",""ขอนแก่น!J176"")
+IMPORTRANGE(""https://docs.google.com/spreadsheets/d/1xQzEtGHhTTgxHh6YUkKY1P4dRyjVhS74dGswLfAASA4/edit?usp=share_link"",""ชัยภูมิ!J176"")+IMPORTRANGE(""https://docs.google.com/spreadsheets/d/1EXMBoBxU3OFbjT2TRpneM33qFjqDzrKmn9ydcfl"&amp;"fI0o/edit?usp=share_link"",""นครพนม!J176"")+IMPORTRANGE(""https://docs.google.com/spreadsheets/d/1bDQrolntRWtHumK8W-x-HXKntwxB9S3sF5aDeRS66Ko/edit?usp=share_link"",""นครราชสีมา!J176"")+IMPORTRANGE(""https://docs.google.com/spreadsheets/d/1_MzZ-2gVPiCW-d2V"&amp;"cafoCmFJQTSrZ6SQyFcMqRRQQ2w/edit?usp=share_link"",""บึงกาฬ!J176"")
+IMPORTRANGE(""https://docs.google.com/spreadsheets/d/1B3lPpzOuaNwVItLwLEZYl_qEblfcx7dRnbRkAw0l-pE/edit?usp=share_link"",""บุรีรัมย์!J176"")+IMPORTRANGE(""https://docs.google.com/spreadshe"&amp;"ets/d/19GOkiOqnzYbevLYWrMk4qFOXe3rX14BkSA8X-mq-a40/edit?usp=share_link"",""มหาสารคาม!J176"")+IMPORTRANGE(""https://docs.google.com/spreadsheets/d/1uMKqWwuNQ-TCKboGA3Bb1qXb5uj2-faACNUINCz8PN4/edit?usp=share_link"",""มุกดาหาร!J176"")+IMPORTRANGE(""https://d"&amp;"ocs.google.com/spreadsheets/d/1oKaccgDdQABndOzGr688Dbfxb_V3YcF67VqEPBtdzsc/edit?usp=share_link"",""ยโสธร!J176"")+IMPORTRANGE(""https://docs.google.com/spreadsheets/d/1BRgc8xKpxZ0PX-gauieMVkV_IOxKSotf0yW8MabGprQ/edit?usp=share_link"",""ร้อยเอ็ด!J176"")+IMP"&amp;"ORTRANGE(""https://docs.google.com/spreadsheets/d/1IdolZc-dfdgMwAm_KZxYJl1sUOcIgnbGQzbWOlddedo/edit?usp=share_link"",""เลย!J176"")+IMPORTRANGE(""https://docs.google.com/spreadsheets/d/1tZ0nmtGuIRCaGAMXHlQU8EpR9LOAJvyKfc4f7EFmE34/edit?usp=share_link"",""ศร"&amp;"ีสะเกษ!J176"")+IMPORTRANGE(""https://docs.google.com/spreadsheets/d/1QC8psz9w0f9IVE9Xuc2FT_btkaOzZbbUSgYObpBuetM/edit?usp=share_link"",""สกลนคร!J176"")+IMPORTRANGE(""https://docs.google.com/spreadsheets/d/1wPdvRbu02d33MYVlbsCnyTiZpefEBs9NNktAnT1HZvw/edit?"&amp;"usp=share_link"",""สุรินทร์!J176"")+IMPORTRANGE(""https://docs.google.com/spreadsheets/d/1GVExpf-Exi_2gmuqTYH28fseTB9MoKPXWcXCbSt_YrM/edit?usp=share_link"",""หนองคาย!J176"")+IMPORTRANGE(""https://docs.google.com/spreadsheets/d/16UeMz0UgOB5BZcoxP75eYGcLFtG"&amp;"YRn9GoesD4OX9m5U/edit?usp=share_link"",""หนองบัวลำภู!J176"")+IMPORTRANGE(""https://docs.google.com/spreadsheets/d/1uUP8Zo1-qaJLuIkRU0qlwLSE3DHkbdrrj2JGJiWBQZE/edit?usp=share_link"",""อำนาจเจริญ!J176"")+IMPORTRANGE(""https://docs.google.com/spreadsheets/d/"&amp;"1hb_taSOHanzRjqfzWPiFo8yiT83VV1L7vvUCLhOiHKc/edit?usp=share_link"",""อุดรธานี!J176"")+IMPORTRANGE(""https://docs.google.com/spreadsheets/d/17IOkEwkUd63EGNfyNDnM5de9YlZ7rwzTiW6-dokVjKI/edit?usp=share_link"",""อุบลราชธานี!J176"")
"),212)</f>
        <v>212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120</v>
      </c>
      <c r="J180" s="253">
        <f t="shared" ca="1" si="111"/>
        <v>120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3671300</v>
      </c>
      <c r="M181" s="155">
        <f t="shared" ca="1" si="112"/>
        <v>3949820</v>
      </c>
      <c r="N181" s="155">
        <f t="shared" ca="1" si="112"/>
        <v>3949820</v>
      </c>
      <c r="O181" s="155">
        <f t="shared" ref="O181:O189" ca="1" si="113">IF(L181&gt;0,N181*100/L181,0)</f>
        <v>107.5864135319914</v>
      </c>
      <c r="P181" s="155">
        <f t="shared" ref="P181:P189" ca="1" si="11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3671300</v>
      </c>
      <c r="M183" s="45">
        <f t="shared" ca="1" si="116"/>
        <v>3949820</v>
      </c>
      <c r="N183" s="45">
        <f t="shared" ca="1" si="116"/>
        <v>3949820</v>
      </c>
      <c r="O183" s="45">
        <f t="shared" ca="1" si="113"/>
        <v>107.5864135319914</v>
      </c>
      <c r="P183" s="45">
        <f t="shared" ca="1" si="11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3671300</v>
      </c>
      <c r="M184" s="38">
        <f t="shared" ca="1" si="117"/>
        <v>3949820</v>
      </c>
      <c r="N184" s="38">
        <f t="shared" ca="1" si="117"/>
        <v>3949820</v>
      </c>
      <c r="O184" s="38">
        <f t="shared" ca="1" si="113"/>
        <v>107.5864135319914</v>
      </c>
      <c r="P184" s="38">
        <f t="shared" ca="1" si="11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fb2B9NLcpJgjIieIJvenUTNPn0TimZDUi0OtYeiSQ_s/edit?usp=share_link"",""กาฬสินธุ์!L186"")+IMPORTRANGE(""https://docs.google.com/spreadsheets/d/1SaMnqrwRGmFYNR0MhpWmHuL5niYUd5E7vDq8X7whAlI/edit?usp=share_li"&amp;"nk"",""ขอนแก่น!L186"")
+IMPORTRANGE(""https://docs.google.com/spreadsheets/d/1xQzEtGHhTTgxHh6YUkKY1P4dRyjVhS74dGswLfAASA4/edit?usp=share_link"",""ชัยภูมิ!L186"")+IMPORTRANGE(""https://docs.google.com/spreadsheets/d/1EXMBoBxU3OFbjT2TRpneM33qFjqDzrKmn9ydcfl"&amp;"fI0o/edit?usp=share_link"",""นครพนม!L186"")+IMPORTRANGE(""https://docs.google.com/spreadsheets/d/1bDQrolntRWtHumK8W-x-HXKntwxB9S3sF5aDeRS66Ko/edit?usp=share_link"",""นครราชสีมา!L186"")+IMPORTRANGE(""https://docs.google.com/spreadsheets/d/1_MzZ-2gVPiCW-d2V"&amp;"cafoCmFJQTSrZ6SQyFcMqRRQQ2w/edit?usp=share_link"",""บึงกาฬ!L186"")
+IMPORTRANGE(""https://docs.google.com/spreadsheets/d/1B3lPpzOuaNwVItLwLEZYl_qEblfcx7dRnbRkAw0l-pE/edit?usp=share_link"",""บุรีรัมย์!L186"")+IMPORTRANGE(""https://docs.google.com/spreadshe"&amp;"ets/d/19GOkiOqnzYbevLYWrMk4qFOXe3rX14BkSA8X-mq-a40/edit?usp=share_link"",""มหาสารคาม!L186"")+IMPORTRANGE(""https://docs.google.com/spreadsheets/d/1uMKqWwuNQ-TCKboGA3Bb1qXb5uj2-faACNUINCz8PN4/edit?usp=share_link"",""มุกดาหาร!L186"")+IMPORTRANGE(""https://d"&amp;"ocs.google.com/spreadsheets/d/1oKaccgDdQABndOzGr688Dbfxb_V3YcF67VqEPBtdzsc/edit?usp=share_link"",""ยโสธร!L186"")+IMPORTRANGE(""https://docs.google.com/spreadsheets/d/1BRgc8xKpxZ0PX-gauieMVkV_IOxKSotf0yW8MabGprQ/edit?usp=share_link"",""ร้อยเอ็ด!L186"")+IMP"&amp;"ORTRANGE(""https://docs.google.com/spreadsheets/d/1IdolZc-dfdgMwAm_KZxYJl1sUOcIgnbGQzbWOlddedo/edit?usp=share_link"",""เลย!L186"")+IMPORTRANGE(""https://docs.google.com/spreadsheets/d/1tZ0nmtGuIRCaGAMXHlQU8EpR9LOAJvyKfc4f7EFmE34/edit?usp=share_link"",""ศร"&amp;"ีสะเกษ!L186"")+IMPORTRANGE(""https://docs.google.com/spreadsheets/d/1QC8psz9w0f9IVE9Xuc2FT_btkaOzZbbUSgYObpBuetM/edit?usp=share_link"",""สกลนคร!L186"")+IMPORTRANGE(""https://docs.google.com/spreadsheets/d/1wPdvRbu02d33MYVlbsCnyTiZpefEBs9NNktAnT1HZvw/edit?"&amp;"usp=share_link"",""สุรินทร์!L186"")+IMPORTRANGE(""https://docs.google.com/spreadsheets/d/1GVExpf-Exi_2gmuqTYH28fseTB9MoKPXWcXCbSt_YrM/edit?usp=share_link"",""หนองคาย!L186"")+IMPORTRANGE(""https://docs.google.com/spreadsheets/d/16UeMz0UgOB5BZcoxP75eYGcLFtG"&amp;"YRn9GoesD4OX9m5U/edit?usp=share_link"",""หนองบัวลำภู!L186"")+IMPORTRANGE(""https://docs.google.com/spreadsheets/d/1uUP8Zo1-qaJLuIkRU0qlwLSE3DHkbdrrj2JGJiWBQZE/edit?usp=share_link"",""อำนาจเจริญ!L186"")+IMPORTRANGE(""https://docs.google.com/spreadsheets/d/"&amp;"1hb_taSOHanzRjqfzWPiFo8yiT83VV1L7vvUCLhOiHKc/edit?usp=share_link"",""อุดรธานี!L186"")+IMPORTRANGE(""https://docs.google.com/spreadsheets/d/17IOkEwkUd63EGNfyNDnM5de9YlZ7rwzTiW6-dokVjKI/edit?usp=share_link"",""อุบลราชธานี!L186"")
"),3671300)</f>
        <v>3671300</v>
      </c>
      <c r="M186" s="45">
        <f ca="1">IFERROR(__xludf.DUMMYFUNCTION("IMPORTRANGE(""https://docs.google.com/spreadsheets/d/1fb2B9NLcpJgjIieIJvenUTNPn0TimZDUi0OtYeiSQ_s/edit?usp=share_link"",""กาฬสินธุ์!M186"")+IMPORTRANGE(""https://docs.google.com/spreadsheets/d/1SaMnqrwRGmFYNR0MhpWmHuL5niYUd5E7vDq8X7whAlI/edit?usp=share_li"&amp;"nk"",""ขอนแก่น!M186"")
+IMPORTRANGE(""https://docs.google.com/spreadsheets/d/1xQzEtGHhTTgxHh6YUkKY1P4dRyjVhS74dGswLfAASA4/edit?usp=share_link"",""ชัยภูมิ!M186"")+IMPORTRANGE(""https://docs.google.com/spreadsheets/d/1EXMBoBxU3OFbjT2TRpneM33qFjqDzrKmn9ydcfl"&amp;"fI0o/edit?usp=share_link"",""นครพนม!M186"")+IMPORTRANGE(""https://docs.google.com/spreadsheets/d/1bDQrolntRWtHumK8W-x-HXKntwxB9S3sF5aDeRS66Ko/edit?usp=share_link"",""นครราชสีมา!M186"")+IMPORTRANGE(""https://docs.google.com/spreadsheets/d/1_MzZ-2gVPiCW-d2V"&amp;"cafoCmFJQTSrZ6SQyFcMqRRQQ2w/edit?usp=share_link"",""บึงกาฬ!M186"")
+IMPORTRANGE(""https://docs.google.com/spreadsheets/d/1B3lPpzOuaNwVItLwLEZYl_qEblfcx7dRnbRkAw0l-pE/edit?usp=share_link"",""บุรีรัมย์!M186"")+IMPORTRANGE(""https://docs.google.com/spreadshe"&amp;"ets/d/19GOkiOqnzYbevLYWrMk4qFOXe3rX14BkSA8X-mq-a40/edit?usp=share_link"",""มหาสารคาม!M186"")+IMPORTRANGE(""https://docs.google.com/spreadsheets/d/1uMKqWwuNQ-TCKboGA3Bb1qXb5uj2-faACNUINCz8PN4/edit?usp=share_link"",""มุกดาหาร!M186"")+IMPORTRANGE(""https://d"&amp;"ocs.google.com/spreadsheets/d/1oKaccgDdQABndOzGr688Dbfxb_V3YcF67VqEPBtdzsc/edit?usp=share_link"",""ยโสธร!M186"")+IMPORTRANGE(""https://docs.google.com/spreadsheets/d/1BRgc8xKpxZ0PX-gauieMVkV_IOxKSotf0yW8MabGprQ/edit?usp=share_link"",""ร้อยเอ็ด!M186"")+IMP"&amp;"ORTRANGE(""https://docs.google.com/spreadsheets/d/1IdolZc-dfdgMwAm_KZxYJl1sUOcIgnbGQzbWOlddedo/edit?usp=share_link"",""เลย!M186"")+IMPORTRANGE(""https://docs.google.com/spreadsheets/d/1tZ0nmtGuIRCaGAMXHlQU8EpR9LOAJvyKfc4f7EFmE34/edit?usp=share_link"",""ศร"&amp;"ีสะเกษ!M186"")+IMPORTRANGE(""https://docs.google.com/spreadsheets/d/1QC8psz9w0f9IVE9Xuc2FT_btkaOzZbbUSgYObpBuetM/edit?usp=share_link"",""สกลนคร!M186"")+IMPORTRANGE(""https://docs.google.com/spreadsheets/d/1wPdvRbu02d33MYVlbsCnyTiZpefEBs9NNktAnT1HZvw/edit?"&amp;"usp=share_link"",""สุรินทร์!M186"")+IMPORTRANGE(""https://docs.google.com/spreadsheets/d/1GVExpf-Exi_2gmuqTYH28fseTB9MoKPXWcXCbSt_YrM/edit?usp=share_link"",""หนองคาย!M186"")+IMPORTRANGE(""https://docs.google.com/spreadsheets/d/16UeMz0UgOB5BZcoxP75eYGcLFtG"&amp;"YRn9GoesD4OX9m5U/edit?usp=share_link"",""หนองบัวลำภู!M186"")+IMPORTRANGE(""https://docs.google.com/spreadsheets/d/1uUP8Zo1-qaJLuIkRU0qlwLSE3DHkbdrrj2JGJiWBQZE/edit?usp=share_link"",""อำนาจเจริญ!M186"")+IMPORTRANGE(""https://docs.google.com/spreadsheets/d/"&amp;"1hb_taSOHanzRjqfzWPiFo8yiT83VV1L7vvUCLhOiHKc/edit?usp=share_link"",""อุดรธานี!M186"")+IMPORTRANGE(""https://docs.google.com/spreadsheets/d/17IOkEwkUd63EGNfyNDnM5de9YlZ7rwzTiW6-dokVjKI/edit?usp=share_link"",""อุบลราชธานี!M186"")
"),3949820)</f>
        <v>3949820</v>
      </c>
      <c r="N186" s="45">
        <f ca="1">IFERROR(__xludf.DUMMYFUNCTION("IMPORTRANGE(""https://docs.google.com/spreadsheets/d/1fb2B9NLcpJgjIieIJvenUTNPn0TimZDUi0OtYeiSQ_s/edit?usp=share_link"",""กาฬสินธุ์!N186"")+IMPORTRANGE(""https://docs.google.com/spreadsheets/d/1SaMnqrwRGmFYNR0MhpWmHuL5niYUd5E7vDq8X7whAlI/edit?usp=share_li"&amp;"nk"",""ขอนแก่น!N186"")
+IMPORTRANGE(""https://docs.google.com/spreadsheets/d/1xQzEtGHhTTgxHh6YUkKY1P4dRyjVhS74dGswLfAASA4/edit?usp=share_link"",""ชัยภูมิ!N186"")+IMPORTRANGE(""https://docs.google.com/spreadsheets/d/1EXMBoBxU3OFbjT2TRpneM33qFjqDzrKmn9ydcfl"&amp;"fI0o/edit?usp=share_link"",""นครพนม!N186"")+IMPORTRANGE(""https://docs.google.com/spreadsheets/d/1bDQrolntRWtHumK8W-x-HXKntwxB9S3sF5aDeRS66Ko/edit?usp=share_link"",""นครราชสีมา!N186"")+IMPORTRANGE(""https://docs.google.com/spreadsheets/d/1_MzZ-2gVPiCW-d2V"&amp;"cafoCmFJQTSrZ6SQyFcMqRRQQ2w/edit?usp=share_link"",""บึงกาฬ!N186"")
+IMPORTRANGE(""https://docs.google.com/spreadsheets/d/1B3lPpzOuaNwVItLwLEZYl_qEblfcx7dRnbRkAw0l-pE/edit?usp=share_link"",""บุรีรัมย์!N186"")+IMPORTRANGE(""https://docs.google.com/spreadshe"&amp;"ets/d/19GOkiOqnzYbevLYWrMk4qFOXe3rX14BkSA8X-mq-a40/edit?usp=share_link"",""มหาสารคาม!N186"")+IMPORTRANGE(""https://docs.google.com/spreadsheets/d/1uMKqWwuNQ-TCKboGA3Bb1qXb5uj2-faACNUINCz8PN4/edit?usp=share_link"",""มุกดาหาร!N186"")+IMPORTRANGE(""https://d"&amp;"ocs.google.com/spreadsheets/d/1oKaccgDdQABndOzGr688Dbfxb_V3YcF67VqEPBtdzsc/edit?usp=share_link"",""ยโสธร!N186"")+IMPORTRANGE(""https://docs.google.com/spreadsheets/d/1BRgc8xKpxZ0PX-gauieMVkV_IOxKSotf0yW8MabGprQ/edit?usp=share_link"",""ร้อยเอ็ด!N186"")+IMP"&amp;"ORTRANGE(""https://docs.google.com/spreadsheets/d/1IdolZc-dfdgMwAm_KZxYJl1sUOcIgnbGQzbWOlddedo/edit?usp=share_link"",""เลย!N186"")+IMPORTRANGE(""https://docs.google.com/spreadsheets/d/1tZ0nmtGuIRCaGAMXHlQU8EpR9LOAJvyKfc4f7EFmE34/edit?usp=share_link"",""ศร"&amp;"ีสะเกษ!N186"")+IMPORTRANGE(""https://docs.google.com/spreadsheets/d/1QC8psz9w0f9IVE9Xuc2FT_btkaOzZbbUSgYObpBuetM/edit?usp=share_link"",""สกลนคร!N186"")+IMPORTRANGE(""https://docs.google.com/spreadsheets/d/1wPdvRbu02d33MYVlbsCnyTiZpefEBs9NNktAnT1HZvw/edit?"&amp;"usp=share_link"",""สุรินทร์!N186"")+IMPORTRANGE(""https://docs.google.com/spreadsheets/d/1GVExpf-Exi_2gmuqTYH28fseTB9MoKPXWcXCbSt_YrM/edit?usp=share_link"",""หนองคาย!N186"")+IMPORTRANGE(""https://docs.google.com/spreadsheets/d/16UeMz0UgOB5BZcoxP75eYGcLFtG"&amp;"YRn9GoesD4OX9m5U/edit?usp=share_link"",""หนองบัวลำภู!N186"")+IMPORTRANGE(""https://docs.google.com/spreadsheets/d/1uUP8Zo1-qaJLuIkRU0qlwLSE3DHkbdrrj2JGJiWBQZE/edit?usp=share_link"",""อำนาจเจริญ!N186"")+IMPORTRANGE(""https://docs.google.com/spreadsheets/d/"&amp;"1hb_taSOHanzRjqfzWPiFo8yiT83VV1L7vvUCLhOiHKc/edit?usp=share_link"",""อุดรธานี!N186"")+IMPORTRANGE(""https://docs.google.com/spreadsheets/d/17IOkEwkUd63EGNfyNDnM5de9YlZ7rwzTiW6-dokVjKI/edit?usp=share_link"",""อุบลราชธานี!N186"")
"),3949820)</f>
        <v>3949820</v>
      </c>
      <c r="O186" s="45">
        <f t="shared" ca="1" si="113"/>
        <v>107.5864135319914</v>
      </c>
      <c r="P186" s="45">
        <f t="shared" ca="1" si="11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fb2B9NLcpJgjIieIJvenUTNPn0TimZDUi0OtYeiSQ_s/edit?usp=share_link"",""กาฬสินธุ์!L189"")+IMPORTRANGE(""https://docs.google.com/spreadsheets/d/1SaMnqrwRGmFYNR0MhpWmHuL5niYUd5E7vDq8X7whAlI/edit?usp=share_li"&amp;"nk"",""ขอนแก่น!L189"")
+IMPORTRANGE(""https://docs.google.com/spreadsheets/d/1xQzEtGHhTTgxHh6YUkKY1P4dRyjVhS74dGswLfAASA4/edit?usp=share_link"",""ชัยภูมิ!L189"")+IMPORTRANGE(""https://docs.google.com/spreadsheets/d/1EXMBoBxU3OFbjT2TRpneM33qFjqDzrKmn9ydcfl"&amp;"fI0o/edit?usp=share_link"",""นครพนม!L189"")+IMPORTRANGE(""https://docs.google.com/spreadsheets/d/1bDQrolntRWtHumK8W-x-HXKntwxB9S3sF5aDeRS66Ko/edit?usp=share_link"",""นครราชสีมา!L189"")+IMPORTRANGE(""https://docs.google.com/spreadsheets/d/1_MzZ-2gVPiCW-d2V"&amp;"cafoCmFJQTSrZ6SQyFcMqRRQQ2w/edit?usp=share_link"",""บึงกาฬ!L189"")
+IMPORTRANGE(""https://docs.google.com/spreadsheets/d/1B3lPpzOuaNwVItLwLEZYl_qEblfcx7dRnbRkAw0l-pE/edit?usp=share_link"",""บุรีรัมย์!L189"")+IMPORTRANGE(""https://docs.google.com/spreadshe"&amp;"ets/d/19GOkiOqnzYbevLYWrMk4qFOXe3rX14BkSA8X-mq-a40/edit?usp=share_link"",""มหาสารคาม!L189"")+IMPORTRANGE(""https://docs.google.com/spreadsheets/d/1uMKqWwuNQ-TCKboGA3Bb1qXb5uj2-faACNUINCz8PN4/edit?usp=share_link"",""มุกดาหาร!L189"")+IMPORTRANGE(""https://d"&amp;"ocs.google.com/spreadsheets/d/1oKaccgDdQABndOzGr688Dbfxb_V3YcF67VqEPBtdzsc/edit?usp=share_link"",""ยโสธร!L189"")+IMPORTRANGE(""https://docs.google.com/spreadsheets/d/1BRgc8xKpxZ0PX-gauieMVkV_IOxKSotf0yW8MabGprQ/edit?usp=share_link"",""ร้อยเอ็ด!L189"")+IMP"&amp;"ORTRANGE(""https://docs.google.com/spreadsheets/d/1IdolZc-dfdgMwAm_KZxYJl1sUOcIgnbGQzbWOlddedo/edit?usp=share_link"",""เลย!L189"")+IMPORTRANGE(""https://docs.google.com/spreadsheets/d/1tZ0nmtGuIRCaGAMXHlQU8EpR9LOAJvyKfc4f7EFmE34/edit?usp=share_link"",""ศร"&amp;"ีสะเกษ!L189"")+IMPORTRANGE(""https://docs.google.com/spreadsheets/d/1QC8psz9w0f9IVE9Xuc2FT_btkaOzZbbUSgYObpBuetM/edit?usp=share_link"",""สกลนคร!L189"")+IMPORTRANGE(""https://docs.google.com/spreadsheets/d/1wPdvRbu02d33MYVlbsCnyTiZpefEBs9NNktAnT1HZvw/edit?"&amp;"usp=share_link"",""สุรินทร์!L189"")+IMPORTRANGE(""https://docs.google.com/spreadsheets/d/1GVExpf-Exi_2gmuqTYH28fseTB9MoKPXWcXCbSt_YrM/edit?usp=share_link"",""หนองคาย!L189"")+IMPORTRANGE(""https://docs.google.com/spreadsheets/d/16UeMz0UgOB5BZcoxP75eYGcLFtG"&amp;"YRn9GoesD4OX9m5U/edit?usp=share_link"",""หนองบัวลำภู!L189"")+IMPORTRANGE(""https://docs.google.com/spreadsheets/d/1uUP8Zo1-qaJLuIkRU0qlwLSE3DHkbdrrj2JGJiWBQZE/edit?usp=share_link"",""อำนาจเจริญ!L189"")+IMPORTRANGE(""https://docs.google.com/spreadsheets/d/"&amp;"1hb_taSOHanzRjqfzWPiFo8yiT83VV1L7vvUCLhOiHKc/edit?usp=share_link"",""อุดรธานี!L189"")+IMPORTRANGE(""https://docs.google.com/spreadsheets/d/17IOkEwkUd63EGNfyNDnM5de9YlZ7rwzTiW6-dokVjKI/edit?usp=share_link"",""อุบลราชธานี!L189"")
"),0)</f>
        <v>0</v>
      </c>
      <c r="M189" s="45">
        <f ca="1">IFERROR(__xludf.DUMMYFUNCTION("IMPORTRANGE(""https://docs.google.com/spreadsheets/d/1fb2B9NLcpJgjIieIJvenUTNPn0TimZDUi0OtYeiSQ_s/edit?usp=share_link"",""กาฬสินธุ์!M189"")+IMPORTRANGE(""https://docs.google.com/spreadsheets/d/1SaMnqrwRGmFYNR0MhpWmHuL5niYUd5E7vDq8X7whAlI/edit?usp=share_li"&amp;"nk"",""ขอนแก่น!M189"")
+IMPORTRANGE(""https://docs.google.com/spreadsheets/d/1xQzEtGHhTTgxHh6YUkKY1P4dRyjVhS74dGswLfAASA4/edit?usp=share_link"",""ชัยภูมิ!M189"")+IMPORTRANGE(""https://docs.google.com/spreadsheets/d/1EXMBoBxU3OFbjT2TRpneM33qFjqDzrKmn9ydcfl"&amp;"fI0o/edit?usp=share_link"",""นครพนม!M189"")+IMPORTRANGE(""https://docs.google.com/spreadsheets/d/1bDQrolntRWtHumK8W-x-HXKntwxB9S3sF5aDeRS66Ko/edit?usp=share_link"",""นครราชสีมา!M189"")+IMPORTRANGE(""https://docs.google.com/spreadsheets/d/1_MzZ-2gVPiCW-d2V"&amp;"cafoCmFJQTSrZ6SQyFcMqRRQQ2w/edit?usp=share_link"",""บึงกาฬ!M189"")
+IMPORTRANGE(""https://docs.google.com/spreadsheets/d/1B3lPpzOuaNwVItLwLEZYl_qEblfcx7dRnbRkAw0l-pE/edit?usp=share_link"",""บุรีรัมย์!M189"")+IMPORTRANGE(""https://docs.google.com/spreadshe"&amp;"ets/d/19GOkiOqnzYbevLYWrMk4qFOXe3rX14BkSA8X-mq-a40/edit?usp=share_link"",""มหาสารคาม!M189"")+IMPORTRANGE(""https://docs.google.com/spreadsheets/d/1uMKqWwuNQ-TCKboGA3Bb1qXb5uj2-faACNUINCz8PN4/edit?usp=share_link"",""มุกดาหาร!M189"")+IMPORTRANGE(""https://d"&amp;"ocs.google.com/spreadsheets/d/1oKaccgDdQABndOzGr688Dbfxb_V3YcF67VqEPBtdzsc/edit?usp=share_link"",""ยโสธร!M189"")+IMPORTRANGE(""https://docs.google.com/spreadsheets/d/1BRgc8xKpxZ0PX-gauieMVkV_IOxKSotf0yW8MabGprQ/edit?usp=share_link"",""ร้อยเอ็ด!M189"")+IMP"&amp;"ORTRANGE(""https://docs.google.com/spreadsheets/d/1IdolZc-dfdgMwAm_KZxYJl1sUOcIgnbGQzbWOlddedo/edit?usp=share_link"",""เลย!M189"")+IMPORTRANGE(""https://docs.google.com/spreadsheets/d/1tZ0nmtGuIRCaGAMXHlQU8EpR9LOAJvyKfc4f7EFmE34/edit?usp=share_link"",""ศร"&amp;"ีสะเกษ!M189"")+IMPORTRANGE(""https://docs.google.com/spreadsheets/d/1QC8psz9w0f9IVE9Xuc2FT_btkaOzZbbUSgYObpBuetM/edit?usp=share_link"",""สกลนคร!M189"")+IMPORTRANGE(""https://docs.google.com/spreadsheets/d/1wPdvRbu02d33MYVlbsCnyTiZpefEBs9NNktAnT1HZvw/edit?"&amp;"usp=share_link"",""สุรินทร์!M189"")+IMPORTRANGE(""https://docs.google.com/spreadsheets/d/1GVExpf-Exi_2gmuqTYH28fseTB9MoKPXWcXCbSt_YrM/edit?usp=share_link"",""หนองคาย!M189"")+IMPORTRANGE(""https://docs.google.com/spreadsheets/d/16UeMz0UgOB5BZcoxP75eYGcLFtG"&amp;"YRn9GoesD4OX9m5U/edit?usp=share_link"",""หนองบัวลำภู!M189"")+IMPORTRANGE(""https://docs.google.com/spreadsheets/d/1uUP8Zo1-qaJLuIkRU0qlwLSE3DHkbdrrj2JGJiWBQZE/edit?usp=share_link"",""อำนาจเจริญ!M189"")+IMPORTRANGE(""https://docs.google.com/spreadsheets/d/"&amp;"1hb_taSOHanzRjqfzWPiFo8yiT83VV1L7vvUCLhOiHKc/edit?usp=share_link"",""อุดรธานี!M189"")+IMPORTRANGE(""https://docs.google.com/spreadsheets/d/17IOkEwkUd63EGNfyNDnM5de9YlZ7rwzTiW6-dokVjKI/edit?usp=share_link"",""อุบลราชธานี!M189"")
"),0)</f>
        <v>0</v>
      </c>
      <c r="N189" s="45">
        <f ca="1">IFERROR(__xludf.DUMMYFUNCTION("IMPORTRANGE(""https://docs.google.com/spreadsheets/d/1fb2B9NLcpJgjIieIJvenUTNPn0TimZDUi0OtYeiSQ_s/edit?usp=share_link"",""กาฬสินธุ์!N189"")+IMPORTRANGE(""https://docs.google.com/spreadsheets/d/1SaMnqrwRGmFYNR0MhpWmHuL5niYUd5E7vDq8X7whAlI/edit?usp=share_li"&amp;"nk"",""ขอนแก่น!N189"")
+IMPORTRANGE(""https://docs.google.com/spreadsheets/d/1xQzEtGHhTTgxHh6YUkKY1P4dRyjVhS74dGswLfAASA4/edit?usp=share_link"",""ชัยภูมิ!N189"")+IMPORTRANGE(""https://docs.google.com/spreadsheets/d/1EXMBoBxU3OFbjT2TRpneM33qFjqDzrKmn9ydcfl"&amp;"fI0o/edit?usp=share_link"",""นครพนม!N189"")+IMPORTRANGE(""https://docs.google.com/spreadsheets/d/1bDQrolntRWtHumK8W-x-HXKntwxB9S3sF5aDeRS66Ko/edit?usp=share_link"",""นครราชสีมา!N189"")+IMPORTRANGE(""https://docs.google.com/spreadsheets/d/1_MzZ-2gVPiCW-d2V"&amp;"cafoCmFJQTSrZ6SQyFcMqRRQQ2w/edit?usp=share_link"",""บึงกาฬ!N189"")
+IMPORTRANGE(""https://docs.google.com/spreadsheets/d/1B3lPpzOuaNwVItLwLEZYl_qEblfcx7dRnbRkAw0l-pE/edit?usp=share_link"",""บุรีรัมย์!N189"")+IMPORTRANGE(""https://docs.google.com/spreadshe"&amp;"ets/d/19GOkiOqnzYbevLYWrMk4qFOXe3rX14BkSA8X-mq-a40/edit?usp=share_link"",""มหาสารคาม!N189"")+IMPORTRANGE(""https://docs.google.com/spreadsheets/d/1uMKqWwuNQ-TCKboGA3Bb1qXb5uj2-faACNUINCz8PN4/edit?usp=share_link"",""มุกดาหาร!N189"")+IMPORTRANGE(""https://d"&amp;"ocs.google.com/spreadsheets/d/1oKaccgDdQABndOzGr688Dbfxb_V3YcF67VqEPBtdzsc/edit?usp=share_link"",""ยโสธร!N189"")+IMPORTRANGE(""https://docs.google.com/spreadsheets/d/1BRgc8xKpxZ0PX-gauieMVkV_IOxKSotf0yW8MabGprQ/edit?usp=share_link"",""ร้อยเอ็ด!N189"")+IMP"&amp;"ORTRANGE(""https://docs.google.com/spreadsheets/d/1IdolZc-dfdgMwAm_KZxYJl1sUOcIgnbGQzbWOlddedo/edit?usp=share_link"",""เลย!N189"")+IMPORTRANGE(""https://docs.google.com/spreadsheets/d/1tZ0nmtGuIRCaGAMXHlQU8EpR9LOAJvyKfc4f7EFmE34/edit?usp=share_link"",""ศร"&amp;"ีสะเกษ!N189"")+IMPORTRANGE(""https://docs.google.com/spreadsheets/d/1QC8psz9w0f9IVE9Xuc2FT_btkaOzZbbUSgYObpBuetM/edit?usp=share_link"",""สกลนคร!N189"")+IMPORTRANGE(""https://docs.google.com/spreadsheets/d/1wPdvRbu02d33MYVlbsCnyTiZpefEBs9NNktAnT1HZvw/edit?"&amp;"usp=share_link"",""สุรินทร์!N189"")+IMPORTRANGE(""https://docs.google.com/spreadsheets/d/1GVExpf-Exi_2gmuqTYH28fseTB9MoKPXWcXCbSt_YrM/edit?usp=share_link"",""หนองคาย!N189"")+IMPORTRANGE(""https://docs.google.com/spreadsheets/d/16UeMz0UgOB5BZcoxP75eYGcLFtG"&amp;"YRn9GoesD4OX9m5U/edit?usp=share_link"",""หนองบัวลำภู!N189"")+IMPORTRANGE(""https://docs.google.com/spreadsheets/d/1uUP8Zo1-qaJLuIkRU0qlwLSE3DHkbdrrj2JGJiWBQZE/edit?usp=share_link"",""อำนาจเจริญ!N189"")+IMPORTRANGE(""https://docs.google.com/spreadsheets/d/"&amp;"1hb_taSOHanzRjqfzWPiFo8yiT83VV1L7vvUCLhOiHKc/edit?usp=share_link"",""อุดรธานี!N189"")+IMPORTRANGE(""https://docs.google.com/spreadsheets/d/17IOkEwkUd63EGNfyNDnM5de9YlZ7rwzTiW6-dokVjKI/edit?usp=share_link"",""อุบลราชธานี!N189"")
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80</v>
      </c>
      <c r="J190" s="272">
        <f t="shared" ca="1" si="119"/>
        <v>80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fb2B9NLcpJgjIieIJvenUTNPn0TimZDUi0OtYeiSQ_s/edit?usp=share_link"",""กาฬสินธุ์!L191"")+IMPORTRANGE(""https://docs.google.com/spreadsheets/d/1SaMnqrwRGmFYNR0MhpWmHuL5niYUd5E7vDq8X7whAlI/edit?usp=share_li"&amp;"nk"",""ขอนแก่น!L191"")
+IMPORTRANGE(""https://docs.google.com/spreadsheets/d/1xQzEtGHhTTgxHh6YUkKY1P4dRyjVhS74dGswLfAASA4/edit?usp=share_link"",""ชัยภูมิ!L191"")+IMPORTRANGE(""https://docs.google.com/spreadsheets/d/1EXMBoBxU3OFbjT2TRpneM33qFjqDzrKmn9ydcfl"&amp;"fI0o/edit?usp=share_link"",""นครพนม!L191"")+IMPORTRANGE(""https://docs.google.com/spreadsheets/d/1bDQrolntRWtHumK8W-x-HXKntwxB9S3sF5aDeRS66Ko/edit?usp=share_link"",""นครราชสีมา!L191"")+IMPORTRANGE(""https://docs.google.com/spreadsheets/d/1_MzZ-2gVPiCW-d2V"&amp;"cafoCmFJQTSrZ6SQyFcMqRRQQ2w/edit?usp=share_link"",""บึงกาฬ!L191"")
+IMPORTRANGE(""https://docs.google.com/spreadsheets/d/1B3lPpzOuaNwVItLwLEZYl_qEblfcx7dRnbRkAw0l-pE/edit?usp=share_link"",""บุรีรัมย์!L191"")+IMPORTRANGE(""https://docs.google.com/spreadshe"&amp;"ets/d/19GOkiOqnzYbevLYWrMk4qFOXe3rX14BkSA8X-mq-a40/edit?usp=share_link"",""มหาสารคาม!L191"")+IMPORTRANGE(""https://docs.google.com/spreadsheets/d/1uMKqWwuNQ-TCKboGA3Bb1qXb5uj2-faACNUINCz8PN4/edit?usp=share_link"",""มุกดาหาร!L191"")+IMPORTRANGE(""https://d"&amp;"ocs.google.com/spreadsheets/d/1oKaccgDdQABndOzGr688Dbfxb_V3YcF67VqEPBtdzsc/edit?usp=share_link"",""ยโสธร!L191"")+IMPORTRANGE(""https://docs.google.com/spreadsheets/d/1BRgc8xKpxZ0PX-gauieMVkV_IOxKSotf0yW8MabGprQ/edit?usp=share_link"",""ร้อยเอ็ด!L191"")+IMP"&amp;"ORTRANGE(""https://docs.google.com/spreadsheets/d/1IdolZc-dfdgMwAm_KZxYJl1sUOcIgnbGQzbWOlddedo/edit?usp=share_link"",""เลย!L191"")+IMPORTRANGE(""https://docs.google.com/spreadsheets/d/1tZ0nmtGuIRCaGAMXHlQU8EpR9LOAJvyKfc4f7EFmE34/edit?usp=share_link"",""ศร"&amp;"ีสะเกษ!L191"")+IMPORTRANGE(""https://docs.google.com/spreadsheets/d/1QC8psz9w0f9IVE9Xuc2FT_btkaOzZbbUSgYObpBuetM/edit?usp=share_link"",""สกลนคร!L191"")+IMPORTRANGE(""https://docs.google.com/spreadsheets/d/1wPdvRbu02d33MYVlbsCnyTiZpefEBs9NNktAnT1HZvw/edit?"&amp;"usp=share_link"",""สุรินทร์!L191"")+IMPORTRANGE(""https://docs.google.com/spreadsheets/d/1GVExpf-Exi_2gmuqTYH28fseTB9MoKPXWcXCbSt_YrM/edit?usp=share_link"",""หนองคาย!L191"")+IMPORTRANGE(""https://docs.google.com/spreadsheets/d/16UeMz0UgOB5BZcoxP75eYGcLFtG"&amp;"YRn9GoesD4OX9m5U/edit?usp=share_link"",""หนองบัวลำภู!L191"")+IMPORTRANGE(""https://docs.google.com/spreadsheets/d/1uUP8Zo1-qaJLuIkRU0qlwLSE3DHkbdrrj2JGJiWBQZE/edit?usp=share_link"",""อำนาจเจริญ!L191"")+IMPORTRANGE(""https://docs.google.com/spreadsheets/d/"&amp;"1hb_taSOHanzRjqfzWPiFo8yiT83VV1L7vvUCLhOiHKc/edit?usp=share_link"",""อุดรธานี!L191"")+IMPORTRANGE(""https://docs.google.com/spreadsheets/d/17IOkEwkUd63EGNfyNDnM5de9YlZ7rwzTiW6-dokVjKI/edit?usp=share_link"",""อุบลราชธานี!L191"")
"),120000)</f>
        <v>120000</v>
      </c>
      <c r="M191" s="155"/>
      <c r="N191" s="276">
        <f ca="1">IFERROR(__xludf.DUMMYFUNCTION("IMPORTRANGE(""https://docs.google.com/spreadsheets/d/1fb2B9NLcpJgjIieIJvenUTNPn0TimZDUi0OtYeiSQ_s/edit?usp=share_link"",""กาฬสินธุ์!N191"")+IMPORTRANGE(""https://docs.google.com/spreadsheets/d/1SaMnqrwRGmFYNR0MhpWmHuL5niYUd5E7vDq8X7whAlI/edit?usp=share_li"&amp;"nk"",""ขอนแก่น!N191"")
+IMPORTRANGE(""https://docs.google.com/spreadsheets/d/1xQzEtGHhTTgxHh6YUkKY1P4dRyjVhS74dGswLfAASA4/edit?usp=share_link"",""ชัยภูมิ!N191"")+IMPORTRANGE(""https://docs.google.com/spreadsheets/d/1EXMBoBxU3OFbjT2TRpneM33qFjqDzrKmn9ydcfl"&amp;"fI0o/edit?usp=share_link"",""นครพนม!N191"")+IMPORTRANGE(""https://docs.google.com/spreadsheets/d/1bDQrolntRWtHumK8W-x-HXKntwxB9S3sF5aDeRS66Ko/edit?usp=share_link"",""นครราชสีมา!N191"")+IMPORTRANGE(""https://docs.google.com/spreadsheets/d/1_MzZ-2gVPiCW-d2V"&amp;"cafoCmFJQTSrZ6SQyFcMqRRQQ2w/edit?usp=share_link"",""บึงกาฬ!N191"")
+IMPORTRANGE(""https://docs.google.com/spreadsheets/d/1B3lPpzOuaNwVItLwLEZYl_qEblfcx7dRnbRkAw0l-pE/edit?usp=share_link"",""บุรีรัมย์!N191"")+IMPORTRANGE(""https://docs.google.com/spreadshe"&amp;"ets/d/19GOkiOqnzYbevLYWrMk4qFOXe3rX14BkSA8X-mq-a40/edit?usp=share_link"",""มหาสารคาม!N191"")+IMPORTRANGE(""https://docs.google.com/spreadsheets/d/1uMKqWwuNQ-TCKboGA3Bb1qXb5uj2-faACNUINCz8PN4/edit?usp=share_link"",""มุกดาหาร!N191"")+IMPORTRANGE(""https://d"&amp;"ocs.google.com/spreadsheets/d/1oKaccgDdQABndOzGr688Dbfxb_V3YcF67VqEPBtdzsc/edit?usp=share_link"",""ยโสธร!N191"")+IMPORTRANGE(""https://docs.google.com/spreadsheets/d/1BRgc8xKpxZ0PX-gauieMVkV_IOxKSotf0yW8MabGprQ/edit?usp=share_link"",""ร้อยเอ็ด!N191"")+IMP"&amp;"ORTRANGE(""https://docs.google.com/spreadsheets/d/1IdolZc-dfdgMwAm_KZxYJl1sUOcIgnbGQzbWOlddedo/edit?usp=share_link"",""เลย!N191"")+IMPORTRANGE(""https://docs.google.com/spreadsheets/d/1tZ0nmtGuIRCaGAMXHlQU8EpR9LOAJvyKfc4f7EFmE34/edit?usp=share_link"",""ศร"&amp;"ีสะเกษ!N191"")+IMPORTRANGE(""https://docs.google.com/spreadsheets/d/1QC8psz9w0f9IVE9Xuc2FT_btkaOzZbbUSgYObpBuetM/edit?usp=share_link"",""สกลนคร!N191"")+IMPORTRANGE(""https://docs.google.com/spreadsheets/d/1wPdvRbu02d33MYVlbsCnyTiZpefEBs9NNktAnT1HZvw/edit?"&amp;"usp=share_link"",""สุรินทร์!N191"")+IMPORTRANGE(""https://docs.google.com/spreadsheets/d/1GVExpf-Exi_2gmuqTYH28fseTB9MoKPXWcXCbSt_YrM/edit?usp=share_link"",""หนองคาย!N191"")+IMPORTRANGE(""https://docs.google.com/spreadsheets/d/16UeMz0UgOB5BZcoxP75eYGcLFtG"&amp;"YRn9GoesD4OX9m5U/edit?usp=share_link"",""หนองบัวลำภู!N191"")+IMPORTRANGE(""https://docs.google.com/spreadsheets/d/1uUP8Zo1-qaJLuIkRU0qlwLSE3DHkbdrrj2JGJiWBQZE/edit?usp=share_link"",""อำนาจเจริญ!N191"")+IMPORTRANGE(""https://docs.google.com/spreadsheets/d/"&amp;"1hb_taSOHanzRjqfzWPiFo8yiT83VV1L7vvUCLhOiHKc/edit?usp=share_link"",""อุดรธานี!N191"")+IMPORTRANGE(""https://docs.google.com/spreadsheets/d/17IOkEwkUd63EGNfyNDnM5de9YlZ7rwzTiW6-dokVjKI/edit?usp=share_link"",""อุบลราชธานี!N191"")
"),120000)</f>
        <v>120000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fb2B9NLcpJgjIieIJvenUTNPn0TimZDUi0OtYeiSQ_s/edit?usp=share_link"",""กาฬสินธุ์!I193"")+IMPORTRANGE(""https://docs.google.com/spreadsheets/d/1SaMnqrwRGmFYNR0MhpWmHuL5niYUd5E7vDq8X7whAlI/edit?usp=share_li"&amp;"nk"",""ขอนแก่น!I193"")
+IMPORTRANGE(""https://docs.google.com/spreadsheets/d/1xQzEtGHhTTgxHh6YUkKY1P4dRyjVhS74dGswLfAASA4/edit?usp=share_link"",""ชัยภูมิ!I193"")+IMPORTRANGE(""https://docs.google.com/spreadsheets/d/1EXMBoBxU3OFbjT2TRpneM33qFjqDzrKmn9ydcfl"&amp;"fI0o/edit?usp=share_link"",""นครพนม!I193"")+IMPORTRANGE(""https://docs.google.com/spreadsheets/d/1bDQrolntRWtHumK8W-x-HXKntwxB9S3sF5aDeRS66Ko/edit?usp=share_link"",""นครราชสีมา!I193"")+IMPORTRANGE(""https://docs.google.com/spreadsheets/d/1_MzZ-2gVPiCW-d2V"&amp;"cafoCmFJQTSrZ6SQyFcMqRRQQ2w/edit?usp=share_link"",""บึงกาฬ!I193"")
+IMPORTRANGE(""https://docs.google.com/spreadsheets/d/1B3lPpzOuaNwVItLwLEZYl_qEblfcx7dRnbRkAw0l-pE/edit?usp=share_link"",""บุรีรัมย์!I193"")+IMPORTRANGE(""https://docs.google.com/spreadshe"&amp;"ets/d/19GOkiOqnzYbevLYWrMk4qFOXe3rX14BkSA8X-mq-a40/edit?usp=share_link"",""มหาสารคาม!I193"")+IMPORTRANGE(""https://docs.google.com/spreadsheets/d/1uMKqWwuNQ-TCKboGA3Bb1qXb5uj2-faACNUINCz8PN4/edit?usp=share_link"",""มุกดาหาร!I193"")+IMPORTRANGE(""https://d"&amp;"ocs.google.com/spreadsheets/d/1oKaccgDdQABndOzGr688Dbfxb_V3YcF67VqEPBtdzsc/edit?usp=share_link"",""ยโสธร!I193"")+IMPORTRANGE(""https://docs.google.com/spreadsheets/d/1BRgc8xKpxZ0PX-gauieMVkV_IOxKSotf0yW8MabGprQ/edit?usp=share_link"",""ร้อยเอ็ด!I193"")+IMP"&amp;"ORTRANGE(""https://docs.google.com/spreadsheets/d/1IdolZc-dfdgMwAm_KZxYJl1sUOcIgnbGQzbWOlddedo/edit?usp=share_link"",""เลย!I193"")+IMPORTRANGE(""https://docs.google.com/spreadsheets/d/1tZ0nmtGuIRCaGAMXHlQU8EpR9LOAJvyKfc4f7EFmE34/edit?usp=share_link"",""ศร"&amp;"ีสะเกษ!I193"")+IMPORTRANGE(""https://docs.google.com/spreadsheets/d/1QC8psz9w0f9IVE9Xuc2FT_btkaOzZbbUSgYObpBuetM/edit?usp=share_link"",""สกลนคร!I193"")+IMPORTRANGE(""https://docs.google.com/spreadsheets/d/1wPdvRbu02d33MYVlbsCnyTiZpefEBs9NNktAnT1HZvw/edit?"&amp;"usp=share_link"",""สุรินทร์!I193"")+IMPORTRANGE(""https://docs.google.com/spreadsheets/d/1GVExpf-Exi_2gmuqTYH28fseTB9MoKPXWcXCbSt_YrM/edit?usp=share_link"",""หนองคาย!I193"")+IMPORTRANGE(""https://docs.google.com/spreadsheets/d/16UeMz0UgOB5BZcoxP75eYGcLFtG"&amp;"YRn9GoesD4OX9m5U/edit?usp=share_link"",""หนองบัวลำภู!I193"")+IMPORTRANGE(""https://docs.google.com/spreadsheets/d/1uUP8Zo1-qaJLuIkRU0qlwLSE3DHkbdrrj2JGJiWBQZE/edit?usp=share_link"",""อำนาจเจริญ!I193"")+IMPORTRANGE(""https://docs.google.com/spreadsheets/d/"&amp;"1hb_taSOHanzRjqfzWPiFo8yiT83VV1L7vvUCLhOiHKc/edit?usp=share_link"",""อุดรธานี!I193"")+IMPORTRANGE(""https://docs.google.com/spreadsheets/d/17IOkEwkUd63EGNfyNDnM5de9YlZ7rwzTiW6-dokVjKI/edit?usp=share_link"",""อุบลราชธานี!I193"")
"),80)</f>
        <v>80</v>
      </c>
      <c r="J193" s="183">
        <f ca="1">IFERROR(__xludf.DUMMYFUNCTION("IMPORTRANGE(""https://docs.google.com/spreadsheets/d/1fb2B9NLcpJgjIieIJvenUTNPn0TimZDUi0OtYeiSQ_s/edit?usp=share_link"",""กาฬสินธุ์!J193"")+IMPORTRANGE(""https://docs.google.com/spreadsheets/d/1SaMnqrwRGmFYNR0MhpWmHuL5niYUd5E7vDq8X7whAlI/edit?usp=share_li"&amp;"nk"",""ขอนแก่น!J193"")
+IMPORTRANGE(""https://docs.google.com/spreadsheets/d/1xQzEtGHhTTgxHh6YUkKY1P4dRyjVhS74dGswLfAASA4/edit?usp=share_link"",""ชัยภูมิ!J193"")+IMPORTRANGE(""https://docs.google.com/spreadsheets/d/1EXMBoBxU3OFbjT2TRpneM33qFjqDzrKmn9ydcfl"&amp;"fI0o/edit?usp=share_link"",""นครพนม!J193"")+IMPORTRANGE(""https://docs.google.com/spreadsheets/d/1bDQrolntRWtHumK8W-x-HXKntwxB9S3sF5aDeRS66Ko/edit?usp=share_link"",""นครราชสีมา!J193"")+IMPORTRANGE(""https://docs.google.com/spreadsheets/d/1_MzZ-2gVPiCW-d2V"&amp;"cafoCmFJQTSrZ6SQyFcMqRRQQ2w/edit?usp=share_link"",""บึงกาฬ!J193"")
+IMPORTRANGE(""https://docs.google.com/spreadsheets/d/1B3lPpzOuaNwVItLwLEZYl_qEblfcx7dRnbRkAw0l-pE/edit?usp=share_link"",""บุรีรัมย์!J193"")+IMPORTRANGE(""https://docs.google.com/spreadshe"&amp;"ets/d/19GOkiOqnzYbevLYWrMk4qFOXe3rX14BkSA8X-mq-a40/edit?usp=share_link"",""มหาสารคาม!J193"")+IMPORTRANGE(""https://docs.google.com/spreadsheets/d/1uMKqWwuNQ-TCKboGA3Bb1qXb5uj2-faACNUINCz8PN4/edit?usp=share_link"",""มุกดาหาร!J193"")+IMPORTRANGE(""https://d"&amp;"ocs.google.com/spreadsheets/d/1oKaccgDdQABndOzGr688Dbfxb_V3YcF67VqEPBtdzsc/edit?usp=share_link"",""ยโสธร!J193"")+IMPORTRANGE(""https://docs.google.com/spreadsheets/d/1BRgc8xKpxZ0PX-gauieMVkV_IOxKSotf0yW8MabGprQ/edit?usp=share_link"",""ร้อยเอ็ด!J193"")+IMP"&amp;"ORTRANGE(""https://docs.google.com/spreadsheets/d/1IdolZc-dfdgMwAm_KZxYJl1sUOcIgnbGQzbWOlddedo/edit?usp=share_link"",""เลย!J193"")+IMPORTRANGE(""https://docs.google.com/spreadsheets/d/1tZ0nmtGuIRCaGAMXHlQU8EpR9LOAJvyKfc4f7EFmE34/edit?usp=share_link"",""ศร"&amp;"ีสะเกษ!J193"")+IMPORTRANGE(""https://docs.google.com/spreadsheets/d/1QC8psz9w0f9IVE9Xuc2FT_btkaOzZbbUSgYObpBuetM/edit?usp=share_link"",""สกลนคร!J193"")+IMPORTRANGE(""https://docs.google.com/spreadsheets/d/1wPdvRbu02d33MYVlbsCnyTiZpefEBs9NNktAnT1HZvw/edit?"&amp;"usp=share_link"",""สุรินทร์!J193"")+IMPORTRANGE(""https://docs.google.com/spreadsheets/d/1GVExpf-Exi_2gmuqTYH28fseTB9MoKPXWcXCbSt_YrM/edit?usp=share_link"",""หนองคาย!J193"")+IMPORTRANGE(""https://docs.google.com/spreadsheets/d/16UeMz0UgOB5BZcoxP75eYGcLFtG"&amp;"YRn9GoesD4OX9m5U/edit?usp=share_link"",""หนองบัวลำภู!J193"")+IMPORTRANGE(""https://docs.google.com/spreadsheets/d/1uUP8Zo1-qaJLuIkRU0qlwLSE3DHkbdrrj2JGJiWBQZE/edit?usp=share_link"",""อำนาจเจริญ!J193"")+IMPORTRANGE(""https://docs.google.com/spreadsheets/d/"&amp;"1hb_taSOHanzRjqfzWPiFo8yiT83VV1L7vvUCLhOiHKc/edit?usp=share_link"",""อุดรธานี!J193"")+IMPORTRANGE(""https://docs.google.com/spreadsheets/d/17IOkEwkUd63EGNfyNDnM5de9YlZ7rwzTiW6-dokVjKI/edit?usp=share_link"",""อุบลราชธานี!J193"")
"),80)</f>
        <v>80</v>
      </c>
      <c r="K193" s="38">
        <f ca="1">IF(I193&gt;0,J193*100/I193,0)</f>
        <v>100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2027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fb2B9NLcpJgjIieIJvenUTNPn0TimZDUi0OtYeiSQ_s/edit?usp=share_link"",""กาฬสินธุ์!J195"")+IMPORTRANGE(""https://docs.google.com/spreadsheets/d/1SaMnqrwRGmFYNR0MhpWmHuL5niYUd5E7vDq8X7whAlI/edit?usp=share_li"&amp;"nk"",""ขอนแก่น!J195"")
+IMPORTRANGE(""https://docs.google.com/spreadsheets/d/1xQzEtGHhTTgxHh6YUkKY1P4dRyjVhS74dGswLfAASA4/edit?usp=share_link"",""ชัยภูมิ!J195"")+IMPORTRANGE(""https://docs.google.com/spreadsheets/d/1EXMBoBxU3OFbjT2TRpneM33qFjqDzrKmn9ydcfl"&amp;"fI0o/edit?usp=share_link"",""นครพนม!J195"")+IMPORTRANGE(""https://docs.google.com/spreadsheets/d/1bDQrolntRWtHumK8W-x-HXKntwxB9S3sF5aDeRS66Ko/edit?usp=share_link"",""นครราชสีมา!J195"")+IMPORTRANGE(""https://docs.google.com/spreadsheets/d/1_MzZ-2gVPiCW-d2V"&amp;"cafoCmFJQTSrZ6SQyFcMqRRQQ2w/edit?usp=share_link"",""บึงกาฬ!J195"")
+IMPORTRANGE(""https://docs.google.com/spreadsheets/d/1B3lPpzOuaNwVItLwLEZYl_qEblfcx7dRnbRkAw0l-pE/edit?usp=share_link"",""บุรีรัมย์!J195"")+IMPORTRANGE(""https://docs.google.com/spreadshe"&amp;"ets/d/19GOkiOqnzYbevLYWrMk4qFOXe3rX14BkSA8X-mq-a40/edit?usp=share_link"",""มหาสารคาม!J195"")+IMPORTRANGE(""https://docs.google.com/spreadsheets/d/1uMKqWwuNQ-TCKboGA3Bb1qXb5uj2-faACNUINCz8PN4/edit?usp=share_link"",""มุกดาหาร!J195"")+IMPORTRANGE(""https://d"&amp;"ocs.google.com/spreadsheets/d/1oKaccgDdQABndOzGr688Dbfxb_V3YcF67VqEPBtdzsc/edit?usp=share_link"",""ยโสธร!J195"")+IMPORTRANGE(""https://docs.google.com/spreadsheets/d/1BRgc8xKpxZ0PX-gauieMVkV_IOxKSotf0yW8MabGprQ/edit?usp=share_link"",""ร้อยเอ็ด!J195"")+IMP"&amp;"ORTRANGE(""https://docs.google.com/spreadsheets/d/1IdolZc-dfdgMwAm_KZxYJl1sUOcIgnbGQzbWOlddedo/edit?usp=share_link"",""เลย!J195"")+IMPORTRANGE(""https://docs.google.com/spreadsheets/d/1tZ0nmtGuIRCaGAMXHlQU8EpR9LOAJvyKfc4f7EFmE34/edit?usp=share_link"",""ศร"&amp;"ีสะเกษ!J195"")+IMPORTRANGE(""https://docs.google.com/spreadsheets/d/1QC8psz9w0f9IVE9Xuc2FT_btkaOzZbbUSgYObpBuetM/edit?usp=share_link"",""สกลนคร!J195"")+IMPORTRANGE(""https://docs.google.com/spreadsheets/d/1wPdvRbu02d33MYVlbsCnyTiZpefEBs9NNktAnT1HZvw/edit?"&amp;"usp=share_link"",""สุรินทร์!J195"")+IMPORTRANGE(""https://docs.google.com/spreadsheets/d/1GVExpf-Exi_2gmuqTYH28fseTB9MoKPXWcXCbSt_YrM/edit?usp=share_link"",""หนองคาย!J195"")+IMPORTRANGE(""https://docs.google.com/spreadsheets/d/16UeMz0UgOB5BZcoxP75eYGcLFtG"&amp;"YRn9GoesD4OX9m5U/edit?usp=share_link"",""หนองบัวลำภู!J195"")+IMPORTRANGE(""https://docs.google.com/spreadsheets/d/1uUP8Zo1-qaJLuIkRU0qlwLSE3DHkbdrrj2JGJiWBQZE/edit?usp=share_link"",""อำนาจเจริญ!J195"")+IMPORTRANGE(""https://docs.google.com/spreadsheets/d/"&amp;"1hb_taSOHanzRjqfzWPiFo8yiT83VV1L7vvUCLhOiHKc/edit?usp=share_link"",""อุดรธานี!J195"")+IMPORTRANGE(""https://docs.google.com/spreadsheets/d/17IOkEwkUd63EGNfyNDnM5de9YlZ7rwzTiW6-dokVjKI/edit?usp=share_link"",""อุบลราชธานี!J195"")
"),2012)</f>
        <v>2012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fb2B9NLcpJgjIieIJvenUTNPn0TimZDUi0OtYeiSQ_s/edit?usp=share_link"",""กาฬสินธุ์!J196"")+IMPORTRANGE(""https://docs.google.com/spreadsheets/d/1SaMnqrwRGmFYNR0MhpWmHuL5niYUd5E7vDq8X7whAlI/edit?usp=share_li"&amp;"nk"",""ขอนแก่น!J196"")
+IMPORTRANGE(""https://docs.google.com/spreadsheets/d/1xQzEtGHhTTgxHh6YUkKY1P4dRyjVhS74dGswLfAASA4/edit?usp=share_link"",""ชัยภูมิ!J196"")+IMPORTRANGE(""https://docs.google.com/spreadsheets/d/1EXMBoBxU3OFbjT2TRpneM33qFjqDzrKmn9ydcfl"&amp;"fI0o/edit?usp=share_link"",""นครพนม!J196"")+IMPORTRANGE(""https://docs.google.com/spreadsheets/d/1bDQrolntRWtHumK8W-x-HXKntwxB9S3sF5aDeRS66Ko/edit?usp=share_link"",""นครราชสีมา!J196"")+IMPORTRANGE(""https://docs.google.com/spreadsheets/d/1_MzZ-2gVPiCW-d2V"&amp;"cafoCmFJQTSrZ6SQyFcMqRRQQ2w/edit?usp=share_link"",""บึงกาฬ!J196"")
+IMPORTRANGE(""https://docs.google.com/spreadsheets/d/1B3lPpzOuaNwVItLwLEZYl_qEblfcx7dRnbRkAw0l-pE/edit?usp=share_link"",""บุรีรัมย์!J196"")+IMPORTRANGE(""https://docs.google.com/spreadshe"&amp;"ets/d/19GOkiOqnzYbevLYWrMk4qFOXe3rX14BkSA8X-mq-a40/edit?usp=share_link"",""มหาสารคาม!J196"")+IMPORTRANGE(""https://docs.google.com/spreadsheets/d/1uMKqWwuNQ-TCKboGA3Bb1qXb5uj2-faACNUINCz8PN4/edit?usp=share_link"",""มุกดาหาร!J196"")+IMPORTRANGE(""https://d"&amp;"ocs.google.com/spreadsheets/d/1oKaccgDdQABndOzGr688Dbfxb_V3YcF67VqEPBtdzsc/edit?usp=share_link"",""ยโสธร!J196"")+IMPORTRANGE(""https://docs.google.com/spreadsheets/d/1BRgc8xKpxZ0PX-gauieMVkV_IOxKSotf0yW8MabGprQ/edit?usp=share_link"",""ร้อยเอ็ด!J196"")+IMP"&amp;"ORTRANGE(""https://docs.google.com/spreadsheets/d/1IdolZc-dfdgMwAm_KZxYJl1sUOcIgnbGQzbWOlddedo/edit?usp=share_link"",""เลย!J196"")+IMPORTRANGE(""https://docs.google.com/spreadsheets/d/1tZ0nmtGuIRCaGAMXHlQU8EpR9LOAJvyKfc4f7EFmE34/edit?usp=share_link"",""ศร"&amp;"ีสะเกษ!J196"")+IMPORTRANGE(""https://docs.google.com/spreadsheets/d/1QC8psz9w0f9IVE9Xuc2FT_btkaOzZbbUSgYObpBuetM/edit?usp=share_link"",""สกลนคร!J196"")+IMPORTRANGE(""https://docs.google.com/spreadsheets/d/1wPdvRbu02d33MYVlbsCnyTiZpefEBs9NNktAnT1HZvw/edit?"&amp;"usp=share_link"",""สุรินทร์!J196"")+IMPORTRANGE(""https://docs.google.com/spreadsheets/d/1GVExpf-Exi_2gmuqTYH28fseTB9MoKPXWcXCbSt_YrM/edit?usp=share_link"",""หนองคาย!J196"")+IMPORTRANGE(""https://docs.google.com/spreadsheets/d/16UeMz0UgOB5BZcoxP75eYGcLFtG"&amp;"YRn9GoesD4OX9m5U/edit?usp=share_link"",""หนองบัวลำภู!J196"")+IMPORTRANGE(""https://docs.google.com/spreadsheets/d/1uUP8Zo1-qaJLuIkRU0qlwLSE3DHkbdrrj2JGJiWBQZE/edit?usp=share_link"",""อำนาจเจริญ!J196"")+IMPORTRANGE(""https://docs.google.com/spreadsheets/d/"&amp;"1hb_taSOHanzRjqfzWPiFo8yiT83VV1L7vvUCLhOiHKc/edit?usp=share_link"",""อุดรธานี!J196"")+IMPORTRANGE(""https://docs.google.com/spreadsheets/d/17IOkEwkUd63EGNfyNDnM5de9YlZ7rwzTiW6-dokVjKI/edit?usp=share_link"",""อุบลราชธานี!J196"")
"),15)</f>
        <v>15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58</v>
      </c>
      <c r="J197" s="272">
        <f t="shared" ca="1" si="120"/>
        <v>58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789000</v>
      </c>
      <c r="M198" s="155"/>
      <c r="N198" s="155">
        <f ca="1">N199+N200+N201+N202</f>
        <v>789000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fb2B9NLcpJgjIieIJvenUTNPn0TimZDUi0OtYeiSQ_s/edit?usp=share_link"",""กาฬสินธุ์!L199"")+IMPORTRANGE(""https://docs.google.com/spreadsheets/d/1SaMnqrwRGmFYNR0MhpWmHuL5niYUd5E7vDq8X7whAlI/edit?usp=share_li"&amp;"nk"",""ขอนแก่น!L199"")
+IMPORTRANGE(""https://docs.google.com/spreadsheets/d/1xQzEtGHhTTgxHh6YUkKY1P4dRyjVhS74dGswLfAASA4/edit?usp=share_link"",""ชัยภูมิ!L199"")+IMPORTRANGE(""https://docs.google.com/spreadsheets/d/1EXMBoBxU3OFbjT2TRpneM33qFjqDzrKmn9ydcfl"&amp;"fI0o/edit?usp=share_link"",""นครพนม!L199"")+IMPORTRANGE(""https://docs.google.com/spreadsheets/d/1bDQrolntRWtHumK8W-x-HXKntwxB9S3sF5aDeRS66Ko/edit?usp=share_link"",""นครราชสีมา!L199"")+IMPORTRANGE(""https://docs.google.com/spreadsheets/d/1_MzZ-2gVPiCW-d2V"&amp;"cafoCmFJQTSrZ6SQyFcMqRRQQ2w/edit?usp=share_link"",""บึงกาฬ!L199"")
+IMPORTRANGE(""https://docs.google.com/spreadsheets/d/1B3lPpzOuaNwVItLwLEZYl_qEblfcx7dRnbRkAw0l-pE/edit?usp=share_link"",""บุรีรัมย์!L199"")+IMPORTRANGE(""https://docs.google.com/spreadshe"&amp;"ets/d/19GOkiOqnzYbevLYWrMk4qFOXe3rX14BkSA8X-mq-a40/edit?usp=share_link"",""มหาสารคาม!L199"")+IMPORTRANGE(""https://docs.google.com/spreadsheets/d/1uMKqWwuNQ-TCKboGA3Bb1qXb5uj2-faACNUINCz8PN4/edit?usp=share_link"",""มุกดาหาร!L199"")+IMPORTRANGE(""https://d"&amp;"ocs.google.com/spreadsheets/d/1oKaccgDdQABndOzGr688Dbfxb_V3YcF67VqEPBtdzsc/edit?usp=share_link"",""ยโสธร!L199"")+IMPORTRANGE(""https://docs.google.com/spreadsheets/d/1BRgc8xKpxZ0PX-gauieMVkV_IOxKSotf0yW8MabGprQ/edit?usp=share_link"",""ร้อยเอ็ด!L199"")+IMP"&amp;"ORTRANGE(""https://docs.google.com/spreadsheets/d/1IdolZc-dfdgMwAm_KZxYJl1sUOcIgnbGQzbWOlddedo/edit?usp=share_link"",""เลย!L199"")+IMPORTRANGE(""https://docs.google.com/spreadsheets/d/1tZ0nmtGuIRCaGAMXHlQU8EpR9LOAJvyKfc4f7EFmE34/edit?usp=share_link"",""ศร"&amp;"ีสะเกษ!L199"")+IMPORTRANGE(""https://docs.google.com/spreadsheets/d/1QC8psz9w0f9IVE9Xuc2FT_btkaOzZbbUSgYObpBuetM/edit?usp=share_link"",""สกลนคร!L199"")+IMPORTRANGE(""https://docs.google.com/spreadsheets/d/1wPdvRbu02d33MYVlbsCnyTiZpefEBs9NNktAnT1HZvw/edit?"&amp;"usp=share_link"",""สุรินทร์!L199"")+IMPORTRANGE(""https://docs.google.com/spreadsheets/d/1GVExpf-Exi_2gmuqTYH28fseTB9MoKPXWcXCbSt_YrM/edit?usp=share_link"",""หนองคาย!L199"")+IMPORTRANGE(""https://docs.google.com/spreadsheets/d/16UeMz0UgOB5BZcoxP75eYGcLFtG"&amp;"YRn9GoesD4OX9m5U/edit?usp=share_link"",""หนองบัวลำภู!L199"")+IMPORTRANGE(""https://docs.google.com/spreadsheets/d/1uUP8Zo1-qaJLuIkRU0qlwLSE3DHkbdrrj2JGJiWBQZE/edit?usp=share_link"",""อำนาจเจริญ!L199"")+IMPORTRANGE(""https://docs.google.com/spreadsheets/d/"&amp;"1hb_taSOHanzRjqfzWPiFo8yiT83VV1L7vvUCLhOiHKc/edit?usp=share_link"",""อุดรธานี!L199"")+IMPORTRANGE(""https://docs.google.com/spreadsheets/d/17IOkEwkUd63EGNfyNDnM5de9YlZ7rwzTiW6-dokVjKI/edit?usp=share_link"",""อุบลราชธานี!L199"")
"),58000)</f>
        <v>58000</v>
      </c>
      <c r="M199" s="38"/>
      <c r="N199" s="283">
        <f ca="1">IFERROR(__xludf.DUMMYFUNCTION("IMPORTRANGE(""https://docs.google.com/spreadsheets/d/1fb2B9NLcpJgjIieIJvenUTNPn0TimZDUi0OtYeiSQ_s/edit?usp=share_link"",""กาฬสินธุ์!N199"")+IMPORTRANGE(""https://docs.google.com/spreadsheets/d/1SaMnqrwRGmFYNR0MhpWmHuL5niYUd5E7vDq8X7whAlI/edit?usp=share_li"&amp;"nk"",""ขอนแก่น!N199"")
+IMPORTRANGE(""https://docs.google.com/spreadsheets/d/1xQzEtGHhTTgxHh6YUkKY1P4dRyjVhS74dGswLfAASA4/edit?usp=share_link"",""ชัยภูมิ!N199"")+IMPORTRANGE(""https://docs.google.com/spreadsheets/d/1EXMBoBxU3OFbjT2TRpneM33qFjqDzrKmn9ydcfl"&amp;"fI0o/edit?usp=share_link"",""นครพนม!N199"")+IMPORTRANGE(""https://docs.google.com/spreadsheets/d/1bDQrolntRWtHumK8W-x-HXKntwxB9S3sF5aDeRS66Ko/edit?usp=share_link"",""นครราชสีมา!N199"")+IMPORTRANGE(""https://docs.google.com/spreadsheets/d/1_MzZ-2gVPiCW-d2V"&amp;"cafoCmFJQTSrZ6SQyFcMqRRQQ2w/edit?usp=share_link"",""บึงกาฬ!N199"")
+IMPORTRANGE(""https://docs.google.com/spreadsheets/d/1B3lPpzOuaNwVItLwLEZYl_qEblfcx7dRnbRkAw0l-pE/edit?usp=share_link"",""บุรีรัมย์!N199"")+IMPORTRANGE(""https://docs.google.com/spreadshe"&amp;"ets/d/19GOkiOqnzYbevLYWrMk4qFOXe3rX14BkSA8X-mq-a40/edit?usp=share_link"",""มหาสารคาม!N199"")+IMPORTRANGE(""https://docs.google.com/spreadsheets/d/1uMKqWwuNQ-TCKboGA3Bb1qXb5uj2-faACNUINCz8PN4/edit?usp=share_link"",""มุกดาหาร!N199"")+IMPORTRANGE(""https://d"&amp;"ocs.google.com/spreadsheets/d/1oKaccgDdQABndOzGr688Dbfxb_V3YcF67VqEPBtdzsc/edit?usp=share_link"",""ยโสธร!N199"")+IMPORTRANGE(""https://docs.google.com/spreadsheets/d/1BRgc8xKpxZ0PX-gauieMVkV_IOxKSotf0yW8MabGprQ/edit?usp=share_link"",""ร้อยเอ็ด!N199"")+IMP"&amp;"ORTRANGE(""https://docs.google.com/spreadsheets/d/1IdolZc-dfdgMwAm_KZxYJl1sUOcIgnbGQzbWOlddedo/edit?usp=share_link"",""เลย!N199"")+IMPORTRANGE(""https://docs.google.com/spreadsheets/d/1tZ0nmtGuIRCaGAMXHlQU8EpR9LOAJvyKfc4f7EFmE34/edit?usp=share_link"",""ศร"&amp;"ีสะเกษ!N199"")+IMPORTRANGE(""https://docs.google.com/spreadsheets/d/1QC8psz9w0f9IVE9Xuc2FT_btkaOzZbbUSgYObpBuetM/edit?usp=share_link"",""สกลนคร!N199"")+IMPORTRANGE(""https://docs.google.com/spreadsheets/d/1wPdvRbu02d33MYVlbsCnyTiZpefEBs9NNktAnT1HZvw/edit?"&amp;"usp=share_link"",""สุรินทร์!N199"")+IMPORTRANGE(""https://docs.google.com/spreadsheets/d/1GVExpf-Exi_2gmuqTYH28fseTB9MoKPXWcXCbSt_YrM/edit?usp=share_link"",""หนองคาย!N199"")+IMPORTRANGE(""https://docs.google.com/spreadsheets/d/16UeMz0UgOB5BZcoxP75eYGcLFtG"&amp;"YRn9GoesD4OX9m5U/edit?usp=share_link"",""หนองบัวลำภู!N199"")+IMPORTRANGE(""https://docs.google.com/spreadsheets/d/1uUP8Zo1-qaJLuIkRU0qlwLSE3DHkbdrrj2JGJiWBQZE/edit?usp=share_link"",""อำนาจเจริญ!N199"")+IMPORTRANGE(""https://docs.google.com/spreadsheets/d/"&amp;"1hb_taSOHanzRjqfzWPiFo8yiT83VV1L7vvUCLhOiHKc/edit?usp=share_link"",""อุดรธานี!N199"")+IMPORTRANGE(""https://docs.google.com/spreadsheets/d/17IOkEwkUd63EGNfyNDnM5de9YlZ7rwzTiW6-dokVjKI/edit?usp=share_link"",""อุบลราชธานี!N199"")
"),57790)</f>
        <v>57790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fb2B9NLcpJgjIieIJvenUTNPn0TimZDUi0OtYeiSQ_s/edit?usp=share_link"",""กาฬสินธุ์!L200"")+IMPORTRANGE(""https://docs.google.com/spreadsheets/d/1SaMnqrwRGmFYNR0MhpWmHuL5niYUd5E7vDq8X7whAlI/edit?usp=share_li"&amp;"nk"",""ขอนแก่น!L200"")
+IMPORTRANGE(""https://docs.google.com/spreadsheets/d/1xQzEtGHhTTgxHh6YUkKY1P4dRyjVhS74dGswLfAASA4/edit?usp=share_link"",""ชัยภูมิ!L200"")+IMPORTRANGE(""https://docs.google.com/spreadsheets/d/1EXMBoBxU3OFbjT2TRpneM33qFjqDzrKmn9ydcfl"&amp;"fI0o/edit?usp=share_link"",""นครพนม!L200"")+IMPORTRANGE(""https://docs.google.com/spreadsheets/d/1bDQrolntRWtHumK8W-x-HXKntwxB9S3sF5aDeRS66Ko/edit?usp=share_link"",""นครราชสีมา!L200"")+IMPORTRANGE(""https://docs.google.com/spreadsheets/d/1_MzZ-2gVPiCW-d2V"&amp;"cafoCmFJQTSrZ6SQyFcMqRRQQ2w/edit?usp=share_link"",""บึงกาฬ!L200"")
+IMPORTRANGE(""https://docs.google.com/spreadsheets/d/1B3lPpzOuaNwVItLwLEZYl_qEblfcx7dRnbRkAw0l-pE/edit?usp=share_link"",""บุรีรัมย์!L200"")+IMPORTRANGE(""https://docs.google.com/spreadshe"&amp;"ets/d/19GOkiOqnzYbevLYWrMk4qFOXe3rX14BkSA8X-mq-a40/edit?usp=share_link"",""มหาสารคาม!L200"")+IMPORTRANGE(""https://docs.google.com/spreadsheets/d/1uMKqWwuNQ-TCKboGA3Bb1qXb5uj2-faACNUINCz8PN4/edit?usp=share_link"",""มุกดาหาร!L200"")+IMPORTRANGE(""https://d"&amp;"ocs.google.com/spreadsheets/d/1oKaccgDdQABndOzGr688Dbfxb_V3YcF67VqEPBtdzsc/edit?usp=share_link"",""ยโสธร!L200"")+IMPORTRANGE(""https://docs.google.com/spreadsheets/d/1BRgc8xKpxZ0PX-gauieMVkV_IOxKSotf0yW8MabGprQ/edit?usp=share_link"",""ร้อยเอ็ด!L200"")+IMP"&amp;"ORTRANGE(""https://docs.google.com/spreadsheets/d/1IdolZc-dfdgMwAm_KZxYJl1sUOcIgnbGQzbWOlddedo/edit?usp=share_link"",""เลย!L200"")+IMPORTRANGE(""https://docs.google.com/spreadsheets/d/1tZ0nmtGuIRCaGAMXHlQU8EpR9LOAJvyKfc4f7EFmE34/edit?usp=share_link"",""ศร"&amp;"ีสะเกษ!L200"")+IMPORTRANGE(""https://docs.google.com/spreadsheets/d/1QC8psz9w0f9IVE9Xuc2FT_btkaOzZbbUSgYObpBuetM/edit?usp=share_link"",""สกลนคร!L200"")+IMPORTRANGE(""https://docs.google.com/spreadsheets/d/1wPdvRbu02d33MYVlbsCnyTiZpefEBs9NNktAnT1HZvw/edit?"&amp;"usp=share_link"",""สุรินทร์!L200"")+IMPORTRANGE(""https://docs.google.com/spreadsheets/d/1GVExpf-Exi_2gmuqTYH28fseTB9MoKPXWcXCbSt_YrM/edit?usp=share_link"",""หนองคาย!L200"")+IMPORTRANGE(""https://docs.google.com/spreadsheets/d/16UeMz0UgOB5BZcoxP75eYGcLFtG"&amp;"YRn9GoesD4OX9m5U/edit?usp=share_link"",""หนองบัวลำภู!L200"")+IMPORTRANGE(""https://docs.google.com/spreadsheets/d/1uUP8Zo1-qaJLuIkRU0qlwLSE3DHkbdrrj2JGJiWBQZE/edit?usp=share_link"",""อำนาจเจริญ!L200"")+IMPORTRANGE(""https://docs.google.com/spreadsheets/d/"&amp;"1hb_taSOHanzRjqfzWPiFo8yiT83VV1L7vvUCLhOiHKc/edit?usp=share_link"",""อุดรธานี!L200"")+IMPORTRANGE(""https://docs.google.com/spreadsheets/d/17IOkEwkUd63EGNfyNDnM5de9YlZ7rwzTiW6-dokVjKI/edit?usp=share_link"",""อุบลราชธานี!L200"")
"),464000)</f>
        <v>464000</v>
      </c>
      <c r="M200" s="38"/>
      <c r="N200" s="283">
        <f ca="1">IFERROR(__xludf.DUMMYFUNCTION("IMPORTRANGE(""https://docs.google.com/spreadsheets/d/1fb2B9NLcpJgjIieIJvenUTNPn0TimZDUi0OtYeiSQ_s/edit?usp=share_link"",""กาฬสินธุ์!N200"")+IMPORTRANGE(""https://docs.google.com/spreadsheets/d/1SaMnqrwRGmFYNR0MhpWmHuL5niYUd5E7vDq8X7whAlI/edit?usp=share_li"&amp;"nk"",""ขอนแก่น!N200"")
+IMPORTRANGE(""https://docs.google.com/spreadsheets/d/1xQzEtGHhTTgxHh6YUkKY1P4dRyjVhS74dGswLfAASA4/edit?usp=share_link"",""ชัยภูมิ!N200"")+IMPORTRANGE(""https://docs.google.com/spreadsheets/d/1EXMBoBxU3OFbjT2TRpneM33qFjqDzrKmn9ydcfl"&amp;"fI0o/edit?usp=share_link"",""นครพนม!N200"")+IMPORTRANGE(""https://docs.google.com/spreadsheets/d/1bDQrolntRWtHumK8W-x-HXKntwxB9S3sF5aDeRS66Ko/edit?usp=share_link"",""นครราชสีมา!N200"")+IMPORTRANGE(""https://docs.google.com/spreadsheets/d/1_MzZ-2gVPiCW-d2V"&amp;"cafoCmFJQTSrZ6SQyFcMqRRQQ2w/edit?usp=share_link"",""บึงกาฬ!N200"")
+IMPORTRANGE(""https://docs.google.com/spreadsheets/d/1B3lPpzOuaNwVItLwLEZYl_qEblfcx7dRnbRkAw0l-pE/edit?usp=share_link"",""บุรีรัมย์!N200"")+IMPORTRANGE(""https://docs.google.com/spreadshe"&amp;"ets/d/19GOkiOqnzYbevLYWrMk4qFOXe3rX14BkSA8X-mq-a40/edit?usp=share_link"",""มหาสารคาม!N200"")+IMPORTRANGE(""https://docs.google.com/spreadsheets/d/1uMKqWwuNQ-TCKboGA3Bb1qXb5uj2-faACNUINCz8PN4/edit?usp=share_link"",""มุกดาหาร!N200"")+IMPORTRANGE(""https://d"&amp;"ocs.google.com/spreadsheets/d/1oKaccgDdQABndOzGr688Dbfxb_V3YcF67VqEPBtdzsc/edit?usp=share_link"",""ยโสธร!N200"")+IMPORTRANGE(""https://docs.google.com/spreadsheets/d/1BRgc8xKpxZ0PX-gauieMVkV_IOxKSotf0yW8MabGprQ/edit?usp=share_link"",""ร้อยเอ็ด!N200"")+IMP"&amp;"ORTRANGE(""https://docs.google.com/spreadsheets/d/1IdolZc-dfdgMwAm_KZxYJl1sUOcIgnbGQzbWOlddedo/edit?usp=share_link"",""เลย!N200"")+IMPORTRANGE(""https://docs.google.com/spreadsheets/d/1tZ0nmtGuIRCaGAMXHlQU8EpR9LOAJvyKfc4f7EFmE34/edit?usp=share_link"",""ศร"&amp;"ีสะเกษ!N200"")+IMPORTRANGE(""https://docs.google.com/spreadsheets/d/1QC8psz9w0f9IVE9Xuc2FT_btkaOzZbbUSgYObpBuetM/edit?usp=share_link"",""สกลนคร!N200"")+IMPORTRANGE(""https://docs.google.com/spreadsheets/d/1wPdvRbu02d33MYVlbsCnyTiZpefEBs9NNktAnT1HZvw/edit?"&amp;"usp=share_link"",""สุรินทร์!N200"")+IMPORTRANGE(""https://docs.google.com/spreadsheets/d/1GVExpf-Exi_2gmuqTYH28fseTB9MoKPXWcXCbSt_YrM/edit?usp=share_link"",""หนองคาย!N200"")+IMPORTRANGE(""https://docs.google.com/spreadsheets/d/16UeMz0UgOB5BZcoxP75eYGcLFtG"&amp;"YRn9GoesD4OX9m5U/edit?usp=share_link"",""หนองบัวลำภู!N200"")+IMPORTRANGE(""https://docs.google.com/spreadsheets/d/1uUP8Zo1-qaJLuIkRU0qlwLSE3DHkbdrrj2JGJiWBQZE/edit?usp=share_link"",""อำนาจเจริญ!N200"")+IMPORTRANGE(""https://docs.google.com/spreadsheets/d/"&amp;"1hb_taSOHanzRjqfzWPiFo8yiT83VV1L7vvUCLhOiHKc/edit?usp=share_link"",""อุดรธานี!N200"")+IMPORTRANGE(""https://docs.google.com/spreadsheets/d/17IOkEwkUd63EGNfyNDnM5de9YlZ7rwzTiW6-dokVjKI/edit?usp=share_link"",""อุบลราชธานี!N200"")
"),470450)</f>
        <v>470450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fb2B9NLcpJgjIieIJvenUTNPn0TimZDUi0OtYeiSQ_s/edit?usp=share_link"",""กาฬสินธุ์!L201"")+IMPORTRANGE(""https://docs.google.com/spreadsheets/d/1SaMnqrwRGmFYNR0MhpWmHuL5niYUd5E7vDq8X7whAlI/edit?usp=share_li"&amp;"nk"",""ขอนแก่น!L201"")
+IMPORTRANGE(""https://docs.google.com/spreadsheets/d/1xQzEtGHhTTgxHh6YUkKY1P4dRyjVhS74dGswLfAASA4/edit?usp=share_link"",""ชัยภูมิ!L201"")+IMPORTRANGE(""https://docs.google.com/spreadsheets/d/1EXMBoBxU3OFbjT2TRpneM33qFjqDzrKmn9ydcfl"&amp;"fI0o/edit?usp=share_link"",""นครพนม!L201"")+IMPORTRANGE(""https://docs.google.com/spreadsheets/d/1bDQrolntRWtHumK8W-x-HXKntwxB9S3sF5aDeRS66Ko/edit?usp=share_link"",""นครราชสีมา!L201"")+IMPORTRANGE(""https://docs.google.com/spreadsheets/d/1_MzZ-2gVPiCW-d2V"&amp;"cafoCmFJQTSrZ6SQyFcMqRRQQ2w/edit?usp=share_link"",""บึงกาฬ!L201"")
+IMPORTRANGE(""https://docs.google.com/spreadsheets/d/1B3lPpzOuaNwVItLwLEZYl_qEblfcx7dRnbRkAw0l-pE/edit?usp=share_link"",""บุรีรัมย์!L201"")+IMPORTRANGE(""https://docs.google.com/spreadshe"&amp;"ets/d/19GOkiOqnzYbevLYWrMk4qFOXe3rX14BkSA8X-mq-a40/edit?usp=share_link"",""มหาสารคาม!L201"")+IMPORTRANGE(""https://docs.google.com/spreadsheets/d/1uMKqWwuNQ-TCKboGA3Bb1qXb5uj2-faACNUINCz8PN4/edit?usp=share_link"",""มุกดาหาร!L201"")+IMPORTRANGE(""https://d"&amp;"ocs.google.com/spreadsheets/d/1oKaccgDdQABndOzGr688Dbfxb_V3YcF67VqEPBtdzsc/edit?usp=share_link"",""ยโสธร!L201"")+IMPORTRANGE(""https://docs.google.com/spreadsheets/d/1BRgc8xKpxZ0PX-gauieMVkV_IOxKSotf0yW8MabGprQ/edit?usp=share_link"",""ร้อยเอ็ด!L201"")+IMP"&amp;"ORTRANGE(""https://docs.google.com/spreadsheets/d/1IdolZc-dfdgMwAm_KZxYJl1sUOcIgnbGQzbWOlddedo/edit?usp=share_link"",""เลย!L201"")+IMPORTRANGE(""https://docs.google.com/spreadsheets/d/1tZ0nmtGuIRCaGAMXHlQU8EpR9LOAJvyKfc4f7EFmE34/edit?usp=share_link"",""ศร"&amp;"ีสะเกษ!L201"")+IMPORTRANGE(""https://docs.google.com/spreadsheets/d/1QC8psz9w0f9IVE9Xuc2FT_btkaOzZbbUSgYObpBuetM/edit?usp=share_link"",""สกลนคร!L201"")+IMPORTRANGE(""https://docs.google.com/spreadsheets/d/1wPdvRbu02d33MYVlbsCnyTiZpefEBs9NNktAnT1HZvw/edit?"&amp;"usp=share_link"",""สุรินทร์!L201"")+IMPORTRANGE(""https://docs.google.com/spreadsheets/d/1GVExpf-Exi_2gmuqTYH28fseTB9MoKPXWcXCbSt_YrM/edit?usp=share_link"",""หนองคาย!L201"")+IMPORTRANGE(""https://docs.google.com/spreadsheets/d/16UeMz0UgOB5BZcoxP75eYGcLFtG"&amp;"YRn9GoesD4OX9m5U/edit?usp=share_link"",""หนองบัวลำภู!L201"")+IMPORTRANGE(""https://docs.google.com/spreadsheets/d/1uUP8Zo1-qaJLuIkRU0qlwLSE3DHkbdrrj2JGJiWBQZE/edit?usp=share_link"",""อำนาจเจริญ!L201"")+IMPORTRANGE(""https://docs.google.com/spreadsheets/d/"&amp;"1hb_taSOHanzRjqfzWPiFo8yiT83VV1L7vvUCLhOiHKc/edit?usp=share_link"",""อุดรธานี!L201"")+IMPORTRANGE(""https://docs.google.com/spreadsheets/d/17IOkEwkUd63EGNfyNDnM5de9YlZ7rwzTiW6-dokVjKI/edit?usp=share_link"",""อุบลราชธานี!L201"")
"),232000)</f>
        <v>232000</v>
      </c>
      <c r="M201" s="38"/>
      <c r="N201" s="283">
        <f ca="1">IFERROR(__xludf.DUMMYFUNCTION("IMPORTRANGE(""https://docs.google.com/spreadsheets/d/1fb2B9NLcpJgjIieIJvenUTNPn0TimZDUi0OtYeiSQ_s/edit?usp=share_link"",""กาฬสินธุ์!N201"")+IMPORTRANGE(""https://docs.google.com/spreadsheets/d/1SaMnqrwRGmFYNR0MhpWmHuL5niYUd5E7vDq8X7whAlI/edit?usp=share_li"&amp;"nk"",""ขอนแก่น!N201"")
+IMPORTRANGE(""https://docs.google.com/spreadsheets/d/1xQzEtGHhTTgxHh6YUkKY1P4dRyjVhS74dGswLfAASA4/edit?usp=share_link"",""ชัยภูมิ!N201"")+IMPORTRANGE(""https://docs.google.com/spreadsheets/d/1EXMBoBxU3OFbjT2TRpneM33qFjqDzrKmn9ydcfl"&amp;"fI0o/edit?usp=share_link"",""นครพนม!N201"")+IMPORTRANGE(""https://docs.google.com/spreadsheets/d/1bDQrolntRWtHumK8W-x-HXKntwxB9S3sF5aDeRS66Ko/edit?usp=share_link"",""นครราชสีมา!N201"")+IMPORTRANGE(""https://docs.google.com/spreadsheets/d/1_MzZ-2gVPiCW-d2V"&amp;"cafoCmFJQTSrZ6SQyFcMqRRQQ2w/edit?usp=share_link"",""บึงกาฬ!N201"")
+IMPORTRANGE(""https://docs.google.com/spreadsheets/d/1B3lPpzOuaNwVItLwLEZYl_qEblfcx7dRnbRkAw0l-pE/edit?usp=share_link"",""บุรีรัมย์!N201"")+IMPORTRANGE(""https://docs.google.com/spreadshe"&amp;"ets/d/19GOkiOqnzYbevLYWrMk4qFOXe3rX14BkSA8X-mq-a40/edit?usp=share_link"",""มหาสารคาม!N201"")+IMPORTRANGE(""https://docs.google.com/spreadsheets/d/1uMKqWwuNQ-TCKboGA3Bb1qXb5uj2-faACNUINCz8PN4/edit?usp=share_link"",""มุกดาหาร!N201"")+IMPORTRANGE(""https://d"&amp;"ocs.google.com/spreadsheets/d/1oKaccgDdQABndOzGr688Dbfxb_V3YcF67VqEPBtdzsc/edit?usp=share_link"",""ยโสธร!N201"")+IMPORTRANGE(""https://docs.google.com/spreadsheets/d/1BRgc8xKpxZ0PX-gauieMVkV_IOxKSotf0yW8MabGprQ/edit?usp=share_link"",""ร้อยเอ็ด!N201"")+IMP"&amp;"ORTRANGE(""https://docs.google.com/spreadsheets/d/1IdolZc-dfdgMwAm_KZxYJl1sUOcIgnbGQzbWOlddedo/edit?usp=share_link"",""เลย!N201"")+IMPORTRANGE(""https://docs.google.com/spreadsheets/d/1tZ0nmtGuIRCaGAMXHlQU8EpR9LOAJvyKfc4f7EFmE34/edit?usp=share_link"",""ศร"&amp;"ีสะเกษ!N201"")+IMPORTRANGE(""https://docs.google.com/spreadsheets/d/1QC8psz9w0f9IVE9Xuc2FT_btkaOzZbbUSgYObpBuetM/edit?usp=share_link"",""สกลนคร!N201"")+IMPORTRANGE(""https://docs.google.com/spreadsheets/d/1wPdvRbu02d33MYVlbsCnyTiZpefEBs9NNktAnT1HZvw/edit?"&amp;"usp=share_link"",""สุรินทร์!N201"")+IMPORTRANGE(""https://docs.google.com/spreadsheets/d/1GVExpf-Exi_2gmuqTYH28fseTB9MoKPXWcXCbSt_YrM/edit?usp=share_link"",""หนองคาย!N201"")+IMPORTRANGE(""https://docs.google.com/spreadsheets/d/16UeMz0UgOB5BZcoxP75eYGcLFtG"&amp;"YRn9GoesD4OX9m5U/edit?usp=share_link"",""หนองบัวลำภู!N201"")+IMPORTRANGE(""https://docs.google.com/spreadsheets/d/1uUP8Zo1-qaJLuIkRU0qlwLSE3DHkbdrrj2JGJiWBQZE/edit?usp=share_link"",""อำนาจเจริญ!N201"")+IMPORTRANGE(""https://docs.google.com/spreadsheets/d/"&amp;"1hb_taSOHanzRjqfzWPiFo8yiT83VV1L7vvUCLhOiHKc/edit?usp=share_link"",""อุดรธานี!N201"")+IMPORTRANGE(""https://docs.google.com/spreadsheets/d/17IOkEwkUd63EGNfyNDnM5de9YlZ7rwzTiW6-dokVjKI/edit?usp=share_link"",""อุบลราชธานี!N201"")
"),225760)</f>
        <v>225760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fb2B9NLcpJgjIieIJvenUTNPn0TimZDUi0OtYeiSQ_s/edit?usp=share_link"",""กาฬสินธุ์!L202"")+IMPORTRANGE(""https://docs.google.com/spreadsheets/d/1SaMnqrwRGmFYNR0MhpWmHuL5niYUd5E7vDq8X7whAlI/edit?usp=share_li"&amp;"nk"",""ขอนแก่น!L202"")
+IMPORTRANGE(""https://docs.google.com/spreadsheets/d/1xQzEtGHhTTgxHh6YUkKY1P4dRyjVhS74dGswLfAASA4/edit?usp=share_link"",""ชัยภูมิ!L202"")+IMPORTRANGE(""https://docs.google.com/spreadsheets/d/1EXMBoBxU3OFbjT2TRpneM33qFjqDzrKmn9ydcfl"&amp;"fI0o/edit?usp=share_link"",""นครพนม!L202"")+IMPORTRANGE(""https://docs.google.com/spreadsheets/d/1bDQrolntRWtHumK8W-x-HXKntwxB9S3sF5aDeRS66Ko/edit?usp=share_link"",""นครราชสีมา!L202"")+IMPORTRANGE(""https://docs.google.com/spreadsheets/d/1_MzZ-2gVPiCW-d2V"&amp;"cafoCmFJQTSrZ6SQyFcMqRRQQ2w/edit?usp=share_link"",""บึงกาฬ!L202"")
+IMPORTRANGE(""https://docs.google.com/spreadsheets/d/1B3lPpzOuaNwVItLwLEZYl_qEblfcx7dRnbRkAw0l-pE/edit?usp=share_link"",""บุรีรัมย์!L202"")+IMPORTRANGE(""https://docs.google.com/spreadshe"&amp;"ets/d/19GOkiOqnzYbevLYWrMk4qFOXe3rX14BkSA8X-mq-a40/edit?usp=share_link"",""มหาสารคาม!L202"")+IMPORTRANGE(""https://docs.google.com/spreadsheets/d/1uMKqWwuNQ-TCKboGA3Bb1qXb5uj2-faACNUINCz8PN4/edit?usp=share_link"",""มุกดาหาร!L202"")+IMPORTRANGE(""https://d"&amp;"ocs.google.com/spreadsheets/d/1oKaccgDdQABndOzGr688Dbfxb_V3YcF67VqEPBtdzsc/edit?usp=share_link"",""ยโสธร!L202"")+IMPORTRANGE(""https://docs.google.com/spreadsheets/d/1BRgc8xKpxZ0PX-gauieMVkV_IOxKSotf0yW8MabGprQ/edit?usp=share_link"",""ร้อยเอ็ด!L202"")+IMP"&amp;"ORTRANGE(""https://docs.google.com/spreadsheets/d/1IdolZc-dfdgMwAm_KZxYJl1sUOcIgnbGQzbWOlddedo/edit?usp=share_link"",""เลย!L202"")+IMPORTRANGE(""https://docs.google.com/spreadsheets/d/1tZ0nmtGuIRCaGAMXHlQU8EpR9LOAJvyKfc4f7EFmE34/edit?usp=share_link"",""ศร"&amp;"ีสะเกษ!L202"")+IMPORTRANGE(""https://docs.google.com/spreadsheets/d/1QC8psz9w0f9IVE9Xuc2FT_btkaOzZbbUSgYObpBuetM/edit?usp=share_link"",""สกลนคร!L202"")+IMPORTRANGE(""https://docs.google.com/spreadsheets/d/1wPdvRbu02d33MYVlbsCnyTiZpefEBs9NNktAnT1HZvw/edit?"&amp;"usp=share_link"",""สุรินทร์!L202"")+IMPORTRANGE(""https://docs.google.com/spreadsheets/d/1GVExpf-Exi_2gmuqTYH28fseTB9MoKPXWcXCbSt_YrM/edit?usp=share_link"",""หนองคาย!L202"")+IMPORTRANGE(""https://docs.google.com/spreadsheets/d/16UeMz0UgOB5BZcoxP75eYGcLFtG"&amp;"YRn9GoesD4OX9m5U/edit?usp=share_link"",""หนองบัวลำภู!L202"")+IMPORTRANGE(""https://docs.google.com/spreadsheets/d/1uUP8Zo1-qaJLuIkRU0qlwLSE3DHkbdrrj2JGJiWBQZE/edit?usp=share_link"",""อำนาจเจริญ!L202"")+IMPORTRANGE(""https://docs.google.com/spreadsheets/d/"&amp;"1hb_taSOHanzRjqfzWPiFo8yiT83VV1L7vvUCLhOiHKc/edit?usp=share_link"",""อุดรธานี!L202"")+IMPORTRANGE(""https://docs.google.com/spreadsheets/d/17IOkEwkUd63EGNfyNDnM5de9YlZ7rwzTiW6-dokVjKI/edit?usp=share_link"",""อุบลราชธานี!L202"")
"),35000)</f>
        <v>35000</v>
      </c>
      <c r="M202" s="38"/>
      <c r="N202" s="283">
        <f ca="1">IFERROR(__xludf.DUMMYFUNCTION("IMPORTRANGE(""https://docs.google.com/spreadsheets/d/1fb2B9NLcpJgjIieIJvenUTNPn0TimZDUi0OtYeiSQ_s/edit?usp=share_link"",""กาฬสินธุ์!N202"")+IMPORTRANGE(""https://docs.google.com/spreadsheets/d/1SaMnqrwRGmFYNR0MhpWmHuL5niYUd5E7vDq8X7whAlI/edit?usp=share_li"&amp;"nk"",""ขอนแก่น!N202"")
+IMPORTRANGE(""https://docs.google.com/spreadsheets/d/1xQzEtGHhTTgxHh6YUkKY1P4dRyjVhS74dGswLfAASA4/edit?usp=share_link"",""ชัยภูมิ!N202"")+IMPORTRANGE(""https://docs.google.com/spreadsheets/d/1EXMBoBxU3OFbjT2TRpneM33qFjqDzrKmn9ydcfl"&amp;"fI0o/edit?usp=share_link"",""นครพนม!N202"")+IMPORTRANGE(""https://docs.google.com/spreadsheets/d/1bDQrolntRWtHumK8W-x-HXKntwxB9S3sF5aDeRS66Ko/edit?usp=share_link"",""นครราชสีมา!N202"")+IMPORTRANGE(""https://docs.google.com/spreadsheets/d/1_MzZ-2gVPiCW-d2V"&amp;"cafoCmFJQTSrZ6SQyFcMqRRQQ2w/edit?usp=share_link"",""บึงกาฬ!N202"")
+IMPORTRANGE(""https://docs.google.com/spreadsheets/d/1B3lPpzOuaNwVItLwLEZYl_qEblfcx7dRnbRkAw0l-pE/edit?usp=share_link"",""บุรีรัมย์!N202"")+IMPORTRANGE(""https://docs.google.com/spreadshe"&amp;"ets/d/19GOkiOqnzYbevLYWrMk4qFOXe3rX14BkSA8X-mq-a40/edit?usp=share_link"",""มหาสารคาม!N202"")+IMPORTRANGE(""https://docs.google.com/spreadsheets/d/1uMKqWwuNQ-TCKboGA3Bb1qXb5uj2-faACNUINCz8PN4/edit?usp=share_link"",""มุกดาหาร!N202"")+IMPORTRANGE(""https://d"&amp;"ocs.google.com/spreadsheets/d/1oKaccgDdQABndOzGr688Dbfxb_V3YcF67VqEPBtdzsc/edit?usp=share_link"",""ยโสธร!N202"")+IMPORTRANGE(""https://docs.google.com/spreadsheets/d/1BRgc8xKpxZ0PX-gauieMVkV_IOxKSotf0yW8MabGprQ/edit?usp=share_link"",""ร้อยเอ็ด!N202"")+IMP"&amp;"ORTRANGE(""https://docs.google.com/spreadsheets/d/1IdolZc-dfdgMwAm_KZxYJl1sUOcIgnbGQzbWOlddedo/edit?usp=share_link"",""เลย!N202"")+IMPORTRANGE(""https://docs.google.com/spreadsheets/d/1tZ0nmtGuIRCaGAMXHlQU8EpR9LOAJvyKfc4f7EFmE34/edit?usp=share_link"",""ศร"&amp;"ีสะเกษ!N202"")+IMPORTRANGE(""https://docs.google.com/spreadsheets/d/1QC8psz9w0f9IVE9Xuc2FT_btkaOzZbbUSgYObpBuetM/edit?usp=share_link"",""สกลนคร!N202"")+IMPORTRANGE(""https://docs.google.com/spreadsheets/d/1wPdvRbu02d33MYVlbsCnyTiZpefEBs9NNktAnT1HZvw/edit?"&amp;"usp=share_link"",""สุรินทร์!N202"")+IMPORTRANGE(""https://docs.google.com/spreadsheets/d/1GVExpf-Exi_2gmuqTYH28fseTB9MoKPXWcXCbSt_YrM/edit?usp=share_link"",""หนองคาย!N202"")+IMPORTRANGE(""https://docs.google.com/spreadsheets/d/16UeMz0UgOB5BZcoxP75eYGcLFtG"&amp;"YRn9GoesD4OX9m5U/edit?usp=share_link"",""หนองบัวลำภู!N202"")+IMPORTRANGE(""https://docs.google.com/spreadsheets/d/1uUP8Zo1-qaJLuIkRU0qlwLSE3DHkbdrrj2JGJiWBQZE/edit?usp=share_link"",""อำนาจเจริญ!N202"")+IMPORTRANGE(""https://docs.google.com/spreadsheets/d/"&amp;"1hb_taSOHanzRjqfzWPiFo8yiT83VV1L7vvUCLhOiHKc/edit?usp=share_link"",""อุดรธานี!N202"")+IMPORTRANGE(""https://docs.google.com/spreadsheets/d/17IOkEwkUd63EGNfyNDnM5de9YlZ7rwzTiW6-dokVjKI/edit?usp=share_link"",""อุบลราชธานี!N202"")
"),35000)</f>
        <v>35000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fb2B9NLcpJgjIieIJvenUTNPn0TimZDUi0OtYeiSQ_s/edit?usp=share_link"",""กาฬสินธุ์!I204"")+IMPORTRANGE(""https://docs.google.com/spreadsheets/d/1SaMnqrwRGmFYNR0MhpWmHuL5niYUd5E7vDq8X7whAlI/edit?usp=share_li"&amp;"nk"",""ขอนแก่น!I204"")
+IMPORTRANGE(""https://docs.google.com/spreadsheets/d/1xQzEtGHhTTgxHh6YUkKY1P4dRyjVhS74dGswLfAASA4/edit?usp=share_link"",""ชัยภูมิ!I204"")+IMPORTRANGE(""https://docs.google.com/spreadsheets/d/1EXMBoBxU3OFbjT2TRpneM33qFjqDzrKmn9ydcfl"&amp;"fI0o/edit?usp=share_link"",""นครพนม!I204"")+IMPORTRANGE(""https://docs.google.com/spreadsheets/d/1bDQrolntRWtHumK8W-x-HXKntwxB9S3sF5aDeRS66Ko/edit?usp=share_link"",""นครราชสีมา!I204"")+IMPORTRANGE(""https://docs.google.com/spreadsheets/d/1_MzZ-2gVPiCW-d2V"&amp;"cafoCmFJQTSrZ6SQyFcMqRRQQ2w/edit?usp=share_link"",""บึงกาฬ!I204"")
+IMPORTRANGE(""https://docs.google.com/spreadsheets/d/1B3lPpzOuaNwVItLwLEZYl_qEblfcx7dRnbRkAw0l-pE/edit?usp=share_link"",""บุรีรัมย์!I204"")+IMPORTRANGE(""https://docs.google.com/spreadshe"&amp;"ets/d/19GOkiOqnzYbevLYWrMk4qFOXe3rX14BkSA8X-mq-a40/edit?usp=share_link"",""มหาสารคาม!I204"")+IMPORTRANGE(""https://docs.google.com/spreadsheets/d/1uMKqWwuNQ-TCKboGA3Bb1qXb5uj2-faACNUINCz8PN4/edit?usp=share_link"",""มุกดาหาร!I204"")+IMPORTRANGE(""https://d"&amp;"ocs.google.com/spreadsheets/d/1oKaccgDdQABndOzGr688Dbfxb_V3YcF67VqEPBtdzsc/edit?usp=share_link"",""ยโสธร!I204"")+IMPORTRANGE(""https://docs.google.com/spreadsheets/d/1BRgc8xKpxZ0PX-gauieMVkV_IOxKSotf0yW8MabGprQ/edit?usp=share_link"",""ร้อยเอ็ด!I204"")+IMP"&amp;"ORTRANGE(""https://docs.google.com/spreadsheets/d/1IdolZc-dfdgMwAm_KZxYJl1sUOcIgnbGQzbWOlddedo/edit?usp=share_link"",""เลย!I204"")+IMPORTRANGE(""https://docs.google.com/spreadsheets/d/1tZ0nmtGuIRCaGAMXHlQU8EpR9LOAJvyKfc4f7EFmE34/edit?usp=share_link"",""ศร"&amp;"ีสะเกษ!I204"")+IMPORTRANGE(""https://docs.google.com/spreadsheets/d/1QC8psz9w0f9IVE9Xuc2FT_btkaOzZbbUSgYObpBuetM/edit?usp=share_link"",""สกลนคร!I204"")+IMPORTRANGE(""https://docs.google.com/spreadsheets/d/1wPdvRbu02d33MYVlbsCnyTiZpefEBs9NNktAnT1HZvw/edit?"&amp;"usp=share_link"",""สุรินทร์!I204"")+IMPORTRANGE(""https://docs.google.com/spreadsheets/d/1GVExpf-Exi_2gmuqTYH28fseTB9MoKPXWcXCbSt_YrM/edit?usp=share_link"",""หนองคาย!I204"")+IMPORTRANGE(""https://docs.google.com/spreadsheets/d/16UeMz0UgOB5BZcoxP75eYGcLFtG"&amp;"YRn9GoesD4OX9m5U/edit?usp=share_link"",""หนองบัวลำภู!I204"")+IMPORTRANGE(""https://docs.google.com/spreadsheets/d/1uUP8Zo1-qaJLuIkRU0qlwLSE3DHkbdrrj2JGJiWBQZE/edit?usp=share_link"",""อำนาจเจริญ!I204"")+IMPORTRANGE(""https://docs.google.com/spreadsheets/d/"&amp;"1hb_taSOHanzRjqfzWPiFo8yiT83VV1L7vvUCLhOiHKc/edit?usp=share_link"",""อุดรธานี!I204"")+IMPORTRANGE(""https://docs.google.com/spreadsheets/d/17IOkEwkUd63EGNfyNDnM5de9YlZ7rwzTiW6-dokVjKI/edit?usp=share_link"",""อุบลราชธานี!I204"")
"),58)</f>
        <v>58</v>
      </c>
      <c r="J204" s="183">
        <f ca="1">IFERROR(__xludf.DUMMYFUNCTION("IMPORTRANGE(""https://docs.google.com/spreadsheets/d/1fb2B9NLcpJgjIieIJvenUTNPn0TimZDUi0OtYeiSQ_s/edit?usp=share_link"",""กาฬสินธุ์!J204"")+IMPORTRANGE(""https://docs.google.com/spreadsheets/d/1SaMnqrwRGmFYNR0MhpWmHuL5niYUd5E7vDq8X7whAlI/edit?usp=share_li"&amp;"nk"",""ขอนแก่น!J204"")
+IMPORTRANGE(""https://docs.google.com/spreadsheets/d/1xQzEtGHhTTgxHh6YUkKY1P4dRyjVhS74dGswLfAASA4/edit?usp=share_link"",""ชัยภูมิ!J204"")+IMPORTRANGE(""https://docs.google.com/spreadsheets/d/1EXMBoBxU3OFbjT2TRpneM33qFjqDzrKmn9ydcfl"&amp;"fI0o/edit?usp=share_link"",""นครพนม!J204"")+IMPORTRANGE(""https://docs.google.com/spreadsheets/d/1bDQrolntRWtHumK8W-x-HXKntwxB9S3sF5aDeRS66Ko/edit?usp=share_link"",""นครราชสีมา!J204"")+IMPORTRANGE(""https://docs.google.com/spreadsheets/d/1_MzZ-2gVPiCW-d2V"&amp;"cafoCmFJQTSrZ6SQyFcMqRRQQ2w/edit?usp=share_link"",""บึงกาฬ!J204"")
+IMPORTRANGE(""https://docs.google.com/spreadsheets/d/1B3lPpzOuaNwVItLwLEZYl_qEblfcx7dRnbRkAw0l-pE/edit?usp=share_link"",""บุรีรัมย์!J204"")+IMPORTRANGE(""https://docs.google.com/spreadshe"&amp;"ets/d/19GOkiOqnzYbevLYWrMk4qFOXe3rX14BkSA8X-mq-a40/edit?usp=share_link"",""มหาสารคาม!J204"")+IMPORTRANGE(""https://docs.google.com/spreadsheets/d/1uMKqWwuNQ-TCKboGA3Bb1qXb5uj2-faACNUINCz8PN4/edit?usp=share_link"",""มุกดาหาร!J204"")+IMPORTRANGE(""https://d"&amp;"ocs.google.com/spreadsheets/d/1oKaccgDdQABndOzGr688Dbfxb_V3YcF67VqEPBtdzsc/edit?usp=share_link"",""ยโสธร!J204"")+IMPORTRANGE(""https://docs.google.com/spreadsheets/d/1BRgc8xKpxZ0PX-gauieMVkV_IOxKSotf0yW8MabGprQ/edit?usp=share_link"",""ร้อยเอ็ด!J204"")+IMP"&amp;"ORTRANGE(""https://docs.google.com/spreadsheets/d/1IdolZc-dfdgMwAm_KZxYJl1sUOcIgnbGQzbWOlddedo/edit?usp=share_link"",""เลย!J204"")+IMPORTRANGE(""https://docs.google.com/spreadsheets/d/1tZ0nmtGuIRCaGAMXHlQU8EpR9LOAJvyKfc4f7EFmE34/edit?usp=share_link"",""ศร"&amp;"ีสะเกษ!J204"")+IMPORTRANGE(""https://docs.google.com/spreadsheets/d/1QC8psz9w0f9IVE9Xuc2FT_btkaOzZbbUSgYObpBuetM/edit?usp=share_link"",""สกลนคร!J204"")+IMPORTRANGE(""https://docs.google.com/spreadsheets/d/1wPdvRbu02d33MYVlbsCnyTiZpefEBs9NNktAnT1HZvw/edit?"&amp;"usp=share_link"",""สุรินทร์!J204"")+IMPORTRANGE(""https://docs.google.com/spreadsheets/d/1GVExpf-Exi_2gmuqTYH28fseTB9MoKPXWcXCbSt_YrM/edit?usp=share_link"",""หนองคาย!J204"")+IMPORTRANGE(""https://docs.google.com/spreadsheets/d/16UeMz0UgOB5BZcoxP75eYGcLFtG"&amp;"YRn9GoesD4OX9m5U/edit?usp=share_link"",""หนองบัวลำภู!J204"")+IMPORTRANGE(""https://docs.google.com/spreadsheets/d/1uUP8Zo1-qaJLuIkRU0qlwLSE3DHkbdrrj2JGJiWBQZE/edit?usp=share_link"",""อำนาจเจริญ!J204"")+IMPORTRANGE(""https://docs.google.com/spreadsheets/d/"&amp;"1hb_taSOHanzRjqfzWPiFo8yiT83VV1L7vvUCLhOiHKc/edit?usp=share_link"",""อุดรธานี!J204"")+IMPORTRANGE(""https://docs.google.com/spreadsheets/d/17IOkEwkUd63EGNfyNDnM5de9YlZ7rwzTiW6-dokVjKI/edit?usp=share_link"",""อุบลราชธานี!J204"")
"),58)</f>
        <v>58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fb2B9NLcpJgjIieIJvenUTNPn0TimZDUi0OtYeiSQ_s/edit?usp=share_link"",""กาฬสินธุ์!I206"")+IMPORTRANGE(""https://docs.google.com/spreadsheets/d/1SaMnqrwRGmFYNR0MhpWmHuL5niYUd5E7vDq8X7whAlI/edit?usp=share_li"&amp;"nk"",""ขอนแก่น!I206"")
+IMPORTRANGE(""https://docs.google.com/spreadsheets/d/1xQzEtGHhTTgxHh6YUkKY1P4dRyjVhS74dGswLfAASA4/edit?usp=share_link"",""ชัยภูมิ!I206"")+IMPORTRANGE(""https://docs.google.com/spreadsheets/d/1EXMBoBxU3OFbjT2TRpneM33qFjqDzrKmn9ydcfl"&amp;"fI0o/edit?usp=share_link"",""นครพนม!I206"")+IMPORTRANGE(""https://docs.google.com/spreadsheets/d/1bDQrolntRWtHumK8W-x-HXKntwxB9S3sF5aDeRS66Ko/edit?usp=share_link"",""นครราชสีมา!I206"")+IMPORTRANGE(""https://docs.google.com/spreadsheets/d/1_MzZ-2gVPiCW-d2V"&amp;"cafoCmFJQTSrZ6SQyFcMqRRQQ2w/edit?usp=share_link"",""บึงกาฬ!I206"")
+IMPORTRANGE(""https://docs.google.com/spreadsheets/d/1B3lPpzOuaNwVItLwLEZYl_qEblfcx7dRnbRkAw0l-pE/edit?usp=share_link"",""บุรีรัมย์!I206"")+IMPORTRANGE(""https://docs.google.com/spreadshe"&amp;"ets/d/19GOkiOqnzYbevLYWrMk4qFOXe3rX14BkSA8X-mq-a40/edit?usp=share_link"",""มหาสารคาม!I206"")+IMPORTRANGE(""https://docs.google.com/spreadsheets/d/1uMKqWwuNQ-TCKboGA3Bb1qXb5uj2-faACNUINCz8PN4/edit?usp=share_link"",""มุกดาหาร!I206"")+IMPORTRANGE(""https://d"&amp;"ocs.google.com/spreadsheets/d/1oKaccgDdQABndOzGr688Dbfxb_V3YcF67VqEPBtdzsc/edit?usp=share_link"",""ยโสธร!I206"")+IMPORTRANGE(""https://docs.google.com/spreadsheets/d/1BRgc8xKpxZ0PX-gauieMVkV_IOxKSotf0yW8MabGprQ/edit?usp=share_link"",""ร้อยเอ็ด!I206"")+IMP"&amp;"ORTRANGE(""https://docs.google.com/spreadsheets/d/1IdolZc-dfdgMwAm_KZxYJl1sUOcIgnbGQzbWOlddedo/edit?usp=share_link"",""เลย!I206"")+IMPORTRANGE(""https://docs.google.com/spreadsheets/d/1tZ0nmtGuIRCaGAMXHlQU8EpR9LOAJvyKfc4f7EFmE34/edit?usp=share_link"",""ศร"&amp;"ีสะเกษ!I206"")+IMPORTRANGE(""https://docs.google.com/spreadsheets/d/1QC8psz9w0f9IVE9Xuc2FT_btkaOzZbbUSgYObpBuetM/edit?usp=share_link"",""สกลนคร!I206"")+IMPORTRANGE(""https://docs.google.com/spreadsheets/d/1wPdvRbu02d33MYVlbsCnyTiZpefEBs9NNktAnT1HZvw/edit?"&amp;"usp=share_link"",""สุรินทร์!I206"")+IMPORTRANGE(""https://docs.google.com/spreadsheets/d/1GVExpf-Exi_2gmuqTYH28fseTB9MoKPXWcXCbSt_YrM/edit?usp=share_link"",""หนองคาย!I206"")+IMPORTRANGE(""https://docs.google.com/spreadsheets/d/16UeMz0UgOB5BZcoxP75eYGcLFtG"&amp;"YRn9GoesD4OX9m5U/edit?usp=share_link"",""หนองบัวลำภู!I206"")+IMPORTRANGE(""https://docs.google.com/spreadsheets/d/1uUP8Zo1-qaJLuIkRU0qlwLSE3DHkbdrrj2JGJiWBQZE/edit?usp=share_link"",""อำนาจเจริญ!I206"")+IMPORTRANGE(""https://docs.google.com/spreadsheets/d/"&amp;"1hb_taSOHanzRjqfzWPiFo8yiT83VV1L7vvUCLhOiHKc/edit?usp=share_link"",""อุดรธานี!I206"")+IMPORTRANGE(""https://docs.google.com/spreadsheets/d/17IOkEwkUd63EGNfyNDnM5de9YlZ7rwzTiW6-dokVjKI/edit?usp=share_link"",""อุบลราชธานี!I206"")
"),58)</f>
        <v>58</v>
      </c>
      <c r="J206" s="183">
        <f ca="1">IFERROR(__xludf.DUMMYFUNCTION("IMPORTRANGE(""https://docs.google.com/spreadsheets/d/1fb2B9NLcpJgjIieIJvenUTNPn0TimZDUi0OtYeiSQ_s/edit?usp=share_link"",""กาฬสินธุ์!J206"")+IMPORTRANGE(""https://docs.google.com/spreadsheets/d/1SaMnqrwRGmFYNR0MhpWmHuL5niYUd5E7vDq8X7whAlI/edit?usp=share_li"&amp;"nk"",""ขอนแก่น!J206"")
+IMPORTRANGE(""https://docs.google.com/spreadsheets/d/1xQzEtGHhTTgxHh6YUkKY1P4dRyjVhS74dGswLfAASA4/edit?usp=share_link"",""ชัยภูมิ!J206"")+IMPORTRANGE(""https://docs.google.com/spreadsheets/d/1EXMBoBxU3OFbjT2TRpneM33qFjqDzrKmn9ydcfl"&amp;"fI0o/edit?usp=share_link"",""นครพนม!J206"")+IMPORTRANGE(""https://docs.google.com/spreadsheets/d/1bDQrolntRWtHumK8W-x-HXKntwxB9S3sF5aDeRS66Ko/edit?usp=share_link"",""นครราชสีมา!J206"")+IMPORTRANGE(""https://docs.google.com/spreadsheets/d/1_MzZ-2gVPiCW-d2V"&amp;"cafoCmFJQTSrZ6SQyFcMqRRQQ2w/edit?usp=share_link"",""บึงกาฬ!J206"")
+IMPORTRANGE(""https://docs.google.com/spreadsheets/d/1B3lPpzOuaNwVItLwLEZYl_qEblfcx7dRnbRkAw0l-pE/edit?usp=share_link"",""บุรีรัมย์!J206"")+IMPORTRANGE(""https://docs.google.com/spreadshe"&amp;"ets/d/19GOkiOqnzYbevLYWrMk4qFOXe3rX14BkSA8X-mq-a40/edit?usp=share_link"",""มหาสารคาม!J206"")+IMPORTRANGE(""https://docs.google.com/spreadsheets/d/1uMKqWwuNQ-TCKboGA3Bb1qXb5uj2-faACNUINCz8PN4/edit?usp=share_link"",""มุกดาหาร!J206"")+IMPORTRANGE(""https://d"&amp;"ocs.google.com/spreadsheets/d/1oKaccgDdQABndOzGr688Dbfxb_V3YcF67VqEPBtdzsc/edit?usp=share_link"",""ยโสธร!J206"")+IMPORTRANGE(""https://docs.google.com/spreadsheets/d/1BRgc8xKpxZ0PX-gauieMVkV_IOxKSotf0yW8MabGprQ/edit?usp=share_link"",""ร้อยเอ็ด!J206"")+IMP"&amp;"ORTRANGE(""https://docs.google.com/spreadsheets/d/1IdolZc-dfdgMwAm_KZxYJl1sUOcIgnbGQzbWOlddedo/edit?usp=share_link"",""เลย!J206"")+IMPORTRANGE(""https://docs.google.com/spreadsheets/d/1tZ0nmtGuIRCaGAMXHlQU8EpR9LOAJvyKfc4f7EFmE34/edit?usp=share_link"",""ศร"&amp;"ีสะเกษ!J206"")+IMPORTRANGE(""https://docs.google.com/spreadsheets/d/1QC8psz9w0f9IVE9Xuc2FT_btkaOzZbbUSgYObpBuetM/edit?usp=share_link"",""สกลนคร!J206"")+IMPORTRANGE(""https://docs.google.com/spreadsheets/d/1wPdvRbu02d33MYVlbsCnyTiZpefEBs9NNktAnT1HZvw/edit?"&amp;"usp=share_link"",""สุรินทร์!J206"")+IMPORTRANGE(""https://docs.google.com/spreadsheets/d/1GVExpf-Exi_2gmuqTYH28fseTB9MoKPXWcXCbSt_YrM/edit?usp=share_link"",""หนองคาย!J206"")+IMPORTRANGE(""https://docs.google.com/spreadsheets/d/16UeMz0UgOB5BZcoxP75eYGcLFtG"&amp;"YRn9GoesD4OX9m5U/edit?usp=share_link"",""หนองบัวลำภู!J206"")+IMPORTRANGE(""https://docs.google.com/spreadsheets/d/1uUP8Zo1-qaJLuIkRU0qlwLSE3DHkbdrrj2JGJiWBQZE/edit?usp=share_link"",""อำนาจเจริญ!J206"")+IMPORTRANGE(""https://docs.google.com/spreadsheets/d/"&amp;"1hb_taSOHanzRjqfzWPiFo8yiT83VV1L7vvUCLhOiHKc/edit?usp=share_link"",""อุดรธานี!J206"")+IMPORTRANGE(""https://docs.google.com/spreadsheets/d/17IOkEwkUd63EGNfyNDnM5de9YlZ7rwzTiW6-dokVjKI/edit?usp=share_link"",""อุบลราชธานี!J206"")
"),58)</f>
        <v>58</v>
      </c>
      <c r="K206" s="163">
        <f t="shared" ref="K206:K208" ca="1" si="121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fb2B9NLcpJgjIieIJvenUTNPn0TimZDUi0OtYeiSQ_s/edit?usp=share_link"",""กาฬสินธุ์!I207"")+IMPORTRANGE(""https://docs.google.com/spreadsheets/d/1SaMnqrwRGmFYNR0MhpWmHuL5niYUd5E7vDq8X7whAlI/edit?usp=share_li"&amp;"nk"",""ขอนแก่น!I207"")
+IMPORTRANGE(""https://docs.google.com/spreadsheets/d/1xQzEtGHhTTgxHh6YUkKY1P4dRyjVhS74dGswLfAASA4/edit?usp=share_link"",""ชัยภูมิ!I207"")+IMPORTRANGE(""https://docs.google.com/spreadsheets/d/1EXMBoBxU3OFbjT2TRpneM33qFjqDzrKmn9ydcfl"&amp;"fI0o/edit?usp=share_link"",""นครพนม!I207"")+IMPORTRANGE(""https://docs.google.com/spreadsheets/d/1bDQrolntRWtHumK8W-x-HXKntwxB9S3sF5aDeRS66Ko/edit?usp=share_link"",""นครราชสีมา!I207"")+IMPORTRANGE(""https://docs.google.com/spreadsheets/d/1_MzZ-2gVPiCW-d2V"&amp;"cafoCmFJQTSrZ6SQyFcMqRRQQ2w/edit?usp=share_link"",""บึงกาฬ!I207"")
+IMPORTRANGE(""https://docs.google.com/spreadsheets/d/1B3lPpzOuaNwVItLwLEZYl_qEblfcx7dRnbRkAw0l-pE/edit?usp=share_link"",""บุรีรัมย์!I207"")+IMPORTRANGE(""https://docs.google.com/spreadshe"&amp;"ets/d/19GOkiOqnzYbevLYWrMk4qFOXe3rX14BkSA8X-mq-a40/edit?usp=share_link"",""มหาสารคาม!I207"")+IMPORTRANGE(""https://docs.google.com/spreadsheets/d/1uMKqWwuNQ-TCKboGA3Bb1qXb5uj2-faACNUINCz8PN4/edit?usp=share_link"",""มุกดาหาร!I207"")+IMPORTRANGE(""https://d"&amp;"ocs.google.com/spreadsheets/d/1oKaccgDdQABndOzGr688Dbfxb_V3YcF67VqEPBtdzsc/edit?usp=share_link"",""ยโสธร!I207"")+IMPORTRANGE(""https://docs.google.com/spreadsheets/d/1BRgc8xKpxZ0PX-gauieMVkV_IOxKSotf0yW8MabGprQ/edit?usp=share_link"",""ร้อยเอ็ด!I207"")+IMP"&amp;"ORTRANGE(""https://docs.google.com/spreadsheets/d/1IdolZc-dfdgMwAm_KZxYJl1sUOcIgnbGQzbWOlddedo/edit?usp=share_link"",""เลย!I207"")+IMPORTRANGE(""https://docs.google.com/spreadsheets/d/1tZ0nmtGuIRCaGAMXHlQU8EpR9LOAJvyKfc4f7EFmE34/edit?usp=share_link"",""ศร"&amp;"ีสะเกษ!I207"")+IMPORTRANGE(""https://docs.google.com/spreadsheets/d/1QC8psz9w0f9IVE9Xuc2FT_btkaOzZbbUSgYObpBuetM/edit?usp=share_link"",""สกลนคร!I207"")+IMPORTRANGE(""https://docs.google.com/spreadsheets/d/1wPdvRbu02d33MYVlbsCnyTiZpefEBs9NNktAnT1HZvw/edit?"&amp;"usp=share_link"",""สุรินทร์!I207"")+IMPORTRANGE(""https://docs.google.com/spreadsheets/d/1GVExpf-Exi_2gmuqTYH28fseTB9MoKPXWcXCbSt_YrM/edit?usp=share_link"",""หนองคาย!I207"")+IMPORTRANGE(""https://docs.google.com/spreadsheets/d/16UeMz0UgOB5BZcoxP75eYGcLFtG"&amp;"YRn9GoesD4OX9m5U/edit?usp=share_link"",""หนองบัวลำภู!I207"")+IMPORTRANGE(""https://docs.google.com/spreadsheets/d/1uUP8Zo1-qaJLuIkRU0qlwLSE3DHkbdrrj2JGJiWBQZE/edit?usp=share_link"",""อำนาจเจริญ!I207"")+IMPORTRANGE(""https://docs.google.com/spreadsheets/d/"&amp;"1hb_taSOHanzRjqfzWPiFo8yiT83VV1L7vvUCLhOiHKc/edit?usp=share_link"",""อุดรธานี!I207"")+IMPORTRANGE(""https://docs.google.com/spreadsheets/d/17IOkEwkUd63EGNfyNDnM5de9YlZ7rwzTiW6-dokVjKI/edit?usp=share_link"",""อุบลราชธานี!I207"")
"),7)</f>
        <v>7</v>
      </c>
      <c r="J207" s="183">
        <f ca="1">IFERROR(__xludf.DUMMYFUNCTION("IMPORTRANGE(""https://docs.google.com/spreadsheets/d/1fb2B9NLcpJgjIieIJvenUTNPn0TimZDUi0OtYeiSQ_s/edit?usp=share_link"",""กาฬสินธุ์!J207"")+IMPORTRANGE(""https://docs.google.com/spreadsheets/d/1SaMnqrwRGmFYNR0MhpWmHuL5niYUd5E7vDq8X7whAlI/edit?usp=share_li"&amp;"nk"",""ขอนแก่น!J207"")
+IMPORTRANGE(""https://docs.google.com/spreadsheets/d/1xQzEtGHhTTgxHh6YUkKY1P4dRyjVhS74dGswLfAASA4/edit?usp=share_link"",""ชัยภูมิ!J207"")+IMPORTRANGE(""https://docs.google.com/spreadsheets/d/1EXMBoBxU3OFbjT2TRpneM33qFjqDzrKmn9ydcfl"&amp;"fI0o/edit?usp=share_link"",""นครพนม!J207"")+IMPORTRANGE(""https://docs.google.com/spreadsheets/d/1bDQrolntRWtHumK8W-x-HXKntwxB9S3sF5aDeRS66Ko/edit?usp=share_link"",""นครราชสีมา!J207"")+IMPORTRANGE(""https://docs.google.com/spreadsheets/d/1_MzZ-2gVPiCW-d2V"&amp;"cafoCmFJQTSrZ6SQyFcMqRRQQ2w/edit?usp=share_link"",""บึงกาฬ!J207"")
+IMPORTRANGE(""https://docs.google.com/spreadsheets/d/1B3lPpzOuaNwVItLwLEZYl_qEblfcx7dRnbRkAw0l-pE/edit?usp=share_link"",""บุรีรัมย์!J207"")+IMPORTRANGE(""https://docs.google.com/spreadshe"&amp;"ets/d/19GOkiOqnzYbevLYWrMk4qFOXe3rX14BkSA8X-mq-a40/edit?usp=share_link"",""มหาสารคาม!J207"")+IMPORTRANGE(""https://docs.google.com/spreadsheets/d/1uMKqWwuNQ-TCKboGA3Bb1qXb5uj2-faACNUINCz8PN4/edit?usp=share_link"",""มุกดาหาร!J207"")+IMPORTRANGE(""https://d"&amp;"ocs.google.com/spreadsheets/d/1oKaccgDdQABndOzGr688Dbfxb_V3YcF67VqEPBtdzsc/edit?usp=share_link"",""ยโสธร!J207"")+IMPORTRANGE(""https://docs.google.com/spreadsheets/d/1BRgc8xKpxZ0PX-gauieMVkV_IOxKSotf0yW8MabGprQ/edit?usp=share_link"",""ร้อยเอ็ด!J207"")+IMP"&amp;"ORTRANGE(""https://docs.google.com/spreadsheets/d/1IdolZc-dfdgMwAm_KZxYJl1sUOcIgnbGQzbWOlddedo/edit?usp=share_link"",""เลย!J207"")+IMPORTRANGE(""https://docs.google.com/spreadsheets/d/1tZ0nmtGuIRCaGAMXHlQU8EpR9LOAJvyKfc4f7EFmE34/edit?usp=share_link"",""ศร"&amp;"ีสะเกษ!J207"")+IMPORTRANGE(""https://docs.google.com/spreadsheets/d/1QC8psz9w0f9IVE9Xuc2FT_btkaOzZbbUSgYObpBuetM/edit?usp=share_link"",""สกลนคร!J207"")+IMPORTRANGE(""https://docs.google.com/spreadsheets/d/1wPdvRbu02d33MYVlbsCnyTiZpefEBs9NNktAnT1HZvw/edit?"&amp;"usp=share_link"",""สุรินทร์!J207"")+IMPORTRANGE(""https://docs.google.com/spreadsheets/d/1GVExpf-Exi_2gmuqTYH28fseTB9MoKPXWcXCbSt_YrM/edit?usp=share_link"",""หนองคาย!J207"")+IMPORTRANGE(""https://docs.google.com/spreadsheets/d/16UeMz0UgOB5BZcoxP75eYGcLFtG"&amp;"YRn9GoesD4OX9m5U/edit?usp=share_link"",""หนองบัวลำภู!J207"")+IMPORTRANGE(""https://docs.google.com/spreadsheets/d/1uUP8Zo1-qaJLuIkRU0qlwLSE3DHkbdrrj2JGJiWBQZE/edit?usp=share_link"",""อำนาจเจริญ!J207"")+IMPORTRANGE(""https://docs.google.com/spreadsheets/d/"&amp;"1hb_taSOHanzRjqfzWPiFo8yiT83VV1L7vvUCLhOiHKc/edit?usp=share_link"",""อุดรธานี!J207"")+IMPORTRANGE(""https://docs.google.com/spreadsheets/d/17IOkEwkUd63EGNfyNDnM5de9YlZ7rwzTiW6-dokVjKI/edit?usp=share_link"",""อุบลราชธานี!J207"")
"),7)</f>
        <v>7</v>
      </c>
      <c r="K207" s="163">
        <f t="shared" ca="1" si="121"/>
        <v>100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2">I215</f>
        <v>27</v>
      </c>
      <c r="J208" s="272">
        <f t="shared" ca="1" si="122"/>
        <v>27</v>
      </c>
      <c r="K208" s="273">
        <f t="shared" ca="1" si="121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378000</v>
      </c>
      <c r="M209" s="155"/>
      <c r="N209" s="155">
        <f ca="1">N210+N211+N212</f>
        <v>378000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fb2B9NLcpJgjIieIJvenUTNPn0TimZDUi0OtYeiSQ_s/edit?usp=share_link"",""กาฬสินธุ์!L210"")+IMPORTRANGE(""https://docs.google.com/spreadsheets/d/1SaMnqrwRGmFYNR0MhpWmHuL5niYUd5E7vDq8X7whAlI/edit?usp=share_li"&amp;"nk"",""ขอนแก่น!L210"")
+IMPORTRANGE(""https://docs.google.com/spreadsheets/d/1xQzEtGHhTTgxHh6YUkKY1P4dRyjVhS74dGswLfAASA4/edit?usp=share_link"",""ชัยภูมิ!L210"")+IMPORTRANGE(""https://docs.google.com/spreadsheets/d/1EXMBoBxU3OFbjT2TRpneM33qFjqDzrKmn9ydcfl"&amp;"fI0o/edit?usp=share_link"",""นครพนม!L210"")+IMPORTRANGE(""https://docs.google.com/spreadsheets/d/1bDQrolntRWtHumK8W-x-HXKntwxB9S3sF5aDeRS66Ko/edit?usp=share_link"",""นครราชสีมา!L210"")+IMPORTRANGE(""https://docs.google.com/spreadsheets/d/1_MzZ-2gVPiCW-d2V"&amp;"cafoCmFJQTSrZ6SQyFcMqRRQQ2w/edit?usp=share_link"",""บึงกาฬ!L210"")
+IMPORTRANGE(""https://docs.google.com/spreadsheets/d/1B3lPpzOuaNwVItLwLEZYl_qEblfcx7dRnbRkAw0l-pE/edit?usp=share_link"",""บุรีรัมย์!L210"")+IMPORTRANGE(""https://docs.google.com/spreadshe"&amp;"ets/d/19GOkiOqnzYbevLYWrMk4qFOXe3rX14BkSA8X-mq-a40/edit?usp=share_link"",""มหาสารคาม!L210"")+IMPORTRANGE(""https://docs.google.com/spreadsheets/d/1uMKqWwuNQ-TCKboGA3Bb1qXb5uj2-faACNUINCz8PN4/edit?usp=share_link"",""มุกดาหาร!L210"")+IMPORTRANGE(""https://d"&amp;"ocs.google.com/spreadsheets/d/1oKaccgDdQABndOzGr688Dbfxb_V3YcF67VqEPBtdzsc/edit?usp=share_link"",""ยโสธร!L210"")+IMPORTRANGE(""https://docs.google.com/spreadsheets/d/1BRgc8xKpxZ0PX-gauieMVkV_IOxKSotf0yW8MabGprQ/edit?usp=share_link"",""ร้อยเอ็ด!L210"")+IMP"&amp;"ORTRANGE(""https://docs.google.com/spreadsheets/d/1IdolZc-dfdgMwAm_KZxYJl1sUOcIgnbGQzbWOlddedo/edit?usp=share_link"",""เลย!L210"")+IMPORTRANGE(""https://docs.google.com/spreadsheets/d/1tZ0nmtGuIRCaGAMXHlQU8EpR9LOAJvyKfc4f7EFmE34/edit?usp=share_link"",""ศร"&amp;"ีสะเกษ!L210"")+IMPORTRANGE(""https://docs.google.com/spreadsheets/d/1QC8psz9w0f9IVE9Xuc2FT_btkaOzZbbUSgYObpBuetM/edit?usp=share_link"",""สกลนคร!L210"")+IMPORTRANGE(""https://docs.google.com/spreadsheets/d/1wPdvRbu02d33MYVlbsCnyTiZpefEBs9NNktAnT1HZvw/edit?"&amp;"usp=share_link"",""สุรินทร์!L210"")+IMPORTRANGE(""https://docs.google.com/spreadsheets/d/1GVExpf-Exi_2gmuqTYH28fseTB9MoKPXWcXCbSt_YrM/edit?usp=share_link"",""หนองคาย!L210"")+IMPORTRANGE(""https://docs.google.com/spreadsheets/d/16UeMz0UgOB5BZcoxP75eYGcLFtG"&amp;"YRn9GoesD4OX9m5U/edit?usp=share_link"",""หนองบัวลำภู!L210"")+IMPORTRANGE(""https://docs.google.com/spreadsheets/d/1uUP8Zo1-qaJLuIkRU0qlwLSE3DHkbdrrj2JGJiWBQZE/edit?usp=share_link"",""อำนาจเจริญ!L210"")+IMPORTRANGE(""https://docs.google.com/spreadsheets/d/"&amp;"1hb_taSOHanzRjqfzWPiFo8yiT83VV1L7vvUCLhOiHKc/edit?usp=share_link"",""อุดรธานี!L210"")+IMPORTRANGE(""https://docs.google.com/spreadsheets/d/17IOkEwkUd63EGNfyNDnM5de9YlZ7rwzTiW6-dokVjKI/edit?usp=share_link"",""อุบลราชธานี!L210"")
"),27000)</f>
        <v>27000</v>
      </c>
      <c r="M210" s="38"/>
      <c r="N210" s="283">
        <f ca="1">IFERROR(__xludf.DUMMYFUNCTION("IMPORTRANGE(""https://docs.google.com/spreadsheets/d/1fb2B9NLcpJgjIieIJvenUTNPn0TimZDUi0OtYeiSQ_s/edit?usp=share_link"",""กาฬสินธุ์!N210"")+IMPORTRANGE(""https://docs.google.com/spreadsheets/d/1SaMnqrwRGmFYNR0MhpWmHuL5niYUd5E7vDq8X7whAlI/edit?usp=share_li"&amp;"nk"",""ขอนแก่น!N210"")
+IMPORTRANGE(""https://docs.google.com/spreadsheets/d/1xQzEtGHhTTgxHh6YUkKY1P4dRyjVhS74dGswLfAASA4/edit?usp=share_link"",""ชัยภูมิ!N210"")+IMPORTRANGE(""https://docs.google.com/spreadsheets/d/1EXMBoBxU3OFbjT2TRpneM33qFjqDzrKmn9ydcfl"&amp;"fI0o/edit?usp=share_link"",""นครพนม!N210"")+IMPORTRANGE(""https://docs.google.com/spreadsheets/d/1bDQrolntRWtHumK8W-x-HXKntwxB9S3sF5aDeRS66Ko/edit?usp=share_link"",""นครราชสีมา!N210"")+IMPORTRANGE(""https://docs.google.com/spreadsheets/d/1_MzZ-2gVPiCW-d2V"&amp;"cafoCmFJQTSrZ6SQyFcMqRRQQ2w/edit?usp=share_link"",""บึงกาฬ!N210"")
+IMPORTRANGE(""https://docs.google.com/spreadsheets/d/1B3lPpzOuaNwVItLwLEZYl_qEblfcx7dRnbRkAw0l-pE/edit?usp=share_link"",""บุรีรัมย์!N210"")+IMPORTRANGE(""https://docs.google.com/spreadshe"&amp;"ets/d/19GOkiOqnzYbevLYWrMk4qFOXe3rX14BkSA8X-mq-a40/edit?usp=share_link"",""มหาสารคาม!N210"")+IMPORTRANGE(""https://docs.google.com/spreadsheets/d/1uMKqWwuNQ-TCKboGA3Bb1qXb5uj2-faACNUINCz8PN4/edit?usp=share_link"",""มุกดาหาร!N210"")+IMPORTRANGE(""https://d"&amp;"ocs.google.com/spreadsheets/d/1oKaccgDdQABndOzGr688Dbfxb_V3YcF67VqEPBtdzsc/edit?usp=share_link"",""ยโสธร!N210"")+IMPORTRANGE(""https://docs.google.com/spreadsheets/d/1BRgc8xKpxZ0PX-gauieMVkV_IOxKSotf0yW8MabGprQ/edit?usp=share_link"",""ร้อยเอ็ด!N210"")+IMP"&amp;"ORTRANGE(""https://docs.google.com/spreadsheets/d/1IdolZc-dfdgMwAm_KZxYJl1sUOcIgnbGQzbWOlddedo/edit?usp=share_link"",""เลย!N210"")+IMPORTRANGE(""https://docs.google.com/spreadsheets/d/1tZ0nmtGuIRCaGAMXHlQU8EpR9LOAJvyKfc4f7EFmE34/edit?usp=share_link"",""ศร"&amp;"ีสะเกษ!N210"")+IMPORTRANGE(""https://docs.google.com/spreadsheets/d/1QC8psz9w0f9IVE9Xuc2FT_btkaOzZbbUSgYObpBuetM/edit?usp=share_link"",""สกลนคร!N210"")+IMPORTRANGE(""https://docs.google.com/spreadsheets/d/1wPdvRbu02d33MYVlbsCnyTiZpefEBs9NNktAnT1HZvw/edit?"&amp;"usp=share_link"",""สุรินทร์!N210"")+IMPORTRANGE(""https://docs.google.com/spreadsheets/d/1GVExpf-Exi_2gmuqTYH28fseTB9MoKPXWcXCbSt_YrM/edit?usp=share_link"",""หนองคาย!N210"")+IMPORTRANGE(""https://docs.google.com/spreadsheets/d/16UeMz0UgOB5BZcoxP75eYGcLFtG"&amp;"YRn9GoesD4OX9m5U/edit?usp=share_link"",""หนองบัวลำภู!N210"")+IMPORTRANGE(""https://docs.google.com/spreadsheets/d/1uUP8Zo1-qaJLuIkRU0qlwLSE3DHkbdrrj2JGJiWBQZE/edit?usp=share_link"",""อำนาจเจริญ!N210"")+IMPORTRANGE(""https://docs.google.com/spreadsheets/d/"&amp;"1hb_taSOHanzRjqfzWPiFo8yiT83VV1L7vvUCLhOiHKc/edit?usp=share_link"",""อุดรธานี!N210"")+IMPORTRANGE(""https://docs.google.com/spreadsheets/d/17IOkEwkUd63EGNfyNDnM5de9YlZ7rwzTiW6-dokVjKI/edit?usp=share_link"",""อุบลราชธานี!N210"")
"),29868)</f>
        <v>29868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fb2B9NLcpJgjIieIJvenUTNPn0TimZDUi0OtYeiSQ_s/edit?usp=share_link"",""กาฬสินธุ์!L211"")+IMPORTRANGE(""https://docs.google.com/spreadsheets/d/1SaMnqrwRGmFYNR0MhpWmHuL5niYUd5E7vDq8X7whAlI/edit?usp=share_li"&amp;"nk"",""ขอนแก่น!L211"")
+IMPORTRANGE(""https://docs.google.com/spreadsheets/d/1xQzEtGHhTTgxHh6YUkKY1P4dRyjVhS74dGswLfAASA4/edit?usp=share_link"",""ชัยภูมิ!L211"")+IMPORTRANGE(""https://docs.google.com/spreadsheets/d/1EXMBoBxU3OFbjT2TRpneM33qFjqDzrKmn9ydcfl"&amp;"fI0o/edit?usp=share_link"",""นครพนม!L211"")+IMPORTRANGE(""https://docs.google.com/spreadsheets/d/1bDQrolntRWtHumK8W-x-HXKntwxB9S3sF5aDeRS66Ko/edit?usp=share_link"",""นครราชสีมา!L211"")+IMPORTRANGE(""https://docs.google.com/spreadsheets/d/1_MzZ-2gVPiCW-d2V"&amp;"cafoCmFJQTSrZ6SQyFcMqRRQQ2w/edit?usp=share_link"",""บึงกาฬ!L211"")
+IMPORTRANGE(""https://docs.google.com/spreadsheets/d/1B3lPpzOuaNwVItLwLEZYl_qEblfcx7dRnbRkAw0l-pE/edit?usp=share_link"",""บุรีรัมย์!L211"")+IMPORTRANGE(""https://docs.google.com/spreadshe"&amp;"ets/d/19GOkiOqnzYbevLYWrMk4qFOXe3rX14BkSA8X-mq-a40/edit?usp=share_link"",""มหาสารคาม!L211"")+IMPORTRANGE(""https://docs.google.com/spreadsheets/d/1uMKqWwuNQ-TCKboGA3Bb1qXb5uj2-faACNUINCz8PN4/edit?usp=share_link"",""มุกดาหาร!L211"")+IMPORTRANGE(""https://d"&amp;"ocs.google.com/spreadsheets/d/1oKaccgDdQABndOzGr688Dbfxb_V3YcF67VqEPBtdzsc/edit?usp=share_link"",""ยโสธร!L211"")+IMPORTRANGE(""https://docs.google.com/spreadsheets/d/1BRgc8xKpxZ0PX-gauieMVkV_IOxKSotf0yW8MabGprQ/edit?usp=share_link"",""ร้อยเอ็ด!L211"")+IMP"&amp;"ORTRANGE(""https://docs.google.com/spreadsheets/d/1IdolZc-dfdgMwAm_KZxYJl1sUOcIgnbGQzbWOlddedo/edit?usp=share_link"",""เลย!L211"")+IMPORTRANGE(""https://docs.google.com/spreadsheets/d/1tZ0nmtGuIRCaGAMXHlQU8EpR9LOAJvyKfc4f7EFmE34/edit?usp=share_link"",""ศร"&amp;"ีสะเกษ!L211"")+IMPORTRANGE(""https://docs.google.com/spreadsheets/d/1QC8psz9w0f9IVE9Xuc2FT_btkaOzZbbUSgYObpBuetM/edit?usp=share_link"",""สกลนคร!L211"")+IMPORTRANGE(""https://docs.google.com/spreadsheets/d/1wPdvRbu02d33MYVlbsCnyTiZpefEBs9NNktAnT1HZvw/edit?"&amp;"usp=share_link"",""สุรินทร์!L211"")+IMPORTRANGE(""https://docs.google.com/spreadsheets/d/1GVExpf-Exi_2gmuqTYH28fseTB9MoKPXWcXCbSt_YrM/edit?usp=share_link"",""หนองคาย!L211"")+IMPORTRANGE(""https://docs.google.com/spreadsheets/d/16UeMz0UgOB5BZcoxP75eYGcLFtG"&amp;"YRn9GoesD4OX9m5U/edit?usp=share_link"",""หนองบัวลำภู!L211"")+IMPORTRANGE(""https://docs.google.com/spreadsheets/d/1uUP8Zo1-qaJLuIkRU0qlwLSE3DHkbdrrj2JGJiWBQZE/edit?usp=share_link"",""อำนาจเจริญ!L211"")+IMPORTRANGE(""https://docs.google.com/spreadsheets/d/"&amp;"1hb_taSOHanzRjqfzWPiFo8yiT83VV1L7vvUCLhOiHKc/edit?usp=share_link"",""อุดรธานี!L211"")+IMPORTRANGE(""https://docs.google.com/spreadsheets/d/17IOkEwkUd63EGNfyNDnM5de9YlZ7rwzTiW6-dokVjKI/edit?usp=share_link"",""อุบลราชธานี!L211"")
"),135000)</f>
        <v>135000</v>
      </c>
      <c r="M211" s="38"/>
      <c r="N211" s="283">
        <f ca="1">IFERROR(__xludf.DUMMYFUNCTION("IMPORTRANGE(""https://docs.google.com/spreadsheets/d/1fb2B9NLcpJgjIieIJvenUTNPn0TimZDUi0OtYeiSQ_s/edit?usp=share_link"",""กาฬสินธุ์!N211"")+IMPORTRANGE(""https://docs.google.com/spreadsheets/d/1SaMnqrwRGmFYNR0MhpWmHuL5niYUd5E7vDq8X7whAlI/edit?usp=share_li"&amp;"nk"",""ขอนแก่น!N211"")
+IMPORTRANGE(""https://docs.google.com/spreadsheets/d/1xQzEtGHhTTgxHh6YUkKY1P4dRyjVhS74dGswLfAASA4/edit?usp=share_link"",""ชัยภูมิ!N211"")+IMPORTRANGE(""https://docs.google.com/spreadsheets/d/1EXMBoBxU3OFbjT2TRpneM33qFjqDzrKmn9ydcfl"&amp;"fI0o/edit?usp=share_link"",""นครพนม!N211"")+IMPORTRANGE(""https://docs.google.com/spreadsheets/d/1bDQrolntRWtHumK8W-x-HXKntwxB9S3sF5aDeRS66Ko/edit?usp=share_link"",""นครราชสีมา!N211"")+IMPORTRANGE(""https://docs.google.com/spreadsheets/d/1_MzZ-2gVPiCW-d2V"&amp;"cafoCmFJQTSrZ6SQyFcMqRRQQ2w/edit?usp=share_link"",""บึงกาฬ!N211"")
+IMPORTRANGE(""https://docs.google.com/spreadsheets/d/1B3lPpzOuaNwVItLwLEZYl_qEblfcx7dRnbRkAw0l-pE/edit?usp=share_link"",""บุรีรัมย์!N211"")+IMPORTRANGE(""https://docs.google.com/spreadshe"&amp;"ets/d/19GOkiOqnzYbevLYWrMk4qFOXe3rX14BkSA8X-mq-a40/edit?usp=share_link"",""มหาสารคาม!N211"")+IMPORTRANGE(""https://docs.google.com/spreadsheets/d/1uMKqWwuNQ-TCKboGA3Bb1qXb5uj2-faACNUINCz8PN4/edit?usp=share_link"",""มุกดาหาร!N211"")+IMPORTRANGE(""https://d"&amp;"ocs.google.com/spreadsheets/d/1oKaccgDdQABndOzGr688Dbfxb_V3YcF67VqEPBtdzsc/edit?usp=share_link"",""ยโสธร!N211"")+IMPORTRANGE(""https://docs.google.com/spreadsheets/d/1BRgc8xKpxZ0PX-gauieMVkV_IOxKSotf0yW8MabGprQ/edit?usp=share_link"",""ร้อยเอ็ด!N211"")+IMP"&amp;"ORTRANGE(""https://docs.google.com/spreadsheets/d/1IdolZc-dfdgMwAm_KZxYJl1sUOcIgnbGQzbWOlddedo/edit?usp=share_link"",""เลย!N211"")+IMPORTRANGE(""https://docs.google.com/spreadsheets/d/1tZ0nmtGuIRCaGAMXHlQU8EpR9LOAJvyKfc4f7EFmE34/edit?usp=share_link"",""ศร"&amp;"ีสะเกษ!N211"")+IMPORTRANGE(""https://docs.google.com/spreadsheets/d/1QC8psz9w0f9IVE9Xuc2FT_btkaOzZbbUSgYObpBuetM/edit?usp=share_link"",""สกลนคร!N211"")+IMPORTRANGE(""https://docs.google.com/spreadsheets/d/1wPdvRbu02d33MYVlbsCnyTiZpefEBs9NNktAnT1HZvw/edit?"&amp;"usp=share_link"",""สุรินทร์!N211"")+IMPORTRANGE(""https://docs.google.com/spreadsheets/d/1GVExpf-Exi_2gmuqTYH28fseTB9MoKPXWcXCbSt_YrM/edit?usp=share_link"",""หนองคาย!N211"")+IMPORTRANGE(""https://docs.google.com/spreadsheets/d/16UeMz0UgOB5BZcoxP75eYGcLFtG"&amp;"YRn9GoesD4OX9m5U/edit?usp=share_link"",""หนองบัวลำภู!N211"")+IMPORTRANGE(""https://docs.google.com/spreadsheets/d/1uUP8Zo1-qaJLuIkRU0qlwLSE3DHkbdrrj2JGJiWBQZE/edit?usp=share_link"",""อำนาจเจริญ!N211"")+IMPORTRANGE(""https://docs.google.com/spreadsheets/d/"&amp;"1hb_taSOHanzRjqfzWPiFo8yiT83VV1L7vvUCLhOiHKc/edit?usp=share_link"",""อุดรธานี!N211"")+IMPORTRANGE(""https://docs.google.com/spreadsheets/d/17IOkEwkUd63EGNfyNDnM5de9YlZ7rwzTiW6-dokVjKI/edit?usp=share_link"",""อุบลราชธานี!N211"")
"),135000)</f>
        <v>135000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fb2B9NLcpJgjIieIJvenUTNPn0TimZDUi0OtYeiSQ_s/edit?usp=share_link"",""กาฬสินธุ์!L212"")+IMPORTRANGE(""https://docs.google.com/spreadsheets/d/1SaMnqrwRGmFYNR0MhpWmHuL5niYUd5E7vDq8X7whAlI/edit?usp=share_li"&amp;"nk"",""ขอนแก่น!L212"")
+IMPORTRANGE(""https://docs.google.com/spreadsheets/d/1xQzEtGHhTTgxHh6YUkKY1P4dRyjVhS74dGswLfAASA4/edit?usp=share_link"",""ชัยภูมิ!L212"")+IMPORTRANGE(""https://docs.google.com/spreadsheets/d/1EXMBoBxU3OFbjT2TRpneM33qFjqDzrKmn9ydcfl"&amp;"fI0o/edit?usp=share_link"",""นครพนม!L212"")+IMPORTRANGE(""https://docs.google.com/spreadsheets/d/1bDQrolntRWtHumK8W-x-HXKntwxB9S3sF5aDeRS66Ko/edit?usp=share_link"",""นครราชสีมา!L212"")+IMPORTRANGE(""https://docs.google.com/spreadsheets/d/1_MzZ-2gVPiCW-d2V"&amp;"cafoCmFJQTSrZ6SQyFcMqRRQQ2w/edit?usp=share_link"",""บึงกาฬ!L212"")
+IMPORTRANGE(""https://docs.google.com/spreadsheets/d/1B3lPpzOuaNwVItLwLEZYl_qEblfcx7dRnbRkAw0l-pE/edit?usp=share_link"",""บุรีรัมย์!L212"")+IMPORTRANGE(""https://docs.google.com/spreadshe"&amp;"ets/d/19GOkiOqnzYbevLYWrMk4qFOXe3rX14BkSA8X-mq-a40/edit?usp=share_link"",""มหาสารคาม!L212"")+IMPORTRANGE(""https://docs.google.com/spreadsheets/d/1uMKqWwuNQ-TCKboGA3Bb1qXb5uj2-faACNUINCz8PN4/edit?usp=share_link"",""มุกดาหาร!L212"")+IMPORTRANGE(""https://d"&amp;"ocs.google.com/spreadsheets/d/1oKaccgDdQABndOzGr688Dbfxb_V3YcF67VqEPBtdzsc/edit?usp=share_link"",""ยโสธร!L212"")+IMPORTRANGE(""https://docs.google.com/spreadsheets/d/1BRgc8xKpxZ0PX-gauieMVkV_IOxKSotf0yW8MabGprQ/edit?usp=share_link"",""ร้อยเอ็ด!L212"")+IMP"&amp;"ORTRANGE(""https://docs.google.com/spreadsheets/d/1IdolZc-dfdgMwAm_KZxYJl1sUOcIgnbGQzbWOlddedo/edit?usp=share_link"",""เลย!L212"")+IMPORTRANGE(""https://docs.google.com/spreadsheets/d/1tZ0nmtGuIRCaGAMXHlQU8EpR9LOAJvyKfc4f7EFmE34/edit?usp=share_link"",""ศร"&amp;"ีสะเกษ!L212"")+IMPORTRANGE(""https://docs.google.com/spreadsheets/d/1QC8psz9w0f9IVE9Xuc2FT_btkaOzZbbUSgYObpBuetM/edit?usp=share_link"",""สกลนคร!L212"")+IMPORTRANGE(""https://docs.google.com/spreadsheets/d/1wPdvRbu02d33MYVlbsCnyTiZpefEBs9NNktAnT1HZvw/edit?"&amp;"usp=share_link"",""สุรินทร์!L212"")+IMPORTRANGE(""https://docs.google.com/spreadsheets/d/1GVExpf-Exi_2gmuqTYH28fseTB9MoKPXWcXCbSt_YrM/edit?usp=share_link"",""หนองคาย!L212"")+IMPORTRANGE(""https://docs.google.com/spreadsheets/d/16UeMz0UgOB5BZcoxP75eYGcLFtG"&amp;"YRn9GoesD4OX9m5U/edit?usp=share_link"",""หนองบัวลำภู!L212"")+IMPORTRANGE(""https://docs.google.com/spreadsheets/d/1uUP8Zo1-qaJLuIkRU0qlwLSE3DHkbdrrj2JGJiWBQZE/edit?usp=share_link"",""อำนาจเจริญ!L212"")+IMPORTRANGE(""https://docs.google.com/spreadsheets/d/"&amp;"1hb_taSOHanzRjqfzWPiFo8yiT83VV1L7vvUCLhOiHKc/edit?usp=share_link"",""อุดรธานี!L212"")+IMPORTRANGE(""https://docs.google.com/spreadsheets/d/17IOkEwkUd63EGNfyNDnM5de9YlZ7rwzTiW6-dokVjKI/edit?usp=share_link"",""อุบลราชธานี!L212"")
"),216000)</f>
        <v>216000</v>
      </c>
      <c r="M212" s="38"/>
      <c r="N212" s="283">
        <f ca="1">IFERROR(__xludf.DUMMYFUNCTION("IMPORTRANGE(""https://docs.google.com/spreadsheets/d/1fb2B9NLcpJgjIieIJvenUTNPn0TimZDUi0OtYeiSQ_s/edit?usp=share_link"",""กาฬสินธุ์!N212"")+IMPORTRANGE(""https://docs.google.com/spreadsheets/d/1SaMnqrwRGmFYNR0MhpWmHuL5niYUd5E7vDq8X7whAlI/edit?usp=share_li"&amp;"nk"",""ขอนแก่น!N212"")
+IMPORTRANGE(""https://docs.google.com/spreadsheets/d/1xQzEtGHhTTgxHh6YUkKY1P4dRyjVhS74dGswLfAASA4/edit?usp=share_link"",""ชัยภูมิ!N212"")+IMPORTRANGE(""https://docs.google.com/spreadsheets/d/1EXMBoBxU3OFbjT2TRpneM33qFjqDzrKmn9ydcfl"&amp;"fI0o/edit?usp=share_link"",""นครพนม!N212"")+IMPORTRANGE(""https://docs.google.com/spreadsheets/d/1bDQrolntRWtHumK8W-x-HXKntwxB9S3sF5aDeRS66Ko/edit?usp=share_link"",""นครราชสีมา!N212"")+IMPORTRANGE(""https://docs.google.com/spreadsheets/d/1_MzZ-2gVPiCW-d2V"&amp;"cafoCmFJQTSrZ6SQyFcMqRRQQ2w/edit?usp=share_link"",""บึงกาฬ!N212"")
+IMPORTRANGE(""https://docs.google.com/spreadsheets/d/1B3lPpzOuaNwVItLwLEZYl_qEblfcx7dRnbRkAw0l-pE/edit?usp=share_link"",""บุรีรัมย์!N212"")+IMPORTRANGE(""https://docs.google.com/spreadshe"&amp;"ets/d/19GOkiOqnzYbevLYWrMk4qFOXe3rX14BkSA8X-mq-a40/edit?usp=share_link"",""มหาสารคาม!N212"")+IMPORTRANGE(""https://docs.google.com/spreadsheets/d/1uMKqWwuNQ-TCKboGA3Bb1qXb5uj2-faACNUINCz8PN4/edit?usp=share_link"",""มุกดาหาร!N212"")+IMPORTRANGE(""https://d"&amp;"ocs.google.com/spreadsheets/d/1oKaccgDdQABndOzGr688Dbfxb_V3YcF67VqEPBtdzsc/edit?usp=share_link"",""ยโสธร!N212"")+IMPORTRANGE(""https://docs.google.com/spreadsheets/d/1BRgc8xKpxZ0PX-gauieMVkV_IOxKSotf0yW8MabGprQ/edit?usp=share_link"",""ร้อยเอ็ด!N212"")+IMP"&amp;"ORTRANGE(""https://docs.google.com/spreadsheets/d/1IdolZc-dfdgMwAm_KZxYJl1sUOcIgnbGQzbWOlddedo/edit?usp=share_link"",""เลย!N212"")+IMPORTRANGE(""https://docs.google.com/spreadsheets/d/1tZ0nmtGuIRCaGAMXHlQU8EpR9LOAJvyKfc4f7EFmE34/edit?usp=share_link"",""ศร"&amp;"ีสะเกษ!N212"")+IMPORTRANGE(""https://docs.google.com/spreadsheets/d/1QC8psz9w0f9IVE9Xuc2FT_btkaOzZbbUSgYObpBuetM/edit?usp=share_link"",""สกลนคร!N212"")+IMPORTRANGE(""https://docs.google.com/spreadsheets/d/1wPdvRbu02d33MYVlbsCnyTiZpefEBs9NNktAnT1HZvw/edit?"&amp;"usp=share_link"",""สุรินทร์!N212"")+IMPORTRANGE(""https://docs.google.com/spreadsheets/d/1GVExpf-Exi_2gmuqTYH28fseTB9MoKPXWcXCbSt_YrM/edit?usp=share_link"",""หนองคาย!N212"")+IMPORTRANGE(""https://docs.google.com/spreadsheets/d/16UeMz0UgOB5BZcoxP75eYGcLFtG"&amp;"YRn9GoesD4OX9m5U/edit?usp=share_link"",""หนองบัวลำภู!N212"")+IMPORTRANGE(""https://docs.google.com/spreadsheets/d/1uUP8Zo1-qaJLuIkRU0qlwLSE3DHkbdrrj2JGJiWBQZE/edit?usp=share_link"",""อำนาจเจริญ!N212"")+IMPORTRANGE(""https://docs.google.com/spreadsheets/d/"&amp;"1hb_taSOHanzRjqfzWPiFo8yiT83VV1L7vvUCLhOiHKc/edit?usp=share_link"",""อุดรธานี!N212"")+IMPORTRANGE(""https://docs.google.com/spreadsheets/d/17IOkEwkUd63EGNfyNDnM5de9YlZ7rwzTiW6-dokVjKI/edit?usp=share_link"",""อุบลราชธานี!N212"")
"),213132)</f>
        <v>213132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fb2B9NLcpJgjIieIJvenUTNPn0TimZDUi0OtYeiSQ_s/edit?usp=share_link"",""กาฬสินธุ์!I214"")+IMPORTRANGE(""https://docs.google.com/spreadsheets/d/1SaMnqrwRGmFYNR0MhpWmHuL5niYUd5E7vDq8X7whAlI/edit?usp=share_li"&amp;"nk"",""ขอนแก่น!I214"")
+IMPORTRANGE(""https://docs.google.com/spreadsheets/d/1xQzEtGHhTTgxHh6YUkKY1P4dRyjVhS74dGswLfAASA4/edit?usp=share_link"",""ชัยภูมิ!I214"")+IMPORTRANGE(""https://docs.google.com/spreadsheets/d/1EXMBoBxU3OFbjT2TRpneM33qFjqDzrKmn9ydcfl"&amp;"fI0o/edit?usp=share_link"",""นครพนม!I214"")+IMPORTRANGE(""https://docs.google.com/spreadsheets/d/1bDQrolntRWtHumK8W-x-HXKntwxB9S3sF5aDeRS66Ko/edit?usp=share_link"",""นครราชสีมา!I214"")+IMPORTRANGE(""https://docs.google.com/spreadsheets/d/1_MzZ-2gVPiCW-d2V"&amp;"cafoCmFJQTSrZ6SQyFcMqRRQQ2w/edit?usp=share_link"",""บึงกาฬ!I214"")
+IMPORTRANGE(""https://docs.google.com/spreadsheets/d/1B3lPpzOuaNwVItLwLEZYl_qEblfcx7dRnbRkAw0l-pE/edit?usp=share_link"",""บุรีรัมย์!I214"")+IMPORTRANGE(""https://docs.google.com/spreadshe"&amp;"ets/d/19GOkiOqnzYbevLYWrMk4qFOXe3rX14BkSA8X-mq-a40/edit?usp=share_link"",""มหาสารคาม!I214"")+IMPORTRANGE(""https://docs.google.com/spreadsheets/d/1uMKqWwuNQ-TCKboGA3Bb1qXb5uj2-faACNUINCz8PN4/edit?usp=share_link"",""มุกดาหาร!I214"")+IMPORTRANGE(""https://d"&amp;"ocs.google.com/spreadsheets/d/1oKaccgDdQABndOzGr688Dbfxb_V3YcF67VqEPBtdzsc/edit?usp=share_link"",""ยโสธร!I214"")+IMPORTRANGE(""https://docs.google.com/spreadsheets/d/1BRgc8xKpxZ0PX-gauieMVkV_IOxKSotf0yW8MabGprQ/edit?usp=share_link"",""ร้อยเอ็ด!I214"")+IMP"&amp;"ORTRANGE(""https://docs.google.com/spreadsheets/d/1IdolZc-dfdgMwAm_KZxYJl1sUOcIgnbGQzbWOlddedo/edit?usp=share_link"",""เลย!I214"")+IMPORTRANGE(""https://docs.google.com/spreadsheets/d/1tZ0nmtGuIRCaGAMXHlQU8EpR9LOAJvyKfc4f7EFmE34/edit?usp=share_link"",""ศร"&amp;"ีสะเกษ!I214"")+IMPORTRANGE(""https://docs.google.com/spreadsheets/d/1QC8psz9w0f9IVE9Xuc2FT_btkaOzZbbUSgYObpBuetM/edit?usp=share_link"",""สกลนคร!I214"")+IMPORTRANGE(""https://docs.google.com/spreadsheets/d/1wPdvRbu02d33MYVlbsCnyTiZpefEBs9NNktAnT1HZvw/edit?"&amp;"usp=share_link"",""สุรินทร์!I214"")+IMPORTRANGE(""https://docs.google.com/spreadsheets/d/1GVExpf-Exi_2gmuqTYH28fseTB9MoKPXWcXCbSt_YrM/edit?usp=share_link"",""หนองคาย!I214"")+IMPORTRANGE(""https://docs.google.com/spreadsheets/d/16UeMz0UgOB5BZcoxP75eYGcLFtG"&amp;"YRn9GoesD4OX9m5U/edit?usp=share_link"",""หนองบัวลำภู!I214"")+IMPORTRANGE(""https://docs.google.com/spreadsheets/d/1uUP8Zo1-qaJLuIkRU0qlwLSE3DHkbdrrj2JGJiWBQZE/edit?usp=share_link"",""อำนาจเจริญ!I214"")+IMPORTRANGE(""https://docs.google.com/spreadsheets/d/"&amp;"1hb_taSOHanzRjqfzWPiFo8yiT83VV1L7vvUCLhOiHKc/edit?usp=share_link"",""อุดรธานี!I214"")+IMPORTRANGE(""https://docs.google.com/spreadsheets/d/17IOkEwkUd63EGNfyNDnM5de9YlZ7rwzTiW6-dokVjKI/edit?usp=share_link"",""อุบลราชธานี!I214"")
"),27)</f>
        <v>27</v>
      </c>
      <c r="J214" s="183">
        <f ca="1">IFERROR(__xludf.DUMMYFUNCTION("IMPORTRANGE(""https://docs.google.com/spreadsheets/d/1fb2B9NLcpJgjIieIJvenUTNPn0TimZDUi0OtYeiSQ_s/edit?usp=share_link"",""กาฬสินธุ์!J214"")+IMPORTRANGE(""https://docs.google.com/spreadsheets/d/1SaMnqrwRGmFYNR0MhpWmHuL5niYUd5E7vDq8X7whAlI/edit?usp=share_li"&amp;"nk"",""ขอนแก่น!J214"")
+IMPORTRANGE(""https://docs.google.com/spreadsheets/d/1xQzEtGHhTTgxHh6YUkKY1P4dRyjVhS74dGswLfAASA4/edit?usp=share_link"",""ชัยภูมิ!J214"")+IMPORTRANGE(""https://docs.google.com/spreadsheets/d/1EXMBoBxU3OFbjT2TRpneM33qFjqDzrKmn9ydcfl"&amp;"fI0o/edit?usp=share_link"",""นครพนม!J214"")+IMPORTRANGE(""https://docs.google.com/spreadsheets/d/1bDQrolntRWtHumK8W-x-HXKntwxB9S3sF5aDeRS66Ko/edit?usp=share_link"",""นครราชสีมา!J214"")+IMPORTRANGE(""https://docs.google.com/spreadsheets/d/1_MzZ-2gVPiCW-d2V"&amp;"cafoCmFJQTSrZ6SQyFcMqRRQQ2w/edit?usp=share_link"",""บึงกาฬ!J214"")
+IMPORTRANGE(""https://docs.google.com/spreadsheets/d/1B3lPpzOuaNwVItLwLEZYl_qEblfcx7dRnbRkAw0l-pE/edit?usp=share_link"",""บุรีรัมย์!J214"")+IMPORTRANGE(""https://docs.google.com/spreadshe"&amp;"ets/d/19GOkiOqnzYbevLYWrMk4qFOXe3rX14BkSA8X-mq-a40/edit?usp=share_link"",""มหาสารคาม!J214"")+IMPORTRANGE(""https://docs.google.com/spreadsheets/d/1uMKqWwuNQ-TCKboGA3Bb1qXb5uj2-faACNUINCz8PN4/edit?usp=share_link"",""มุกดาหาร!J214"")+IMPORTRANGE(""https://d"&amp;"ocs.google.com/spreadsheets/d/1oKaccgDdQABndOzGr688Dbfxb_V3YcF67VqEPBtdzsc/edit?usp=share_link"",""ยโสธร!J214"")+IMPORTRANGE(""https://docs.google.com/spreadsheets/d/1BRgc8xKpxZ0PX-gauieMVkV_IOxKSotf0yW8MabGprQ/edit?usp=share_link"",""ร้อยเอ็ด!J214"")+IMP"&amp;"ORTRANGE(""https://docs.google.com/spreadsheets/d/1IdolZc-dfdgMwAm_KZxYJl1sUOcIgnbGQzbWOlddedo/edit?usp=share_link"",""เลย!J214"")+IMPORTRANGE(""https://docs.google.com/spreadsheets/d/1tZ0nmtGuIRCaGAMXHlQU8EpR9LOAJvyKfc4f7EFmE34/edit?usp=share_link"",""ศร"&amp;"ีสะเกษ!J214"")+IMPORTRANGE(""https://docs.google.com/spreadsheets/d/1QC8psz9w0f9IVE9Xuc2FT_btkaOzZbbUSgYObpBuetM/edit?usp=share_link"",""สกลนคร!J214"")+IMPORTRANGE(""https://docs.google.com/spreadsheets/d/1wPdvRbu02d33MYVlbsCnyTiZpefEBs9NNktAnT1HZvw/edit?"&amp;"usp=share_link"",""สุรินทร์!J214"")+IMPORTRANGE(""https://docs.google.com/spreadsheets/d/1GVExpf-Exi_2gmuqTYH28fseTB9MoKPXWcXCbSt_YrM/edit?usp=share_link"",""หนองคาย!J214"")+IMPORTRANGE(""https://docs.google.com/spreadsheets/d/16UeMz0UgOB5BZcoxP75eYGcLFtG"&amp;"YRn9GoesD4OX9m5U/edit?usp=share_link"",""หนองบัวลำภู!J214"")+IMPORTRANGE(""https://docs.google.com/spreadsheets/d/1uUP8Zo1-qaJLuIkRU0qlwLSE3DHkbdrrj2JGJiWBQZE/edit?usp=share_link"",""อำนาจเจริญ!J214"")+IMPORTRANGE(""https://docs.google.com/spreadsheets/d/"&amp;"1hb_taSOHanzRjqfzWPiFo8yiT83VV1L7vvUCLhOiHKc/edit?usp=share_link"",""อุดรธานี!J214"")+IMPORTRANGE(""https://docs.google.com/spreadsheets/d/17IOkEwkUd63EGNfyNDnM5de9YlZ7rwzTiW6-dokVjKI/edit?usp=share_link"",""อุบลราชธานี!J214"")
"),27)</f>
        <v>27</v>
      </c>
      <c r="K214" s="38">
        <f t="shared" ref="K214:K216" ca="1" si="123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fb2B9NLcpJgjIieIJvenUTNPn0TimZDUi0OtYeiSQ_s/edit?usp=share_link"",""กาฬสินธุ์!I215"")+IMPORTRANGE(""https://docs.google.com/spreadsheets/d/1SaMnqrwRGmFYNR0MhpWmHuL5niYUd5E7vDq8X7whAlI/edit?usp=share_li"&amp;"nk"",""ขอนแก่น!I215"")
+IMPORTRANGE(""https://docs.google.com/spreadsheets/d/1xQzEtGHhTTgxHh6YUkKY1P4dRyjVhS74dGswLfAASA4/edit?usp=share_link"",""ชัยภูมิ!I215"")+IMPORTRANGE(""https://docs.google.com/spreadsheets/d/1EXMBoBxU3OFbjT2TRpneM33qFjqDzrKmn9ydcfl"&amp;"fI0o/edit?usp=share_link"",""นครพนม!I215"")+IMPORTRANGE(""https://docs.google.com/spreadsheets/d/1bDQrolntRWtHumK8W-x-HXKntwxB9S3sF5aDeRS66Ko/edit?usp=share_link"",""นครราชสีมา!I215"")+IMPORTRANGE(""https://docs.google.com/spreadsheets/d/1_MzZ-2gVPiCW-d2V"&amp;"cafoCmFJQTSrZ6SQyFcMqRRQQ2w/edit?usp=share_link"",""บึงกาฬ!I215"")
+IMPORTRANGE(""https://docs.google.com/spreadsheets/d/1B3lPpzOuaNwVItLwLEZYl_qEblfcx7dRnbRkAw0l-pE/edit?usp=share_link"",""บุรีรัมย์!I215"")+IMPORTRANGE(""https://docs.google.com/spreadshe"&amp;"ets/d/19GOkiOqnzYbevLYWrMk4qFOXe3rX14BkSA8X-mq-a40/edit?usp=share_link"",""มหาสารคาม!I215"")+IMPORTRANGE(""https://docs.google.com/spreadsheets/d/1uMKqWwuNQ-TCKboGA3Bb1qXb5uj2-faACNUINCz8PN4/edit?usp=share_link"",""มุกดาหาร!I215"")+IMPORTRANGE(""https://d"&amp;"ocs.google.com/spreadsheets/d/1oKaccgDdQABndOzGr688Dbfxb_V3YcF67VqEPBtdzsc/edit?usp=share_link"",""ยโสธร!I215"")+IMPORTRANGE(""https://docs.google.com/spreadsheets/d/1BRgc8xKpxZ0PX-gauieMVkV_IOxKSotf0yW8MabGprQ/edit?usp=share_link"",""ร้อยเอ็ด!I215"")+IMP"&amp;"ORTRANGE(""https://docs.google.com/spreadsheets/d/1IdolZc-dfdgMwAm_KZxYJl1sUOcIgnbGQzbWOlddedo/edit?usp=share_link"",""เลย!I215"")+IMPORTRANGE(""https://docs.google.com/spreadsheets/d/1tZ0nmtGuIRCaGAMXHlQU8EpR9LOAJvyKfc4f7EFmE34/edit?usp=share_link"",""ศร"&amp;"ีสะเกษ!I215"")+IMPORTRANGE(""https://docs.google.com/spreadsheets/d/1QC8psz9w0f9IVE9Xuc2FT_btkaOzZbbUSgYObpBuetM/edit?usp=share_link"",""สกลนคร!I215"")+IMPORTRANGE(""https://docs.google.com/spreadsheets/d/1wPdvRbu02d33MYVlbsCnyTiZpefEBs9NNktAnT1HZvw/edit?"&amp;"usp=share_link"",""สุรินทร์!I215"")+IMPORTRANGE(""https://docs.google.com/spreadsheets/d/1GVExpf-Exi_2gmuqTYH28fseTB9MoKPXWcXCbSt_YrM/edit?usp=share_link"",""หนองคาย!I215"")+IMPORTRANGE(""https://docs.google.com/spreadsheets/d/16UeMz0UgOB5BZcoxP75eYGcLFtG"&amp;"YRn9GoesD4OX9m5U/edit?usp=share_link"",""หนองบัวลำภู!I215"")+IMPORTRANGE(""https://docs.google.com/spreadsheets/d/1uUP8Zo1-qaJLuIkRU0qlwLSE3DHkbdrrj2JGJiWBQZE/edit?usp=share_link"",""อำนาจเจริญ!I215"")+IMPORTRANGE(""https://docs.google.com/spreadsheets/d/"&amp;"1hb_taSOHanzRjqfzWPiFo8yiT83VV1L7vvUCLhOiHKc/edit?usp=share_link"",""อุดรธานี!I215"")+IMPORTRANGE(""https://docs.google.com/spreadsheets/d/17IOkEwkUd63EGNfyNDnM5de9YlZ7rwzTiW6-dokVjKI/edit?usp=share_link"",""อุบลราชธานี!I215"")
"),27)</f>
        <v>27</v>
      </c>
      <c r="J215" s="183">
        <f ca="1">IFERROR(__xludf.DUMMYFUNCTION("IMPORTRANGE(""https://docs.google.com/spreadsheets/d/1fb2B9NLcpJgjIieIJvenUTNPn0TimZDUi0OtYeiSQ_s/edit?usp=share_link"",""กาฬสินธุ์!J215"")+IMPORTRANGE(""https://docs.google.com/spreadsheets/d/1SaMnqrwRGmFYNR0MhpWmHuL5niYUd5E7vDq8X7whAlI/edit?usp=share_li"&amp;"nk"",""ขอนแก่น!J215"")
+IMPORTRANGE(""https://docs.google.com/spreadsheets/d/1xQzEtGHhTTgxHh6YUkKY1P4dRyjVhS74dGswLfAASA4/edit?usp=share_link"",""ชัยภูมิ!J215"")+IMPORTRANGE(""https://docs.google.com/spreadsheets/d/1EXMBoBxU3OFbjT2TRpneM33qFjqDzrKmn9ydcfl"&amp;"fI0o/edit?usp=share_link"",""นครพนม!J215"")+IMPORTRANGE(""https://docs.google.com/spreadsheets/d/1bDQrolntRWtHumK8W-x-HXKntwxB9S3sF5aDeRS66Ko/edit?usp=share_link"",""นครราชสีมา!J215"")+IMPORTRANGE(""https://docs.google.com/spreadsheets/d/1_MzZ-2gVPiCW-d2V"&amp;"cafoCmFJQTSrZ6SQyFcMqRRQQ2w/edit?usp=share_link"",""บึงกาฬ!J215"")
+IMPORTRANGE(""https://docs.google.com/spreadsheets/d/1B3lPpzOuaNwVItLwLEZYl_qEblfcx7dRnbRkAw0l-pE/edit?usp=share_link"",""บุรีรัมย์!J215"")+IMPORTRANGE(""https://docs.google.com/spreadshe"&amp;"ets/d/19GOkiOqnzYbevLYWrMk4qFOXe3rX14BkSA8X-mq-a40/edit?usp=share_link"",""มหาสารคาม!J215"")+IMPORTRANGE(""https://docs.google.com/spreadsheets/d/1uMKqWwuNQ-TCKboGA3Bb1qXb5uj2-faACNUINCz8PN4/edit?usp=share_link"",""มุกดาหาร!J215"")+IMPORTRANGE(""https://d"&amp;"ocs.google.com/spreadsheets/d/1oKaccgDdQABndOzGr688Dbfxb_V3YcF67VqEPBtdzsc/edit?usp=share_link"",""ยโสธร!J215"")+IMPORTRANGE(""https://docs.google.com/spreadsheets/d/1BRgc8xKpxZ0PX-gauieMVkV_IOxKSotf0yW8MabGprQ/edit?usp=share_link"",""ร้อยเอ็ด!J215"")+IMP"&amp;"ORTRANGE(""https://docs.google.com/spreadsheets/d/1IdolZc-dfdgMwAm_KZxYJl1sUOcIgnbGQzbWOlddedo/edit?usp=share_link"",""เลย!J215"")+IMPORTRANGE(""https://docs.google.com/spreadsheets/d/1tZ0nmtGuIRCaGAMXHlQU8EpR9LOAJvyKfc4f7EFmE34/edit?usp=share_link"",""ศร"&amp;"ีสะเกษ!J215"")+IMPORTRANGE(""https://docs.google.com/spreadsheets/d/1QC8psz9w0f9IVE9Xuc2FT_btkaOzZbbUSgYObpBuetM/edit?usp=share_link"",""สกลนคร!J215"")+IMPORTRANGE(""https://docs.google.com/spreadsheets/d/1wPdvRbu02d33MYVlbsCnyTiZpefEBs9NNktAnT1HZvw/edit?"&amp;"usp=share_link"",""สุรินทร์!J215"")+IMPORTRANGE(""https://docs.google.com/spreadsheets/d/1GVExpf-Exi_2gmuqTYH28fseTB9MoKPXWcXCbSt_YrM/edit?usp=share_link"",""หนองคาย!J215"")+IMPORTRANGE(""https://docs.google.com/spreadsheets/d/16UeMz0UgOB5BZcoxP75eYGcLFtG"&amp;"YRn9GoesD4OX9m5U/edit?usp=share_link"",""หนองบัวลำภู!J215"")+IMPORTRANGE(""https://docs.google.com/spreadsheets/d/1uUP8Zo1-qaJLuIkRU0qlwLSE3DHkbdrrj2JGJiWBQZE/edit?usp=share_link"",""อำนาจเจริญ!J215"")+IMPORTRANGE(""https://docs.google.com/spreadsheets/d/"&amp;"1hb_taSOHanzRjqfzWPiFo8yiT83VV1L7vvUCLhOiHKc/edit?usp=share_link"",""อุดรธานี!J215"")+IMPORTRANGE(""https://docs.google.com/spreadsheets/d/17IOkEwkUd63EGNfyNDnM5de9YlZ7rwzTiW6-dokVjKI/edit?usp=share_link"",""อุบลราชธานี!J215"")
"),27)</f>
        <v>27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4">I224</f>
        <v>858800</v>
      </c>
      <c r="J216" s="272">
        <f t="shared" ca="1" si="124"/>
        <v>858800</v>
      </c>
      <c r="K216" s="273">
        <f t="shared" ca="1" si="123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363300</v>
      </c>
      <c r="M217" s="155"/>
      <c r="N217" s="155">
        <f ca="1">N218+N219+N220</f>
        <v>363300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fb2B9NLcpJgjIieIJvenUTNPn0TimZDUi0OtYeiSQ_s/edit?usp=share_link"",""กาฬสินธุ์!L218"")+IMPORTRANGE(""https://docs.google.com/spreadsheets/d/1SaMnqrwRGmFYNR0MhpWmHuL5niYUd5E7vDq8X7whAlI/edit?usp=share_li"&amp;"nk"",""ขอนแก่น!L218"")
+IMPORTRANGE(""https://docs.google.com/spreadsheets/d/1xQzEtGHhTTgxHh6YUkKY1P4dRyjVhS74dGswLfAASA4/edit?usp=share_link"",""ชัยภูมิ!L218"")+IMPORTRANGE(""https://docs.google.com/spreadsheets/d/1EXMBoBxU3OFbjT2TRpneM33qFjqDzrKmn9ydcfl"&amp;"fI0o/edit?usp=share_link"",""นครพนม!L218"")+IMPORTRANGE(""https://docs.google.com/spreadsheets/d/1bDQrolntRWtHumK8W-x-HXKntwxB9S3sF5aDeRS66Ko/edit?usp=share_link"",""นครราชสีมา!L218"")+IMPORTRANGE(""https://docs.google.com/spreadsheets/d/1_MzZ-2gVPiCW-d2V"&amp;"cafoCmFJQTSrZ6SQyFcMqRRQQ2w/edit?usp=share_link"",""บึงกาฬ!L218"")
+IMPORTRANGE(""https://docs.google.com/spreadsheets/d/1B3lPpzOuaNwVItLwLEZYl_qEblfcx7dRnbRkAw0l-pE/edit?usp=share_link"",""บุรีรัมย์!L218"")+IMPORTRANGE(""https://docs.google.com/spreadshe"&amp;"ets/d/19GOkiOqnzYbevLYWrMk4qFOXe3rX14BkSA8X-mq-a40/edit?usp=share_link"",""มหาสารคาม!L218"")+IMPORTRANGE(""https://docs.google.com/spreadsheets/d/1uMKqWwuNQ-TCKboGA3Bb1qXb5uj2-faACNUINCz8PN4/edit?usp=share_link"",""มุกดาหาร!L218"")+IMPORTRANGE(""https://d"&amp;"ocs.google.com/spreadsheets/d/1oKaccgDdQABndOzGr688Dbfxb_V3YcF67VqEPBtdzsc/edit?usp=share_link"",""ยโสธร!L218"")+IMPORTRANGE(""https://docs.google.com/spreadsheets/d/1BRgc8xKpxZ0PX-gauieMVkV_IOxKSotf0yW8MabGprQ/edit?usp=share_link"",""ร้อยเอ็ด!L218"")+IMP"&amp;"ORTRANGE(""https://docs.google.com/spreadsheets/d/1IdolZc-dfdgMwAm_KZxYJl1sUOcIgnbGQzbWOlddedo/edit?usp=share_link"",""เลย!L218"")+IMPORTRANGE(""https://docs.google.com/spreadsheets/d/1tZ0nmtGuIRCaGAMXHlQU8EpR9LOAJvyKfc4f7EFmE34/edit?usp=share_link"",""ศร"&amp;"ีสะเกษ!L218"")+IMPORTRANGE(""https://docs.google.com/spreadsheets/d/1QC8psz9w0f9IVE9Xuc2FT_btkaOzZbbUSgYObpBuetM/edit?usp=share_link"",""สกลนคร!L218"")+IMPORTRANGE(""https://docs.google.com/spreadsheets/d/1wPdvRbu02d33MYVlbsCnyTiZpefEBs9NNktAnT1HZvw/edit?"&amp;"usp=share_link"",""สุรินทร์!L218"")+IMPORTRANGE(""https://docs.google.com/spreadsheets/d/1GVExpf-Exi_2gmuqTYH28fseTB9MoKPXWcXCbSt_YrM/edit?usp=share_link"",""หนองคาย!L218"")+IMPORTRANGE(""https://docs.google.com/spreadsheets/d/16UeMz0UgOB5BZcoxP75eYGcLFtG"&amp;"YRn9GoesD4OX9m5U/edit?usp=share_link"",""หนองบัวลำภู!L218"")+IMPORTRANGE(""https://docs.google.com/spreadsheets/d/1uUP8Zo1-qaJLuIkRU0qlwLSE3DHkbdrrj2JGJiWBQZE/edit?usp=share_link"",""อำนาจเจริญ!L218"")+IMPORTRANGE(""https://docs.google.com/spreadsheets/d/"&amp;"1hb_taSOHanzRjqfzWPiFo8yiT83VV1L7vvUCLhOiHKc/edit?usp=share_link"",""อุดรธานี!L218"")+IMPORTRANGE(""https://docs.google.com/spreadsheets/d/17IOkEwkUd63EGNfyNDnM5de9YlZ7rwzTiW6-dokVjKI/edit?usp=share_link"",""อุบลราชธานี!L218"")
"),90000)</f>
        <v>90000</v>
      </c>
      <c r="M218" s="38"/>
      <c r="N218" s="283">
        <f ca="1">IFERROR(__xludf.DUMMYFUNCTION("IMPORTRANGE(""https://docs.google.com/spreadsheets/d/1fb2B9NLcpJgjIieIJvenUTNPn0TimZDUi0OtYeiSQ_s/edit?usp=share_link"",""กาฬสินธุ์!N218"")+IMPORTRANGE(""https://docs.google.com/spreadsheets/d/1SaMnqrwRGmFYNR0MhpWmHuL5niYUd5E7vDq8X7whAlI/edit?usp=share_li"&amp;"nk"",""ขอนแก่น!N218"")
+IMPORTRANGE(""https://docs.google.com/spreadsheets/d/1xQzEtGHhTTgxHh6YUkKY1P4dRyjVhS74dGswLfAASA4/edit?usp=share_link"",""ชัยภูมิ!N218"")+IMPORTRANGE(""https://docs.google.com/spreadsheets/d/1EXMBoBxU3OFbjT2TRpneM33qFjqDzrKmn9ydcfl"&amp;"fI0o/edit?usp=share_link"",""นครพนม!N218"")+IMPORTRANGE(""https://docs.google.com/spreadsheets/d/1bDQrolntRWtHumK8W-x-HXKntwxB9S3sF5aDeRS66Ko/edit?usp=share_link"",""นครราชสีมา!N218"")+IMPORTRANGE(""https://docs.google.com/spreadsheets/d/1_MzZ-2gVPiCW-d2V"&amp;"cafoCmFJQTSrZ6SQyFcMqRRQQ2w/edit?usp=share_link"",""บึงกาฬ!N218"")
+IMPORTRANGE(""https://docs.google.com/spreadsheets/d/1B3lPpzOuaNwVItLwLEZYl_qEblfcx7dRnbRkAw0l-pE/edit?usp=share_link"",""บุรีรัมย์!N218"")+IMPORTRANGE(""https://docs.google.com/spreadshe"&amp;"ets/d/19GOkiOqnzYbevLYWrMk4qFOXe3rX14BkSA8X-mq-a40/edit?usp=share_link"",""มหาสารคาม!N218"")+IMPORTRANGE(""https://docs.google.com/spreadsheets/d/1uMKqWwuNQ-TCKboGA3Bb1qXb5uj2-faACNUINCz8PN4/edit?usp=share_link"",""มุกดาหาร!N218"")+IMPORTRANGE(""https://d"&amp;"ocs.google.com/spreadsheets/d/1oKaccgDdQABndOzGr688Dbfxb_V3YcF67VqEPBtdzsc/edit?usp=share_link"",""ยโสธร!N218"")+IMPORTRANGE(""https://docs.google.com/spreadsheets/d/1BRgc8xKpxZ0PX-gauieMVkV_IOxKSotf0yW8MabGprQ/edit?usp=share_link"",""ร้อยเอ็ด!N218"")+IMP"&amp;"ORTRANGE(""https://docs.google.com/spreadsheets/d/1IdolZc-dfdgMwAm_KZxYJl1sUOcIgnbGQzbWOlddedo/edit?usp=share_link"",""เลย!N218"")+IMPORTRANGE(""https://docs.google.com/spreadsheets/d/1tZ0nmtGuIRCaGAMXHlQU8EpR9LOAJvyKfc4f7EFmE34/edit?usp=share_link"",""ศร"&amp;"ีสะเกษ!N218"")+IMPORTRANGE(""https://docs.google.com/spreadsheets/d/1QC8psz9w0f9IVE9Xuc2FT_btkaOzZbbUSgYObpBuetM/edit?usp=share_link"",""สกลนคร!N218"")+IMPORTRANGE(""https://docs.google.com/spreadsheets/d/1wPdvRbu02d33MYVlbsCnyTiZpefEBs9NNktAnT1HZvw/edit?"&amp;"usp=share_link"",""สุรินทร์!N218"")+IMPORTRANGE(""https://docs.google.com/spreadsheets/d/1GVExpf-Exi_2gmuqTYH28fseTB9MoKPXWcXCbSt_YrM/edit?usp=share_link"",""หนองคาย!N218"")+IMPORTRANGE(""https://docs.google.com/spreadsheets/d/16UeMz0UgOB5BZcoxP75eYGcLFtG"&amp;"YRn9GoesD4OX9m5U/edit?usp=share_link"",""หนองบัวลำภู!N218"")+IMPORTRANGE(""https://docs.google.com/spreadsheets/d/1uUP8Zo1-qaJLuIkRU0qlwLSE3DHkbdrrj2JGJiWBQZE/edit?usp=share_link"",""อำนาจเจริญ!N218"")+IMPORTRANGE(""https://docs.google.com/spreadsheets/d/"&amp;"1hb_taSOHanzRjqfzWPiFo8yiT83VV1L7vvUCLhOiHKc/edit?usp=share_link"",""อุดรธานี!N218"")+IMPORTRANGE(""https://docs.google.com/spreadsheets/d/17IOkEwkUd63EGNfyNDnM5de9YlZ7rwzTiW6-dokVjKI/edit?usp=share_link"",""อุบลราชธานี!N218"")
"),91500)</f>
        <v>91500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fb2B9NLcpJgjIieIJvenUTNPn0TimZDUi0OtYeiSQ_s/edit?usp=share_link"",""กาฬสินธุ์!L219"")+IMPORTRANGE(""https://docs.google.com/spreadsheets/d/1SaMnqrwRGmFYNR0MhpWmHuL5niYUd5E7vDq8X7whAlI/edit?usp=share_li"&amp;"nk"",""ขอนแก่น!L219"")
+IMPORTRANGE(""https://docs.google.com/spreadsheets/d/1xQzEtGHhTTgxHh6YUkKY1P4dRyjVhS74dGswLfAASA4/edit?usp=share_link"",""ชัยภูมิ!L219"")+IMPORTRANGE(""https://docs.google.com/spreadsheets/d/1EXMBoBxU3OFbjT2TRpneM33qFjqDzrKmn9ydcfl"&amp;"fI0o/edit?usp=share_link"",""นครพนม!L219"")+IMPORTRANGE(""https://docs.google.com/spreadsheets/d/1bDQrolntRWtHumK8W-x-HXKntwxB9S3sF5aDeRS66Ko/edit?usp=share_link"",""นครราชสีมา!L219"")+IMPORTRANGE(""https://docs.google.com/spreadsheets/d/1_MzZ-2gVPiCW-d2V"&amp;"cafoCmFJQTSrZ6SQyFcMqRRQQ2w/edit?usp=share_link"",""บึงกาฬ!L219"")
+IMPORTRANGE(""https://docs.google.com/spreadsheets/d/1B3lPpzOuaNwVItLwLEZYl_qEblfcx7dRnbRkAw0l-pE/edit?usp=share_link"",""บุรีรัมย์!L219"")+IMPORTRANGE(""https://docs.google.com/spreadshe"&amp;"ets/d/19GOkiOqnzYbevLYWrMk4qFOXe3rX14BkSA8X-mq-a40/edit?usp=share_link"",""มหาสารคาม!L219"")+IMPORTRANGE(""https://docs.google.com/spreadsheets/d/1uMKqWwuNQ-TCKboGA3Bb1qXb5uj2-faACNUINCz8PN4/edit?usp=share_link"",""มุกดาหาร!L219"")+IMPORTRANGE(""https://d"&amp;"ocs.google.com/spreadsheets/d/1oKaccgDdQABndOzGr688Dbfxb_V3YcF67VqEPBtdzsc/edit?usp=share_link"",""ยโสธร!L219"")+IMPORTRANGE(""https://docs.google.com/spreadsheets/d/1BRgc8xKpxZ0PX-gauieMVkV_IOxKSotf0yW8MabGprQ/edit?usp=share_link"",""ร้อยเอ็ด!L219"")+IMP"&amp;"ORTRANGE(""https://docs.google.com/spreadsheets/d/1IdolZc-dfdgMwAm_KZxYJl1sUOcIgnbGQzbWOlddedo/edit?usp=share_link"",""เลย!L219"")+IMPORTRANGE(""https://docs.google.com/spreadsheets/d/1tZ0nmtGuIRCaGAMXHlQU8EpR9LOAJvyKfc4f7EFmE34/edit?usp=share_link"",""ศร"&amp;"ีสะเกษ!L219"")+IMPORTRANGE(""https://docs.google.com/spreadsheets/d/1QC8psz9w0f9IVE9Xuc2FT_btkaOzZbbUSgYObpBuetM/edit?usp=share_link"",""สกลนคร!L219"")+IMPORTRANGE(""https://docs.google.com/spreadsheets/d/1wPdvRbu02d33MYVlbsCnyTiZpefEBs9NNktAnT1HZvw/edit?"&amp;"usp=share_link"",""สุรินทร์!L219"")+IMPORTRANGE(""https://docs.google.com/spreadsheets/d/1GVExpf-Exi_2gmuqTYH28fseTB9MoKPXWcXCbSt_YrM/edit?usp=share_link"",""หนองคาย!L219"")+IMPORTRANGE(""https://docs.google.com/spreadsheets/d/16UeMz0UgOB5BZcoxP75eYGcLFtG"&amp;"YRn9GoesD4OX9m5U/edit?usp=share_link"",""หนองบัวลำภู!L219"")+IMPORTRANGE(""https://docs.google.com/spreadsheets/d/1uUP8Zo1-qaJLuIkRU0qlwLSE3DHkbdrrj2JGJiWBQZE/edit?usp=share_link"",""อำนาจเจริญ!L219"")+IMPORTRANGE(""https://docs.google.com/spreadsheets/d/"&amp;"1hb_taSOHanzRjqfzWPiFo8yiT83VV1L7vvUCLhOiHKc/edit?usp=share_link"",""อุดรธานี!L219"")+IMPORTRANGE(""https://docs.google.com/spreadsheets/d/17IOkEwkUd63EGNfyNDnM5de9YlZ7rwzTiW6-dokVjKI/edit?usp=share_link"",""อุบลราชธานี!L219"")
"),233300)</f>
        <v>233300</v>
      </c>
      <c r="M219" s="38"/>
      <c r="N219" s="283">
        <f ca="1">IFERROR(__xludf.DUMMYFUNCTION("IMPORTRANGE(""https://docs.google.com/spreadsheets/d/1fb2B9NLcpJgjIieIJvenUTNPn0TimZDUi0OtYeiSQ_s/edit?usp=share_link"",""กาฬสินธุ์!N219"")+IMPORTRANGE(""https://docs.google.com/spreadsheets/d/1SaMnqrwRGmFYNR0MhpWmHuL5niYUd5E7vDq8X7whAlI/edit?usp=share_li"&amp;"nk"",""ขอนแก่น!N219"")
+IMPORTRANGE(""https://docs.google.com/spreadsheets/d/1xQzEtGHhTTgxHh6YUkKY1P4dRyjVhS74dGswLfAASA4/edit?usp=share_link"",""ชัยภูมิ!N219"")+IMPORTRANGE(""https://docs.google.com/spreadsheets/d/1EXMBoBxU3OFbjT2TRpneM33qFjqDzrKmn9ydcfl"&amp;"fI0o/edit?usp=share_link"",""นครพนม!N219"")+IMPORTRANGE(""https://docs.google.com/spreadsheets/d/1bDQrolntRWtHumK8W-x-HXKntwxB9S3sF5aDeRS66Ko/edit?usp=share_link"",""นครราชสีมา!N219"")+IMPORTRANGE(""https://docs.google.com/spreadsheets/d/1_MzZ-2gVPiCW-d2V"&amp;"cafoCmFJQTSrZ6SQyFcMqRRQQ2w/edit?usp=share_link"",""บึงกาฬ!N219"")
+IMPORTRANGE(""https://docs.google.com/spreadsheets/d/1B3lPpzOuaNwVItLwLEZYl_qEblfcx7dRnbRkAw0l-pE/edit?usp=share_link"",""บุรีรัมย์!N219"")+IMPORTRANGE(""https://docs.google.com/spreadshe"&amp;"ets/d/19GOkiOqnzYbevLYWrMk4qFOXe3rX14BkSA8X-mq-a40/edit?usp=share_link"",""มหาสารคาม!N219"")+IMPORTRANGE(""https://docs.google.com/spreadsheets/d/1uMKqWwuNQ-TCKboGA3Bb1qXb5uj2-faACNUINCz8PN4/edit?usp=share_link"",""มุกดาหาร!N219"")+IMPORTRANGE(""https://d"&amp;"ocs.google.com/spreadsheets/d/1oKaccgDdQABndOzGr688Dbfxb_V3YcF67VqEPBtdzsc/edit?usp=share_link"",""ยโสธร!N219"")+IMPORTRANGE(""https://docs.google.com/spreadsheets/d/1BRgc8xKpxZ0PX-gauieMVkV_IOxKSotf0yW8MabGprQ/edit?usp=share_link"",""ร้อยเอ็ด!N219"")+IMP"&amp;"ORTRANGE(""https://docs.google.com/spreadsheets/d/1IdolZc-dfdgMwAm_KZxYJl1sUOcIgnbGQzbWOlddedo/edit?usp=share_link"",""เลย!N219"")+IMPORTRANGE(""https://docs.google.com/spreadsheets/d/1tZ0nmtGuIRCaGAMXHlQU8EpR9LOAJvyKfc4f7EFmE34/edit?usp=share_link"",""ศร"&amp;"ีสะเกษ!N219"")+IMPORTRANGE(""https://docs.google.com/spreadsheets/d/1QC8psz9w0f9IVE9Xuc2FT_btkaOzZbbUSgYObpBuetM/edit?usp=share_link"",""สกลนคร!N219"")+IMPORTRANGE(""https://docs.google.com/spreadsheets/d/1wPdvRbu02d33MYVlbsCnyTiZpefEBs9NNktAnT1HZvw/edit?"&amp;"usp=share_link"",""สุรินทร์!N219"")+IMPORTRANGE(""https://docs.google.com/spreadsheets/d/1GVExpf-Exi_2gmuqTYH28fseTB9MoKPXWcXCbSt_YrM/edit?usp=share_link"",""หนองคาย!N219"")+IMPORTRANGE(""https://docs.google.com/spreadsheets/d/16UeMz0UgOB5BZcoxP75eYGcLFtG"&amp;"YRn9GoesD4OX9m5U/edit?usp=share_link"",""หนองบัวลำภู!N219"")+IMPORTRANGE(""https://docs.google.com/spreadsheets/d/1uUP8Zo1-qaJLuIkRU0qlwLSE3DHkbdrrj2JGJiWBQZE/edit?usp=share_link"",""อำนาจเจริญ!N219"")+IMPORTRANGE(""https://docs.google.com/spreadsheets/d/"&amp;"1hb_taSOHanzRjqfzWPiFo8yiT83VV1L7vvUCLhOiHKc/edit?usp=share_link"",""อุดรธานี!N219"")+IMPORTRANGE(""https://docs.google.com/spreadsheets/d/17IOkEwkUd63EGNfyNDnM5de9YlZ7rwzTiW6-dokVjKI/edit?usp=share_link"",""อุบลราชธานี!N219"")
"),234568)</f>
        <v>234568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fb2B9NLcpJgjIieIJvenUTNPn0TimZDUi0OtYeiSQ_s/edit?usp=share_link"",""กาฬสินธุ์!L220"")+IMPORTRANGE(""https://docs.google.com/spreadsheets/d/1SaMnqrwRGmFYNR0MhpWmHuL5niYUd5E7vDq8X7whAlI/edit?usp=share_li"&amp;"nk"",""ขอนแก่น!L220"")
+IMPORTRANGE(""https://docs.google.com/spreadsheets/d/1xQzEtGHhTTgxHh6YUkKY1P4dRyjVhS74dGswLfAASA4/edit?usp=share_link"",""ชัยภูมิ!L220"")+IMPORTRANGE(""https://docs.google.com/spreadsheets/d/1EXMBoBxU3OFbjT2TRpneM33qFjqDzrKmn9ydcfl"&amp;"fI0o/edit?usp=share_link"",""นครพนม!L220"")+IMPORTRANGE(""https://docs.google.com/spreadsheets/d/1bDQrolntRWtHumK8W-x-HXKntwxB9S3sF5aDeRS66Ko/edit?usp=share_link"",""นครราชสีมา!L220"")+IMPORTRANGE(""https://docs.google.com/spreadsheets/d/1_MzZ-2gVPiCW-d2V"&amp;"cafoCmFJQTSrZ6SQyFcMqRRQQ2w/edit?usp=share_link"",""บึงกาฬ!L220"")
+IMPORTRANGE(""https://docs.google.com/spreadsheets/d/1B3lPpzOuaNwVItLwLEZYl_qEblfcx7dRnbRkAw0l-pE/edit?usp=share_link"",""บุรีรัมย์!L220"")+IMPORTRANGE(""https://docs.google.com/spreadshe"&amp;"ets/d/19GOkiOqnzYbevLYWrMk4qFOXe3rX14BkSA8X-mq-a40/edit?usp=share_link"",""มหาสารคาม!L220"")+IMPORTRANGE(""https://docs.google.com/spreadsheets/d/1uMKqWwuNQ-TCKboGA3Bb1qXb5uj2-faACNUINCz8PN4/edit?usp=share_link"",""มุกดาหาร!L220"")+IMPORTRANGE(""https://d"&amp;"ocs.google.com/spreadsheets/d/1oKaccgDdQABndOzGr688Dbfxb_V3YcF67VqEPBtdzsc/edit?usp=share_link"",""ยโสธร!L220"")+IMPORTRANGE(""https://docs.google.com/spreadsheets/d/1BRgc8xKpxZ0PX-gauieMVkV_IOxKSotf0yW8MabGprQ/edit?usp=share_link"",""ร้อยเอ็ด!L220"")+IMP"&amp;"ORTRANGE(""https://docs.google.com/spreadsheets/d/1IdolZc-dfdgMwAm_KZxYJl1sUOcIgnbGQzbWOlddedo/edit?usp=share_link"",""เลย!L220"")+IMPORTRANGE(""https://docs.google.com/spreadsheets/d/1tZ0nmtGuIRCaGAMXHlQU8EpR9LOAJvyKfc4f7EFmE34/edit?usp=share_link"",""ศร"&amp;"ีสะเกษ!L220"")+IMPORTRANGE(""https://docs.google.com/spreadsheets/d/1QC8psz9w0f9IVE9Xuc2FT_btkaOzZbbUSgYObpBuetM/edit?usp=share_link"",""สกลนคร!L220"")+IMPORTRANGE(""https://docs.google.com/spreadsheets/d/1wPdvRbu02d33MYVlbsCnyTiZpefEBs9NNktAnT1HZvw/edit?"&amp;"usp=share_link"",""สุรินทร์!L220"")+IMPORTRANGE(""https://docs.google.com/spreadsheets/d/1GVExpf-Exi_2gmuqTYH28fseTB9MoKPXWcXCbSt_YrM/edit?usp=share_link"",""หนองคาย!L220"")+IMPORTRANGE(""https://docs.google.com/spreadsheets/d/16UeMz0UgOB5BZcoxP75eYGcLFtG"&amp;"YRn9GoesD4OX9m5U/edit?usp=share_link"",""หนองบัวลำภู!L220"")+IMPORTRANGE(""https://docs.google.com/spreadsheets/d/1uUP8Zo1-qaJLuIkRU0qlwLSE3DHkbdrrj2JGJiWBQZE/edit?usp=share_link"",""อำนาจเจริญ!L220"")+IMPORTRANGE(""https://docs.google.com/spreadsheets/d/"&amp;"1hb_taSOHanzRjqfzWPiFo8yiT83VV1L7vvUCLhOiHKc/edit?usp=share_link"",""อุดรธานี!L220"")+IMPORTRANGE(""https://docs.google.com/spreadsheets/d/17IOkEwkUd63EGNfyNDnM5de9YlZ7rwzTiW6-dokVjKI/edit?usp=share_link"",""อุบลราชธานี!L220"")
"),40000)</f>
        <v>40000</v>
      </c>
      <c r="M220" s="38"/>
      <c r="N220" s="283">
        <f ca="1">IFERROR(__xludf.DUMMYFUNCTION("IMPORTRANGE(""https://docs.google.com/spreadsheets/d/1fb2B9NLcpJgjIieIJvenUTNPn0TimZDUi0OtYeiSQ_s/edit?usp=share_link"",""กาฬสินธุ์!N220"")+IMPORTRANGE(""https://docs.google.com/spreadsheets/d/1SaMnqrwRGmFYNR0MhpWmHuL5niYUd5E7vDq8X7whAlI/edit?usp=share_li"&amp;"nk"",""ขอนแก่น!N220"")
+IMPORTRANGE(""https://docs.google.com/spreadsheets/d/1xQzEtGHhTTgxHh6YUkKY1P4dRyjVhS74dGswLfAASA4/edit?usp=share_link"",""ชัยภูมิ!N220"")+IMPORTRANGE(""https://docs.google.com/spreadsheets/d/1EXMBoBxU3OFbjT2TRpneM33qFjqDzrKmn9ydcfl"&amp;"fI0o/edit?usp=share_link"",""นครพนม!N220"")+IMPORTRANGE(""https://docs.google.com/spreadsheets/d/1bDQrolntRWtHumK8W-x-HXKntwxB9S3sF5aDeRS66Ko/edit?usp=share_link"",""นครราชสีมา!N220"")+IMPORTRANGE(""https://docs.google.com/spreadsheets/d/1_MzZ-2gVPiCW-d2V"&amp;"cafoCmFJQTSrZ6SQyFcMqRRQQ2w/edit?usp=share_link"",""บึงกาฬ!N220"")
+IMPORTRANGE(""https://docs.google.com/spreadsheets/d/1B3lPpzOuaNwVItLwLEZYl_qEblfcx7dRnbRkAw0l-pE/edit?usp=share_link"",""บุรีรัมย์!N220"")+IMPORTRANGE(""https://docs.google.com/spreadshe"&amp;"ets/d/19GOkiOqnzYbevLYWrMk4qFOXe3rX14BkSA8X-mq-a40/edit?usp=share_link"",""มหาสารคาม!N220"")+IMPORTRANGE(""https://docs.google.com/spreadsheets/d/1uMKqWwuNQ-TCKboGA3Bb1qXb5uj2-faACNUINCz8PN4/edit?usp=share_link"",""มุกดาหาร!N220"")+IMPORTRANGE(""https://d"&amp;"ocs.google.com/spreadsheets/d/1oKaccgDdQABndOzGr688Dbfxb_V3YcF67VqEPBtdzsc/edit?usp=share_link"",""ยโสธร!N220"")+IMPORTRANGE(""https://docs.google.com/spreadsheets/d/1BRgc8xKpxZ0PX-gauieMVkV_IOxKSotf0yW8MabGprQ/edit?usp=share_link"",""ร้อยเอ็ด!N220"")+IMP"&amp;"ORTRANGE(""https://docs.google.com/spreadsheets/d/1IdolZc-dfdgMwAm_KZxYJl1sUOcIgnbGQzbWOlddedo/edit?usp=share_link"",""เลย!N220"")+IMPORTRANGE(""https://docs.google.com/spreadsheets/d/1tZ0nmtGuIRCaGAMXHlQU8EpR9LOAJvyKfc4f7EFmE34/edit?usp=share_link"",""ศร"&amp;"ีสะเกษ!N220"")+IMPORTRANGE(""https://docs.google.com/spreadsheets/d/1QC8psz9w0f9IVE9Xuc2FT_btkaOzZbbUSgYObpBuetM/edit?usp=share_link"",""สกลนคร!N220"")+IMPORTRANGE(""https://docs.google.com/spreadsheets/d/1wPdvRbu02d33MYVlbsCnyTiZpefEBs9NNktAnT1HZvw/edit?"&amp;"usp=share_link"",""สุรินทร์!N220"")+IMPORTRANGE(""https://docs.google.com/spreadsheets/d/1GVExpf-Exi_2gmuqTYH28fseTB9MoKPXWcXCbSt_YrM/edit?usp=share_link"",""หนองคาย!N220"")+IMPORTRANGE(""https://docs.google.com/spreadsheets/d/16UeMz0UgOB5BZcoxP75eYGcLFtG"&amp;"YRn9GoesD4OX9m5U/edit?usp=share_link"",""หนองบัวลำภู!N220"")+IMPORTRANGE(""https://docs.google.com/spreadsheets/d/1uUP8Zo1-qaJLuIkRU0qlwLSE3DHkbdrrj2JGJiWBQZE/edit?usp=share_link"",""อำนาจเจริญ!N220"")+IMPORTRANGE(""https://docs.google.com/spreadsheets/d/"&amp;"1hb_taSOHanzRjqfzWPiFo8yiT83VV1L7vvUCLhOiHKc/edit?usp=share_link"",""อุดรธานี!N220"")+IMPORTRANGE(""https://docs.google.com/spreadsheets/d/17IOkEwkUd63EGNfyNDnM5de9YlZ7rwzTiW6-dokVjKI/edit?usp=share_link"",""อุบลราชธานี!N220"")
"),37232)</f>
        <v>37232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fb2B9NLcpJgjIieIJvenUTNPn0TimZDUi0OtYeiSQ_s/edit?usp=share_link"",""กาฬสินธุ์!I223"")+IMPORTRANGE(""https://docs.google.com/spreadsheets/d/1SaMnqrwRGmFYNR0MhpWmHuL5niYUd5E7vDq8X7whAlI/edit?usp=share_li"&amp;"nk"",""ขอนแก่น!I223"")
+IMPORTRANGE(""https://docs.google.com/spreadsheets/d/1xQzEtGHhTTgxHh6YUkKY1P4dRyjVhS74dGswLfAASA4/edit?usp=share_link"",""ชัยภูมิ!I223"")+IMPORTRANGE(""https://docs.google.com/spreadsheets/d/1EXMBoBxU3OFbjT2TRpneM33qFjqDzrKmn9ydcfl"&amp;"fI0o/edit?usp=share_link"",""นครพนม!I223"")+IMPORTRANGE(""https://docs.google.com/spreadsheets/d/1bDQrolntRWtHumK8W-x-HXKntwxB9S3sF5aDeRS66Ko/edit?usp=share_link"",""นครราชสีมา!I223"")+IMPORTRANGE(""https://docs.google.com/spreadsheets/d/1_MzZ-2gVPiCW-d2V"&amp;"cafoCmFJQTSrZ6SQyFcMqRRQQ2w/edit?usp=share_link"",""บึงกาฬ!I223"")
+IMPORTRANGE(""https://docs.google.com/spreadsheets/d/1B3lPpzOuaNwVItLwLEZYl_qEblfcx7dRnbRkAw0l-pE/edit?usp=share_link"",""บุรีรัมย์!I223"")+IMPORTRANGE(""https://docs.google.com/spreadshe"&amp;"ets/d/19GOkiOqnzYbevLYWrMk4qFOXe3rX14BkSA8X-mq-a40/edit?usp=share_link"",""มหาสารคาม!I223"")+IMPORTRANGE(""https://docs.google.com/spreadsheets/d/1uMKqWwuNQ-TCKboGA3Bb1qXb5uj2-faACNUINCz8PN4/edit?usp=share_link"",""มุกดาหาร!I223"")+IMPORTRANGE(""https://d"&amp;"ocs.google.com/spreadsheets/d/1oKaccgDdQABndOzGr688Dbfxb_V3YcF67VqEPBtdzsc/edit?usp=share_link"",""ยโสธร!I223"")+IMPORTRANGE(""https://docs.google.com/spreadsheets/d/1BRgc8xKpxZ0PX-gauieMVkV_IOxKSotf0yW8MabGprQ/edit?usp=share_link"",""ร้อยเอ็ด!I223"")+IMP"&amp;"ORTRANGE(""https://docs.google.com/spreadsheets/d/1IdolZc-dfdgMwAm_KZxYJl1sUOcIgnbGQzbWOlddedo/edit?usp=share_link"",""เลย!I223"")+IMPORTRANGE(""https://docs.google.com/spreadsheets/d/1tZ0nmtGuIRCaGAMXHlQU8EpR9LOAJvyKfc4f7EFmE34/edit?usp=share_link"",""ศร"&amp;"ีสะเกษ!I223"")+IMPORTRANGE(""https://docs.google.com/spreadsheets/d/1QC8psz9w0f9IVE9Xuc2FT_btkaOzZbbUSgYObpBuetM/edit?usp=share_link"",""สกลนคร!I223"")+IMPORTRANGE(""https://docs.google.com/spreadsheets/d/1wPdvRbu02d33MYVlbsCnyTiZpefEBs9NNktAnT1HZvw/edit?"&amp;"usp=share_link"",""สุรินทร์!I223"")+IMPORTRANGE(""https://docs.google.com/spreadsheets/d/1GVExpf-Exi_2gmuqTYH28fseTB9MoKPXWcXCbSt_YrM/edit?usp=share_link"",""หนองคาย!I223"")+IMPORTRANGE(""https://docs.google.com/spreadsheets/d/16UeMz0UgOB5BZcoxP75eYGcLFtG"&amp;"YRn9GoesD4OX9m5U/edit?usp=share_link"",""หนองบัวลำภู!I223"")+IMPORTRANGE(""https://docs.google.com/spreadsheets/d/1uUP8Zo1-qaJLuIkRU0qlwLSE3DHkbdrrj2JGJiWBQZE/edit?usp=share_link"",""อำนาจเจริญ!I223"")+IMPORTRANGE(""https://docs.google.com/spreadsheets/d/"&amp;"1hb_taSOHanzRjqfzWPiFo8yiT83VV1L7vvUCLhOiHKc/edit?usp=share_link"",""อุดรธานี!I223"")+IMPORTRANGE(""https://docs.google.com/spreadsheets/d/17IOkEwkUd63EGNfyNDnM5de9YlZ7rwzTiW6-dokVjKI/edit?usp=share_link"",""อุบลราชธานี!I223"")
"),858800)</f>
        <v>858800</v>
      </c>
      <c r="J223" s="183">
        <f ca="1">IFERROR(__xludf.DUMMYFUNCTION("IMPORTRANGE(""https://docs.google.com/spreadsheets/d/1fb2B9NLcpJgjIieIJvenUTNPn0TimZDUi0OtYeiSQ_s/edit?usp=share_link"",""กาฬสินธุ์!J223"")+IMPORTRANGE(""https://docs.google.com/spreadsheets/d/1SaMnqrwRGmFYNR0MhpWmHuL5niYUd5E7vDq8X7whAlI/edit?usp=share_li"&amp;"nk"",""ขอนแก่น!J223"")
+IMPORTRANGE(""https://docs.google.com/spreadsheets/d/1xQzEtGHhTTgxHh6YUkKY1P4dRyjVhS74dGswLfAASA4/edit?usp=share_link"",""ชัยภูมิ!J223"")+IMPORTRANGE(""https://docs.google.com/spreadsheets/d/1EXMBoBxU3OFbjT2TRpneM33qFjqDzrKmn9ydcfl"&amp;"fI0o/edit?usp=share_link"",""นครพนม!J223"")+IMPORTRANGE(""https://docs.google.com/spreadsheets/d/1bDQrolntRWtHumK8W-x-HXKntwxB9S3sF5aDeRS66Ko/edit?usp=share_link"",""นครราชสีมา!J223"")+IMPORTRANGE(""https://docs.google.com/spreadsheets/d/1_MzZ-2gVPiCW-d2V"&amp;"cafoCmFJQTSrZ6SQyFcMqRRQQ2w/edit?usp=share_link"",""บึงกาฬ!J223"")
+IMPORTRANGE(""https://docs.google.com/spreadsheets/d/1B3lPpzOuaNwVItLwLEZYl_qEblfcx7dRnbRkAw0l-pE/edit?usp=share_link"",""บุรีรัมย์!J223"")+IMPORTRANGE(""https://docs.google.com/spreadshe"&amp;"ets/d/19GOkiOqnzYbevLYWrMk4qFOXe3rX14BkSA8X-mq-a40/edit?usp=share_link"",""มหาสารคาม!J223"")+IMPORTRANGE(""https://docs.google.com/spreadsheets/d/1uMKqWwuNQ-TCKboGA3Bb1qXb5uj2-faACNUINCz8PN4/edit?usp=share_link"",""มุกดาหาร!J223"")+IMPORTRANGE(""https://d"&amp;"ocs.google.com/spreadsheets/d/1oKaccgDdQABndOzGr688Dbfxb_V3YcF67VqEPBtdzsc/edit?usp=share_link"",""ยโสธร!J223"")+IMPORTRANGE(""https://docs.google.com/spreadsheets/d/1BRgc8xKpxZ0PX-gauieMVkV_IOxKSotf0yW8MabGprQ/edit?usp=share_link"",""ร้อยเอ็ด!J223"")+IMP"&amp;"ORTRANGE(""https://docs.google.com/spreadsheets/d/1IdolZc-dfdgMwAm_KZxYJl1sUOcIgnbGQzbWOlddedo/edit?usp=share_link"",""เลย!J223"")+IMPORTRANGE(""https://docs.google.com/spreadsheets/d/1tZ0nmtGuIRCaGAMXHlQU8EpR9LOAJvyKfc4f7EFmE34/edit?usp=share_link"",""ศร"&amp;"ีสะเกษ!J223"")+IMPORTRANGE(""https://docs.google.com/spreadsheets/d/1QC8psz9w0f9IVE9Xuc2FT_btkaOzZbbUSgYObpBuetM/edit?usp=share_link"",""สกลนคร!J223"")+IMPORTRANGE(""https://docs.google.com/spreadsheets/d/1wPdvRbu02d33MYVlbsCnyTiZpefEBs9NNktAnT1HZvw/edit?"&amp;"usp=share_link"",""สุรินทร์!J223"")+IMPORTRANGE(""https://docs.google.com/spreadsheets/d/1GVExpf-Exi_2gmuqTYH28fseTB9MoKPXWcXCbSt_YrM/edit?usp=share_link"",""หนองคาย!J223"")+IMPORTRANGE(""https://docs.google.com/spreadsheets/d/16UeMz0UgOB5BZcoxP75eYGcLFtG"&amp;"YRn9GoesD4OX9m5U/edit?usp=share_link"",""หนองบัวลำภู!J223"")+IMPORTRANGE(""https://docs.google.com/spreadsheets/d/1uUP8Zo1-qaJLuIkRU0qlwLSE3DHkbdrrj2JGJiWBQZE/edit?usp=share_link"",""อำนาจเจริญ!J223"")+IMPORTRANGE(""https://docs.google.com/spreadsheets/d/"&amp;"1hb_taSOHanzRjqfzWPiFo8yiT83VV1L7vvUCLhOiHKc/edit?usp=share_link"",""อุดรธานี!J223"")+IMPORTRANGE(""https://docs.google.com/spreadsheets/d/17IOkEwkUd63EGNfyNDnM5de9YlZ7rwzTiW6-dokVjKI/edit?usp=share_link"",""อุบลราชธานี!J223"")
"),858800)</f>
        <v>858800</v>
      </c>
      <c r="K223" s="163">
        <f t="shared" ref="K223:K226" ca="1" si="125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fb2B9NLcpJgjIieIJvenUTNPn0TimZDUi0OtYeiSQ_s/edit?usp=share_link"",""กาฬสินธุ์!I224"")+IMPORTRANGE(""https://docs.google.com/spreadsheets/d/1SaMnqrwRGmFYNR0MhpWmHuL5niYUd5E7vDq8X7whAlI/edit?usp=share_li"&amp;"nk"",""ขอนแก่น!I224"")
+IMPORTRANGE(""https://docs.google.com/spreadsheets/d/1xQzEtGHhTTgxHh6YUkKY1P4dRyjVhS74dGswLfAASA4/edit?usp=share_link"",""ชัยภูมิ!I224"")+IMPORTRANGE(""https://docs.google.com/spreadsheets/d/1EXMBoBxU3OFbjT2TRpneM33qFjqDzrKmn9ydcfl"&amp;"fI0o/edit?usp=share_link"",""นครพนม!I224"")+IMPORTRANGE(""https://docs.google.com/spreadsheets/d/1bDQrolntRWtHumK8W-x-HXKntwxB9S3sF5aDeRS66Ko/edit?usp=share_link"",""นครราชสีมา!I224"")+IMPORTRANGE(""https://docs.google.com/spreadsheets/d/1_MzZ-2gVPiCW-d2V"&amp;"cafoCmFJQTSrZ6SQyFcMqRRQQ2w/edit?usp=share_link"",""บึงกาฬ!I224"")
+IMPORTRANGE(""https://docs.google.com/spreadsheets/d/1B3lPpzOuaNwVItLwLEZYl_qEblfcx7dRnbRkAw0l-pE/edit?usp=share_link"",""บุรีรัมย์!I224"")+IMPORTRANGE(""https://docs.google.com/spreadshe"&amp;"ets/d/19GOkiOqnzYbevLYWrMk4qFOXe3rX14BkSA8X-mq-a40/edit?usp=share_link"",""มหาสารคาม!I224"")+IMPORTRANGE(""https://docs.google.com/spreadsheets/d/1uMKqWwuNQ-TCKboGA3Bb1qXb5uj2-faACNUINCz8PN4/edit?usp=share_link"",""มุกดาหาร!I224"")+IMPORTRANGE(""https://d"&amp;"ocs.google.com/spreadsheets/d/1oKaccgDdQABndOzGr688Dbfxb_V3YcF67VqEPBtdzsc/edit?usp=share_link"",""ยโสธร!I224"")+IMPORTRANGE(""https://docs.google.com/spreadsheets/d/1BRgc8xKpxZ0PX-gauieMVkV_IOxKSotf0yW8MabGprQ/edit?usp=share_link"",""ร้อยเอ็ด!I224"")+IMP"&amp;"ORTRANGE(""https://docs.google.com/spreadsheets/d/1IdolZc-dfdgMwAm_KZxYJl1sUOcIgnbGQzbWOlddedo/edit?usp=share_link"",""เลย!I224"")+IMPORTRANGE(""https://docs.google.com/spreadsheets/d/1tZ0nmtGuIRCaGAMXHlQU8EpR9LOAJvyKfc4f7EFmE34/edit?usp=share_link"",""ศร"&amp;"ีสะเกษ!I224"")+IMPORTRANGE(""https://docs.google.com/spreadsheets/d/1QC8psz9w0f9IVE9Xuc2FT_btkaOzZbbUSgYObpBuetM/edit?usp=share_link"",""สกลนคร!I224"")+IMPORTRANGE(""https://docs.google.com/spreadsheets/d/1wPdvRbu02d33MYVlbsCnyTiZpefEBs9NNktAnT1HZvw/edit?"&amp;"usp=share_link"",""สุรินทร์!I224"")+IMPORTRANGE(""https://docs.google.com/spreadsheets/d/1GVExpf-Exi_2gmuqTYH28fseTB9MoKPXWcXCbSt_YrM/edit?usp=share_link"",""หนองคาย!I224"")+IMPORTRANGE(""https://docs.google.com/spreadsheets/d/16UeMz0UgOB5BZcoxP75eYGcLFtG"&amp;"YRn9GoesD4OX9m5U/edit?usp=share_link"",""หนองบัวลำภู!I224"")+IMPORTRANGE(""https://docs.google.com/spreadsheets/d/1uUP8Zo1-qaJLuIkRU0qlwLSE3DHkbdrrj2JGJiWBQZE/edit?usp=share_link"",""อำนาจเจริญ!I224"")+IMPORTRANGE(""https://docs.google.com/spreadsheets/d/"&amp;"1hb_taSOHanzRjqfzWPiFo8yiT83VV1L7vvUCLhOiHKc/edit?usp=share_link"",""อุดรธานี!I224"")+IMPORTRANGE(""https://docs.google.com/spreadsheets/d/17IOkEwkUd63EGNfyNDnM5de9YlZ7rwzTiW6-dokVjKI/edit?usp=share_link"",""อุบลราชธานี!I224"")
"),858800)</f>
        <v>858800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"),858800)</f>
        <v>858800</v>
      </c>
      <c r="K224" s="163">
        <f t="shared" ca="1" si="125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fb2B9NLcpJgjIieIJvenUTNPn0TimZDUi0OtYeiSQ_s/edit?usp=share_link"",""กาฬสินธุ์!I225"")+IMPORTRANGE(""https://docs.google.com/spreadsheets/d/1SaMnqrwRGmFYNR0MhpWmHuL5niYUd5E7vDq8X7whAlI/edit?usp=share_li"&amp;"nk"",""ขอนแก่น!I225"")
+IMPORTRANGE(""https://docs.google.com/spreadsheets/d/1xQzEtGHhTTgxHh6YUkKY1P4dRyjVhS74dGswLfAASA4/edit?usp=share_link"",""ชัยภูมิ!I225"")+IMPORTRANGE(""https://docs.google.com/spreadsheets/d/1EXMBoBxU3OFbjT2TRpneM33qFjqDzrKmn9ydcfl"&amp;"fI0o/edit?usp=share_link"",""นครพนม!I225"")+IMPORTRANGE(""https://docs.google.com/spreadsheets/d/1bDQrolntRWtHumK8W-x-HXKntwxB9S3sF5aDeRS66Ko/edit?usp=share_link"",""นครราชสีมา!I225"")+IMPORTRANGE(""https://docs.google.com/spreadsheets/d/1_MzZ-2gVPiCW-d2V"&amp;"cafoCmFJQTSrZ6SQyFcMqRRQQ2w/edit?usp=share_link"",""บึงกาฬ!I225"")
+IMPORTRANGE(""https://docs.google.com/spreadsheets/d/1B3lPpzOuaNwVItLwLEZYl_qEblfcx7dRnbRkAw0l-pE/edit?usp=share_link"",""บุรีรัมย์!I225"")+IMPORTRANGE(""https://docs.google.com/spreadshe"&amp;"ets/d/19GOkiOqnzYbevLYWrMk4qFOXe3rX14BkSA8X-mq-a40/edit?usp=share_link"",""มหาสารคาม!I225"")+IMPORTRANGE(""https://docs.google.com/spreadsheets/d/1uMKqWwuNQ-TCKboGA3Bb1qXb5uj2-faACNUINCz8PN4/edit?usp=share_link"",""มุกดาหาร!I225"")+IMPORTRANGE(""https://d"&amp;"ocs.google.com/spreadsheets/d/1oKaccgDdQABndOzGr688Dbfxb_V3YcF67VqEPBtdzsc/edit?usp=share_link"",""ยโสธร!I225"")+IMPORTRANGE(""https://docs.google.com/spreadsheets/d/1BRgc8xKpxZ0PX-gauieMVkV_IOxKSotf0yW8MabGprQ/edit?usp=share_link"",""ร้อยเอ็ด!I225"")+IMP"&amp;"ORTRANGE(""https://docs.google.com/spreadsheets/d/1IdolZc-dfdgMwAm_KZxYJl1sUOcIgnbGQzbWOlddedo/edit?usp=share_link"",""เลย!I225"")+IMPORTRANGE(""https://docs.google.com/spreadsheets/d/1tZ0nmtGuIRCaGAMXHlQU8EpR9LOAJvyKfc4f7EFmE34/edit?usp=share_link"",""ศร"&amp;"ีสะเกษ!I225"")+IMPORTRANGE(""https://docs.google.com/spreadsheets/d/1QC8psz9w0f9IVE9Xuc2FT_btkaOzZbbUSgYObpBuetM/edit?usp=share_link"",""สกลนคร!I225"")+IMPORTRANGE(""https://docs.google.com/spreadsheets/d/1wPdvRbu02d33MYVlbsCnyTiZpefEBs9NNktAnT1HZvw/edit?"&amp;"usp=share_link"",""สุรินทร์!I225"")+IMPORTRANGE(""https://docs.google.com/spreadsheets/d/1GVExpf-Exi_2gmuqTYH28fseTB9MoKPXWcXCbSt_YrM/edit?usp=share_link"",""หนองคาย!I225"")+IMPORTRANGE(""https://docs.google.com/spreadsheets/d/16UeMz0UgOB5BZcoxP75eYGcLFtG"&amp;"YRn9GoesD4OX9m5U/edit?usp=share_link"",""หนองบัวลำภู!I225"")+IMPORTRANGE(""https://docs.google.com/spreadsheets/d/1uUP8Zo1-qaJLuIkRU0qlwLSE3DHkbdrrj2JGJiWBQZE/edit?usp=share_link"",""อำนาจเจริญ!I225"")+IMPORTRANGE(""https://docs.google.com/spreadsheets/d/"&amp;"1hb_taSOHanzRjqfzWPiFo8yiT83VV1L7vvUCLhOiHKc/edit?usp=share_link"",""อุดรธานี!I225"")+IMPORTRANGE(""https://docs.google.com/spreadsheets/d/17IOkEwkUd63EGNfyNDnM5de9YlZ7rwzTiW6-dokVjKI/edit?usp=share_link"",""อุบลราชธานี!I225"")
"),40)</f>
        <v>40</v>
      </c>
      <c r="J225" s="183">
        <f ca="1">IFERROR(__xludf.DUMMYFUNCTION("IMPORTRANGE(""https://docs.google.com/spreadsheets/d/1fb2B9NLcpJgjIieIJvenUTNPn0TimZDUi0OtYeiSQ_s/edit?usp=share_link"",""กาฬสินธุ์!J225"")+IMPORTRANGE(""https://docs.google.com/spreadsheets/d/1SaMnqrwRGmFYNR0MhpWmHuL5niYUd5E7vDq8X7whAlI/edit?usp=share_li"&amp;"nk"",""ขอนแก่น!J225"")
+IMPORTRANGE(""https://docs.google.com/spreadsheets/d/1xQzEtGHhTTgxHh6YUkKY1P4dRyjVhS74dGswLfAASA4/edit?usp=share_link"",""ชัยภูมิ!J225"")+IMPORTRANGE(""https://docs.google.com/spreadsheets/d/1EXMBoBxU3OFbjT2TRpneM33qFjqDzrKmn9ydcfl"&amp;"fI0o/edit?usp=share_link"",""นครพนม!J225"")+IMPORTRANGE(""https://docs.google.com/spreadsheets/d/1bDQrolntRWtHumK8W-x-HXKntwxB9S3sF5aDeRS66Ko/edit?usp=share_link"",""นครราชสีมา!J225"")+IMPORTRANGE(""https://docs.google.com/spreadsheets/d/1_MzZ-2gVPiCW-d2V"&amp;"cafoCmFJQTSrZ6SQyFcMqRRQQ2w/edit?usp=share_link"",""บึงกาฬ!J225"")
+IMPORTRANGE(""https://docs.google.com/spreadsheets/d/1B3lPpzOuaNwVItLwLEZYl_qEblfcx7dRnbRkAw0l-pE/edit?usp=share_link"",""บุรีรัมย์!J225"")+IMPORTRANGE(""https://docs.google.com/spreadshe"&amp;"ets/d/19GOkiOqnzYbevLYWrMk4qFOXe3rX14BkSA8X-mq-a40/edit?usp=share_link"",""มหาสารคาม!J225"")+IMPORTRANGE(""https://docs.google.com/spreadsheets/d/1uMKqWwuNQ-TCKboGA3Bb1qXb5uj2-faACNUINCz8PN4/edit?usp=share_link"",""มุกดาหาร!J225"")+IMPORTRANGE(""https://d"&amp;"ocs.google.com/spreadsheets/d/1oKaccgDdQABndOzGr688Dbfxb_V3YcF67VqEPBtdzsc/edit?usp=share_link"",""ยโสธร!J225"")+IMPORTRANGE(""https://docs.google.com/spreadsheets/d/1BRgc8xKpxZ0PX-gauieMVkV_IOxKSotf0yW8MabGprQ/edit?usp=share_link"",""ร้อยเอ็ด!J225"")+IMP"&amp;"ORTRANGE(""https://docs.google.com/spreadsheets/d/1IdolZc-dfdgMwAm_KZxYJl1sUOcIgnbGQzbWOlddedo/edit?usp=share_link"",""เลย!J225"")+IMPORTRANGE(""https://docs.google.com/spreadsheets/d/1tZ0nmtGuIRCaGAMXHlQU8EpR9LOAJvyKfc4f7EFmE34/edit?usp=share_link"",""ศร"&amp;"ีสะเกษ!J225"")+IMPORTRANGE(""https://docs.google.com/spreadsheets/d/1QC8psz9w0f9IVE9Xuc2FT_btkaOzZbbUSgYObpBuetM/edit?usp=share_link"",""สกลนคร!J225"")+IMPORTRANGE(""https://docs.google.com/spreadsheets/d/1wPdvRbu02d33MYVlbsCnyTiZpefEBs9NNktAnT1HZvw/edit?"&amp;"usp=share_link"",""สุรินทร์!J225"")+IMPORTRANGE(""https://docs.google.com/spreadsheets/d/1GVExpf-Exi_2gmuqTYH28fseTB9MoKPXWcXCbSt_YrM/edit?usp=share_link"",""หนองคาย!J225"")+IMPORTRANGE(""https://docs.google.com/spreadsheets/d/16UeMz0UgOB5BZcoxP75eYGcLFtG"&amp;"YRn9GoesD4OX9m5U/edit?usp=share_link"",""หนองบัวลำภู!J225"")+IMPORTRANGE(""https://docs.google.com/spreadsheets/d/1uUP8Zo1-qaJLuIkRU0qlwLSE3DHkbdrrj2JGJiWBQZE/edit?usp=share_link"",""อำนาจเจริญ!J225"")+IMPORTRANGE(""https://docs.google.com/spreadsheets/d/"&amp;"1hb_taSOHanzRjqfzWPiFo8yiT83VV1L7vvUCLhOiHKc/edit?usp=share_link"",""อุดรธานี!J225"")+IMPORTRANGE(""https://docs.google.com/spreadsheets/d/17IOkEwkUd63EGNfyNDnM5de9YlZ7rwzTiW6-dokVjKI/edit?usp=share_link"",""อุบลราชธานี!J225"")
"),40)</f>
        <v>40</v>
      </c>
      <c r="K225" s="163">
        <f t="shared" ca="1" si="125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6">I237+I248</f>
        <v>80</v>
      </c>
      <c r="J226" s="299">
        <f t="shared" ca="1" si="126"/>
        <v>80</v>
      </c>
      <c r="K226" s="300">
        <f t="shared" ca="1" si="125"/>
        <v>100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19.5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7">L238+L249</f>
        <v>556000</v>
      </c>
      <c r="M227" s="311"/>
      <c r="N227" s="311">
        <f t="shared" ref="N227:N231" ca="1" si="128">N238+N249</f>
        <v>556000</v>
      </c>
      <c r="O227" s="311">
        <f ca="1">IF(L227&gt;0,N227*100/L227,0)</f>
        <v>100</v>
      </c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8.75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7"/>
        <v>326000</v>
      </c>
      <c r="M228" s="322"/>
      <c r="N228" s="322">
        <f t="shared" ca="1" si="128"/>
        <v>326000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9.5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7"/>
        <v>190000</v>
      </c>
      <c r="M229" s="322"/>
      <c r="N229" s="322">
        <f t="shared" ca="1" si="128"/>
        <v>190000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9.5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7"/>
        <v>20000</v>
      </c>
      <c r="M230" s="322"/>
      <c r="N230" s="322">
        <f t="shared" ca="1" si="128"/>
        <v>20000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9.5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7"/>
        <v>20000</v>
      </c>
      <c r="M231" s="322"/>
      <c r="N231" s="322">
        <f t="shared" ca="1" si="128"/>
        <v>20000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9.5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8.75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80</v>
      </c>
      <c r="J233" s="326">
        <f t="shared" ca="1" si="129"/>
        <v>80</v>
      </c>
      <c r="K233" s="322">
        <f ca="1">IF(I233&gt;0,J233*100/I233,0)</f>
        <v>100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8.75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8.75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40</v>
      </c>
      <c r="J235" s="326">
        <f t="shared" ca="1" si="130"/>
        <v>40</v>
      </c>
      <c r="K235" s="322">
        <f t="shared" ref="K235:K237" ca="1" si="131">IF(I235&gt;0,J235*100/I235,0)</f>
        <v>100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8.75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2</v>
      </c>
      <c r="J236" s="326">
        <f t="shared" ca="1" si="132"/>
        <v>2</v>
      </c>
      <c r="K236" s="322">
        <f t="shared" ca="1" si="131"/>
        <v>100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9.5" hidden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80</v>
      </c>
      <c r="J237" s="345">
        <f t="shared" ca="1" si="133"/>
        <v>80</v>
      </c>
      <c r="K237" s="346">
        <f t="shared" ca="1" si="131"/>
        <v>100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19.5" hidden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556000</v>
      </c>
      <c r="M238" s="356"/>
      <c r="N238" s="356">
        <f ca="1">N239+N240+N241+N242</f>
        <v>556000</v>
      </c>
      <c r="O238" s="356">
        <f ca="1">IF(L238&gt;0,N238*100/L238,0)</f>
        <v>100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8.75" hidden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fb2B9NLcpJgjIieIJvenUTNPn0TimZDUi0OtYeiSQ_s/edit?usp=share_link"",""กาฬสินธุ์!L239"")+IMPORTRANGE(""https://docs.google.com/spreadsheets/d/1SaMnqrwRGmFYNR0MhpWmHuL5niYUd5E7vDq8X7whAlI/edit?usp=share_li"&amp;"nk"",""ขอนแก่น!L239"")
+IMPORTRANGE(""https://docs.google.com/spreadsheets/d/1xQzEtGHhTTgxHh6YUkKY1P4dRyjVhS74dGswLfAASA4/edit?usp=share_link"",""ชัยภูมิ!L239"")+IMPORTRANGE(""https://docs.google.com/spreadsheets/d/1EXMBoBxU3OFbjT2TRpneM33qFjqDzrKmn9ydcfl"&amp;"fI0o/edit?usp=share_link"",""นครพนม!L239"")+IMPORTRANGE(""https://docs.google.com/spreadsheets/d/1bDQrolntRWtHumK8W-x-HXKntwxB9S3sF5aDeRS66Ko/edit?usp=share_link"",""นครราชสีมา!L239"")+IMPORTRANGE(""https://docs.google.com/spreadsheets/d/1_MzZ-2gVPiCW-d2V"&amp;"cafoCmFJQTSrZ6SQyFcMqRRQQ2w/edit?usp=share_link"",""บึงกาฬ!L239"")
+IMPORTRANGE(""https://docs.google.com/spreadsheets/d/1B3lPpzOuaNwVItLwLEZYl_qEblfcx7dRnbRkAw0l-pE/edit?usp=share_link"",""บุรีรัมย์!L239"")+IMPORTRANGE(""https://docs.google.com/spreadshe"&amp;"ets/d/19GOkiOqnzYbevLYWrMk4qFOXe3rX14BkSA8X-mq-a40/edit?usp=share_link"",""มหาสารคาม!L239"")+IMPORTRANGE(""https://docs.google.com/spreadsheets/d/1uMKqWwuNQ-TCKboGA3Bb1qXb5uj2-faACNUINCz8PN4/edit?usp=share_link"",""มุกดาหาร!L239"")+IMPORTRANGE(""https://d"&amp;"ocs.google.com/spreadsheets/d/1oKaccgDdQABndOzGr688Dbfxb_V3YcF67VqEPBtdzsc/edit?usp=share_link"",""ยโสธร!L239"")+IMPORTRANGE(""https://docs.google.com/spreadsheets/d/1BRgc8xKpxZ0PX-gauieMVkV_IOxKSotf0yW8MabGprQ/edit?usp=share_link"",""ร้อยเอ็ด!L239"")+IMP"&amp;"ORTRANGE(""https://docs.google.com/spreadsheets/d/1IdolZc-dfdgMwAm_KZxYJl1sUOcIgnbGQzbWOlddedo/edit?usp=share_link"",""เลย!L239"")+IMPORTRANGE(""https://docs.google.com/spreadsheets/d/1tZ0nmtGuIRCaGAMXHlQU8EpR9LOAJvyKfc4f7EFmE34/edit?usp=share_link"",""ศร"&amp;"ีสะเกษ!L239"")+IMPORTRANGE(""https://docs.google.com/spreadsheets/d/1QC8psz9w0f9IVE9Xuc2FT_btkaOzZbbUSgYObpBuetM/edit?usp=share_link"",""สกลนคร!L239"")+IMPORTRANGE(""https://docs.google.com/spreadsheets/d/1wPdvRbu02d33MYVlbsCnyTiZpefEBs9NNktAnT1HZvw/edit?"&amp;"usp=share_link"",""สุรินทร์!L239"")+IMPORTRANGE(""https://docs.google.com/spreadsheets/d/1GVExpf-Exi_2gmuqTYH28fseTB9MoKPXWcXCbSt_YrM/edit?usp=share_link"",""หนองคาย!L239"")+IMPORTRANGE(""https://docs.google.com/spreadsheets/d/16UeMz0UgOB5BZcoxP75eYGcLFtG"&amp;"YRn9GoesD4OX9m5U/edit?usp=share_link"",""หนองบัวลำภู!L239"")+IMPORTRANGE(""https://docs.google.com/spreadsheets/d/1uUP8Zo1-qaJLuIkRU0qlwLSE3DHkbdrrj2JGJiWBQZE/edit?usp=share_link"",""อำนาจเจริญ!L239"")+IMPORTRANGE(""https://docs.google.com/spreadsheets/d/"&amp;"1hb_taSOHanzRjqfzWPiFo8yiT83VV1L7vvUCLhOiHKc/edit?usp=share_link"",""อุดรธานี!L239"")+IMPORTRANGE(""https://docs.google.com/spreadsheets/d/17IOkEwkUd63EGNfyNDnM5de9YlZ7rwzTiW6-dokVjKI/edit?usp=share_link"",""อุบลราชธานี!L239"")
"),326000)</f>
        <v>326000</v>
      </c>
      <c r="M239" s="45"/>
      <c r="N239" s="358">
        <f ca="1">IFERROR(__xludf.DUMMYFUNCTION("IMPORTRANGE(""https://docs.google.com/spreadsheets/d/1fb2B9NLcpJgjIieIJvenUTNPn0TimZDUi0OtYeiSQ_s/edit?usp=share_link"",""กาฬสินธุ์!N239"")+IMPORTRANGE(""https://docs.google.com/spreadsheets/d/1SaMnqrwRGmFYNR0MhpWmHuL5niYUd5E7vDq8X7whAlI/edit?usp=share_li"&amp;"nk"",""ขอนแก่น!N239"")
+IMPORTRANGE(""https://docs.google.com/spreadsheets/d/1xQzEtGHhTTgxHh6YUkKY1P4dRyjVhS74dGswLfAASA4/edit?usp=share_link"",""ชัยภูมิ!N239"")+IMPORTRANGE(""https://docs.google.com/spreadsheets/d/1EXMBoBxU3OFbjT2TRpneM33qFjqDzrKmn9ydcfl"&amp;"fI0o/edit?usp=share_link"",""นครพนม!N239"")+IMPORTRANGE(""https://docs.google.com/spreadsheets/d/1bDQrolntRWtHumK8W-x-HXKntwxB9S3sF5aDeRS66Ko/edit?usp=share_link"",""นครราชสีมา!N239"")+IMPORTRANGE(""https://docs.google.com/spreadsheets/d/1_MzZ-2gVPiCW-d2V"&amp;"cafoCmFJQTSrZ6SQyFcMqRRQQ2w/edit?usp=share_link"",""บึงกาฬ!N239"")
+IMPORTRANGE(""https://docs.google.com/spreadsheets/d/1B3lPpzOuaNwVItLwLEZYl_qEblfcx7dRnbRkAw0l-pE/edit?usp=share_link"",""บุรีรัมย์!N239"")+IMPORTRANGE(""https://docs.google.com/spreadshe"&amp;"ets/d/19GOkiOqnzYbevLYWrMk4qFOXe3rX14BkSA8X-mq-a40/edit?usp=share_link"",""มหาสารคาม!N239"")+IMPORTRANGE(""https://docs.google.com/spreadsheets/d/1uMKqWwuNQ-TCKboGA3Bb1qXb5uj2-faACNUINCz8PN4/edit?usp=share_link"",""มุกดาหาร!N239"")+IMPORTRANGE(""https://d"&amp;"ocs.google.com/spreadsheets/d/1oKaccgDdQABndOzGr688Dbfxb_V3YcF67VqEPBtdzsc/edit?usp=share_link"",""ยโสธร!N239"")+IMPORTRANGE(""https://docs.google.com/spreadsheets/d/1BRgc8xKpxZ0PX-gauieMVkV_IOxKSotf0yW8MabGprQ/edit?usp=share_link"",""ร้อยเอ็ด!N239"")+IMP"&amp;"ORTRANGE(""https://docs.google.com/spreadsheets/d/1IdolZc-dfdgMwAm_KZxYJl1sUOcIgnbGQzbWOlddedo/edit?usp=share_link"",""เลย!N239"")+IMPORTRANGE(""https://docs.google.com/spreadsheets/d/1tZ0nmtGuIRCaGAMXHlQU8EpR9LOAJvyKfc4f7EFmE34/edit?usp=share_link"",""ศร"&amp;"ีสะเกษ!N239"")+IMPORTRANGE(""https://docs.google.com/spreadsheets/d/1QC8psz9w0f9IVE9Xuc2FT_btkaOzZbbUSgYObpBuetM/edit?usp=share_link"",""สกลนคร!N239"")+IMPORTRANGE(""https://docs.google.com/spreadsheets/d/1wPdvRbu02d33MYVlbsCnyTiZpefEBs9NNktAnT1HZvw/edit?"&amp;"usp=share_link"",""สุรินทร์!N239"")+IMPORTRANGE(""https://docs.google.com/spreadsheets/d/1GVExpf-Exi_2gmuqTYH28fseTB9MoKPXWcXCbSt_YrM/edit?usp=share_link"",""หนองคาย!N239"")+IMPORTRANGE(""https://docs.google.com/spreadsheets/d/16UeMz0UgOB5BZcoxP75eYGcLFtG"&amp;"YRn9GoesD4OX9m5U/edit?usp=share_link"",""หนองบัวลำภู!N239"")+IMPORTRANGE(""https://docs.google.com/spreadsheets/d/1uUP8Zo1-qaJLuIkRU0qlwLSE3DHkbdrrj2JGJiWBQZE/edit?usp=share_link"",""อำนาจเจริญ!N239"")+IMPORTRANGE(""https://docs.google.com/spreadsheets/d/"&amp;"1hb_taSOHanzRjqfzWPiFo8yiT83VV1L7vvUCLhOiHKc/edit?usp=share_link"",""อุดรธานี!N239"")+IMPORTRANGE(""https://docs.google.com/spreadsheets/d/17IOkEwkUd63EGNfyNDnM5de9YlZ7rwzTiW6-dokVjKI/edit?usp=share_link"",""อุบลราชธานี!N239"")
"),326000)</f>
        <v>326000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9.5" hidden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fb2B9NLcpJgjIieIJvenUTNPn0TimZDUi0OtYeiSQ_s/edit?usp=share_link"",""กาฬสินธุ์!L240"")+IMPORTRANGE(""https://docs.google.com/spreadsheets/d/1SaMnqrwRGmFYNR0MhpWmHuL5niYUd5E7vDq8X7whAlI/edit?usp=share_li"&amp;"nk"",""ขอนแก่น!L240"")
+IMPORTRANGE(""https://docs.google.com/spreadsheets/d/1xQzEtGHhTTgxHh6YUkKY1P4dRyjVhS74dGswLfAASA4/edit?usp=share_link"",""ชัยภูมิ!L240"")+IMPORTRANGE(""https://docs.google.com/spreadsheets/d/1EXMBoBxU3OFbjT2TRpneM33qFjqDzrKmn9ydcfl"&amp;"fI0o/edit?usp=share_link"",""นครพนม!L240"")+IMPORTRANGE(""https://docs.google.com/spreadsheets/d/1bDQrolntRWtHumK8W-x-HXKntwxB9S3sF5aDeRS66Ko/edit?usp=share_link"",""นครราชสีมา!L240"")+IMPORTRANGE(""https://docs.google.com/spreadsheets/d/1_MzZ-2gVPiCW-d2V"&amp;"cafoCmFJQTSrZ6SQyFcMqRRQQ2w/edit?usp=share_link"",""บึงกาฬ!L240"")
+IMPORTRANGE(""https://docs.google.com/spreadsheets/d/1B3lPpzOuaNwVItLwLEZYl_qEblfcx7dRnbRkAw0l-pE/edit?usp=share_link"",""บุรีรัมย์!L240"")+IMPORTRANGE(""https://docs.google.com/spreadshe"&amp;"ets/d/19GOkiOqnzYbevLYWrMk4qFOXe3rX14BkSA8X-mq-a40/edit?usp=share_link"",""มหาสารคาม!L240"")+IMPORTRANGE(""https://docs.google.com/spreadsheets/d/1uMKqWwuNQ-TCKboGA3Bb1qXb5uj2-faACNUINCz8PN4/edit?usp=share_link"",""มุกดาหาร!L240"")+IMPORTRANGE(""https://d"&amp;"ocs.google.com/spreadsheets/d/1oKaccgDdQABndOzGr688Dbfxb_V3YcF67VqEPBtdzsc/edit?usp=share_link"",""ยโสธร!L240"")+IMPORTRANGE(""https://docs.google.com/spreadsheets/d/1BRgc8xKpxZ0PX-gauieMVkV_IOxKSotf0yW8MabGprQ/edit?usp=share_link"",""ร้อยเอ็ด!L240"")+IMP"&amp;"ORTRANGE(""https://docs.google.com/spreadsheets/d/1IdolZc-dfdgMwAm_KZxYJl1sUOcIgnbGQzbWOlddedo/edit?usp=share_link"",""เลย!L240"")+IMPORTRANGE(""https://docs.google.com/spreadsheets/d/1tZ0nmtGuIRCaGAMXHlQU8EpR9LOAJvyKfc4f7EFmE34/edit?usp=share_link"",""ศร"&amp;"ีสะเกษ!L240"")+IMPORTRANGE(""https://docs.google.com/spreadsheets/d/1QC8psz9w0f9IVE9Xuc2FT_btkaOzZbbUSgYObpBuetM/edit?usp=share_link"",""สกลนคร!L240"")+IMPORTRANGE(""https://docs.google.com/spreadsheets/d/1wPdvRbu02d33MYVlbsCnyTiZpefEBs9NNktAnT1HZvw/edit?"&amp;"usp=share_link"",""สุรินทร์!L240"")+IMPORTRANGE(""https://docs.google.com/spreadsheets/d/1GVExpf-Exi_2gmuqTYH28fseTB9MoKPXWcXCbSt_YrM/edit?usp=share_link"",""หนองคาย!L240"")+IMPORTRANGE(""https://docs.google.com/spreadsheets/d/16UeMz0UgOB5BZcoxP75eYGcLFtG"&amp;"YRn9GoesD4OX9m5U/edit?usp=share_link"",""หนองบัวลำภู!L240"")+IMPORTRANGE(""https://docs.google.com/spreadsheets/d/1uUP8Zo1-qaJLuIkRU0qlwLSE3DHkbdrrj2JGJiWBQZE/edit?usp=share_link"",""อำนาจเจริญ!L240"")+IMPORTRANGE(""https://docs.google.com/spreadsheets/d/"&amp;"1hb_taSOHanzRjqfzWPiFo8yiT83VV1L7vvUCLhOiHKc/edit?usp=share_link"",""อุดรธานี!L240"")+IMPORTRANGE(""https://docs.google.com/spreadsheets/d/17IOkEwkUd63EGNfyNDnM5de9YlZ7rwzTiW6-dokVjKI/edit?usp=share_link"",""อุบลราชธานี!L240"")
"),190000)</f>
        <v>190000</v>
      </c>
      <c r="M240" s="45"/>
      <c r="N240" s="358">
        <f ca="1">IFERROR(__xludf.DUMMYFUNCTION("IMPORTRANGE(""https://docs.google.com/spreadsheets/d/1fb2B9NLcpJgjIieIJvenUTNPn0TimZDUi0OtYeiSQ_s/edit?usp=share_link"",""กาฬสินธุ์!N240"")+IMPORTRANGE(""https://docs.google.com/spreadsheets/d/1SaMnqrwRGmFYNR0MhpWmHuL5niYUd5E7vDq8X7whAlI/edit?usp=share_li"&amp;"nk"",""ขอนแก่น!N240"")
+IMPORTRANGE(""https://docs.google.com/spreadsheets/d/1xQzEtGHhTTgxHh6YUkKY1P4dRyjVhS74dGswLfAASA4/edit?usp=share_link"",""ชัยภูมิ!N240"")+IMPORTRANGE(""https://docs.google.com/spreadsheets/d/1EXMBoBxU3OFbjT2TRpneM33qFjqDzrKmn9ydcfl"&amp;"fI0o/edit?usp=share_link"",""นครพนม!N240"")+IMPORTRANGE(""https://docs.google.com/spreadsheets/d/1bDQrolntRWtHumK8W-x-HXKntwxB9S3sF5aDeRS66Ko/edit?usp=share_link"",""นครราชสีมา!N240"")+IMPORTRANGE(""https://docs.google.com/spreadsheets/d/1_MzZ-2gVPiCW-d2V"&amp;"cafoCmFJQTSrZ6SQyFcMqRRQQ2w/edit?usp=share_link"",""บึงกาฬ!N240"")
+IMPORTRANGE(""https://docs.google.com/spreadsheets/d/1B3lPpzOuaNwVItLwLEZYl_qEblfcx7dRnbRkAw0l-pE/edit?usp=share_link"",""บุรีรัมย์!N240"")+IMPORTRANGE(""https://docs.google.com/spreadshe"&amp;"ets/d/19GOkiOqnzYbevLYWrMk4qFOXe3rX14BkSA8X-mq-a40/edit?usp=share_link"",""มหาสารคาม!N240"")+IMPORTRANGE(""https://docs.google.com/spreadsheets/d/1uMKqWwuNQ-TCKboGA3Bb1qXb5uj2-faACNUINCz8PN4/edit?usp=share_link"",""มุกดาหาร!N240"")+IMPORTRANGE(""https://d"&amp;"ocs.google.com/spreadsheets/d/1oKaccgDdQABndOzGr688Dbfxb_V3YcF67VqEPBtdzsc/edit?usp=share_link"",""ยโสธร!N240"")+IMPORTRANGE(""https://docs.google.com/spreadsheets/d/1BRgc8xKpxZ0PX-gauieMVkV_IOxKSotf0yW8MabGprQ/edit?usp=share_link"",""ร้อยเอ็ด!N240"")+IMP"&amp;"ORTRANGE(""https://docs.google.com/spreadsheets/d/1IdolZc-dfdgMwAm_KZxYJl1sUOcIgnbGQzbWOlddedo/edit?usp=share_link"",""เลย!N240"")+IMPORTRANGE(""https://docs.google.com/spreadsheets/d/1tZ0nmtGuIRCaGAMXHlQU8EpR9LOAJvyKfc4f7EFmE34/edit?usp=share_link"",""ศร"&amp;"ีสะเกษ!N240"")+IMPORTRANGE(""https://docs.google.com/spreadsheets/d/1QC8psz9w0f9IVE9Xuc2FT_btkaOzZbbUSgYObpBuetM/edit?usp=share_link"",""สกลนคร!N240"")+IMPORTRANGE(""https://docs.google.com/spreadsheets/d/1wPdvRbu02d33MYVlbsCnyTiZpefEBs9NNktAnT1HZvw/edit?"&amp;"usp=share_link"",""สุรินทร์!N240"")+IMPORTRANGE(""https://docs.google.com/spreadsheets/d/1GVExpf-Exi_2gmuqTYH28fseTB9MoKPXWcXCbSt_YrM/edit?usp=share_link"",""หนองคาย!N240"")+IMPORTRANGE(""https://docs.google.com/spreadsheets/d/16UeMz0UgOB5BZcoxP75eYGcLFtG"&amp;"YRn9GoesD4OX9m5U/edit?usp=share_link"",""หนองบัวลำภู!N240"")+IMPORTRANGE(""https://docs.google.com/spreadsheets/d/1uUP8Zo1-qaJLuIkRU0qlwLSE3DHkbdrrj2JGJiWBQZE/edit?usp=share_link"",""อำนาจเจริญ!N240"")+IMPORTRANGE(""https://docs.google.com/spreadsheets/d/"&amp;"1hb_taSOHanzRjqfzWPiFo8yiT83VV1L7vvUCLhOiHKc/edit?usp=share_link"",""อุดรธานี!N240"")+IMPORTRANGE(""https://docs.google.com/spreadsheets/d/17IOkEwkUd63EGNfyNDnM5de9YlZ7rwzTiW6-dokVjKI/edit?usp=share_link"",""อุบลราชธานี!N240"")
"),190000)</f>
        <v>190000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19.5" hidden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fb2B9NLcpJgjIieIJvenUTNPn0TimZDUi0OtYeiSQ_s/edit?usp=share_link"",""กาฬสินธุ์!L241"")+IMPORTRANGE(""https://docs.google.com/spreadsheets/d/1SaMnqrwRGmFYNR0MhpWmHuL5niYUd5E7vDq8X7whAlI/edit?usp=share_li"&amp;"nk"",""ขอนแก่น!L241"")
+IMPORTRANGE(""https://docs.google.com/spreadsheets/d/1xQzEtGHhTTgxHh6YUkKY1P4dRyjVhS74dGswLfAASA4/edit?usp=share_link"",""ชัยภูมิ!L241"")+IMPORTRANGE(""https://docs.google.com/spreadsheets/d/1EXMBoBxU3OFbjT2TRpneM33qFjqDzrKmn9ydcfl"&amp;"fI0o/edit?usp=share_link"",""นครพนม!L241"")+IMPORTRANGE(""https://docs.google.com/spreadsheets/d/1bDQrolntRWtHumK8W-x-HXKntwxB9S3sF5aDeRS66Ko/edit?usp=share_link"",""นครราชสีมา!L241"")+IMPORTRANGE(""https://docs.google.com/spreadsheets/d/1_MzZ-2gVPiCW-d2V"&amp;"cafoCmFJQTSrZ6SQyFcMqRRQQ2w/edit?usp=share_link"",""บึงกาฬ!L241"")
+IMPORTRANGE(""https://docs.google.com/spreadsheets/d/1B3lPpzOuaNwVItLwLEZYl_qEblfcx7dRnbRkAw0l-pE/edit?usp=share_link"",""บุรีรัมย์!L241"")+IMPORTRANGE(""https://docs.google.com/spreadshe"&amp;"ets/d/19GOkiOqnzYbevLYWrMk4qFOXe3rX14BkSA8X-mq-a40/edit?usp=share_link"",""มหาสารคาม!L241"")+IMPORTRANGE(""https://docs.google.com/spreadsheets/d/1uMKqWwuNQ-TCKboGA3Bb1qXb5uj2-faACNUINCz8PN4/edit?usp=share_link"",""มุกดาหาร!L241"")+IMPORTRANGE(""https://d"&amp;"ocs.google.com/spreadsheets/d/1oKaccgDdQABndOzGr688Dbfxb_V3YcF67VqEPBtdzsc/edit?usp=share_link"",""ยโสธร!L241"")+IMPORTRANGE(""https://docs.google.com/spreadsheets/d/1BRgc8xKpxZ0PX-gauieMVkV_IOxKSotf0yW8MabGprQ/edit?usp=share_link"",""ร้อยเอ็ด!L241"")+IMP"&amp;"ORTRANGE(""https://docs.google.com/spreadsheets/d/1IdolZc-dfdgMwAm_KZxYJl1sUOcIgnbGQzbWOlddedo/edit?usp=share_link"",""เลย!L241"")+IMPORTRANGE(""https://docs.google.com/spreadsheets/d/1tZ0nmtGuIRCaGAMXHlQU8EpR9LOAJvyKfc4f7EFmE34/edit?usp=share_link"",""ศร"&amp;"ีสะเกษ!L241"")+IMPORTRANGE(""https://docs.google.com/spreadsheets/d/1QC8psz9w0f9IVE9Xuc2FT_btkaOzZbbUSgYObpBuetM/edit?usp=share_link"",""สกลนคร!L241"")+IMPORTRANGE(""https://docs.google.com/spreadsheets/d/1wPdvRbu02d33MYVlbsCnyTiZpefEBs9NNktAnT1HZvw/edit?"&amp;"usp=share_link"",""สุรินทร์!L241"")+IMPORTRANGE(""https://docs.google.com/spreadsheets/d/1GVExpf-Exi_2gmuqTYH28fseTB9MoKPXWcXCbSt_YrM/edit?usp=share_link"",""หนองคาย!L241"")+IMPORTRANGE(""https://docs.google.com/spreadsheets/d/16UeMz0UgOB5BZcoxP75eYGcLFtG"&amp;"YRn9GoesD4OX9m5U/edit?usp=share_link"",""หนองบัวลำภู!L241"")+IMPORTRANGE(""https://docs.google.com/spreadsheets/d/1uUP8Zo1-qaJLuIkRU0qlwLSE3DHkbdrrj2JGJiWBQZE/edit?usp=share_link"",""อำนาจเจริญ!L241"")+IMPORTRANGE(""https://docs.google.com/spreadsheets/d/"&amp;"1hb_taSOHanzRjqfzWPiFo8yiT83VV1L7vvUCLhOiHKc/edit?usp=share_link"",""อุดรธานี!L241"")+IMPORTRANGE(""https://docs.google.com/spreadsheets/d/17IOkEwkUd63EGNfyNDnM5de9YlZ7rwzTiW6-dokVjKI/edit?usp=share_link"",""อุบลราชธานี!L241"")
"),20000)</f>
        <v>20000</v>
      </c>
      <c r="M241" s="45"/>
      <c r="N241" s="358">
        <f ca="1">IFERROR(__xludf.DUMMYFUNCTION("IMPORTRANGE(""https://docs.google.com/spreadsheets/d/1fb2B9NLcpJgjIieIJvenUTNPn0TimZDUi0OtYeiSQ_s/edit?usp=share_link"",""กาฬสินธุ์!N241"")+IMPORTRANGE(""https://docs.google.com/spreadsheets/d/1SaMnqrwRGmFYNR0MhpWmHuL5niYUd5E7vDq8X7whAlI/edit?usp=share_li"&amp;"nk"",""ขอนแก่น!N241"")
+IMPORTRANGE(""https://docs.google.com/spreadsheets/d/1xQzEtGHhTTgxHh6YUkKY1P4dRyjVhS74dGswLfAASA4/edit?usp=share_link"",""ชัยภูมิ!N241"")+IMPORTRANGE(""https://docs.google.com/spreadsheets/d/1EXMBoBxU3OFbjT2TRpneM33qFjqDzrKmn9ydcfl"&amp;"fI0o/edit?usp=share_link"",""นครพนม!N241"")+IMPORTRANGE(""https://docs.google.com/spreadsheets/d/1bDQrolntRWtHumK8W-x-HXKntwxB9S3sF5aDeRS66Ko/edit?usp=share_link"",""นครราชสีมา!N241"")+IMPORTRANGE(""https://docs.google.com/spreadsheets/d/1_MzZ-2gVPiCW-d2V"&amp;"cafoCmFJQTSrZ6SQyFcMqRRQQ2w/edit?usp=share_link"",""บึงกาฬ!N241"")
+IMPORTRANGE(""https://docs.google.com/spreadsheets/d/1B3lPpzOuaNwVItLwLEZYl_qEblfcx7dRnbRkAw0l-pE/edit?usp=share_link"",""บุรีรัมย์!N241"")+IMPORTRANGE(""https://docs.google.com/spreadshe"&amp;"ets/d/19GOkiOqnzYbevLYWrMk4qFOXe3rX14BkSA8X-mq-a40/edit?usp=share_link"",""มหาสารคาม!N241"")+IMPORTRANGE(""https://docs.google.com/spreadsheets/d/1uMKqWwuNQ-TCKboGA3Bb1qXb5uj2-faACNUINCz8PN4/edit?usp=share_link"",""มุกดาหาร!N241"")+IMPORTRANGE(""https://d"&amp;"ocs.google.com/spreadsheets/d/1oKaccgDdQABndOzGr688Dbfxb_V3YcF67VqEPBtdzsc/edit?usp=share_link"",""ยโสธร!N241"")+IMPORTRANGE(""https://docs.google.com/spreadsheets/d/1BRgc8xKpxZ0PX-gauieMVkV_IOxKSotf0yW8MabGprQ/edit?usp=share_link"",""ร้อยเอ็ด!N241"")+IMP"&amp;"ORTRANGE(""https://docs.google.com/spreadsheets/d/1IdolZc-dfdgMwAm_KZxYJl1sUOcIgnbGQzbWOlddedo/edit?usp=share_link"",""เลย!N241"")+IMPORTRANGE(""https://docs.google.com/spreadsheets/d/1tZ0nmtGuIRCaGAMXHlQU8EpR9LOAJvyKfc4f7EFmE34/edit?usp=share_link"",""ศร"&amp;"ีสะเกษ!N241"")+IMPORTRANGE(""https://docs.google.com/spreadsheets/d/1QC8psz9w0f9IVE9Xuc2FT_btkaOzZbbUSgYObpBuetM/edit?usp=share_link"",""สกลนคร!N241"")+IMPORTRANGE(""https://docs.google.com/spreadsheets/d/1wPdvRbu02d33MYVlbsCnyTiZpefEBs9NNktAnT1HZvw/edit?"&amp;"usp=share_link"",""สุรินทร์!N241"")+IMPORTRANGE(""https://docs.google.com/spreadsheets/d/1GVExpf-Exi_2gmuqTYH28fseTB9MoKPXWcXCbSt_YrM/edit?usp=share_link"",""หนองคาย!N241"")+IMPORTRANGE(""https://docs.google.com/spreadsheets/d/16UeMz0UgOB5BZcoxP75eYGcLFtG"&amp;"YRn9GoesD4OX9m5U/edit?usp=share_link"",""หนองบัวลำภู!N241"")+IMPORTRANGE(""https://docs.google.com/spreadsheets/d/1uUP8Zo1-qaJLuIkRU0qlwLSE3DHkbdrrj2JGJiWBQZE/edit?usp=share_link"",""อำนาจเจริญ!N241"")+IMPORTRANGE(""https://docs.google.com/spreadsheets/d/"&amp;"1hb_taSOHanzRjqfzWPiFo8yiT83VV1L7vvUCLhOiHKc/edit?usp=share_link"",""อุดรธานี!N241"")+IMPORTRANGE(""https://docs.google.com/spreadsheets/d/17IOkEwkUd63EGNfyNDnM5de9YlZ7rwzTiW6-dokVjKI/edit?usp=share_link"",""อุบลราชธานี!N241"")
"),20000)</f>
        <v>20000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19.5" hidden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fb2B9NLcpJgjIieIJvenUTNPn0TimZDUi0OtYeiSQ_s/edit?usp=share_link"",""กาฬสินธุ์!L242"")+IMPORTRANGE(""https://docs.google.com/spreadsheets/d/1SaMnqrwRGmFYNR0MhpWmHuL5niYUd5E7vDq8X7whAlI/edit?usp=share_li"&amp;"nk"",""ขอนแก่น!L242"")
+IMPORTRANGE(""https://docs.google.com/spreadsheets/d/1xQzEtGHhTTgxHh6YUkKY1P4dRyjVhS74dGswLfAASA4/edit?usp=share_link"",""ชัยภูมิ!L242"")+IMPORTRANGE(""https://docs.google.com/spreadsheets/d/1EXMBoBxU3OFbjT2TRpneM33qFjqDzrKmn9ydcfl"&amp;"fI0o/edit?usp=share_link"",""นครพนม!L242"")+IMPORTRANGE(""https://docs.google.com/spreadsheets/d/1bDQrolntRWtHumK8W-x-HXKntwxB9S3sF5aDeRS66Ko/edit?usp=share_link"",""นครราชสีมา!L242"")+IMPORTRANGE(""https://docs.google.com/spreadsheets/d/1_MzZ-2gVPiCW-d2V"&amp;"cafoCmFJQTSrZ6SQyFcMqRRQQ2w/edit?usp=share_link"",""บึงกาฬ!L242"")
+IMPORTRANGE(""https://docs.google.com/spreadsheets/d/1B3lPpzOuaNwVItLwLEZYl_qEblfcx7dRnbRkAw0l-pE/edit?usp=share_link"",""บุรีรัมย์!L242"")+IMPORTRANGE(""https://docs.google.com/spreadshe"&amp;"ets/d/19GOkiOqnzYbevLYWrMk4qFOXe3rX14BkSA8X-mq-a40/edit?usp=share_link"",""มหาสารคาม!L242"")+IMPORTRANGE(""https://docs.google.com/spreadsheets/d/1uMKqWwuNQ-TCKboGA3Bb1qXb5uj2-faACNUINCz8PN4/edit?usp=share_link"",""มุกดาหาร!L242"")+IMPORTRANGE(""https://d"&amp;"ocs.google.com/spreadsheets/d/1oKaccgDdQABndOzGr688Dbfxb_V3YcF67VqEPBtdzsc/edit?usp=share_link"",""ยโสธร!L242"")+IMPORTRANGE(""https://docs.google.com/spreadsheets/d/1BRgc8xKpxZ0PX-gauieMVkV_IOxKSotf0yW8MabGprQ/edit?usp=share_link"",""ร้อยเอ็ด!L242"")+IMP"&amp;"ORTRANGE(""https://docs.google.com/spreadsheets/d/1IdolZc-dfdgMwAm_KZxYJl1sUOcIgnbGQzbWOlddedo/edit?usp=share_link"",""เลย!L242"")+IMPORTRANGE(""https://docs.google.com/spreadsheets/d/1tZ0nmtGuIRCaGAMXHlQU8EpR9LOAJvyKfc4f7EFmE34/edit?usp=share_link"",""ศร"&amp;"ีสะเกษ!L242"")+IMPORTRANGE(""https://docs.google.com/spreadsheets/d/1QC8psz9w0f9IVE9Xuc2FT_btkaOzZbbUSgYObpBuetM/edit?usp=share_link"",""สกลนคร!L242"")+IMPORTRANGE(""https://docs.google.com/spreadsheets/d/1wPdvRbu02d33MYVlbsCnyTiZpefEBs9NNktAnT1HZvw/edit?"&amp;"usp=share_link"",""สุรินทร์!L242"")+IMPORTRANGE(""https://docs.google.com/spreadsheets/d/1GVExpf-Exi_2gmuqTYH28fseTB9MoKPXWcXCbSt_YrM/edit?usp=share_link"",""หนองคาย!L242"")+IMPORTRANGE(""https://docs.google.com/spreadsheets/d/16UeMz0UgOB5BZcoxP75eYGcLFtG"&amp;"YRn9GoesD4OX9m5U/edit?usp=share_link"",""หนองบัวลำภู!L242"")+IMPORTRANGE(""https://docs.google.com/spreadsheets/d/1uUP8Zo1-qaJLuIkRU0qlwLSE3DHkbdrrj2JGJiWBQZE/edit?usp=share_link"",""อำนาจเจริญ!L242"")+IMPORTRANGE(""https://docs.google.com/spreadsheets/d/"&amp;"1hb_taSOHanzRjqfzWPiFo8yiT83VV1L7vvUCLhOiHKc/edit?usp=share_link"",""อุดรธานี!L242"")+IMPORTRANGE(""https://docs.google.com/spreadsheets/d/17IOkEwkUd63EGNfyNDnM5de9YlZ7rwzTiW6-dokVjKI/edit?usp=share_link"",""อุบลราชธานี!L242"")
"),20000)</f>
        <v>20000</v>
      </c>
      <c r="M242" s="45"/>
      <c r="N242" s="358">
        <f ca="1">IFERROR(__xludf.DUMMYFUNCTION("IMPORTRANGE(""https://docs.google.com/spreadsheets/d/1fb2B9NLcpJgjIieIJvenUTNPn0TimZDUi0OtYeiSQ_s/edit?usp=share_link"",""กาฬสินธุ์!N242"")+IMPORTRANGE(""https://docs.google.com/spreadsheets/d/1SaMnqrwRGmFYNR0MhpWmHuL5niYUd5E7vDq8X7whAlI/edit?usp=share_li"&amp;"nk"",""ขอนแก่น!N242"")
+IMPORTRANGE(""https://docs.google.com/spreadsheets/d/1xQzEtGHhTTgxHh6YUkKY1P4dRyjVhS74dGswLfAASA4/edit?usp=share_link"",""ชัยภูมิ!N242"")+IMPORTRANGE(""https://docs.google.com/spreadsheets/d/1EXMBoBxU3OFbjT2TRpneM33qFjqDzrKmn9ydcfl"&amp;"fI0o/edit?usp=share_link"",""นครพนม!N242"")+IMPORTRANGE(""https://docs.google.com/spreadsheets/d/1bDQrolntRWtHumK8W-x-HXKntwxB9S3sF5aDeRS66Ko/edit?usp=share_link"",""นครราชสีมา!N242"")+IMPORTRANGE(""https://docs.google.com/spreadsheets/d/1_MzZ-2gVPiCW-d2V"&amp;"cafoCmFJQTSrZ6SQyFcMqRRQQ2w/edit?usp=share_link"",""บึงกาฬ!N242"")
+IMPORTRANGE(""https://docs.google.com/spreadsheets/d/1B3lPpzOuaNwVItLwLEZYl_qEblfcx7dRnbRkAw0l-pE/edit?usp=share_link"",""บุรีรัมย์!N242"")+IMPORTRANGE(""https://docs.google.com/spreadshe"&amp;"ets/d/19GOkiOqnzYbevLYWrMk4qFOXe3rX14BkSA8X-mq-a40/edit?usp=share_link"",""มหาสารคาม!N242"")+IMPORTRANGE(""https://docs.google.com/spreadsheets/d/1uMKqWwuNQ-TCKboGA3Bb1qXb5uj2-faACNUINCz8PN4/edit?usp=share_link"",""มุกดาหาร!N242"")+IMPORTRANGE(""https://d"&amp;"ocs.google.com/spreadsheets/d/1oKaccgDdQABndOzGr688Dbfxb_V3YcF67VqEPBtdzsc/edit?usp=share_link"",""ยโสธร!N242"")+IMPORTRANGE(""https://docs.google.com/spreadsheets/d/1BRgc8xKpxZ0PX-gauieMVkV_IOxKSotf0yW8MabGprQ/edit?usp=share_link"",""ร้อยเอ็ด!N242"")+IMP"&amp;"ORTRANGE(""https://docs.google.com/spreadsheets/d/1IdolZc-dfdgMwAm_KZxYJl1sUOcIgnbGQzbWOlddedo/edit?usp=share_link"",""เลย!N242"")+IMPORTRANGE(""https://docs.google.com/spreadsheets/d/1tZ0nmtGuIRCaGAMXHlQU8EpR9LOAJvyKfc4f7EFmE34/edit?usp=share_link"",""ศร"&amp;"ีสะเกษ!N242"")+IMPORTRANGE(""https://docs.google.com/spreadsheets/d/1QC8psz9w0f9IVE9Xuc2FT_btkaOzZbbUSgYObpBuetM/edit?usp=share_link"",""สกลนคร!N242"")+IMPORTRANGE(""https://docs.google.com/spreadsheets/d/1wPdvRbu02d33MYVlbsCnyTiZpefEBs9NNktAnT1HZvw/edit?"&amp;"usp=share_link"",""สุรินทร์!N242"")+IMPORTRANGE(""https://docs.google.com/spreadsheets/d/1GVExpf-Exi_2gmuqTYH28fseTB9MoKPXWcXCbSt_YrM/edit?usp=share_link"",""หนองคาย!N242"")+IMPORTRANGE(""https://docs.google.com/spreadsheets/d/16UeMz0UgOB5BZcoxP75eYGcLFtG"&amp;"YRn9GoesD4OX9m5U/edit?usp=share_link"",""หนองบัวลำภู!N242"")+IMPORTRANGE(""https://docs.google.com/spreadsheets/d/1uUP8Zo1-qaJLuIkRU0qlwLSE3DHkbdrrj2JGJiWBQZE/edit?usp=share_link"",""อำนาจเจริญ!N242"")+IMPORTRANGE(""https://docs.google.com/spreadsheets/d/"&amp;"1hb_taSOHanzRjqfzWPiFo8yiT83VV1L7vvUCLhOiHKc/edit?usp=share_link"",""อุดรธานี!N242"")+IMPORTRANGE(""https://docs.google.com/spreadsheets/d/17IOkEwkUd63EGNfyNDnM5de9YlZ7rwzTiW6-dokVjKI/edit?usp=share_link"",""อุบลราชธานี!N242"")
"),20000)</f>
        <v>20000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19.5" hidden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8.75" hidden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fb2B9NLcpJgjIieIJvenUTNPn0TimZDUi0OtYeiSQ_s/edit?usp=share_link"",""กาฬสินธุ์!I244"")+IMPORTRANGE(""https://docs.google.com/spreadsheets/d/1SaMnqrwRGmFYNR0MhpWmHuL5niYUd5E7vDq8X7whAlI/edit?usp=share_li"&amp;"nk"",""ขอนแก่น!I244"")
+IMPORTRANGE(""https://docs.google.com/spreadsheets/d/1xQzEtGHhTTgxHh6YUkKY1P4dRyjVhS74dGswLfAASA4/edit?usp=share_link"",""ชัยภูมิ!I244"")+IMPORTRANGE(""https://docs.google.com/spreadsheets/d/1EXMBoBxU3OFbjT2TRpneM33qFjqDzrKmn9ydcfl"&amp;"fI0o/edit?usp=share_link"",""นครพนม!I244"")+IMPORTRANGE(""https://docs.google.com/spreadsheets/d/1bDQrolntRWtHumK8W-x-HXKntwxB9S3sF5aDeRS66Ko/edit?usp=share_link"",""นครราชสีมา!I244"")+IMPORTRANGE(""https://docs.google.com/spreadsheets/d/1_MzZ-2gVPiCW-d2V"&amp;"cafoCmFJQTSrZ6SQyFcMqRRQQ2w/edit?usp=share_link"",""บึงกาฬ!I244"")
+IMPORTRANGE(""https://docs.google.com/spreadsheets/d/1B3lPpzOuaNwVItLwLEZYl_qEblfcx7dRnbRkAw0l-pE/edit?usp=share_link"",""บุรีรัมย์!I244"")+IMPORTRANGE(""https://docs.google.com/spreadshe"&amp;"ets/d/19GOkiOqnzYbevLYWrMk4qFOXe3rX14BkSA8X-mq-a40/edit?usp=share_link"",""มหาสารคาม!I244"")+IMPORTRANGE(""https://docs.google.com/spreadsheets/d/1uMKqWwuNQ-TCKboGA3Bb1qXb5uj2-faACNUINCz8PN4/edit?usp=share_link"",""มุกดาหาร!I244"")+IMPORTRANGE(""https://d"&amp;"ocs.google.com/spreadsheets/d/1oKaccgDdQABndOzGr688Dbfxb_V3YcF67VqEPBtdzsc/edit?usp=share_link"",""ยโสธร!I244"")+IMPORTRANGE(""https://docs.google.com/spreadsheets/d/1BRgc8xKpxZ0PX-gauieMVkV_IOxKSotf0yW8MabGprQ/edit?usp=share_link"",""ร้อยเอ็ด!I244"")+IMP"&amp;"ORTRANGE(""https://docs.google.com/spreadsheets/d/1IdolZc-dfdgMwAm_KZxYJl1sUOcIgnbGQzbWOlddedo/edit?usp=share_link"",""เลย!I244"")+IMPORTRANGE(""https://docs.google.com/spreadsheets/d/1tZ0nmtGuIRCaGAMXHlQU8EpR9LOAJvyKfc4f7EFmE34/edit?usp=share_link"",""ศร"&amp;"ีสะเกษ!I244"")+IMPORTRANGE(""https://docs.google.com/spreadsheets/d/1QC8psz9w0f9IVE9Xuc2FT_btkaOzZbbUSgYObpBuetM/edit?usp=share_link"",""สกลนคร!I244"")+IMPORTRANGE(""https://docs.google.com/spreadsheets/d/1wPdvRbu02d33MYVlbsCnyTiZpefEBs9NNktAnT1HZvw/edit?"&amp;"usp=share_link"",""สุรินทร์!I244"")+IMPORTRANGE(""https://docs.google.com/spreadsheets/d/1GVExpf-Exi_2gmuqTYH28fseTB9MoKPXWcXCbSt_YrM/edit?usp=share_link"",""หนองคาย!I244"")+IMPORTRANGE(""https://docs.google.com/spreadsheets/d/16UeMz0UgOB5BZcoxP75eYGcLFtG"&amp;"YRn9GoesD4OX9m5U/edit?usp=share_link"",""หนองบัวลำภู!I244"")+IMPORTRANGE(""https://docs.google.com/spreadsheets/d/1uUP8Zo1-qaJLuIkRU0qlwLSE3DHkbdrrj2JGJiWBQZE/edit?usp=share_link"",""อำนาจเจริญ!I244"")+IMPORTRANGE(""https://docs.google.com/spreadsheets/d/"&amp;"1hb_taSOHanzRjqfzWPiFo8yiT83VV1L7vvUCLhOiHKc/edit?usp=share_link"",""อุดรธานี!I244"")+IMPORTRANGE(""https://docs.google.com/spreadsheets/d/17IOkEwkUd63EGNfyNDnM5de9YlZ7rwzTiW6-dokVjKI/edit?usp=share_link"",""อุบลราชธานี!I244"")
"),80)</f>
        <v>80</v>
      </c>
      <c r="J244" s="371">
        <f ca="1">IFERROR(__xludf.DUMMYFUNCTION("IMPORTRANGE(""https://docs.google.com/spreadsheets/d/1fb2B9NLcpJgjIieIJvenUTNPn0TimZDUi0OtYeiSQ_s/edit?usp=share_link"",""กาฬสินธุ์!J244"")+IMPORTRANGE(""https://docs.google.com/spreadsheets/d/1SaMnqrwRGmFYNR0MhpWmHuL5niYUd5E7vDq8X7whAlI/edit?usp=share_li"&amp;"nk"",""ขอนแก่น!J244"")
+IMPORTRANGE(""https://docs.google.com/spreadsheets/d/1xQzEtGHhTTgxHh6YUkKY1P4dRyjVhS74dGswLfAASA4/edit?usp=share_link"",""ชัยภูมิ!J244"")+IMPORTRANGE(""https://docs.google.com/spreadsheets/d/1EXMBoBxU3OFbjT2TRpneM33qFjqDzrKmn9ydcfl"&amp;"fI0o/edit?usp=share_link"",""นครพนม!J244"")+IMPORTRANGE(""https://docs.google.com/spreadsheets/d/1bDQrolntRWtHumK8W-x-HXKntwxB9S3sF5aDeRS66Ko/edit?usp=share_link"",""นครราชสีมา!J244"")+IMPORTRANGE(""https://docs.google.com/spreadsheets/d/1_MzZ-2gVPiCW-d2V"&amp;"cafoCmFJQTSrZ6SQyFcMqRRQQ2w/edit?usp=share_link"",""บึงกาฬ!J244"")
+IMPORTRANGE(""https://docs.google.com/spreadsheets/d/1B3lPpzOuaNwVItLwLEZYl_qEblfcx7dRnbRkAw0l-pE/edit?usp=share_link"",""บุรีรัมย์!J244"")+IMPORTRANGE(""https://docs.google.com/spreadshe"&amp;"ets/d/19GOkiOqnzYbevLYWrMk4qFOXe3rX14BkSA8X-mq-a40/edit?usp=share_link"",""มหาสารคาม!J244"")+IMPORTRANGE(""https://docs.google.com/spreadsheets/d/1uMKqWwuNQ-TCKboGA3Bb1qXb5uj2-faACNUINCz8PN4/edit?usp=share_link"",""มุกดาหาร!J244"")+IMPORTRANGE(""https://d"&amp;"ocs.google.com/spreadsheets/d/1oKaccgDdQABndOzGr688Dbfxb_V3YcF67VqEPBtdzsc/edit?usp=share_link"",""ยโสธร!J244"")+IMPORTRANGE(""https://docs.google.com/spreadsheets/d/1BRgc8xKpxZ0PX-gauieMVkV_IOxKSotf0yW8MabGprQ/edit?usp=share_link"",""ร้อยเอ็ด!J244"")+IMP"&amp;"ORTRANGE(""https://docs.google.com/spreadsheets/d/1IdolZc-dfdgMwAm_KZxYJl1sUOcIgnbGQzbWOlddedo/edit?usp=share_link"",""เลย!J244"")+IMPORTRANGE(""https://docs.google.com/spreadsheets/d/1tZ0nmtGuIRCaGAMXHlQU8EpR9LOAJvyKfc4f7EFmE34/edit?usp=share_link"",""ศร"&amp;"ีสะเกษ!J244"")+IMPORTRANGE(""https://docs.google.com/spreadsheets/d/1QC8psz9w0f9IVE9Xuc2FT_btkaOzZbbUSgYObpBuetM/edit?usp=share_link"",""สกลนคร!J244"")+IMPORTRANGE(""https://docs.google.com/spreadsheets/d/1wPdvRbu02d33MYVlbsCnyTiZpefEBs9NNktAnT1HZvw/edit?"&amp;"usp=share_link"",""สุรินทร์!J244"")+IMPORTRANGE(""https://docs.google.com/spreadsheets/d/1GVExpf-Exi_2gmuqTYH28fseTB9MoKPXWcXCbSt_YrM/edit?usp=share_link"",""หนองคาย!J244"")+IMPORTRANGE(""https://docs.google.com/spreadsheets/d/16UeMz0UgOB5BZcoxP75eYGcLFtG"&amp;"YRn9GoesD4OX9m5U/edit?usp=share_link"",""หนองบัวลำภู!J244"")+IMPORTRANGE(""https://docs.google.com/spreadsheets/d/1uUP8Zo1-qaJLuIkRU0qlwLSE3DHkbdrrj2JGJiWBQZE/edit?usp=share_link"",""อำนาจเจริญ!J244"")+IMPORTRANGE(""https://docs.google.com/spreadsheets/d/"&amp;"1hb_taSOHanzRjqfzWPiFo8yiT83VV1L7vvUCLhOiHKc/edit?usp=share_link"",""อุดรธานี!J244"")+IMPORTRANGE(""https://docs.google.com/spreadsheets/d/17IOkEwkUd63EGNfyNDnM5de9YlZ7rwzTiW6-dokVjKI/edit?usp=share_link"",""อุบลราชธานี!J244"")
"),80)</f>
        <v>80</v>
      </c>
      <c r="K244" s="45">
        <f ca="1">IF(I244&gt;0,J244*100/I244,0)</f>
        <v>100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8.75" hidden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8.75" hidden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fb2B9NLcpJgjIieIJvenUTNPn0TimZDUi0OtYeiSQ_s/edit?usp=share_link"",""กาฬสินธุ์!I246"")+IMPORTRANGE(""https://docs.google.com/spreadsheets/d/1SaMnqrwRGmFYNR0MhpWmHuL5niYUd5E7vDq8X7whAlI/edit?usp=share_li"&amp;"nk"",""ขอนแก่น!I246"")
+IMPORTRANGE(""https://docs.google.com/spreadsheets/d/1xQzEtGHhTTgxHh6YUkKY1P4dRyjVhS74dGswLfAASA4/edit?usp=share_link"",""ชัยภูมิ!I246"")+IMPORTRANGE(""https://docs.google.com/spreadsheets/d/1EXMBoBxU3OFbjT2TRpneM33qFjqDzrKmn9ydcfl"&amp;"fI0o/edit?usp=share_link"",""นครพนม!I246"")+IMPORTRANGE(""https://docs.google.com/spreadsheets/d/1bDQrolntRWtHumK8W-x-HXKntwxB9S3sF5aDeRS66Ko/edit?usp=share_link"",""นครราชสีมา!I246"")+IMPORTRANGE(""https://docs.google.com/spreadsheets/d/1_MzZ-2gVPiCW-d2V"&amp;"cafoCmFJQTSrZ6SQyFcMqRRQQ2w/edit?usp=share_link"",""บึงกาฬ!I246"")
+IMPORTRANGE(""https://docs.google.com/spreadsheets/d/1B3lPpzOuaNwVItLwLEZYl_qEblfcx7dRnbRkAw0l-pE/edit?usp=share_link"",""บุรีรัมย์!I246"")+IMPORTRANGE(""https://docs.google.com/spreadshe"&amp;"ets/d/19GOkiOqnzYbevLYWrMk4qFOXe3rX14BkSA8X-mq-a40/edit?usp=share_link"",""มหาสารคาม!I246"")+IMPORTRANGE(""https://docs.google.com/spreadsheets/d/1uMKqWwuNQ-TCKboGA3Bb1qXb5uj2-faACNUINCz8PN4/edit?usp=share_link"",""มุกดาหาร!I246"")+IMPORTRANGE(""https://d"&amp;"ocs.google.com/spreadsheets/d/1oKaccgDdQABndOzGr688Dbfxb_V3YcF67VqEPBtdzsc/edit?usp=share_link"",""ยโสธร!I246"")+IMPORTRANGE(""https://docs.google.com/spreadsheets/d/1BRgc8xKpxZ0PX-gauieMVkV_IOxKSotf0yW8MabGprQ/edit?usp=share_link"",""ร้อยเอ็ด!I246"")+IMP"&amp;"ORTRANGE(""https://docs.google.com/spreadsheets/d/1IdolZc-dfdgMwAm_KZxYJl1sUOcIgnbGQzbWOlddedo/edit?usp=share_link"",""เลย!I246"")+IMPORTRANGE(""https://docs.google.com/spreadsheets/d/1tZ0nmtGuIRCaGAMXHlQU8EpR9LOAJvyKfc4f7EFmE34/edit?usp=share_link"",""ศร"&amp;"ีสะเกษ!I246"")+IMPORTRANGE(""https://docs.google.com/spreadsheets/d/1QC8psz9w0f9IVE9Xuc2FT_btkaOzZbbUSgYObpBuetM/edit?usp=share_link"",""สกลนคร!I246"")+IMPORTRANGE(""https://docs.google.com/spreadsheets/d/1wPdvRbu02d33MYVlbsCnyTiZpefEBs9NNktAnT1HZvw/edit?"&amp;"usp=share_link"",""สุรินทร์!I246"")+IMPORTRANGE(""https://docs.google.com/spreadsheets/d/1GVExpf-Exi_2gmuqTYH28fseTB9MoKPXWcXCbSt_YrM/edit?usp=share_link"",""หนองคาย!I246"")+IMPORTRANGE(""https://docs.google.com/spreadsheets/d/16UeMz0UgOB5BZcoxP75eYGcLFtG"&amp;"YRn9GoesD4OX9m5U/edit?usp=share_link"",""หนองบัวลำภู!I246"")+IMPORTRANGE(""https://docs.google.com/spreadsheets/d/1uUP8Zo1-qaJLuIkRU0qlwLSE3DHkbdrrj2JGJiWBQZE/edit?usp=share_link"",""อำนาจเจริญ!I246"")+IMPORTRANGE(""https://docs.google.com/spreadsheets/d/"&amp;"1hb_taSOHanzRjqfzWPiFo8yiT83VV1L7vvUCLhOiHKc/edit?usp=share_link"",""อุดรธานี!I246"")+IMPORTRANGE(""https://docs.google.com/spreadsheets/d/17IOkEwkUd63EGNfyNDnM5de9YlZ7rwzTiW6-dokVjKI/edit?usp=share_link"",""อุบลราชธานี!I246"")
"),40)</f>
        <v>40</v>
      </c>
      <c r="J246" s="371">
        <f ca="1">IFERROR(__xludf.DUMMYFUNCTION("IMPORTRANGE(""https://docs.google.com/spreadsheets/d/1fb2B9NLcpJgjIieIJvenUTNPn0TimZDUi0OtYeiSQ_s/edit?usp=share_link"",""กาฬสินธุ์!J246"")+IMPORTRANGE(""https://docs.google.com/spreadsheets/d/1SaMnqrwRGmFYNR0MhpWmHuL5niYUd5E7vDq8X7whAlI/edit?usp=share_li"&amp;"nk"",""ขอนแก่น!J246"")
+IMPORTRANGE(""https://docs.google.com/spreadsheets/d/1xQzEtGHhTTgxHh6YUkKY1P4dRyjVhS74dGswLfAASA4/edit?usp=share_link"",""ชัยภูมิ!J246"")+IMPORTRANGE(""https://docs.google.com/spreadsheets/d/1EXMBoBxU3OFbjT2TRpneM33qFjqDzrKmn9ydcfl"&amp;"fI0o/edit?usp=share_link"",""นครพนม!J246"")+IMPORTRANGE(""https://docs.google.com/spreadsheets/d/1bDQrolntRWtHumK8W-x-HXKntwxB9S3sF5aDeRS66Ko/edit?usp=share_link"",""นครราชสีมา!J246"")+IMPORTRANGE(""https://docs.google.com/spreadsheets/d/1_MzZ-2gVPiCW-d2V"&amp;"cafoCmFJQTSrZ6SQyFcMqRRQQ2w/edit?usp=share_link"",""บึงกาฬ!J246"")
+IMPORTRANGE(""https://docs.google.com/spreadsheets/d/1B3lPpzOuaNwVItLwLEZYl_qEblfcx7dRnbRkAw0l-pE/edit?usp=share_link"",""บุรีรัมย์!J246"")+IMPORTRANGE(""https://docs.google.com/spreadshe"&amp;"ets/d/19GOkiOqnzYbevLYWrMk4qFOXe3rX14BkSA8X-mq-a40/edit?usp=share_link"",""มหาสารคาม!J246"")+IMPORTRANGE(""https://docs.google.com/spreadsheets/d/1uMKqWwuNQ-TCKboGA3Bb1qXb5uj2-faACNUINCz8PN4/edit?usp=share_link"",""มุกดาหาร!J246"")+IMPORTRANGE(""https://d"&amp;"ocs.google.com/spreadsheets/d/1oKaccgDdQABndOzGr688Dbfxb_V3YcF67VqEPBtdzsc/edit?usp=share_link"",""ยโสธร!J246"")+IMPORTRANGE(""https://docs.google.com/spreadsheets/d/1BRgc8xKpxZ0PX-gauieMVkV_IOxKSotf0yW8MabGprQ/edit?usp=share_link"",""ร้อยเอ็ด!J246"")+IMP"&amp;"ORTRANGE(""https://docs.google.com/spreadsheets/d/1IdolZc-dfdgMwAm_KZxYJl1sUOcIgnbGQzbWOlddedo/edit?usp=share_link"",""เลย!J246"")+IMPORTRANGE(""https://docs.google.com/spreadsheets/d/1tZ0nmtGuIRCaGAMXHlQU8EpR9LOAJvyKfc4f7EFmE34/edit?usp=share_link"",""ศร"&amp;"ีสะเกษ!J246"")+IMPORTRANGE(""https://docs.google.com/spreadsheets/d/1QC8psz9w0f9IVE9Xuc2FT_btkaOzZbbUSgYObpBuetM/edit?usp=share_link"",""สกลนคร!J246"")+IMPORTRANGE(""https://docs.google.com/spreadsheets/d/1wPdvRbu02d33MYVlbsCnyTiZpefEBs9NNktAnT1HZvw/edit?"&amp;"usp=share_link"",""สุรินทร์!J246"")+IMPORTRANGE(""https://docs.google.com/spreadsheets/d/1GVExpf-Exi_2gmuqTYH28fseTB9MoKPXWcXCbSt_YrM/edit?usp=share_link"",""หนองคาย!J246"")+IMPORTRANGE(""https://docs.google.com/spreadsheets/d/16UeMz0UgOB5BZcoxP75eYGcLFtG"&amp;"YRn9GoesD4OX9m5U/edit?usp=share_link"",""หนองบัวลำภู!J246"")+IMPORTRANGE(""https://docs.google.com/spreadsheets/d/1uUP8Zo1-qaJLuIkRU0qlwLSE3DHkbdrrj2JGJiWBQZE/edit?usp=share_link"",""อำนาจเจริญ!J246"")+IMPORTRANGE(""https://docs.google.com/spreadsheets/d/"&amp;"1hb_taSOHanzRjqfzWPiFo8yiT83VV1L7vvUCLhOiHKc/edit?usp=share_link"",""อุดรธานี!J246"")+IMPORTRANGE(""https://docs.google.com/spreadsheets/d/17IOkEwkUd63EGNfyNDnM5de9YlZ7rwzTiW6-dokVjKI/edit?usp=share_link"",""อุบลราชธานี!J246"")
"),40)</f>
        <v>40</v>
      </c>
      <c r="K246" s="45">
        <f ca="1">IF(I246&gt;0,J246*100/I246,0)</f>
        <v>100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8.75" hidden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fb2B9NLcpJgjIieIJvenUTNPn0TimZDUi0OtYeiSQ_s/edit?usp=share_link"",""กาฬสินธุ์!I247"")+IMPORTRANGE(""https://docs.google.com/spreadsheets/d/1SaMnqrwRGmFYNR0MhpWmHuL5niYUd5E7vDq8X7whAlI/edit?usp=share_li"&amp;"nk"",""ขอนแก่น!I247"")
+IMPORTRANGE(""https://docs.google.com/spreadsheets/d/1xQzEtGHhTTgxHh6YUkKY1P4dRyjVhS74dGswLfAASA4/edit?usp=share_link"",""ชัยภูมิ!I247"")+IMPORTRANGE(""https://docs.google.com/spreadsheets/d/1EXMBoBxU3OFbjT2TRpneM33qFjqDzrKmn9ydcfl"&amp;"fI0o/edit?usp=share_link"",""นครพนม!I247"")+IMPORTRANGE(""https://docs.google.com/spreadsheets/d/1bDQrolntRWtHumK8W-x-HXKntwxB9S3sF5aDeRS66Ko/edit?usp=share_link"",""นครราชสีมา!I247"")+IMPORTRANGE(""https://docs.google.com/spreadsheets/d/1_MzZ-2gVPiCW-d2V"&amp;"cafoCmFJQTSrZ6SQyFcMqRRQQ2w/edit?usp=share_link"",""บึงกาฬ!I247"")
+IMPORTRANGE(""https://docs.google.com/spreadsheets/d/1B3lPpzOuaNwVItLwLEZYl_qEblfcx7dRnbRkAw0l-pE/edit?usp=share_link"",""บุรีรัมย์!I247"")+IMPORTRANGE(""https://docs.google.com/spreadshe"&amp;"ets/d/19GOkiOqnzYbevLYWrMk4qFOXe3rX14BkSA8X-mq-a40/edit?usp=share_link"",""มหาสารคาม!I247"")+IMPORTRANGE(""https://docs.google.com/spreadsheets/d/1uMKqWwuNQ-TCKboGA3Bb1qXb5uj2-faACNUINCz8PN4/edit?usp=share_link"",""มุกดาหาร!I247"")+IMPORTRANGE(""https://d"&amp;"ocs.google.com/spreadsheets/d/1oKaccgDdQABndOzGr688Dbfxb_V3YcF67VqEPBtdzsc/edit?usp=share_link"",""ยโสธร!I247"")+IMPORTRANGE(""https://docs.google.com/spreadsheets/d/1BRgc8xKpxZ0PX-gauieMVkV_IOxKSotf0yW8MabGprQ/edit?usp=share_link"",""ร้อยเอ็ด!I247"")+IMP"&amp;"ORTRANGE(""https://docs.google.com/spreadsheets/d/1IdolZc-dfdgMwAm_KZxYJl1sUOcIgnbGQzbWOlddedo/edit?usp=share_link"",""เลย!I247"")+IMPORTRANGE(""https://docs.google.com/spreadsheets/d/1tZ0nmtGuIRCaGAMXHlQU8EpR9LOAJvyKfc4f7EFmE34/edit?usp=share_link"",""ศร"&amp;"ีสะเกษ!I247"")+IMPORTRANGE(""https://docs.google.com/spreadsheets/d/1QC8psz9w0f9IVE9Xuc2FT_btkaOzZbbUSgYObpBuetM/edit?usp=share_link"",""สกลนคร!I247"")+IMPORTRANGE(""https://docs.google.com/spreadsheets/d/1wPdvRbu02d33MYVlbsCnyTiZpefEBs9NNktAnT1HZvw/edit?"&amp;"usp=share_link"",""สุรินทร์!I247"")+IMPORTRANGE(""https://docs.google.com/spreadsheets/d/1GVExpf-Exi_2gmuqTYH28fseTB9MoKPXWcXCbSt_YrM/edit?usp=share_link"",""หนองคาย!I247"")+IMPORTRANGE(""https://docs.google.com/spreadsheets/d/16UeMz0UgOB5BZcoxP75eYGcLFtG"&amp;"YRn9GoesD4OX9m5U/edit?usp=share_link"",""หนองบัวลำภู!I247"")+IMPORTRANGE(""https://docs.google.com/spreadsheets/d/1uUP8Zo1-qaJLuIkRU0qlwLSE3DHkbdrrj2JGJiWBQZE/edit?usp=share_link"",""อำนาจเจริญ!I247"")+IMPORTRANGE(""https://docs.google.com/spreadsheets/d/"&amp;"1hb_taSOHanzRjqfzWPiFo8yiT83VV1L7vvUCLhOiHKc/edit?usp=share_link"",""อุดรธานี!I247"")+IMPORTRANGE(""https://docs.google.com/spreadsheets/d/17IOkEwkUd63EGNfyNDnM5de9YlZ7rwzTiW6-dokVjKI/edit?usp=share_link"",""อุบลราชธานี!I247"")
"),2)</f>
        <v>2</v>
      </c>
      <c r="J247" s="371">
        <f ca="1">IFERROR(__xludf.DUMMYFUNCTION("IMPORTRANGE(""https://docs.google.com/spreadsheets/d/1fb2B9NLcpJgjIieIJvenUTNPn0TimZDUi0OtYeiSQ_s/edit?usp=share_link"",""กาฬสินธุ์!J247"")+IMPORTRANGE(""https://docs.google.com/spreadsheets/d/1SaMnqrwRGmFYNR0MhpWmHuL5niYUd5E7vDq8X7whAlI/edit?usp=share_li"&amp;"nk"",""ขอนแก่น!J247"")
+IMPORTRANGE(""https://docs.google.com/spreadsheets/d/1xQzEtGHhTTgxHh6YUkKY1P4dRyjVhS74dGswLfAASA4/edit?usp=share_link"",""ชัยภูมิ!J247"")+IMPORTRANGE(""https://docs.google.com/spreadsheets/d/1EXMBoBxU3OFbjT2TRpneM33qFjqDzrKmn9ydcfl"&amp;"fI0o/edit?usp=share_link"",""นครพนม!J247"")+IMPORTRANGE(""https://docs.google.com/spreadsheets/d/1bDQrolntRWtHumK8W-x-HXKntwxB9S3sF5aDeRS66Ko/edit?usp=share_link"",""นครราชสีมา!J247"")+IMPORTRANGE(""https://docs.google.com/spreadsheets/d/1_MzZ-2gVPiCW-d2V"&amp;"cafoCmFJQTSrZ6SQyFcMqRRQQ2w/edit?usp=share_link"",""บึงกาฬ!J247"")
+IMPORTRANGE(""https://docs.google.com/spreadsheets/d/1B3lPpzOuaNwVItLwLEZYl_qEblfcx7dRnbRkAw0l-pE/edit?usp=share_link"",""บุรีรัมย์!J247"")+IMPORTRANGE(""https://docs.google.com/spreadshe"&amp;"ets/d/19GOkiOqnzYbevLYWrMk4qFOXe3rX14BkSA8X-mq-a40/edit?usp=share_link"",""มหาสารคาม!J247"")+IMPORTRANGE(""https://docs.google.com/spreadsheets/d/1uMKqWwuNQ-TCKboGA3Bb1qXb5uj2-faACNUINCz8PN4/edit?usp=share_link"",""มุกดาหาร!J247"")+IMPORTRANGE(""https://d"&amp;"ocs.google.com/spreadsheets/d/1oKaccgDdQABndOzGr688Dbfxb_V3YcF67VqEPBtdzsc/edit?usp=share_link"",""ยโสธร!J247"")+IMPORTRANGE(""https://docs.google.com/spreadsheets/d/1BRgc8xKpxZ0PX-gauieMVkV_IOxKSotf0yW8MabGprQ/edit?usp=share_link"",""ร้อยเอ็ด!J247"")+IMP"&amp;"ORTRANGE(""https://docs.google.com/spreadsheets/d/1IdolZc-dfdgMwAm_KZxYJl1sUOcIgnbGQzbWOlddedo/edit?usp=share_link"",""เลย!J247"")+IMPORTRANGE(""https://docs.google.com/spreadsheets/d/1tZ0nmtGuIRCaGAMXHlQU8EpR9LOAJvyKfc4f7EFmE34/edit?usp=share_link"",""ศร"&amp;"ีสะเกษ!J247"")+IMPORTRANGE(""https://docs.google.com/spreadsheets/d/1QC8psz9w0f9IVE9Xuc2FT_btkaOzZbbUSgYObpBuetM/edit?usp=share_link"",""สกลนคร!J247"")+IMPORTRANGE(""https://docs.google.com/spreadsheets/d/1wPdvRbu02d33MYVlbsCnyTiZpefEBs9NNktAnT1HZvw/edit?"&amp;"usp=share_link"",""สุรินทร์!J247"")+IMPORTRANGE(""https://docs.google.com/spreadsheets/d/1GVExpf-Exi_2gmuqTYH28fseTB9MoKPXWcXCbSt_YrM/edit?usp=share_link"",""หนองคาย!J247"")+IMPORTRANGE(""https://docs.google.com/spreadsheets/d/16UeMz0UgOB5BZcoxP75eYGcLFtG"&amp;"YRn9GoesD4OX9m5U/edit?usp=share_link"",""หนองบัวลำภู!J247"")+IMPORTRANGE(""https://docs.google.com/spreadsheets/d/1uUP8Zo1-qaJLuIkRU0qlwLSE3DHkbdrrj2JGJiWBQZE/edit?usp=share_link"",""อำนาจเจริญ!J247"")+IMPORTRANGE(""https://docs.google.com/spreadsheets/d/"&amp;"1hb_taSOHanzRjqfzWPiFo8yiT83VV1L7vvUCLhOiHKc/edit?usp=share_link"",""อุดรธานี!J247"")+IMPORTRANGE(""https://docs.google.com/spreadsheets/d/17IOkEwkUd63EGNfyNDnM5de9YlZ7rwzTiW6-dokVjKI/edit?usp=share_link"",""อุบลราชธานี!J247"")
"),2)</f>
        <v>2</v>
      </c>
      <c r="K247" s="45">
        <f ca="1">IF(I258&gt;0,J247*100/I258,0)</f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9.5" hidden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ca="1">IF(I248&gt;0,J248*100/I248,0)</f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 hidden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fb2B9NLcpJgjIieIJvenUTNPn0TimZDUi0OtYeiSQ_s/edit?usp=share_link"",""กาฬสินธุ์!L250"")+IMPORTRANGE(""https://docs.google.com/spreadsheets/d/1SaMnqrwRGmFYNR0MhpWmHuL5niYUd5E7vDq8X7whAlI/edit?usp=share_li"&amp;"nk"",""ขอนแก่น!L250"")
+IMPORTRANGE(""https://docs.google.com/spreadsheets/d/1xQzEtGHhTTgxHh6YUkKY1P4dRyjVhS74dGswLfAASA4/edit?usp=share_link"",""ชัยภูมิ!L250"")+IMPORTRANGE(""https://docs.google.com/spreadsheets/d/1EXMBoBxU3OFbjT2TRpneM33qFjqDzrKmn9ydcfl"&amp;"fI0o/edit?usp=share_link"",""นครพนม!L250"")+IMPORTRANGE(""https://docs.google.com/spreadsheets/d/1bDQrolntRWtHumK8W-x-HXKntwxB9S3sF5aDeRS66Ko/edit?usp=share_link"",""นครราชสีมา!L250"")+IMPORTRANGE(""https://docs.google.com/spreadsheets/d/1_MzZ-2gVPiCW-d2V"&amp;"cafoCmFJQTSrZ6SQyFcMqRRQQ2w/edit?usp=share_link"",""บึงกาฬ!L250"")
+IMPORTRANGE(""https://docs.google.com/spreadsheets/d/1B3lPpzOuaNwVItLwLEZYl_qEblfcx7dRnbRkAw0l-pE/edit?usp=share_link"",""บุรีรัมย์!L250"")+IMPORTRANGE(""https://docs.google.com/spreadshe"&amp;"ets/d/19GOkiOqnzYbevLYWrMk4qFOXe3rX14BkSA8X-mq-a40/edit?usp=share_link"",""มหาสารคาม!L250"")+IMPORTRANGE(""https://docs.google.com/spreadsheets/d/1uMKqWwuNQ-TCKboGA3Bb1qXb5uj2-faACNUINCz8PN4/edit?usp=share_link"",""มุกดาหาร!L250"")+IMPORTRANGE(""https://d"&amp;"ocs.google.com/spreadsheets/d/1oKaccgDdQABndOzGr688Dbfxb_V3YcF67VqEPBtdzsc/edit?usp=share_link"",""ยโสธร!L250"")+IMPORTRANGE(""https://docs.google.com/spreadsheets/d/1BRgc8xKpxZ0PX-gauieMVkV_IOxKSotf0yW8MabGprQ/edit?usp=share_link"",""ร้อยเอ็ด!L250"")+IMP"&amp;"ORTRANGE(""https://docs.google.com/spreadsheets/d/1IdolZc-dfdgMwAm_KZxYJl1sUOcIgnbGQzbWOlddedo/edit?usp=share_link"",""เลย!L250"")+IMPORTRANGE(""https://docs.google.com/spreadsheets/d/1tZ0nmtGuIRCaGAMXHlQU8EpR9LOAJvyKfc4f7EFmE34/edit?usp=share_link"",""ศร"&amp;"ีสะเกษ!L250"")+IMPORTRANGE(""https://docs.google.com/spreadsheets/d/1QC8psz9w0f9IVE9Xuc2FT_btkaOzZbbUSgYObpBuetM/edit?usp=share_link"",""สกลนคร!L250"")+IMPORTRANGE(""https://docs.google.com/spreadsheets/d/1wPdvRbu02d33MYVlbsCnyTiZpefEBs9NNktAnT1HZvw/edit?"&amp;"usp=share_link"",""สุรินทร์!L250"")+IMPORTRANGE(""https://docs.google.com/spreadsheets/d/1GVExpf-Exi_2gmuqTYH28fseTB9MoKPXWcXCbSt_YrM/edit?usp=share_link"",""หนองคาย!L250"")+IMPORTRANGE(""https://docs.google.com/spreadsheets/d/16UeMz0UgOB5BZcoxP75eYGcLFtG"&amp;"YRn9GoesD4OX9m5U/edit?usp=share_link"",""หนองบัวลำภู!L250"")+IMPORTRANGE(""https://docs.google.com/spreadsheets/d/1uUP8Zo1-qaJLuIkRU0qlwLSE3DHkbdrrj2JGJiWBQZE/edit?usp=share_link"",""อำนาจเจริญ!L250"")+IMPORTRANGE(""https://docs.google.com/spreadsheets/d/"&amp;"1hb_taSOHanzRjqfzWPiFo8yiT83VV1L7vvUCLhOiHKc/edit?usp=share_link"",""อุดรธานี!L250"")+IMPORTRANGE(""https://docs.google.com/spreadsheets/d/17IOkEwkUd63EGNfyNDnM5de9YlZ7rwzTiW6-dokVjKI/edit?usp=share_link"",""อุบลราชธานี!L250"")
"),0)</f>
        <v>0</v>
      </c>
      <c r="M250" s="45"/>
      <c r="N250" s="358">
        <f ca="1">IFERROR(__xludf.DUMMYFUNCTION("IMPORTRANGE(""https://docs.google.com/spreadsheets/d/1fb2B9NLcpJgjIieIJvenUTNPn0TimZDUi0OtYeiSQ_s/edit?usp=share_link"",""กาฬสินธุ์!N250"")+IMPORTRANGE(""https://docs.google.com/spreadsheets/d/1SaMnqrwRGmFYNR0MhpWmHuL5niYUd5E7vDq8X7whAlI/edit?usp=share_li"&amp;"nk"",""ขอนแก่น!N250"")
+IMPORTRANGE(""https://docs.google.com/spreadsheets/d/1xQzEtGHhTTgxHh6YUkKY1P4dRyjVhS74dGswLfAASA4/edit?usp=share_link"",""ชัยภูมิ!N250"")+IMPORTRANGE(""https://docs.google.com/spreadsheets/d/1EXMBoBxU3OFbjT2TRpneM33qFjqDzrKmn9ydcfl"&amp;"fI0o/edit?usp=share_link"",""นครพนม!N250"")+IMPORTRANGE(""https://docs.google.com/spreadsheets/d/1bDQrolntRWtHumK8W-x-HXKntwxB9S3sF5aDeRS66Ko/edit?usp=share_link"",""นครราชสีมา!N250"")+IMPORTRANGE(""https://docs.google.com/spreadsheets/d/1_MzZ-2gVPiCW-d2V"&amp;"cafoCmFJQTSrZ6SQyFcMqRRQQ2w/edit?usp=share_link"",""บึงกาฬ!N250"")
+IMPORTRANGE(""https://docs.google.com/spreadsheets/d/1B3lPpzOuaNwVItLwLEZYl_qEblfcx7dRnbRkAw0l-pE/edit?usp=share_link"",""บุรีรัมย์!N250"")+IMPORTRANGE(""https://docs.google.com/spreadshe"&amp;"ets/d/19GOkiOqnzYbevLYWrMk4qFOXe3rX14BkSA8X-mq-a40/edit?usp=share_link"",""มหาสารคาม!N250"")+IMPORTRANGE(""https://docs.google.com/spreadsheets/d/1uMKqWwuNQ-TCKboGA3Bb1qXb5uj2-faACNUINCz8PN4/edit?usp=share_link"",""มุกดาหาร!N250"")+IMPORTRANGE(""https://d"&amp;"ocs.google.com/spreadsheets/d/1oKaccgDdQABndOzGr688Dbfxb_V3YcF67VqEPBtdzsc/edit?usp=share_link"",""ยโสธร!N250"")+IMPORTRANGE(""https://docs.google.com/spreadsheets/d/1BRgc8xKpxZ0PX-gauieMVkV_IOxKSotf0yW8MabGprQ/edit?usp=share_link"",""ร้อยเอ็ด!N250"")+IMP"&amp;"ORTRANGE(""https://docs.google.com/spreadsheets/d/1IdolZc-dfdgMwAm_KZxYJl1sUOcIgnbGQzbWOlddedo/edit?usp=share_link"",""เลย!N250"")+IMPORTRANGE(""https://docs.google.com/spreadsheets/d/1tZ0nmtGuIRCaGAMXHlQU8EpR9LOAJvyKfc4f7EFmE34/edit?usp=share_link"",""ศร"&amp;"ีสะเกษ!N250"")+IMPORTRANGE(""https://docs.google.com/spreadsheets/d/1QC8psz9w0f9IVE9Xuc2FT_btkaOzZbbUSgYObpBuetM/edit?usp=share_link"",""สกลนคร!N250"")+IMPORTRANGE(""https://docs.google.com/spreadsheets/d/1wPdvRbu02d33MYVlbsCnyTiZpefEBs9NNktAnT1HZvw/edit?"&amp;"usp=share_link"",""สุรินทร์!N250"")+IMPORTRANGE(""https://docs.google.com/spreadsheets/d/1GVExpf-Exi_2gmuqTYH28fseTB9MoKPXWcXCbSt_YrM/edit?usp=share_link"",""หนองคาย!N250"")+IMPORTRANGE(""https://docs.google.com/spreadsheets/d/16UeMz0UgOB5BZcoxP75eYGcLFtG"&amp;"YRn9GoesD4OX9m5U/edit?usp=share_link"",""หนองบัวลำภู!N250"")+IMPORTRANGE(""https://docs.google.com/spreadsheets/d/1uUP8Zo1-qaJLuIkRU0qlwLSE3DHkbdrrj2JGJiWBQZE/edit?usp=share_link"",""อำนาจเจริญ!N250"")+IMPORTRANGE(""https://docs.google.com/spreadsheets/d/"&amp;"1hb_taSOHanzRjqfzWPiFo8yiT83VV1L7vvUCLhOiHKc/edit?usp=share_link"",""อุดรธานี!N250"")+IMPORTRANGE(""https://docs.google.com/spreadsheets/d/17IOkEwkUd63EGNfyNDnM5de9YlZ7rwzTiW6-dokVjKI/edit?usp=share_link"",""อุบลราชธานี!N250"")
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 hidden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fb2B9NLcpJgjIieIJvenUTNPn0TimZDUi0OtYeiSQ_s/edit?usp=share_link"",""กาฬสินธุ์!L251"")+IMPORTRANGE(""https://docs.google.com/spreadsheets/d/1SaMnqrwRGmFYNR0MhpWmHuL5niYUd5E7vDq8X7whAlI/edit?usp=share_li"&amp;"nk"",""ขอนแก่น!L251"")
+IMPORTRANGE(""https://docs.google.com/spreadsheets/d/1xQzEtGHhTTgxHh6YUkKY1P4dRyjVhS74dGswLfAASA4/edit?usp=share_link"",""ชัยภูมิ!L251"")+IMPORTRANGE(""https://docs.google.com/spreadsheets/d/1EXMBoBxU3OFbjT2TRpneM33qFjqDzrKmn9ydcfl"&amp;"fI0o/edit?usp=share_link"",""นครพนม!L251"")+IMPORTRANGE(""https://docs.google.com/spreadsheets/d/1bDQrolntRWtHumK8W-x-HXKntwxB9S3sF5aDeRS66Ko/edit?usp=share_link"",""นครราชสีมา!L251"")+IMPORTRANGE(""https://docs.google.com/spreadsheets/d/1_MzZ-2gVPiCW-d2V"&amp;"cafoCmFJQTSrZ6SQyFcMqRRQQ2w/edit?usp=share_link"",""บึงกาฬ!L251"")
+IMPORTRANGE(""https://docs.google.com/spreadsheets/d/1B3lPpzOuaNwVItLwLEZYl_qEblfcx7dRnbRkAw0l-pE/edit?usp=share_link"",""บุรีรัมย์!L251"")+IMPORTRANGE(""https://docs.google.com/spreadshe"&amp;"ets/d/19GOkiOqnzYbevLYWrMk4qFOXe3rX14BkSA8X-mq-a40/edit?usp=share_link"",""มหาสารคาม!L251"")+IMPORTRANGE(""https://docs.google.com/spreadsheets/d/1uMKqWwuNQ-TCKboGA3Bb1qXb5uj2-faACNUINCz8PN4/edit?usp=share_link"",""มุกดาหาร!L251"")+IMPORTRANGE(""https://d"&amp;"ocs.google.com/spreadsheets/d/1oKaccgDdQABndOzGr688Dbfxb_V3YcF67VqEPBtdzsc/edit?usp=share_link"",""ยโสธร!L251"")+IMPORTRANGE(""https://docs.google.com/spreadsheets/d/1BRgc8xKpxZ0PX-gauieMVkV_IOxKSotf0yW8MabGprQ/edit?usp=share_link"",""ร้อยเอ็ด!L251"")+IMP"&amp;"ORTRANGE(""https://docs.google.com/spreadsheets/d/1IdolZc-dfdgMwAm_KZxYJl1sUOcIgnbGQzbWOlddedo/edit?usp=share_link"",""เลย!L251"")+IMPORTRANGE(""https://docs.google.com/spreadsheets/d/1tZ0nmtGuIRCaGAMXHlQU8EpR9LOAJvyKfc4f7EFmE34/edit?usp=share_link"",""ศร"&amp;"ีสะเกษ!L251"")+IMPORTRANGE(""https://docs.google.com/spreadsheets/d/1QC8psz9w0f9IVE9Xuc2FT_btkaOzZbbUSgYObpBuetM/edit?usp=share_link"",""สกลนคร!L251"")+IMPORTRANGE(""https://docs.google.com/spreadsheets/d/1wPdvRbu02d33MYVlbsCnyTiZpefEBs9NNktAnT1HZvw/edit?"&amp;"usp=share_link"",""สุรินทร์!L251"")+IMPORTRANGE(""https://docs.google.com/spreadsheets/d/1GVExpf-Exi_2gmuqTYH28fseTB9MoKPXWcXCbSt_YrM/edit?usp=share_link"",""หนองคาย!L251"")+IMPORTRANGE(""https://docs.google.com/spreadsheets/d/16UeMz0UgOB5BZcoxP75eYGcLFtG"&amp;"YRn9GoesD4OX9m5U/edit?usp=share_link"",""หนองบัวลำภู!L251"")+IMPORTRANGE(""https://docs.google.com/spreadsheets/d/1uUP8Zo1-qaJLuIkRU0qlwLSE3DHkbdrrj2JGJiWBQZE/edit?usp=share_link"",""อำนาจเจริญ!L251"")+IMPORTRANGE(""https://docs.google.com/spreadsheets/d/"&amp;"1hb_taSOHanzRjqfzWPiFo8yiT83VV1L7vvUCLhOiHKc/edit?usp=share_link"",""อุดรธานี!L251"")+IMPORTRANGE(""https://docs.google.com/spreadsheets/d/17IOkEwkUd63EGNfyNDnM5de9YlZ7rwzTiW6-dokVjKI/edit?usp=share_link"",""อุบลราชธานี!L251"")
"),0)</f>
        <v>0</v>
      </c>
      <c r="M251" s="45"/>
      <c r="N251" s="358">
        <f ca="1">IFERROR(__xludf.DUMMYFUNCTION("IMPORTRANGE(""https://docs.google.com/spreadsheets/d/1fb2B9NLcpJgjIieIJvenUTNPn0TimZDUi0OtYeiSQ_s/edit?usp=share_link"",""กาฬสินธุ์!N251"")+IMPORTRANGE(""https://docs.google.com/spreadsheets/d/1SaMnqrwRGmFYNR0MhpWmHuL5niYUd5E7vDq8X7whAlI/edit?usp=share_li"&amp;"nk"",""ขอนแก่น!N251"")
+IMPORTRANGE(""https://docs.google.com/spreadsheets/d/1xQzEtGHhTTgxHh6YUkKY1P4dRyjVhS74dGswLfAASA4/edit?usp=share_link"",""ชัยภูมิ!N251"")+IMPORTRANGE(""https://docs.google.com/spreadsheets/d/1EXMBoBxU3OFbjT2TRpneM33qFjqDzrKmn9ydcfl"&amp;"fI0o/edit?usp=share_link"",""นครพนม!N251"")+IMPORTRANGE(""https://docs.google.com/spreadsheets/d/1bDQrolntRWtHumK8W-x-HXKntwxB9S3sF5aDeRS66Ko/edit?usp=share_link"",""นครราชสีมา!N251"")+IMPORTRANGE(""https://docs.google.com/spreadsheets/d/1_MzZ-2gVPiCW-d2V"&amp;"cafoCmFJQTSrZ6SQyFcMqRRQQ2w/edit?usp=share_link"",""บึงกาฬ!N251"")
+IMPORTRANGE(""https://docs.google.com/spreadsheets/d/1B3lPpzOuaNwVItLwLEZYl_qEblfcx7dRnbRkAw0l-pE/edit?usp=share_link"",""บุรีรัมย์!N251"")+IMPORTRANGE(""https://docs.google.com/spreadshe"&amp;"ets/d/19GOkiOqnzYbevLYWrMk4qFOXe3rX14BkSA8X-mq-a40/edit?usp=share_link"",""มหาสารคาม!N251"")+IMPORTRANGE(""https://docs.google.com/spreadsheets/d/1uMKqWwuNQ-TCKboGA3Bb1qXb5uj2-faACNUINCz8PN4/edit?usp=share_link"",""มุกดาหาร!N251"")+IMPORTRANGE(""https://d"&amp;"ocs.google.com/spreadsheets/d/1oKaccgDdQABndOzGr688Dbfxb_V3YcF67VqEPBtdzsc/edit?usp=share_link"",""ยโสธร!N251"")+IMPORTRANGE(""https://docs.google.com/spreadsheets/d/1BRgc8xKpxZ0PX-gauieMVkV_IOxKSotf0yW8MabGprQ/edit?usp=share_link"",""ร้อยเอ็ด!N251"")+IMP"&amp;"ORTRANGE(""https://docs.google.com/spreadsheets/d/1IdolZc-dfdgMwAm_KZxYJl1sUOcIgnbGQzbWOlddedo/edit?usp=share_link"",""เลย!N251"")+IMPORTRANGE(""https://docs.google.com/spreadsheets/d/1tZ0nmtGuIRCaGAMXHlQU8EpR9LOAJvyKfc4f7EFmE34/edit?usp=share_link"",""ศร"&amp;"ีสะเกษ!N251"")+IMPORTRANGE(""https://docs.google.com/spreadsheets/d/1QC8psz9w0f9IVE9Xuc2FT_btkaOzZbbUSgYObpBuetM/edit?usp=share_link"",""สกลนคร!N251"")+IMPORTRANGE(""https://docs.google.com/spreadsheets/d/1wPdvRbu02d33MYVlbsCnyTiZpefEBs9NNktAnT1HZvw/edit?"&amp;"usp=share_link"",""สุรินทร์!N251"")+IMPORTRANGE(""https://docs.google.com/spreadsheets/d/1GVExpf-Exi_2gmuqTYH28fseTB9MoKPXWcXCbSt_YrM/edit?usp=share_link"",""หนองคาย!N251"")+IMPORTRANGE(""https://docs.google.com/spreadsheets/d/16UeMz0UgOB5BZcoxP75eYGcLFtG"&amp;"YRn9GoesD4OX9m5U/edit?usp=share_link"",""หนองบัวลำภู!N251"")+IMPORTRANGE(""https://docs.google.com/spreadsheets/d/1uUP8Zo1-qaJLuIkRU0qlwLSE3DHkbdrrj2JGJiWBQZE/edit?usp=share_link"",""อำนาจเจริญ!N251"")+IMPORTRANGE(""https://docs.google.com/spreadsheets/d/"&amp;"1hb_taSOHanzRjqfzWPiFo8yiT83VV1L7vvUCLhOiHKc/edit?usp=share_link"",""อุดรธานี!N251"")+IMPORTRANGE(""https://docs.google.com/spreadsheets/d/17IOkEwkUd63EGNfyNDnM5de9YlZ7rwzTiW6-dokVjKI/edit?usp=share_link"",""อุบลราชธานี!N251"")
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19.5" hidden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fb2B9NLcpJgjIieIJvenUTNPn0TimZDUi0OtYeiSQ_s/edit?usp=share_link"",""กาฬสินธุ์!L252"")+IMPORTRANGE(""https://docs.google.com/spreadsheets/d/1SaMnqrwRGmFYNR0MhpWmHuL5niYUd5E7vDq8X7whAlI/edit?usp=share_li"&amp;"nk"",""ขอนแก่น!L252"")
+IMPORTRANGE(""https://docs.google.com/spreadsheets/d/1xQzEtGHhTTgxHh6YUkKY1P4dRyjVhS74dGswLfAASA4/edit?usp=share_link"",""ชัยภูมิ!L252"")+IMPORTRANGE(""https://docs.google.com/spreadsheets/d/1EXMBoBxU3OFbjT2TRpneM33qFjqDzrKmn9ydcfl"&amp;"fI0o/edit?usp=share_link"",""นครพนม!L252"")+IMPORTRANGE(""https://docs.google.com/spreadsheets/d/1bDQrolntRWtHumK8W-x-HXKntwxB9S3sF5aDeRS66Ko/edit?usp=share_link"",""นครราชสีมา!L252"")+IMPORTRANGE(""https://docs.google.com/spreadsheets/d/1_MzZ-2gVPiCW-d2V"&amp;"cafoCmFJQTSrZ6SQyFcMqRRQQ2w/edit?usp=share_link"",""บึงกาฬ!L252"")
+IMPORTRANGE(""https://docs.google.com/spreadsheets/d/1B3lPpzOuaNwVItLwLEZYl_qEblfcx7dRnbRkAw0l-pE/edit?usp=share_link"",""บุรีรัมย์!L252"")+IMPORTRANGE(""https://docs.google.com/spreadshe"&amp;"ets/d/19GOkiOqnzYbevLYWrMk4qFOXe3rX14BkSA8X-mq-a40/edit?usp=share_link"",""มหาสารคาม!L252"")+IMPORTRANGE(""https://docs.google.com/spreadsheets/d/1uMKqWwuNQ-TCKboGA3Bb1qXb5uj2-faACNUINCz8PN4/edit?usp=share_link"",""มุกดาหาร!L252"")+IMPORTRANGE(""https://d"&amp;"ocs.google.com/spreadsheets/d/1oKaccgDdQABndOzGr688Dbfxb_V3YcF67VqEPBtdzsc/edit?usp=share_link"",""ยโสธร!L252"")+IMPORTRANGE(""https://docs.google.com/spreadsheets/d/1BRgc8xKpxZ0PX-gauieMVkV_IOxKSotf0yW8MabGprQ/edit?usp=share_link"",""ร้อยเอ็ด!L252"")+IMP"&amp;"ORTRANGE(""https://docs.google.com/spreadsheets/d/1IdolZc-dfdgMwAm_KZxYJl1sUOcIgnbGQzbWOlddedo/edit?usp=share_link"",""เลย!L252"")+IMPORTRANGE(""https://docs.google.com/spreadsheets/d/1tZ0nmtGuIRCaGAMXHlQU8EpR9LOAJvyKfc4f7EFmE34/edit?usp=share_link"",""ศร"&amp;"ีสะเกษ!L252"")+IMPORTRANGE(""https://docs.google.com/spreadsheets/d/1QC8psz9w0f9IVE9Xuc2FT_btkaOzZbbUSgYObpBuetM/edit?usp=share_link"",""สกลนคร!L252"")+IMPORTRANGE(""https://docs.google.com/spreadsheets/d/1wPdvRbu02d33MYVlbsCnyTiZpefEBs9NNktAnT1HZvw/edit?"&amp;"usp=share_link"",""สุรินทร์!L252"")+IMPORTRANGE(""https://docs.google.com/spreadsheets/d/1GVExpf-Exi_2gmuqTYH28fseTB9MoKPXWcXCbSt_YrM/edit?usp=share_link"",""หนองคาย!L252"")+IMPORTRANGE(""https://docs.google.com/spreadsheets/d/16UeMz0UgOB5BZcoxP75eYGcLFtG"&amp;"YRn9GoesD4OX9m5U/edit?usp=share_link"",""หนองบัวลำภู!L252"")+IMPORTRANGE(""https://docs.google.com/spreadsheets/d/1uUP8Zo1-qaJLuIkRU0qlwLSE3DHkbdrrj2JGJiWBQZE/edit?usp=share_link"",""อำนาจเจริญ!L252"")+IMPORTRANGE(""https://docs.google.com/spreadsheets/d/"&amp;"1hb_taSOHanzRjqfzWPiFo8yiT83VV1L7vvUCLhOiHKc/edit?usp=share_link"",""อุดรธานี!L252"")+IMPORTRANGE(""https://docs.google.com/spreadsheets/d/17IOkEwkUd63EGNfyNDnM5de9YlZ7rwzTiW6-dokVjKI/edit?usp=share_link"",""อุบลราชธานี!L252"")
"),0)</f>
        <v>0</v>
      </c>
      <c r="M252" s="45"/>
      <c r="N252" s="358">
        <f ca="1">IFERROR(__xludf.DUMMYFUNCTION("IMPORTRANGE(""https://docs.google.com/spreadsheets/d/1fb2B9NLcpJgjIieIJvenUTNPn0TimZDUi0OtYeiSQ_s/edit?usp=share_link"",""กาฬสินธุ์!N252"")+IMPORTRANGE(""https://docs.google.com/spreadsheets/d/1SaMnqrwRGmFYNR0MhpWmHuL5niYUd5E7vDq8X7whAlI/edit?usp=share_li"&amp;"nk"",""ขอนแก่น!N252"")
+IMPORTRANGE(""https://docs.google.com/spreadsheets/d/1xQzEtGHhTTgxHh6YUkKY1P4dRyjVhS74dGswLfAASA4/edit?usp=share_link"",""ชัยภูมิ!N252"")+IMPORTRANGE(""https://docs.google.com/spreadsheets/d/1EXMBoBxU3OFbjT2TRpneM33qFjqDzrKmn9ydcfl"&amp;"fI0o/edit?usp=share_link"",""นครพนม!N252"")+IMPORTRANGE(""https://docs.google.com/spreadsheets/d/1bDQrolntRWtHumK8W-x-HXKntwxB9S3sF5aDeRS66Ko/edit?usp=share_link"",""นครราชสีมา!N252"")+IMPORTRANGE(""https://docs.google.com/spreadsheets/d/1_MzZ-2gVPiCW-d2V"&amp;"cafoCmFJQTSrZ6SQyFcMqRRQQ2w/edit?usp=share_link"",""บึงกาฬ!N252"")
+IMPORTRANGE(""https://docs.google.com/spreadsheets/d/1B3lPpzOuaNwVItLwLEZYl_qEblfcx7dRnbRkAw0l-pE/edit?usp=share_link"",""บุรีรัมย์!N252"")+IMPORTRANGE(""https://docs.google.com/spreadshe"&amp;"ets/d/19GOkiOqnzYbevLYWrMk4qFOXe3rX14BkSA8X-mq-a40/edit?usp=share_link"",""มหาสารคาม!N252"")+IMPORTRANGE(""https://docs.google.com/spreadsheets/d/1uMKqWwuNQ-TCKboGA3Bb1qXb5uj2-faACNUINCz8PN4/edit?usp=share_link"",""มุกดาหาร!N252"")+IMPORTRANGE(""https://d"&amp;"ocs.google.com/spreadsheets/d/1oKaccgDdQABndOzGr688Dbfxb_V3YcF67VqEPBtdzsc/edit?usp=share_link"",""ยโสธร!N252"")+IMPORTRANGE(""https://docs.google.com/spreadsheets/d/1BRgc8xKpxZ0PX-gauieMVkV_IOxKSotf0yW8MabGprQ/edit?usp=share_link"",""ร้อยเอ็ด!N252"")+IMP"&amp;"ORTRANGE(""https://docs.google.com/spreadsheets/d/1IdolZc-dfdgMwAm_KZxYJl1sUOcIgnbGQzbWOlddedo/edit?usp=share_link"",""เลย!N252"")+IMPORTRANGE(""https://docs.google.com/spreadsheets/d/1tZ0nmtGuIRCaGAMXHlQU8EpR9LOAJvyKfc4f7EFmE34/edit?usp=share_link"",""ศร"&amp;"ีสะเกษ!N252"")+IMPORTRANGE(""https://docs.google.com/spreadsheets/d/1QC8psz9w0f9IVE9Xuc2FT_btkaOzZbbUSgYObpBuetM/edit?usp=share_link"",""สกลนคร!N252"")+IMPORTRANGE(""https://docs.google.com/spreadsheets/d/1wPdvRbu02d33MYVlbsCnyTiZpefEBs9NNktAnT1HZvw/edit?"&amp;"usp=share_link"",""สุรินทร์!N252"")+IMPORTRANGE(""https://docs.google.com/spreadsheets/d/1GVExpf-Exi_2gmuqTYH28fseTB9MoKPXWcXCbSt_YrM/edit?usp=share_link"",""หนองคาย!N252"")+IMPORTRANGE(""https://docs.google.com/spreadsheets/d/16UeMz0UgOB5BZcoxP75eYGcLFtG"&amp;"YRn9GoesD4OX9m5U/edit?usp=share_link"",""หนองบัวลำภู!N252"")+IMPORTRANGE(""https://docs.google.com/spreadsheets/d/1uUP8Zo1-qaJLuIkRU0qlwLSE3DHkbdrrj2JGJiWBQZE/edit?usp=share_link"",""อำนาจเจริญ!N252"")+IMPORTRANGE(""https://docs.google.com/spreadsheets/d/"&amp;"1hb_taSOHanzRjqfzWPiFo8yiT83VV1L7vvUCLhOiHKc/edit?usp=share_link"",""อุดรธานี!N252"")+IMPORTRANGE(""https://docs.google.com/spreadsheets/d/17IOkEwkUd63EGNfyNDnM5de9YlZ7rwzTiW6-dokVjKI/edit?usp=share_link"",""อุบลราชธานี!N252"")
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19.5" hidden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fb2B9NLcpJgjIieIJvenUTNPn0TimZDUi0OtYeiSQ_s/edit?usp=share_link"",""กาฬสินธุ์!L253"")+IMPORTRANGE(""https://docs.google.com/spreadsheets/d/1SaMnqrwRGmFYNR0MhpWmHuL5niYUd5E7vDq8X7whAlI/edit?usp=share_li"&amp;"nk"",""ขอนแก่น!L253"")
+IMPORTRANGE(""https://docs.google.com/spreadsheets/d/1xQzEtGHhTTgxHh6YUkKY1P4dRyjVhS74dGswLfAASA4/edit?usp=share_link"",""ชัยภูมิ!L253"")+IMPORTRANGE(""https://docs.google.com/spreadsheets/d/1EXMBoBxU3OFbjT2TRpneM33qFjqDzrKmn9ydcfl"&amp;"fI0o/edit?usp=share_link"",""นครพนม!L253"")+IMPORTRANGE(""https://docs.google.com/spreadsheets/d/1bDQrolntRWtHumK8W-x-HXKntwxB9S3sF5aDeRS66Ko/edit?usp=share_link"",""นครราชสีมา!L253"")+IMPORTRANGE(""https://docs.google.com/spreadsheets/d/1_MzZ-2gVPiCW-d2V"&amp;"cafoCmFJQTSrZ6SQyFcMqRRQQ2w/edit?usp=share_link"",""บึงกาฬ!L253"")
+IMPORTRANGE(""https://docs.google.com/spreadsheets/d/1B3lPpzOuaNwVItLwLEZYl_qEblfcx7dRnbRkAw0l-pE/edit?usp=share_link"",""บุรีรัมย์!L253"")+IMPORTRANGE(""https://docs.google.com/spreadshe"&amp;"ets/d/19GOkiOqnzYbevLYWrMk4qFOXe3rX14BkSA8X-mq-a40/edit?usp=share_link"",""มหาสารคาม!L253"")+IMPORTRANGE(""https://docs.google.com/spreadsheets/d/1uMKqWwuNQ-TCKboGA3Bb1qXb5uj2-faACNUINCz8PN4/edit?usp=share_link"",""มุกดาหาร!L253"")+IMPORTRANGE(""https://d"&amp;"ocs.google.com/spreadsheets/d/1oKaccgDdQABndOzGr688Dbfxb_V3YcF67VqEPBtdzsc/edit?usp=share_link"",""ยโสธร!L253"")+IMPORTRANGE(""https://docs.google.com/spreadsheets/d/1BRgc8xKpxZ0PX-gauieMVkV_IOxKSotf0yW8MabGprQ/edit?usp=share_link"",""ร้อยเอ็ด!L253"")+IMP"&amp;"ORTRANGE(""https://docs.google.com/spreadsheets/d/1IdolZc-dfdgMwAm_KZxYJl1sUOcIgnbGQzbWOlddedo/edit?usp=share_link"",""เลย!L253"")+IMPORTRANGE(""https://docs.google.com/spreadsheets/d/1tZ0nmtGuIRCaGAMXHlQU8EpR9LOAJvyKfc4f7EFmE34/edit?usp=share_link"",""ศร"&amp;"ีสะเกษ!L253"")+IMPORTRANGE(""https://docs.google.com/spreadsheets/d/1QC8psz9w0f9IVE9Xuc2FT_btkaOzZbbUSgYObpBuetM/edit?usp=share_link"",""สกลนคร!L253"")+IMPORTRANGE(""https://docs.google.com/spreadsheets/d/1wPdvRbu02d33MYVlbsCnyTiZpefEBs9NNktAnT1HZvw/edit?"&amp;"usp=share_link"",""สุรินทร์!L253"")+IMPORTRANGE(""https://docs.google.com/spreadsheets/d/1GVExpf-Exi_2gmuqTYH28fseTB9MoKPXWcXCbSt_YrM/edit?usp=share_link"",""หนองคาย!L253"")+IMPORTRANGE(""https://docs.google.com/spreadsheets/d/16UeMz0UgOB5BZcoxP75eYGcLFtG"&amp;"YRn9GoesD4OX9m5U/edit?usp=share_link"",""หนองบัวลำภู!L253"")+IMPORTRANGE(""https://docs.google.com/spreadsheets/d/1uUP8Zo1-qaJLuIkRU0qlwLSE3DHkbdrrj2JGJiWBQZE/edit?usp=share_link"",""อำนาจเจริญ!L253"")+IMPORTRANGE(""https://docs.google.com/spreadsheets/d/"&amp;"1hb_taSOHanzRjqfzWPiFo8yiT83VV1L7vvUCLhOiHKc/edit?usp=share_link"",""อุดรธานี!L253"")+IMPORTRANGE(""https://docs.google.com/spreadsheets/d/17IOkEwkUd63EGNfyNDnM5de9YlZ7rwzTiW6-dokVjKI/edit?usp=share_link"",""อุบลราชธานี!L253"")
"),0)</f>
        <v>0</v>
      </c>
      <c r="M253" s="45"/>
      <c r="N253" s="358">
        <f ca="1">IFERROR(__xludf.DUMMYFUNCTION("IMPORTRANGE(""https://docs.google.com/spreadsheets/d/1fb2B9NLcpJgjIieIJvenUTNPn0TimZDUi0OtYeiSQ_s/edit?usp=share_link"",""กาฬสินธุ์!N253"")+IMPORTRANGE(""https://docs.google.com/spreadsheets/d/1SaMnqrwRGmFYNR0MhpWmHuL5niYUd5E7vDq8X7whAlI/edit?usp=share_li"&amp;"nk"",""ขอนแก่น!N253"")
+IMPORTRANGE(""https://docs.google.com/spreadsheets/d/1xQzEtGHhTTgxHh6YUkKY1P4dRyjVhS74dGswLfAASA4/edit?usp=share_link"",""ชัยภูมิ!N253"")+IMPORTRANGE(""https://docs.google.com/spreadsheets/d/1EXMBoBxU3OFbjT2TRpneM33qFjqDzrKmn9ydcfl"&amp;"fI0o/edit?usp=share_link"",""นครพนม!N253"")+IMPORTRANGE(""https://docs.google.com/spreadsheets/d/1bDQrolntRWtHumK8W-x-HXKntwxB9S3sF5aDeRS66Ko/edit?usp=share_link"",""นครราชสีมา!N253"")+IMPORTRANGE(""https://docs.google.com/spreadsheets/d/1_MzZ-2gVPiCW-d2V"&amp;"cafoCmFJQTSrZ6SQyFcMqRRQQ2w/edit?usp=share_link"",""บึงกาฬ!N253"")
+IMPORTRANGE(""https://docs.google.com/spreadsheets/d/1B3lPpzOuaNwVItLwLEZYl_qEblfcx7dRnbRkAw0l-pE/edit?usp=share_link"",""บุรีรัมย์!N253"")+IMPORTRANGE(""https://docs.google.com/spreadshe"&amp;"ets/d/19GOkiOqnzYbevLYWrMk4qFOXe3rX14BkSA8X-mq-a40/edit?usp=share_link"",""มหาสารคาม!N253"")+IMPORTRANGE(""https://docs.google.com/spreadsheets/d/1uMKqWwuNQ-TCKboGA3Bb1qXb5uj2-faACNUINCz8PN4/edit?usp=share_link"",""มุกดาหาร!N253"")+IMPORTRANGE(""https://d"&amp;"ocs.google.com/spreadsheets/d/1oKaccgDdQABndOzGr688Dbfxb_V3YcF67VqEPBtdzsc/edit?usp=share_link"",""ยโสธร!N253"")+IMPORTRANGE(""https://docs.google.com/spreadsheets/d/1BRgc8xKpxZ0PX-gauieMVkV_IOxKSotf0yW8MabGprQ/edit?usp=share_link"",""ร้อยเอ็ด!N253"")+IMP"&amp;"ORTRANGE(""https://docs.google.com/spreadsheets/d/1IdolZc-dfdgMwAm_KZxYJl1sUOcIgnbGQzbWOlddedo/edit?usp=share_link"",""เลย!N253"")+IMPORTRANGE(""https://docs.google.com/spreadsheets/d/1tZ0nmtGuIRCaGAMXHlQU8EpR9LOAJvyKfc4f7EFmE34/edit?usp=share_link"",""ศร"&amp;"ีสะเกษ!N253"")+IMPORTRANGE(""https://docs.google.com/spreadsheets/d/1QC8psz9w0f9IVE9Xuc2FT_btkaOzZbbUSgYObpBuetM/edit?usp=share_link"",""สกลนคร!N253"")+IMPORTRANGE(""https://docs.google.com/spreadsheets/d/1wPdvRbu02d33MYVlbsCnyTiZpefEBs9NNktAnT1HZvw/edit?"&amp;"usp=share_link"",""สุรินทร์!N253"")+IMPORTRANGE(""https://docs.google.com/spreadsheets/d/1GVExpf-Exi_2gmuqTYH28fseTB9MoKPXWcXCbSt_YrM/edit?usp=share_link"",""หนองคาย!N253"")+IMPORTRANGE(""https://docs.google.com/spreadsheets/d/16UeMz0UgOB5BZcoxP75eYGcLFtG"&amp;"YRn9GoesD4OX9m5U/edit?usp=share_link"",""หนองบัวลำภู!N253"")+IMPORTRANGE(""https://docs.google.com/spreadsheets/d/1uUP8Zo1-qaJLuIkRU0qlwLSE3DHkbdrrj2JGJiWBQZE/edit?usp=share_link"",""อำนาจเจริญ!N253"")+IMPORTRANGE(""https://docs.google.com/spreadsheets/d/"&amp;"1hb_taSOHanzRjqfzWPiFo8yiT83VV1L7vvUCLhOiHKc/edit?usp=share_link"",""อุดรธานี!N253"")+IMPORTRANGE(""https://docs.google.com/spreadsheets/d/17IOkEwkUd63EGNfyNDnM5de9YlZ7rwzTiW6-dokVjKI/edit?usp=share_link"",""อุบลราชธานี!N253"")
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19.5" hidden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 hidden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fb2B9NLcpJgjIieIJvenUTNPn0TimZDUi0OtYeiSQ_s/edit?usp=share_link"",""กาฬสินธุ์!I255"")+IMPORTRANGE(""https://docs.google.com/spreadsheets/d/1SaMnqrwRGmFYNR0MhpWmHuL5niYUd5E7vDq8X7whAlI/edit?usp=share_li"&amp;"nk"",""ขอนแก่น!I255"")
+IMPORTRANGE(""https://docs.google.com/spreadsheets/d/1xQzEtGHhTTgxHh6YUkKY1P4dRyjVhS74dGswLfAASA4/edit?usp=share_link"",""ชัยภูมิ!I255"")+IMPORTRANGE(""https://docs.google.com/spreadsheets/d/1EXMBoBxU3OFbjT2TRpneM33qFjqDzrKmn9ydcfl"&amp;"fI0o/edit?usp=share_link"",""นครพนม!I255"")+IMPORTRANGE(""https://docs.google.com/spreadsheets/d/1bDQrolntRWtHumK8W-x-HXKntwxB9S3sF5aDeRS66Ko/edit?usp=share_link"",""นครราชสีมา!I255"")+IMPORTRANGE(""https://docs.google.com/spreadsheets/d/1_MzZ-2gVPiCW-d2V"&amp;"cafoCmFJQTSrZ6SQyFcMqRRQQ2w/edit?usp=share_link"",""บึงกาฬ!I255"")
+IMPORTRANGE(""https://docs.google.com/spreadsheets/d/1B3lPpzOuaNwVItLwLEZYl_qEblfcx7dRnbRkAw0l-pE/edit?usp=share_link"",""บุรีรัมย์!I255"")+IMPORTRANGE(""https://docs.google.com/spreadshe"&amp;"ets/d/19GOkiOqnzYbevLYWrMk4qFOXe3rX14BkSA8X-mq-a40/edit?usp=share_link"",""มหาสารคาม!I255"")+IMPORTRANGE(""https://docs.google.com/spreadsheets/d/1uMKqWwuNQ-TCKboGA3Bb1qXb5uj2-faACNUINCz8PN4/edit?usp=share_link"",""มุกดาหาร!I255"")+IMPORTRANGE(""https://d"&amp;"ocs.google.com/spreadsheets/d/1oKaccgDdQABndOzGr688Dbfxb_V3YcF67VqEPBtdzsc/edit?usp=share_link"",""ยโสธร!I255"")+IMPORTRANGE(""https://docs.google.com/spreadsheets/d/1BRgc8xKpxZ0PX-gauieMVkV_IOxKSotf0yW8MabGprQ/edit?usp=share_link"",""ร้อยเอ็ด!I255"")+IMP"&amp;"ORTRANGE(""https://docs.google.com/spreadsheets/d/1IdolZc-dfdgMwAm_KZxYJl1sUOcIgnbGQzbWOlddedo/edit?usp=share_link"",""เลย!I255"")+IMPORTRANGE(""https://docs.google.com/spreadsheets/d/1tZ0nmtGuIRCaGAMXHlQU8EpR9LOAJvyKfc4f7EFmE34/edit?usp=share_link"",""ศร"&amp;"ีสะเกษ!I255"")+IMPORTRANGE(""https://docs.google.com/spreadsheets/d/1QC8psz9w0f9IVE9Xuc2FT_btkaOzZbbUSgYObpBuetM/edit?usp=share_link"",""สกลนคร!I255"")+IMPORTRANGE(""https://docs.google.com/spreadsheets/d/1wPdvRbu02d33MYVlbsCnyTiZpefEBs9NNktAnT1HZvw/edit?"&amp;"usp=share_link"",""สุรินทร์!I255"")+IMPORTRANGE(""https://docs.google.com/spreadsheets/d/1GVExpf-Exi_2gmuqTYH28fseTB9MoKPXWcXCbSt_YrM/edit?usp=share_link"",""หนองคาย!I255"")+IMPORTRANGE(""https://docs.google.com/spreadsheets/d/16UeMz0UgOB5BZcoxP75eYGcLFtG"&amp;"YRn9GoesD4OX9m5U/edit?usp=share_link"",""หนองบัวลำภู!I255"")+IMPORTRANGE(""https://docs.google.com/spreadsheets/d/1uUP8Zo1-qaJLuIkRU0qlwLSE3DHkbdrrj2JGJiWBQZE/edit?usp=share_link"",""อำนาจเจริญ!I255"")+IMPORTRANGE(""https://docs.google.com/spreadsheets/d/"&amp;"1hb_taSOHanzRjqfzWPiFo8yiT83VV1L7vvUCLhOiHKc/edit?usp=share_link"",""อุดรธานี!I255"")+IMPORTRANGE(""https://docs.google.com/spreadsheets/d/17IOkEwkUd63EGNfyNDnM5de9YlZ7rwzTiW6-dokVjKI/edit?usp=share_link"",""อุบลราชธานี!I255"")
"),0)</f>
        <v>0</v>
      </c>
      <c r="J255" s="371">
        <f ca="1">IFERROR(__xludf.DUMMYFUNCTION("IMPORTRANGE(""https://docs.google.com/spreadsheets/d/1fb2B9NLcpJgjIieIJvenUTNPn0TimZDUi0OtYeiSQ_s/edit?usp=share_link"",""กาฬสินธุ์!J255"")+IMPORTRANGE(""https://docs.google.com/spreadsheets/d/1SaMnqrwRGmFYNR0MhpWmHuL5niYUd5E7vDq8X7whAlI/edit?usp=share_li"&amp;"nk"",""ขอนแก่น!J255"")
+IMPORTRANGE(""https://docs.google.com/spreadsheets/d/1xQzEtGHhTTgxHh6YUkKY1P4dRyjVhS74dGswLfAASA4/edit?usp=share_link"",""ชัยภูมิ!J255"")+IMPORTRANGE(""https://docs.google.com/spreadsheets/d/1EXMBoBxU3OFbjT2TRpneM33qFjqDzrKmn9ydcfl"&amp;"fI0o/edit?usp=share_link"",""นครพนม!J255"")+IMPORTRANGE(""https://docs.google.com/spreadsheets/d/1bDQrolntRWtHumK8W-x-HXKntwxB9S3sF5aDeRS66Ko/edit?usp=share_link"",""นครราชสีมา!J255"")+IMPORTRANGE(""https://docs.google.com/spreadsheets/d/1_MzZ-2gVPiCW-d2V"&amp;"cafoCmFJQTSrZ6SQyFcMqRRQQ2w/edit?usp=share_link"",""บึงกาฬ!J255"")
+IMPORTRANGE(""https://docs.google.com/spreadsheets/d/1B3lPpzOuaNwVItLwLEZYl_qEblfcx7dRnbRkAw0l-pE/edit?usp=share_link"",""บุรีรัมย์!J255"")+IMPORTRANGE(""https://docs.google.com/spreadshe"&amp;"ets/d/19GOkiOqnzYbevLYWrMk4qFOXe3rX14BkSA8X-mq-a40/edit?usp=share_link"",""มหาสารคาม!J255"")+IMPORTRANGE(""https://docs.google.com/spreadsheets/d/1uMKqWwuNQ-TCKboGA3Bb1qXb5uj2-faACNUINCz8PN4/edit?usp=share_link"",""มุกดาหาร!J255"")+IMPORTRANGE(""https://d"&amp;"ocs.google.com/spreadsheets/d/1oKaccgDdQABndOzGr688Dbfxb_V3YcF67VqEPBtdzsc/edit?usp=share_link"",""ยโสธร!J255"")+IMPORTRANGE(""https://docs.google.com/spreadsheets/d/1BRgc8xKpxZ0PX-gauieMVkV_IOxKSotf0yW8MabGprQ/edit?usp=share_link"",""ร้อยเอ็ด!J255"")+IMP"&amp;"ORTRANGE(""https://docs.google.com/spreadsheets/d/1IdolZc-dfdgMwAm_KZxYJl1sUOcIgnbGQzbWOlddedo/edit?usp=share_link"",""เลย!J255"")+IMPORTRANGE(""https://docs.google.com/spreadsheets/d/1tZ0nmtGuIRCaGAMXHlQU8EpR9LOAJvyKfc4f7EFmE34/edit?usp=share_link"",""ศร"&amp;"ีสะเกษ!J255"")+IMPORTRANGE(""https://docs.google.com/spreadsheets/d/1QC8psz9w0f9IVE9Xuc2FT_btkaOzZbbUSgYObpBuetM/edit?usp=share_link"",""สกลนคร!J255"")+IMPORTRANGE(""https://docs.google.com/spreadsheets/d/1wPdvRbu02d33MYVlbsCnyTiZpefEBs9NNktAnT1HZvw/edit?"&amp;"usp=share_link"",""สุรินทร์!J255"")+IMPORTRANGE(""https://docs.google.com/spreadsheets/d/1GVExpf-Exi_2gmuqTYH28fseTB9MoKPXWcXCbSt_YrM/edit?usp=share_link"",""หนองคาย!J255"")+IMPORTRANGE(""https://docs.google.com/spreadsheets/d/16UeMz0UgOB5BZcoxP75eYGcLFtG"&amp;"YRn9GoesD4OX9m5U/edit?usp=share_link"",""หนองบัวลำภู!J255"")+IMPORTRANGE(""https://docs.google.com/spreadsheets/d/1uUP8Zo1-qaJLuIkRU0qlwLSE3DHkbdrrj2JGJiWBQZE/edit?usp=share_link"",""อำนาจเจริญ!J255"")+IMPORTRANGE(""https://docs.google.com/spreadsheets/d/"&amp;"1hb_taSOHanzRjqfzWPiFo8yiT83VV1L7vvUCLhOiHKc/edit?usp=share_link"",""อุดรธานี!J255"")+IMPORTRANGE(""https://docs.google.com/spreadsheets/d/17IOkEwkUd63EGNfyNDnM5de9YlZ7rwzTiW6-dokVjKI/edit?usp=share_link"",""อุบลราชธานี!J255"")
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 hidden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 hidden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fb2B9NLcpJgjIieIJvenUTNPn0TimZDUi0OtYeiSQ_s/edit?usp=share_link"",""กาฬสินธุ์!I257"")+IMPORTRANGE(""https://docs.google.com/spreadsheets/d/1SaMnqrwRGmFYNR0MhpWmHuL5niYUd5E7vDq8X7whAlI/edit?usp=share_li"&amp;"nk"",""ขอนแก่น!I257"")
+IMPORTRANGE(""https://docs.google.com/spreadsheets/d/1xQzEtGHhTTgxHh6YUkKY1P4dRyjVhS74dGswLfAASA4/edit?usp=share_link"",""ชัยภูมิ!I257"")+IMPORTRANGE(""https://docs.google.com/spreadsheets/d/1EXMBoBxU3OFbjT2TRpneM33qFjqDzrKmn9ydcfl"&amp;"fI0o/edit?usp=share_link"",""นครพนม!I257"")+IMPORTRANGE(""https://docs.google.com/spreadsheets/d/1bDQrolntRWtHumK8W-x-HXKntwxB9S3sF5aDeRS66Ko/edit?usp=share_link"",""นครราชสีมา!I257"")+IMPORTRANGE(""https://docs.google.com/spreadsheets/d/1_MzZ-2gVPiCW-d2V"&amp;"cafoCmFJQTSrZ6SQyFcMqRRQQ2w/edit?usp=share_link"",""บึงกาฬ!I257"")
+IMPORTRANGE(""https://docs.google.com/spreadsheets/d/1B3lPpzOuaNwVItLwLEZYl_qEblfcx7dRnbRkAw0l-pE/edit?usp=share_link"",""บุรีรัมย์!I257"")+IMPORTRANGE(""https://docs.google.com/spreadshe"&amp;"ets/d/19GOkiOqnzYbevLYWrMk4qFOXe3rX14BkSA8X-mq-a40/edit?usp=share_link"",""มหาสารคาม!I257"")+IMPORTRANGE(""https://docs.google.com/spreadsheets/d/1uMKqWwuNQ-TCKboGA3Bb1qXb5uj2-faACNUINCz8PN4/edit?usp=share_link"",""มุกดาหาร!I257"")+IMPORTRANGE(""https://d"&amp;"ocs.google.com/spreadsheets/d/1oKaccgDdQABndOzGr688Dbfxb_V3YcF67VqEPBtdzsc/edit?usp=share_link"",""ยโสธร!I257"")+IMPORTRANGE(""https://docs.google.com/spreadsheets/d/1BRgc8xKpxZ0PX-gauieMVkV_IOxKSotf0yW8MabGprQ/edit?usp=share_link"",""ร้อยเอ็ด!I257"")+IMP"&amp;"ORTRANGE(""https://docs.google.com/spreadsheets/d/1IdolZc-dfdgMwAm_KZxYJl1sUOcIgnbGQzbWOlddedo/edit?usp=share_link"",""เลย!I257"")+IMPORTRANGE(""https://docs.google.com/spreadsheets/d/1tZ0nmtGuIRCaGAMXHlQU8EpR9LOAJvyKfc4f7EFmE34/edit?usp=share_link"",""ศร"&amp;"ีสะเกษ!I257"")+IMPORTRANGE(""https://docs.google.com/spreadsheets/d/1QC8psz9w0f9IVE9Xuc2FT_btkaOzZbbUSgYObpBuetM/edit?usp=share_link"",""สกลนคร!I257"")+IMPORTRANGE(""https://docs.google.com/spreadsheets/d/1wPdvRbu02d33MYVlbsCnyTiZpefEBs9NNktAnT1HZvw/edit?"&amp;"usp=share_link"",""สุรินทร์!I257"")+IMPORTRANGE(""https://docs.google.com/spreadsheets/d/1GVExpf-Exi_2gmuqTYH28fseTB9MoKPXWcXCbSt_YrM/edit?usp=share_link"",""หนองคาย!I257"")+IMPORTRANGE(""https://docs.google.com/spreadsheets/d/16UeMz0UgOB5BZcoxP75eYGcLFtG"&amp;"YRn9GoesD4OX9m5U/edit?usp=share_link"",""หนองบัวลำภู!I257"")+IMPORTRANGE(""https://docs.google.com/spreadsheets/d/1uUP8Zo1-qaJLuIkRU0qlwLSE3DHkbdrrj2JGJiWBQZE/edit?usp=share_link"",""อำนาจเจริญ!I257"")+IMPORTRANGE(""https://docs.google.com/spreadsheets/d/"&amp;"1hb_taSOHanzRjqfzWPiFo8yiT83VV1L7vvUCLhOiHKc/edit?usp=share_link"",""อุดรธานี!I257"")+IMPORTRANGE(""https://docs.google.com/spreadsheets/d/17IOkEwkUd63EGNfyNDnM5de9YlZ7rwzTiW6-dokVjKI/edit?usp=share_link"",""อุบลราชธานี!I257"")
"),0)</f>
        <v>0</v>
      </c>
      <c r="J257" s="371">
        <f ca="1">IFERROR(__xludf.DUMMYFUNCTION("IMPORTRANGE(""https://docs.google.com/spreadsheets/d/1fb2B9NLcpJgjIieIJvenUTNPn0TimZDUi0OtYeiSQ_s/edit?usp=share_link"",""กาฬสินธุ์!J257"")+IMPORTRANGE(""https://docs.google.com/spreadsheets/d/1SaMnqrwRGmFYNR0MhpWmHuL5niYUd5E7vDq8X7whAlI/edit?usp=share_li"&amp;"nk"",""ขอนแก่น!J257"")
+IMPORTRANGE(""https://docs.google.com/spreadsheets/d/1xQzEtGHhTTgxHh6YUkKY1P4dRyjVhS74dGswLfAASA4/edit?usp=share_link"",""ชัยภูมิ!J257"")+IMPORTRANGE(""https://docs.google.com/spreadsheets/d/1EXMBoBxU3OFbjT2TRpneM33qFjqDzrKmn9ydcfl"&amp;"fI0o/edit?usp=share_link"",""นครพนม!J257"")+IMPORTRANGE(""https://docs.google.com/spreadsheets/d/1bDQrolntRWtHumK8W-x-HXKntwxB9S3sF5aDeRS66Ko/edit?usp=share_link"",""นครราชสีมา!J257"")+IMPORTRANGE(""https://docs.google.com/spreadsheets/d/1_MzZ-2gVPiCW-d2V"&amp;"cafoCmFJQTSrZ6SQyFcMqRRQQ2w/edit?usp=share_link"",""บึงกาฬ!J257"")
+IMPORTRANGE(""https://docs.google.com/spreadsheets/d/1B3lPpzOuaNwVItLwLEZYl_qEblfcx7dRnbRkAw0l-pE/edit?usp=share_link"",""บุรีรัมย์!J257"")+IMPORTRANGE(""https://docs.google.com/spreadshe"&amp;"ets/d/19GOkiOqnzYbevLYWrMk4qFOXe3rX14BkSA8X-mq-a40/edit?usp=share_link"",""มหาสารคาม!J257"")+IMPORTRANGE(""https://docs.google.com/spreadsheets/d/1uMKqWwuNQ-TCKboGA3Bb1qXb5uj2-faACNUINCz8PN4/edit?usp=share_link"",""มุกดาหาร!J257"")+IMPORTRANGE(""https://d"&amp;"ocs.google.com/spreadsheets/d/1oKaccgDdQABndOzGr688Dbfxb_V3YcF67VqEPBtdzsc/edit?usp=share_link"",""ยโสธร!J257"")+IMPORTRANGE(""https://docs.google.com/spreadsheets/d/1BRgc8xKpxZ0PX-gauieMVkV_IOxKSotf0yW8MabGprQ/edit?usp=share_link"",""ร้อยเอ็ด!J257"")+IMP"&amp;"ORTRANGE(""https://docs.google.com/spreadsheets/d/1IdolZc-dfdgMwAm_KZxYJl1sUOcIgnbGQzbWOlddedo/edit?usp=share_link"",""เลย!J257"")+IMPORTRANGE(""https://docs.google.com/spreadsheets/d/1tZ0nmtGuIRCaGAMXHlQU8EpR9LOAJvyKfc4f7EFmE34/edit?usp=share_link"",""ศร"&amp;"ีสะเกษ!J257"")+IMPORTRANGE(""https://docs.google.com/spreadsheets/d/1QC8psz9w0f9IVE9Xuc2FT_btkaOzZbbUSgYObpBuetM/edit?usp=share_link"",""สกลนคร!J257"")+IMPORTRANGE(""https://docs.google.com/spreadsheets/d/1wPdvRbu02d33MYVlbsCnyTiZpefEBs9NNktAnT1HZvw/edit?"&amp;"usp=share_link"",""สุรินทร์!J257"")+IMPORTRANGE(""https://docs.google.com/spreadsheets/d/1GVExpf-Exi_2gmuqTYH28fseTB9MoKPXWcXCbSt_YrM/edit?usp=share_link"",""หนองคาย!J257"")+IMPORTRANGE(""https://docs.google.com/spreadsheets/d/16UeMz0UgOB5BZcoxP75eYGcLFtG"&amp;"YRn9GoesD4OX9m5U/edit?usp=share_link"",""หนองบัวลำภู!J257"")+IMPORTRANGE(""https://docs.google.com/spreadsheets/d/1uUP8Zo1-qaJLuIkRU0qlwLSE3DHkbdrrj2JGJiWBQZE/edit?usp=share_link"",""อำนาจเจริญ!J257"")+IMPORTRANGE(""https://docs.google.com/spreadsheets/d/"&amp;"1hb_taSOHanzRjqfzWPiFo8yiT83VV1L7vvUCLhOiHKc/edit?usp=share_link"",""อุดรธานี!J257"")+IMPORTRANGE(""https://docs.google.com/spreadsheets/d/17IOkEwkUd63EGNfyNDnM5de9YlZ7rwzTiW6-dokVjKI/edit?usp=share_link"",""อุบลราชธานี!J257"")
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 hidden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fb2B9NLcpJgjIieIJvenUTNPn0TimZDUi0OtYeiSQ_s/edit?usp=share_link"",""กาฬสินธุ์!I258"")+IMPORTRANGE(""https://docs.google.com/spreadsheets/d/1SaMnqrwRGmFYNR0MhpWmHuL5niYUd5E7vDq8X7whAlI/edit?usp=share_li"&amp;"nk"",""ขอนแก่น!I258"")
+IMPORTRANGE(""https://docs.google.com/spreadsheets/d/1xQzEtGHhTTgxHh6YUkKY1P4dRyjVhS74dGswLfAASA4/edit?usp=share_link"",""ชัยภูมิ!I258"")+IMPORTRANGE(""https://docs.google.com/spreadsheets/d/1EXMBoBxU3OFbjT2TRpneM33qFjqDzrKmn9ydcfl"&amp;"fI0o/edit?usp=share_link"",""นครพนม!I258"")+IMPORTRANGE(""https://docs.google.com/spreadsheets/d/1bDQrolntRWtHumK8W-x-HXKntwxB9S3sF5aDeRS66Ko/edit?usp=share_link"",""นครราชสีมา!I258"")+IMPORTRANGE(""https://docs.google.com/spreadsheets/d/1_MzZ-2gVPiCW-d2V"&amp;"cafoCmFJQTSrZ6SQyFcMqRRQQ2w/edit?usp=share_link"",""บึงกาฬ!I258"")
+IMPORTRANGE(""https://docs.google.com/spreadsheets/d/1B3lPpzOuaNwVItLwLEZYl_qEblfcx7dRnbRkAw0l-pE/edit?usp=share_link"",""บุรีรัมย์!I258"")+IMPORTRANGE(""https://docs.google.com/spreadshe"&amp;"ets/d/19GOkiOqnzYbevLYWrMk4qFOXe3rX14BkSA8X-mq-a40/edit?usp=share_link"",""มหาสารคาม!I258"")+IMPORTRANGE(""https://docs.google.com/spreadsheets/d/1uMKqWwuNQ-TCKboGA3Bb1qXb5uj2-faACNUINCz8PN4/edit?usp=share_link"",""มุกดาหาร!I258"")+IMPORTRANGE(""https://d"&amp;"ocs.google.com/spreadsheets/d/1oKaccgDdQABndOzGr688Dbfxb_V3YcF67VqEPBtdzsc/edit?usp=share_link"",""ยโสธร!I258"")+IMPORTRANGE(""https://docs.google.com/spreadsheets/d/1BRgc8xKpxZ0PX-gauieMVkV_IOxKSotf0yW8MabGprQ/edit?usp=share_link"",""ร้อยเอ็ด!I258"")+IMP"&amp;"ORTRANGE(""https://docs.google.com/spreadsheets/d/1IdolZc-dfdgMwAm_KZxYJl1sUOcIgnbGQzbWOlddedo/edit?usp=share_link"",""เลย!I258"")+IMPORTRANGE(""https://docs.google.com/spreadsheets/d/1tZ0nmtGuIRCaGAMXHlQU8EpR9LOAJvyKfc4f7EFmE34/edit?usp=share_link"",""ศร"&amp;"ีสะเกษ!I258"")+IMPORTRANGE(""https://docs.google.com/spreadsheets/d/1QC8psz9w0f9IVE9Xuc2FT_btkaOzZbbUSgYObpBuetM/edit?usp=share_link"",""สกลนคร!I258"")+IMPORTRANGE(""https://docs.google.com/spreadsheets/d/1wPdvRbu02d33MYVlbsCnyTiZpefEBs9NNktAnT1HZvw/edit?"&amp;"usp=share_link"",""สุรินทร์!I258"")+IMPORTRANGE(""https://docs.google.com/spreadsheets/d/1GVExpf-Exi_2gmuqTYH28fseTB9MoKPXWcXCbSt_YrM/edit?usp=share_link"",""หนองคาย!I258"")+IMPORTRANGE(""https://docs.google.com/spreadsheets/d/16UeMz0UgOB5BZcoxP75eYGcLFtG"&amp;"YRn9GoesD4OX9m5U/edit?usp=share_link"",""หนองบัวลำภู!I258"")+IMPORTRANGE(""https://docs.google.com/spreadsheets/d/1uUP8Zo1-qaJLuIkRU0qlwLSE3DHkbdrrj2JGJiWBQZE/edit?usp=share_link"",""อำนาจเจริญ!I258"")+IMPORTRANGE(""https://docs.google.com/spreadsheets/d/"&amp;"1hb_taSOHanzRjqfzWPiFo8yiT83VV1L7vvUCLhOiHKc/edit?usp=share_link"",""อุดรธานี!I258"")+IMPORTRANGE(""https://docs.google.com/spreadsheets/d/17IOkEwkUd63EGNfyNDnM5de9YlZ7rwzTiW6-dokVjKI/edit?usp=share_link"",""อุบลราชธานี!I258"")
"),0)</f>
        <v>0</v>
      </c>
      <c r="J258" s="371">
        <f ca="1">IFERROR(__xludf.DUMMYFUNCTION("IMPORTRANGE(""https://docs.google.com/spreadsheets/d/1fb2B9NLcpJgjIieIJvenUTNPn0TimZDUi0OtYeiSQ_s/edit?usp=share_link"",""กาฬสินธุ์!J258"")+IMPORTRANGE(""https://docs.google.com/spreadsheets/d/1SaMnqrwRGmFYNR0MhpWmHuL5niYUd5E7vDq8X7whAlI/edit?usp=share_li"&amp;"nk"",""ขอนแก่น!J258"")
+IMPORTRANGE(""https://docs.google.com/spreadsheets/d/1xQzEtGHhTTgxHh6YUkKY1P4dRyjVhS74dGswLfAASA4/edit?usp=share_link"",""ชัยภูมิ!J258"")+IMPORTRANGE(""https://docs.google.com/spreadsheets/d/1EXMBoBxU3OFbjT2TRpneM33qFjqDzrKmn9ydcfl"&amp;"fI0o/edit?usp=share_link"",""นครพนม!J258"")+IMPORTRANGE(""https://docs.google.com/spreadsheets/d/1bDQrolntRWtHumK8W-x-HXKntwxB9S3sF5aDeRS66Ko/edit?usp=share_link"",""นครราชสีมา!J258"")+IMPORTRANGE(""https://docs.google.com/spreadsheets/d/1_MzZ-2gVPiCW-d2V"&amp;"cafoCmFJQTSrZ6SQyFcMqRRQQ2w/edit?usp=share_link"",""บึงกาฬ!J258"")
+IMPORTRANGE(""https://docs.google.com/spreadsheets/d/1B3lPpzOuaNwVItLwLEZYl_qEblfcx7dRnbRkAw0l-pE/edit?usp=share_link"",""บุรีรัมย์!J258"")+IMPORTRANGE(""https://docs.google.com/spreadshe"&amp;"ets/d/19GOkiOqnzYbevLYWrMk4qFOXe3rX14BkSA8X-mq-a40/edit?usp=share_link"",""มหาสารคาม!J258"")+IMPORTRANGE(""https://docs.google.com/spreadsheets/d/1uMKqWwuNQ-TCKboGA3Bb1qXb5uj2-faACNUINCz8PN4/edit?usp=share_link"",""มุกดาหาร!J258"")+IMPORTRANGE(""https://d"&amp;"ocs.google.com/spreadsheets/d/1oKaccgDdQABndOzGr688Dbfxb_V3YcF67VqEPBtdzsc/edit?usp=share_link"",""ยโสธร!J258"")+IMPORTRANGE(""https://docs.google.com/spreadsheets/d/1BRgc8xKpxZ0PX-gauieMVkV_IOxKSotf0yW8MabGprQ/edit?usp=share_link"",""ร้อยเอ็ด!J258"")+IMP"&amp;"ORTRANGE(""https://docs.google.com/spreadsheets/d/1IdolZc-dfdgMwAm_KZxYJl1sUOcIgnbGQzbWOlddedo/edit?usp=share_link"",""เลย!J258"")+IMPORTRANGE(""https://docs.google.com/spreadsheets/d/1tZ0nmtGuIRCaGAMXHlQU8EpR9LOAJvyKfc4f7EFmE34/edit?usp=share_link"",""ศร"&amp;"ีสะเกษ!J258"")+IMPORTRANGE(""https://docs.google.com/spreadsheets/d/1QC8psz9w0f9IVE9Xuc2FT_btkaOzZbbUSgYObpBuetM/edit?usp=share_link"",""สกลนคร!J258"")+IMPORTRANGE(""https://docs.google.com/spreadsheets/d/1wPdvRbu02d33MYVlbsCnyTiZpefEBs9NNktAnT1HZvw/edit?"&amp;"usp=share_link"",""สุรินทร์!J258"")+IMPORTRANGE(""https://docs.google.com/spreadsheets/d/1GVExpf-Exi_2gmuqTYH28fseTB9MoKPXWcXCbSt_YrM/edit?usp=share_link"",""หนองคาย!J258"")+IMPORTRANGE(""https://docs.google.com/spreadsheets/d/16UeMz0UgOB5BZcoxP75eYGcLFtG"&amp;"YRn9GoesD4OX9m5U/edit?usp=share_link"",""หนองบัวลำภู!J258"")+IMPORTRANGE(""https://docs.google.com/spreadsheets/d/1uUP8Zo1-qaJLuIkRU0qlwLSE3DHkbdrrj2JGJiWBQZE/edit?usp=share_link"",""อำนาจเจริญ!J258"")+IMPORTRANGE(""https://docs.google.com/spreadsheets/d/"&amp;"1hb_taSOHanzRjqfzWPiFo8yiT83VV1L7vvUCLhOiHKc/edit?usp=share_link"",""อุดรธานี!J258"")+IMPORTRANGE(""https://docs.google.com/spreadsheets/d/17IOkEwkUd63EGNfyNDnM5de9YlZ7rwzTiW6-dokVjKI/edit?usp=share_link"",""อุบลราชธานี!J258"")
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462</v>
      </c>
      <c r="J260" s="253">
        <f t="shared" ca="1" si="136"/>
        <v>462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844900</v>
      </c>
      <c r="M261" s="155">
        <f t="shared" ca="1" si="137"/>
        <v>844900</v>
      </c>
      <c r="N261" s="155">
        <f t="shared" ca="1" si="137"/>
        <v>844900</v>
      </c>
      <c r="O261" s="155">
        <f t="shared" ref="O261:O269" ca="1" si="138">IF(L261&gt;0,N261*100/L261,0)</f>
        <v>100</v>
      </c>
      <c r="P261" s="155">
        <f t="shared" ref="P261:P269" ca="1" si="139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844900</v>
      </c>
      <c r="M263" s="45">
        <f t="shared" ca="1" si="141"/>
        <v>844900</v>
      </c>
      <c r="N263" s="45">
        <f t="shared" ca="1" si="141"/>
        <v>844900</v>
      </c>
      <c r="O263" s="45">
        <f t="shared" ca="1" si="138"/>
        <v>100</v>
      </c>
      <c r="P263" s="45">
        <f t="shared" ca="1" si="139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844900</v>
      </c>
      <c r="M264" s="38">
        <f t="shared" ca="1" si="142"/>
        <v>844900</v>
      </c>
      <c r="N264" s="38">
        <f t="shared" ca="1" si="142"/>
        <v>844900</v>
      </c>
      <c r="O264" s="38">
        <f t="shared" ca="1" si="138"/>
        <v>100</v>
      </c>
      <c r="P264" s="38">
        <f t="shared" ca="1" si="139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fb2B9NLcpJgjIieIJvenUTNPn0TimZDUi0OtYeiSQ_s/edit?usp=share_link"",""กาฬสินธุ์!L266"")+IMPORTRANGE(""https://docs.google.com/spreadsheets/d/1SaMnqrwRGmFYNR0MhpWmHuL5niYUd5E7vDq8X7whAlI/edit?usp=share_li"&amp;"nk"",""ขอนแก่น!L266"")
+IMPORTRANGE(""https://docs.google.com/spreadsheets/d/1xQzEtGHhTTgxHh6YUkKY1P4dRyjVhS74dGswLfAASA4/edit?usp=share_link"",""ชัยภูมิ!L266"")+IMPORTRANGE(""https://docs.google.com/spreadsheets/d/1EXMBoBxU3OFbjT2TRpneM33qFjqDzrKmn9ydcfl"&amp;"fI0o/edit?usp=share_link"",""นครพนม!L266"")+IMPORTRANGE(""https://docs.google.com/spreadsheets/d/1bDQrolntRWtHumK8W-x-HXKntwxB9S3sF5aDeRS66Ko/edit?usp=share_link"",""นครราชสีมา!L266"")+IMPORTRANGE(""https://docs.google.com/spreadsheets/d/1_MzZ-2gVPiCW-d2V"&amp;"cafoCmFJQTSrZ6SQyFcMqRRQQ2w/edit?usp=share_link"",""บึงกาฬ!L266"")
+IMPORTRANGE(""https://docs.google.com/spreadsheets/d/1B3lPpzOuaNwVItLwLEZYl_qEblfcx7dRnbRkAw0l-pE/edit?usp=share_link"",""บุรีรัมย์!L266"")+IMPORTRANGE(""https://docs.google.com/spreadshe"&amp;"ets/d/19GOkiOqnzYbevLYWrMk4qFOXe3rX14BkSA8X-mq-a40/edit?usp=share_link"",""มหาสารคาม!L266"")+IMPORTRANGE(""https://docs.google.com/spreadsheets/d/1uMKqWwuNQ-TCKboGA3Bb1qXb5uj2-faACNUINCz8PN4/edit?usp=share_link"",""มุกดาหาร!L266"")+IMPORTRANGE(""https://d"&amp;"ocs.google.com/spreadsheets/d/1oKaccgDdQABndOzGr688Dbfxb_V3YcF67VqEPBtdzsc/edit?usp=share_link"",""ยโสธร!L266"")+IMPORTRANGE(""https://docs.google.com/spreadsheets/d/1BRgc8xKpxZ0PX-gauieMVkV_IOxKSotf0yW8MabGprQ/edit?usp=share_link"",""ร้อยเอ็ด!L266"")+IMP"&amp;"ORTRANGE(""https://docs.google.com/spreadsheets/d/1IdolZc-dfdgMwAm_KZxYJl1sUOcIgnbGQzbWOlddedo/edit?usp=share_link"",""เลย!L266"")+IMPORTRANGE(""https://docs.google.com/spreadsheets/d/1tZ0nmtGuIRCaGAMXHlQU8EpR9LOAJvyKfc4f7EFmE34/edit?usp=share_link"",""ศร"&amp;"ีสะเกษ!L266"")+IMPORTRANGE(""https://docs.google.com/spreadsheets/d/1QC8psz9w0f9IVE9Xuc2FT_btkaOzZbbUSgYObpBuetM/edit?usp=share_link"",""สกลนคร!L266"")+IMPORTRANGE(""https://docs.google.com/spreadsheets/d/1wPdvRbu02d33MYVlbsCnyTiZpefEBs9NNktAnT1HZvw/edit?"&amp;"usp=share_link"",""สุรินทร์!L266"")+IMPORTRANGE(""https://docs.google.com/spreadsheets/d/1GVExpf-Exi_2gmuqTYH28fseTB9MoKPXWcXCbSt_YrM/edit?usp=share_link"",""หนองคาย!L266"")+IMPORTRANGE(""https://docs.google.com/spreadsheets/d/16UeMz0UgOB5BZcoxP75eYGcLFtG"&amp;"YRn9GoesD4OX9m5U/edit?usp=share_link"",""หนองบัวลำภู!L266"")+IMPORTRANGE(""https://docs.google.com/spreadsheets/d/1uUP8Zo1-qaJLuIkRU0qlwLSE3DHkbdrrj2JGJiWBQZE/edit?usp=share_link"",""อำนาจเจริญ!L266"")+IMPORTRANGE(""https://docs.google.com/spreadsheets/d/"&amp;"1hb_taSOHanzRjqfzWPiFo8yiT83VV1L7vvUCLhOiHKc/edit?usp=share_link"",""อุดรธานี!L266"")+IMPORTRANGE(""https://docs.google.com/spreadsheets/d/17IOkEwkUd63EGNfyNDnM5de9YlZ7rwzTiW6-dokVjKI/edit?usp=share_link"",""อุบลราชธานี!L266"")
"),844900)</f>
        <v>844900</v>
      </c>
      <c r="M266" s="45">
        <f ca="1">IFERROR(__xludf.DUMMYFUNCTION("IMPORTRANGE(""https://docs.google.com/spreadsheets/d/1fb2B9NLcpJgjIieIJvenUTNPn0TimZDUi0OtYeiSQ_s/edit?usp=share_link"",""กาฬสินธุ์!M266"")+IMPORTRANGE(""https://docs.google.com/spreadsheets/d/1SaMnqrwRGmFYNR0MhpWmHuL5niYUd5E7vDq8X7whAlI/edit?usp=share_li"&amp;"nk"",""ขอนแก่น!M266"")
+IMPORTRANGE(""https://docs.google.com/spreadsheets/d/1xQzEtGHhTTgxHh6YUkKY1P4dRyjVhS74dGswLfAASA4/edit?usp=share_link"",""ชัยภูมิ!M266"")+IMPORTRANGE(""https://docs.google.com/spreadsheets/d/1EXMBoBxU3OFbjT2TRpneM33qFjqDzrKmn9ydcfl"&amp;"fI0o/edit?usp=share_link"",""นครพนม!M266"")+IMPORTRANGE(""https://docs.google.com/spreadsheets/d/1bDQrolntRWtHumK8W-x-HXKntwxB9S3sF5aDeRS66Ko/edit?usp=share_link"",""นครราชสีมา!M266"")+IMPORTRANGE(""https://docs.google.com/spreadsheets/d/1_MzZ-2gVPiCW-d2V"&amp;"cafoCmFJQTSrZ6SQyFcMqRRQQ2w/edit?usp=share_link"",""บึงกาฬ!M266"")
+IMPORTRANGE(""https://docs.google.com/spreadsheets/d/1B3lPpzOuaNwVItLwLEZYl_qEblfcx7dRnbRkAw0l-pE/edit?usp=share_link"",""บุรีรัมย์!M266"")+IMPORTRANGE(""https://docs.google.com/spreadshe"&amp;"ets/d/19GOkiOqnzYbevLYWrMk4qFOXe3rX14BkSA8X-mq-a40/edit?usp=share_link"",""มหาสารคาม!M266"")+IMPORTRANGE(""https://docs.google.com/spreadsheets/d/1uMKqWwuNQ-TCKboGA3Bb1qXb5uj2-faACNUINCz8PN4/edit?usp=share_link"",""มุกดาหาร!M266"")+IMPORTRANGE(""https://d"&amp;"ocs.google.com/spreadsheets/d/1oKaccgDdQABndOzGr688Dbfxb_V3YcF67VqEPBtdzsc/edit?usp=share_link"",""ยโสธร!M266"")+IMPORTRANGE(""https://docs.google.com/spreadsheets/d/1BRgc8xKpxZ0PX-gauieMVkV_IOxKSotf0yW8MabGprQ/edit?usp=share_link"",""ร้อยเอ็ด!M266"")+IMP"&amp;"ORTRANGE(""https://docs.google.com/spreadsheets/d/1IdolZc-dfdgMwAm_KZxYJl1sUOcIgnbGQzbWOlddedo/edit?usp=share_link"",""เลย!M266"")+IMPORTRANGE(""https://docs.google.com/spreadsheets/d/1tZ0nmtGuIRCaGAMXHlQU8EpR9LOAJvyKfc4f7EFmE34/edit?usp=share_link"",""ศร"&amp;"ีสะเกษ!M266"")+IMPORTRANGE(""https://docs.google.com/spreadsheets/d/1QC8psz9w0f9IVE9Xuc2FT_btkaOzZbbUSgYObpBuetM/edit?usp=share_link"",""สกลนคร!M266"")+IMPORTRANGE(""https://docs.google.com/spreadsheets/d/1wPdvRbu02d33MYVlbsCnyTiZpefEBs9NNktAnT1HZvw/edit?"&amp;"usp=share_link"",""สุรินทร์!M266"")+IMPORTRANGE(""https://docs.google.com/spreadsheets/d/1GVExpf-Exi_2gmuqTYH28fseTB9MoKPXWcXCbSt_YrM/edit?usp=share_link"",""หนองคาย!M266"")+IMPORTRANGE(""https://docs.google.com/spreadsheets/d/16UeMz0UgOB5BZcoxP75eYGcLFtG"&amp;"YRn9GoesD4OX9m5U/edit?usp=share_link"",""หนองบัวลำภู!M266"")+IMPORTRANGE(""https://docs.google.com/spreadsheets/d/1uUP8Zo1-qaJLuIkRU0qlwLSE3DHkbdrrj2JGJiWBQZE/edit?usp=share_link"",""อำนาจเจริญ!M266"")+IMPORTRANGE(""https://docs.google.com/spreadsheets/d/"&amp;"1hb_taSOHanzRjqfzWPiFo8yiT83VV1L7vvUCLhOiHKc/edit?usp=share_link"",""อุดรธานี!M266"")+IMPORTRANGE(""https://docs.google.com/spreadsheets/d/17IOkEwkUd63EGNfyNDnM5de9YlZ7rwzTiW6-dokVjKI/edit?usp=share_link"",""อุบลราชธานี!M266"")
"),844900)</f>
        <v>844900</v>
      </c>
      <c r="N266" s="45">
        <f ca="1">IFERROR(__xludf.DUMMYFUNCTION("IMPORTRANGE(""https://docs.google.com/spreadsheets/d/1fb2B9NLcpJgjIieIJvenUTNPn0TimZDUi0OtYeiSQ_s/edit?usp=share_link"",""กาฬสินธุ์!N266"")+IMPORTRANGE(""https://docs.google.com/spreadsheets/d/1SaMnqrwRGmFYNR0MhpWmHuL5niYUd5E7vDq8X7whAlI/edit?usp=share_li"&amp;"nk"",""ขอนแก่น!N266"")
+IMPORTRANGE(""https://docs.google.com/spreadsheets/d/1xQzEtGHhTTgxHh6YUkKY1P4dRyjVhS74dGswLfAASA4/edit?usp=share_link"",""ชัยภูมิ!N266"")+IMPORTRANGE(""https://docs.google.com/spreadsheets/d/1EXMBoBxU3OFbjT2TRpneM33qFjqDzrKmn9ydcfl"&amp;"fI0o/edit?usp=share_link"",""นครพนม!N266"")+IMPORTRANGE(""https://docs.google.com/spreadsheets/d/1bDQrolntRWtHumK8W-x-HXKntwxB9S3sF5aDeRS66Ko/edit?usp=share_link"",""นครราชสีมา!N266"")+IMPORTRANGE(""https://docs.google.com/spreadsheets/d/1_MzZ-2gVPiCW-d2V"&amp;"cafoCmFJQTSrZ6SQyFcMqRRQQ2w/edit?usp=share_link"",""บึงกาฬ!N266"")
+IMPORTRANGE(""https://docs.google.com/spreadsheets/d/1B3lPpzOuaNwVItLwLEZYl_qEblfcx7dRnbRkAw0l-pE/edit?usp=share_link"",""บุรีรัมย์!N266"")+IMPORTRANGE(""https://docs.google.com/spreadshe"&amp;"ets/d/19GOkiOqnzYbevLYWrMk4qFOXe3rX14BkSA8X-mq-a40/edit?usp=share_link"",""มหาสารคาม!N266"")+IMPORTRANGE(""https://docs.google.com/spreadsheets/d/1uMKqWwuNQ-TCKboGA3Bb1qXb5uj2-faACNUINCz8PN4/edit?usp=share_link"",""มุกดาหาร!N266"")+IMPORTRANGE(""https://d"&amp;"ocs.google.com/spreadsheets/d/1oKaccgDdQABndOzGr688Dbfxb_V3YcF67VqEPBtdzsc/edit?usp=share_link"",""ยโสธร!N266"")+IMPORTRANGE(""https://docs.google.com/spreadsheets/d/1BRgc8xKpxZ0PX-gauieMVkV_IOxKSotf0yW8MabGprQ/edit?usp=share_link"",""ร้อยเอ็ด!N266"")+IMP"&amp;"ORTRANGE(""https://docs.google.com/spreadsheets/d/1IdolZc-dfdgMwAm_KZxYJl1sUOcIgnbGQzbWOlddedo/edit?usp=share_link"",""เลย!N266"")+IMPORTRANGE(""https://docs.google.com/spreadsheets/d/1tZ0nmtGuIRCaGAMXHlQU8EpR9LOAJvyKfc4f7EFmE34/edit?usp=share_link"",""ศร"&amp;"ีสะเกษ!N266"")+IMPORTRANGE(""https://docs.google.com/spreadsheets/d/1QC8psz9w0f9IVE9Xuc2FT_btkaOzZbbUSgYObpBuetM/edit?usp=share_link"",""สกลนคร!N266"")+IMPORTRANGE(""https://docs.google.com/spreadsheets/d/1wPdvRbu02d33MYVlbsCnyTiZpefEBs9NNktAnT1HZvw/edit?"&amp;"usp=share_link"",""สุรินทร์!N266"")+IMPORTRANGE(""https://docs.google.com/spreadsheets/d/1GVExpf-Exi_2gmuqTYH28fseTB9MoKPXWcXCbSt_YrM/edit?usp=share_link"",""หนองคาย!N266"")+IMPORTRANGE(""https://docs.google.com/spreadsheets/d/16UeMz0UgOB5BZcoxP75eYGcLFtG"&amp;"YRn9GoesD4OX9m5U/edit?usp=share_link"",""หนองบัวลำภู!N266"")+IMPORTRANGE(""https://docs.google.com/spreadsheets/d/1uUP8Zo1-qaJLuIkRU0qlwLSE3DHkbdrrj2JGJiWBQZE/edit?usp=share_link"",""อำนาจเจริญ!N266"")+IMPORTRANGE(""https://docs.google.com/spreadsheets/d/"&amp;"1hb_taSOHanzRjqfzWPiFo8yiT83VV1L7vvUCLhOiHKc/edit?usp=share_link"",""อุดรธานี!N266"")+IMPORTRANGE(""https://docs.google.com/spreadsheets/d/17IOkEwkUd63EGNfyNDnM5de9YlZ7rwzTiW6-dokVjKI/edit?usp=share_link"",""อุบลราชธานี!N266"")
"),844900)</f>
        <v>844900</v>
      </c>
      <c r="O266" s="45">
        <f t="shared" ca="1" si="138"/>
        <v>100</v>
      </c>
      <c r="P266" s="45">
        <f t="shared" ca="1" si="139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fb2B9NLcpJgjIieIJvenUTNPn0TimZDUi0OtYeiSQ_s/edit?usp=share_link"",""กาฬสินธุ์!L269"")+IMPORTRANGE(""https://docs.google.com/spreadsheets/d/1SaMnqrwRGmFYNR0MhpWmHuL5niYUd5E7vDq8X7whAlI/edit?usp=share_li"&amp;"nk"",""ขอนแก่น!L269"")
+IMPORTRANGE(""https://docs.google.com/spreadsheets/d/1xQzEtGHhTTgxHh6YUkKY1P4dRyjVhS74dGswLfAASA4/edit?usp=share_link"",""ชัยภูมิ!L269"")+IMPORTRANGE(""https://docs.google.com/spreadsheets/d/1EXMBoBxU3OFbjT2TRpneM33qFjqDzrKmn9ydcfl"&amp;"fI0o/edit?usp=share_link"",""นครพนม!L269"")+IMPORTRANGE(""https://docs.google.com/spreadsheets/d/1bDQrolntRWtHumK8W-x-HXKntwxB9S3sF5aDeRS66Ko/edit?usp=share_link"",""นครราชสีมา!L269"")+IMPORTRANGE(""https://docs.google.com/spreadsheets/d/1_MzZ-2gVPiCW-d2V"&amp;"cafoCmFJQTSrZ6SQyFcMqRRQQ2w/edit?usp=share_link"",""บึงกาฬ!L269"")
+IMPORTRANGE(""https://docs.google.com/spreadsheets/d/1B3lPpzOuaNwVItLwLEZYl_qEblfcx7dRnbRkAw0l-pE/edit?usp=share_link"",""บุรีรัมย์!L269"")+IMPORTRANGE(""https://docs.google.com/spreadshe"&amp;"ets/d/19GOkiOqnzYbevLYWrMk4qFOXe3rX14BkSA8X-mq-a40/edit?usp=share_link"",""มหาสารคาม!L269"")+IMPORTRANGE(""https://docs.google.com/spreadsheets/d/1uMKqWwuNQ-TCKboGA3Bb1qXb5uj2-faACNUINCz8PN4/edit?usp=share_link"",""มุกดาหาร!L269"")+IMPORTRANGE(""https://d"&amp;"ocs.google.com/spreadsheets/d/1oKaccgDdQABndOzGr688Dbfxb_V3YcF67VqEPBtdzsc/edit?usp=share_link"",""ยโสธร!L269"")+IMPORTRANGE(""https://docs.google.com/spreadsheets/d/1BRgc8xKpxZ0PX-gauieMVkV_IOxKSotf0yW8MabGprQ/edit?usp=share_link"",""ร้อยเอ็ด!L269"")+IMP"&amp;"ORTRANGE(""https://docs.google.com/spreadsheets/d/1IdolZc-dfdgMwAm_KZxYJl1sUOcIgnbGQzbWOlddedo/edit?usp=share_link"",""เลย!L269"")+IMPORTRANGE(""https://docs.google.com/spreadsheets/d/1tZ0nmtGuIRCaGAMXHlQU8EpR9LOAJvyKfc4f7EFmE34/edit?usp=share_link"",""ศร"&amp;"ีสะเกษ!L269"")+IMPORTRANGE(""https://docs.google.com/spreadsheets/d/1QC8psz9w0f9IVE9Xuc2FT_btkaOzZbbUSgYObpBuetM/edit?usp=share_link"",""สกลนคร!L269"")+IMPORTRANGE(""https://docs.google.com/spreadsheets/d/1wPdvRbu02d33MYVlbsCnyTiZpefEBs9NNktAnT1HZvw/edit?"&amp;"usp=share_link"",""สุรินทร์!L269"")+IMPORTRANGE(""https://docs.google.com/spreadsheets/d/1GVExpf-Exi_2gmuqTYH28fseTB9MoKPXWcXCbSt_YrM/edit?usp=share_link"",""หนองคาย!L269"")+IMPORTRANGE(""https://docs.google.com/spreadsheets/d/16UeMz0UgOB5BZcoxP75eYGcLFtG"&amp;"YRn9GoesD4OX9m5U/edit?usp=share_link"",""หนองบัวลำภู!L269"")+IMPORTRANGE(""https://docs.google.com/spreadsheets/d/1uUP8Zo1-qaJLuIkRU0qlwLSE3DHkbdrrj2JGJiWBQZE/edit?usp=share_link"",""อำนาจเจริญ!L269"")+IMPORTRANGE(""https://docs.google.com/spreadsheets/d/"&amp;"1hb_taSOHanzRjqfzWPiFo8yiT83VV1L7vvUCLhOiHKc/edit?usp=share_link"",""อุดรธานี!L269"")+IMPORTRANGE(""https://docs.google.com/spreadsheets/d/17IOkEwkUd63EGNfyNDnM5de9YlZ7rwzTiW6-dokVjKI/edit?usp=share_link"",""อุบลราชธานี!L269"")
"),0)</f>
        <v>0</v>
      </c>
      <c r="M269" s="45">
        <f ca="1">IFERROR(__xludf.DUMMYFUNCTION("IMPORTRANGE(""https://docs.google.com/spreadsheets/d/1fb2B9NLcpJgjIieIJvenUTNPn0TimZDUi0OtYeiSQ_s/edit?usp=share_link"",""กาฬสินธุ์!M269"")+IMPORTRANGE(""https://docs.google.com/spreadsheets/d/1SaMnqrwRGmFYNR0MhpWmHuL5niYUd5E7vDq8X7whAlI/edit?usp=share_li"&amp;"nk"",""ขอนแก่น!M269"")
+IMPORTRANGE(""https://docs.google.com/spreadsheets/d/1xQzEtGHhTTgxHh6YUkKY1P4dRyjVhS74dGswLfAASA4/edit?usp=share_link"",""ชัยภูมิ!M269"")+IMPORTRANGE(""https://docs.google.com/spreadsheets/d/1EXMBoBxU3OFbjT2TRpneM33qFjqDzrKmn9ydcfl"&amp;"fI0o/edit?usp=share_link"",""นครพนม!M269"")+IMPORTRANGE(""https://docs.google.com/spreadsheets/d/1bDQrolntRWtHumK8W-x-HXKntwxB9S3sF5aDeRS66Ko/edit?usp=share_link"",""นครราชสีมา!M269"")+IMPORTRANGE(""https://docs.google.com/spreadsheets/d/1_MzZ-2gVPiCW-d2V"&amp;"cafoCmFJQTSrZ6SQyFcMqRRQQ2w/edit?usp=share_link"",""บึงกาฬ!M269"")
+IMPORTRANGE(""https://docs.google.com/spreadsheets/d/1B3lPpzOuaNwVItLwLEZYl_qEblfcx7dRnbRkAw0l-pE/edit?usp=share_link"",""บุรีรัมย์!M269"")+IMPORTRANGE(""https://docs.google.com/spreadshe"&amp;"ets/d/19GOkiOqnzYbevLYWrMk4qFOXe3rX14BkSA8X-mq-a40/edit?usp=share_link"",""มหาสารคาม!M269"")+IMPORTRANGE(""https://docs.google.com/spreadsheets/d/1uMKqWwuNQ-TCKboGA3Bb1qXb5uj2-faACNUINCz8PN4/edit?usp=share_link"",""มุกดาหาร!M269"")+IMPORTRANGE(""https://d"&amp;"ocs.google.com/spreadsheets/d/1oKaccgDdQABndOzGr688Dbfxb_V3YcF67VqEPBtdzsc/edit?usp=share_link"",""ยโสธร!M269"")+IMPORTRANGE(""https://docs.google.com/spreadsheets/d/1BRgc8xKpxZ0PX-gauieMVkV_IOxKSotf0yW8MabGprQ/edit?usp=share_link"",""ร้อยเอ็ด!M269"")+IMP"&amp;"ORTRANGE(""https://docs.google.com/spreadsheets/d/1IdolZc-dfdgMwAm_KZxYJl1sUOcIgnbGQzbWOlddedo/edit?usp=share_link"",""เลย!M269"")+IMPORTRANGE(""https://docs.google.com/spreadsheets/d/1tZ0nmtGuIRCaGAMXHlQU8EpR9LOAJvyKfc4f7EFmE34/edit?usp=share_link"",""ศร"&amp;"ีสะเกษ!M269"")+IMPORTRANGE(""https://docs.google.com/spreadsheets/d/1QC8psz9w0f9IVE9Xuc2FT_btkaOzZbbUSgYObpBuetM/edit?usp=share_link"",""สกลนคร!M269"")+IMPORTRANGE(""https://docs.google.com/spreadsheets/d/1wPdvRbu02d33MYVlbsCnyTiZpefEBs9NNktAnT1HZvw/edit?"&amp;"usp=share_link"",""สุรินทร์!M269"")+IMPORTRANGE(""https://docs.google.com/spreadsheets/d/1GVExpf-Exi_2gmuqTYH28fseTB9MoKPXWcXCbSt_YrM/edit?usp=share_link"",""หนองคาย!M269"")+IMPORTRANGE(""https://docs.google.com/spreadsheets/d/16UeMz0UgOB5BZcoxP75eYGcLFtG"&amp;"YRn9GoesD4OX9m5U/edit?usp=share_link"",""หนองบัวลำภู!M269"")+IMPORTRANGE(""https://docs.google.com/spreadsheets/d/1uUP8Zo1-qaJLuIkRU0qlwLSE3DHkbdrrj2JGJiWBQZE/edit?usp=share_link"",""อำนาจเจริญ!M269"")+IMPORTRANGE(""https://docs.google.com/spreadsheets/d/"&amp;"1hb_taSOHanzRjqfzWPiFo8yiT83VV1L7vvUCLhOiHKc/edit?usp=share_link"",""อุดรธานี!M269"")+IMPORTRANGE(""https://docs.google.com/spreadsheets/d/17IOkEwkUd63EGNfyNDnM5de9YlZ7rwzTiW6-dokVjKI/edit?usp=share_link"",""อุบลราชธานี!M269"")
"),0)</f>
        <v>0</v>
      </c>
      <c r="N269" s="45">
        <f ca="1">IFERROR(__xludf.DUMMYFUNCTION("IMPORTRANGE(""https://docs.google.com/spreadsheets/d/1fb2B9NLcpJgjIieIJvenUTNPn0TimZDUi0OtYeiSQ_s/edit?usp=share_link"",""กาฬสินธุ์!N269"")+IMPORTRANGE(""https://docs.google.com/spreadsheets/d/1SaMnqrwRGmFYNR0MhpWmHuL5niYUd5E7vDq8X7whAlI/edit?usp=share_li"&amp;"nk"",""ขอนแก่น!N269"")
+IMPORTRANGE(""https://docs.google.com/spreadsheets/d/1xQzEtGHhTTgxHh6YUkKY1P4dRyjVhS74dGswLfAASA4/edit?usp=share_link"",""ชัยภูมิ!N269"")+IMPORTRANGE(""https://docs.google.com/spreadsheets/d/1EXMBoBxU3OFbjT2TRpneM33qFjqDzrKmn9ydcfl"&amp;"fI0o/edit?usp=share_link"",""นครพนม!N269"")+IMPORTRANGE(""https://docs.google.com/spreadsheets/d/1bDQrolntRWtHumK8W-x-HXKntwxB9S3sF5aDeRS66Ko/edit?usp=share_link"",""นครราชสีมา!N269"")+IMPORTRANGE(""https://docs.google.com/spreadsheets/d/1_MzZ-2gVPiCW-d2V"&amp;"cafoCmFJQTSrZ6SQyFcMqRRQQ2w/edit?usp=share_link"",""บึงกาฬ!N269"")
+IMPORTRANGE(""https://docs.google.com/spreadsheets/d/1B3lPpzOuaNwVItLwLEZYl_qEblfcx7dRnbRkAw0l-pE/edit?usp=share_link"",""บุรีรัมย์!N269"")+IMPORTRANGE(""https://docs.google.com/spreadshe"&amp;"ets/d/19GOkiOqnzYbevLYWrMk4qFOXe3rX14BkSA8X-mq-a40/edit?usp=share_link"",""มหาสารคาม!N269"")+IMPORTRANGE(""https://docs.google.com/spreadsheets/d/1uMKqWwuNQ-TCKboGA3Bb1qXb5uj2-faACNUINCz8PN4/edit?usp=share_link"",""มุกดาหาร!N269"")+IMPORTRANGE(""https://d"&amp;"ocs.google.com/spreadsheets/d/1oKaccgDdQABndOzGr688Dbfxb_V3YcF67VqEPBtdzsc/edit?usp=share_link"",""ยโสธร!N269"")+IMPORTRANGE(""https://docs.google.com/spreadsheets/d/1BRgc8xKpxZ0PX-gauieMVkV_IOxKSotf0yW8MabGprQ/edit?usp=share_link"",""ร้อยเอ็ด!N269"")+IMP"&amp;"ORTRANGE(""https://docs.google.com/spreadsheets/d/1IdolZc-dfdgMwAm_KZxYJl1sUOcIgnbGQzbWOlddedo/edit?usp=share_link"",""เลย!N269"")+IMPORTRANGE(""https://docs.google.com/spreadsheets/d/1tZ0nmtGuIRCaGAMXHlQU8EpR9LOAJvyKfc4f7EFmE34/edit?usp=share_link"",""ศร"&amp;"ีสะเกษ!N269"")+IMPORTRANGE(""https://docs.google.com/spreadsheets/d/1QC8psz9w0f9IVE9Xuc2FT_btkaOzZbbUSgYObpBuetM/edit?usp=share_link"",""สกลนคร!N269"")+IMPORTRANGE(""https://docs.google.com/spreadsheets/d/1wPdvRbu02d33MYVlbsCnyTiZpefEBs9NNktAnT1HZvw/edit?"&amp;"usp=share_link"",""สุรินทร์!N269"")+IMPORTRANGE(""https://docs.google.com/spreadsheets/d/1GVExpf-Exi_2gmuqTYH28fseTB9MoKPXWcXCbSt_YrM/edit?usp=share_link"",""หนองคาย!N269"")+IMPORTRANGE(""https://docs.google.com/spreadsheets/d/16UeMz0UgOB5BZcoxP75eYGcLFtG"&amp;"YRn9GoesD4OX9m5U/edit?usp=share_link"",""หนองบัวลำภู!N269"")+IMPORTRANGE(""https://docs.google.com/spreadsheets/d/1uUP8Zo1-qaJLuIkRU0qlwLSE3DHkbdrrj2JGJiWBQZE/edit?usp=share_link"",""อำนาจเจริญ!N269"")+IMPORTRANGE(""https://docs.google.com/spreadsheets/d/"&amp;"1hb_taSOHanzRjqfzWPiFo8yiT83VV1L7vvUCLhOiHKc/edit?usp=share_link"",""อุดรธานี!N269"")+IMPORTRANGE(""https://docs.google.com/spreadsheets/d/17IOkEwkUd63EGNfyNDnM5de9YlZ7rwzTiW6-dokVjKI/edit?usp=share_link"",""อุบลราชธานี!N269"")
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fb2B9NLcpJgjIieIJvenUTNPn0TimZDUi0OtYeiSQ_s/edit?usp=share_link"",""กาฬสินธุ์!I271"")+IMPORTRANGE(""https://docs.google.com/spreadsheets/d/1SaMnqrwRGmFYNR0MhpWmHuL5niYUd5E7vDq8X7whAlI/edit?usp=share_li"&amp;"nk"",""ขอนแก่น!I271"")
+IMPORTRANGE(""https://docs.google.com/spreadsheets/d/1xQzEtGHhTTgxHh6YUkKY1P4dRyjVhS74dGswLfAASA4/edit?usp=share_link"",""ชัยภูมิ!I271"")+IMPORTRANGE(""https://docs.google.com/spreadsheets/d/1EXMBoBxU3OFbjT2TRpneM33qFjqDzrKmn9ydcfl"&amp;"fI0o/edit?usp=share_link"",""นครพนม!I271"")+IMPORTRANGE(""https://docs.google.com/spreadsheets/d/1bDQrolntRWtHumK8W-x-HXKntwxB9S3sF5aDeRS66Ko/edit?usp=share_link"",""นครราชสีมา!I271"")+IMPORTRANGE(""https://docs.google.com/spreadsheets/d/1_MzZ-2gVPiCW-d2V"&amp;"cafoCmFJQTSrZ6SQyFcMqRRQQ2w/edit?usp=share_link"",""บึงกาฬ!I271"")
+IMPORTRANGE(""https://docs.google.com/spreadsheets/d/1B3lPpzOuaNwVItLwLEZYl_qEblfcx7dRnbRkAw0l-pE/edit?usp=share_link"",""บุรีรัมย์!I271"")+IMPORTRANGE(""https://docs.google.com/spreadshe"&amp;"ets/d/19GOkiOqnzYbevLYWrMk4qFOXe3rX14BkSA8X-mq-a40/edit?usp=share_link"",""มหาสารคาม!I271"")+IMPORTRANGE(""https://docs.google.com/spreadsheets/d/1uMKqWwuNQ-TCKboGA3Bb1qXb5uj2-faACNUINCz8PN4/edit?usp=share_link"",""มุกดาหาร!I271"")+IMPORTRANGE(""https://d"&amp;"ocs.google.com/spreadsheets/d/1oKaccgDdQABndOzGr688Dbfxb_V3YcF67VqEPBtdzsc/edit?usp=share_link"",""ยโสธร!I271"")+IMPORTRANGE(""https://docs.google.com/spreadsheets/d/1BRgc8xKpxZ0PX-gauieMVkV_IOxKSotf0yW8MabGprQ/edit?usp=share_link"",""ร้อยเอ็ด!I271"")+IMP"&amp;"ORTRANGE(""https://docs.google.com/spreadsheets/d/1IdolZc-dfdgMwAm_KZxYJl1sUOcIgnbGQzbWOlddedo/edit?usp=share_link"",""เลย!I271"")+IMPORTRANGE(""https://docs.google.com/spreadsheets/d/1tZ0nmtGuIRCaGAMXHlQU8EpR9LOAJvyKfc4f7EFmE34/edit?usp=share_link"",""ศร"&amp;"ีสะเกษ!I271"")+IMPORTRANGE(""https://docs.google.com/spreadsheets/d/1QC8psz9w0f9IVE9Xuc2FT_btkaOzZbbUSgYObpBuetM/edit?usp=share_link"",""สกลนคร!I271"")+IMPORTRANGE(""https://docs.google.com/spreadsheets/d/1wPdvRbu02d33MYVlbsCnyTiZpefEBs9NNktAnT1HZvw/edit?"&amp;"usp=share_link"",""สุรินทร์!I271"")+IMPORTRANGE(""https://docs.google.com/spreadsheets/d/1GVExpf-Exi_2gmuqTYH28fseTB9MoKPXWcXCbSt_YrM/edit?usp=share_link"",""หนองคาย!I271"")+IMPORTRANGE(""https://docs.google.com/spreadsheets/d/16UeMz0UgOB5BZcoxP75eYGcLFtG"&amp;"YRn9GoesD4OX9m5U/edit?usp=share_link"",""หนองบัวลำภู!I271"")+IMPORTRANGE(""https://docs.google.com/spreadsheets/d/1uUP8Zo1-qaJLuIkRU0qlwLSE3DHkbdrrj2JGJiWBQZE/edit?usp=share_link"",""อำนาจเจริญ!I271"")+IMPORTRANGE(""https://docs.google.com/spreadsheets/d/"&amp;"1hb_taSOHanzRjqfzWPiFo8yiT83VV1L7vvUCLhOiHKc/edit?usp=share_link"",""อุดรธานี!I271"")+IMPORTRANGE(""https://docs.google.com/spreadsheets/d/17IOkEwkUd63EGNfyNDnM5de9YlZ7rwzTiW6-dokVjKI/edit?usp=share_link"",""อุบลราชธานี!I271"")
"),462)</f>
        <v>462</v>
      </c>
      <c r="J271" s="183">
        <f ca="1">IFERROR(__xludf.DUMMYFUNCTION("IMPORTRANGE(""https://docs.google.com/spreadsheets/d/1fb2B9NLcpJgjIieIJvenUTNPn0TimZDUi0OtYeiSQ_s/edit?usp=share_link"",""กาฬสินธุ์!J271"")+IMPORTRANGE(""https://docs.google.com/spreadsheets/d/1SaMnqrwRGmFYNR0MhpWmHuL5niYUd5E7vDq8X7whAlI/edit?usp=share_li"&amp;"nk"",""ขอนแก่น!J271"")
+IMPORTRANGE(""https://docs.google.com/spreadsheets/d/1xQzEtGHhTTgxHh6YUkKY1P4dRyjVhS74dGswLfAASA4/edit?usp=share_link"",""ชัยภูมิ!J271"")+IMPORTRANGE(""https://docs.google.com/spreadsheets/d/1EXMBoBxU3OFbjT2TRpneM33qFjqDzrKmn9ydcfl"&amp;"fI0o/edit?usp=share_link"",""นครพนม!J271"")+IMPORTRANGE(""https://docs.google.com/spreadsheets/d/1bDQrolntRWtHumK8W-x-HXKntwxB9S3sF5aDeRS66Ko/edit?usp=share_link"",""นครราชสีมา!J271"")+IMPORTRANGE(""https://docs.google.com/spreadsheets/d/1_MzZ-2gVPiCW-d2V"&amp;"cafoCmFJQTSrZ6SQyFcMqRRQQ2w/edit?usp=share_link"",""บึงกาฬ!J271"")
+IMPORTRANGE(""https://docs.google.com/spreadsheets/d/1B3lPpzOuaNwVItLwLEZYl_qEblfcx7dRnbRkAw0l-pE/edit?usp=share_link"",""บุรีรัมย์!J271"")+IMPORTRANGE(""https://docs.google.com/spreadshe"&amp;"ets/d/19GOkiOqnzYbevLYWrMk4qFOXe3rX14BkSA8X-mq-a40/edit?usp=share_link"",""มหาสารคาม!J271"")+IMPORTRANGE(""https://docs.google.com/spreadsheets/d/1uMKqWwuNQ-TCKboGA3Bb1qXb5uj2-faACNUINCz8PN4/edit?usp=share_link"",""มุกดาหาร!J271"")+IMPORTRANGE(""https://d"&amp;"ocs.google.com/spreadsheets/d/1oKaccgDdQABndOzGr688Dbfxb_V3YcF67VqEPBtdzsc/edit?usp=share_link"",""ยโสธร!J271"")+IMPORTRANGE(""https://docs.google.com/spreadsheets/d/1BRgc8xKpxZ0PX-gauieMVkV_IOxKSotf0yW8MabGprQ/edit?usp=share_link"",""ร้อยเอ็ด!J271"")+IMP"&amp;"ORTRANGE(""https://docs.google.com/spreadsheets/d/1IdolZc-dfdgMwAm_KZxYJl1sUOcIgnbGQzbWOlddedo/edit?usp=share_link"",""เลย!J271"")+IMPORTRANGE(""https://docs.google.com/spreadsheets/d/1tZ0nmtGuIRCaGAMXHlQU8EpR9LOAJvyKfc4f7EFmE34/edit?usp=share_link"",""ศร"&amp;"ีสะเกษ!J271"")+IMPORTRANGE(""https://docs.google.com/spreadsheets/d/1QC8psz9w0f9IVE9Xuc2FT_btkaOzZbbUSgYObpBuetM/edit?usp=share_link"",""สกลนคร!J271"")+IMPORTRANGE(""https://docs.google.com/spreadsheets/d/1wPdvRbu02d33MYVlbsCnyTiZpefEBs9NNktAnT1HZvw/edit?"&amp;"usp=share_link"",""สุรินทร์!J271"")+IMPORTRANGE(""https://docs.google.com/spreadsheets/d/1GVExpf-Exi_2gmuqTYH28fseTB9MoKPXWcXCbSt_YrM/edit?usp=share_link"",""หนองคาย!J271"")+IMPORTRANGE(""https://docs.google.com/spreadsheets/d/16UeMz0UgOB5BZcoxP75eYGcLFtG"&amp;"YRn9GoesD4OX9m5U/edit?usp=share_link"",""หนองบัวลำภู!J271"")+IMPORTRANGE(""https://docs.google.com/spreadsheets/d/1uUP8Zo1-qaJLuIkRU0qlwLSE3DHkbdrrj2JGJiWBQZE/edit?usp=share_link"",""อำนาจเจริญ!J271"")+IMPORTRANGE(""https://docs.google.com/spreadsheets/d/"&amp;"1hb_taSOHanzRjqfzWPiFo8yiT83VV1L7vvUCLhOiHKc/edit?usp=share_link"",""อุดรธานี!J271"")+IMPORTRANGE(""https://docs.google.com/spreadsheets/d/17IOkEwkUd63EGNfyNDnM5de9YlZ7rwzTiW6-dokVjKI/edit?usp=share_link"",""อุบลราชธานี!J271"")
"),462)</f>
        <v>462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435</v>
      </c>
      <c r="J275" s="406">
        <f t="shared" ca="1" si="144"/>
        <v>435</v>
      </c>
      <c r="K275" s="407">
        <f t="shared" ref="K275:K276" ca="1" si="145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6">I287</f>
        <v>4350</v>
      </c>
      <c r="J276" s="406">
        <f t="shared" ca="1" si="146"/>
        <v>4350</v>
      </c>
      <c r="K276" s="407">
        <f t="shared" ca="1" si="145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2743610</v>
      </c>
      <c r="M277" s="155">
        <f t="shared" ca="1" si="147"/>
        <v>2533953</v>
      </c>
      <c r="N277" s="155">
        <f t="shared" ca="1" si="147"/>
        <v>2533952.5099999998</v>
      </c>
      <c r="O277" s="155">
        <f t="shared" ref="O277:O285" ca="1" si="148">IF(L277&gt;0,N277*100/L277,0)</f>
        <v>92.358334821640085</v>
      </c>
      <c r="P277" s="155">
        <f t="shared" ref="P277:P285" ca="1" si="149">IF(M277&gt;0,N277*100/M277,0)</f>
        <v>99.99998066262475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2743610</v>
      </c>
      <c r="M279" s="45">
        <f t="shared" ca="1" si="151"/>
        <v>2533953</v>
      </c>
      <c r="N279" s="45">
        <f t="shared" ca="1" si="151"/>
        <v>2533952.5099999998</v>
      </c>
      <c r="O279" s="45">
        <f t="shared" ca="1" si="148"/>
        <v>92.358334821640085</v>
      </c>
      <c r="P279" s="45">
        <f t="shared" ca="1" si="149"/>
        <v>99.99998066262475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2743610</v>
      </c>
      <c r="M280" s="38">
        <f t="shared" ca="1" si="152"/>
        <v>2533953</v>
      </c>
      <c r="N280" s="38">
        <f t="shared" ca="1" si="152"/>
        <v>2533952.5099999998</v>
      </c>
      <c r="O280" s="38">
        <f t="shared" ca="1" si="148"/>
        <v>92.358334821640085</v>
      </c>
      <c r="P280" s="38">
        <f t="shared" ca="1" si="149"/>
        <v>99.99998066262475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fb2B9NLcpJgjIieIJvenUTNPn0TimZDUi0OtYeiSQ_s/edit?usp=share_link"",""กาฬสินธุ์!L282"")+IMPORTRANGE(""https://docs.google.com/spreadsheets/d/1SaMnqrwRGmFYNR0MhpWmHuL5niYUd5E7vDq8X7whAlI/edit?usp=share_li"&amp;"nk"",""ขอนแก่น!L282"")
+IMPORTRANGE(""https://docs.google.com/spreadsheets/d/1xQzEtGHhTTgxHh6YUkKY1P4dRyjVhS74dGswLfAASA4/edit?usp=share_link"",""ชัยภูมิ!L282"")+IMPORTRANGE(""https://docs.google.com/spreadsheets/d/1EXMBoBxU3OFbjT2TRpneM33qFjqDzrKmn9ydcfl"&amp;"fI0o/edit?usp=share_link"",""นครพนม!L282"")+IMPORTRANGE(""https://docs.google.com/spreadsheets/d/1bDQrolntRWtHumK8W-x-HXKntwxB9S3sF5aDeRS66Ko/edit?usp=share_link"",""นครราชสีมา!L282"")+IMPORTRANGE(""https://docs.google.com/spreadsheets/d/1_MzZ-2gVPiCW-d2V"&amp;"cafoCmFJQTSrZ6SQyFcMqRRQQ2w/edit?usp=share_link"",""บึงกาฬ!L282"")
+IMPORTRANGE(""https://docs.google.com/spreadsheets/d/1B3lPpzOuaNwVItLwLEZYl_qEblfcx7dRnbRkAw0l-pE/edit?usp=share_link"",""บุรีรัมย์!L282"")+IMPORTRANGE(""https://docs.google.com/spreadshe"&amp;"ets/d/19GOkiOqnzYbevLYWrMk4qFOXe3rX14BkSA8X-mq-a40/edit?usp=share_link"",""มหาสารคาม!L282"")+IMPORTRANGE(""https://docs.google.com/spreadsheets/d/1uMKqWwuNQ-TCKboGA3Bb1qXb5uj2-faACNUINCz8PN4/edit?usp=share_link"",""มุกดาหาร!L282"")+IMPORTRANGE(""https://d"&amp;"ocs.google.com/spreadsheets/d/1oKaccgDdQABndOzGr688Dbfxb_V3YcF67VqEPBtdzsc/edit?usp=share_link"",""ยโสธร!L282"")+IMPORTRANGE(""https://docs.google.com/spreadsheets/d/1BRgc8xKpxZ0PX-gauieMVkV_IOxKSotf0yW8MabGprQ/edit?usp=share_link"",""ร้อยเอ็ด!L282"")+IMP"&amp;"ORTRANGE(""https://docs.google.com/spreadsheets/d/1IdolZc-dfdgMwAm_KZxYJl1sUOcIgnbGQzbWOlddedo/edit?usp=share_link"",""เลย!L282"")+IMPORTRANGE(""https://docs.google.com/spreadsheets/d/1tZ0nmtGuIRCaGAMXHlQU8EpR9LOAJvyKfc4f7EFmE34/edit?usp=share_link"",""ศร"&amp;"ีสะเกษ!L282"")+IMPORTRANGE(""https://docs.google.com/spreadsheets/d/1QC8psz9w0f9IVE9Xuc2FT_btkaOzZbbUSgYObpBuetM/edit?usp=share_link"",""สกลนคร!L282"")+IMPORTRANGE(""https://docs.google.com/spreadsheets/d/1wPdvRbu02d33MYVlbsCnyTiZpefEBs9NNktAnT1HZvw/edit?"&amp;"usp=share_link"",""สุรินทร์!L282"")+IMPORTRANGE(""https://docs.google.com/spreadsheets/d/1GVExpf-Exi_2gmuqTYH28fseTB9MoKPXWcXCbSt_YrM/edit?usp=share_link"",""หนองคาย!L282"")+IMPORTRANGE(""https://docs.google.com/spreadsheets/d/16UeMz0UgOB5BZcoxP75eYGcLFtG"&amp;"YRn9GoesD4OX9m5U/edit?usp=share_link"",""หนองบัวลำภู!L282"")+IMPORTRANGE(""https://docs.google.com/spreadsheets/d/1uUP8Zo1-qaJLuIkRU0qlwLSE3DHkbdrrj2JGJiWBQZE/edit?usp=share_link"",""อำนาจเจริญ!L282"")+IMPORTRANGE(""https://docs.google.com/spreadsheets/d/"&amp;"1hb_taSOHanzRjqfzWPiFo8yiT83VV1L7vvUCLhOiHKc/edit?usp=share_link"",""อุดรธานี!L282"")+IMPORTRANGE(""https://docs.google.com/spreadsheets/d/17IOkEwkUd63EGNfyNDnM5de9YlZ7rwzTiW6-dokVjKI/edit?usp=share_link"",""อุบลราชธานี!L282"")
"),2743610)</f>
        <v>2743610</v>
      </c>
      <c r="M282" s="45">
        <f ca="1">IFERROR(__xludf.DUMMYFUNCTION("IMPORTRANGE(""https://docs.google.com/spreadsheets/d/1fb2B9NLcpJgjIieIJvenUTNPn0TimZDUi0OtYeiSQ_s/edit?usp=share_link"",""กาฬสินธุ์!M282"")+IMPORTRANGE(""https://docs.google.com/spreadsheets/d/1SaMnqrwRGmFYNR0MhpWmHuL5niYUd5E7vDq8X7whAlI/edit?usp=share_li"&amp;"nk"",""ขอนแก่น!M282"")
+IMPORTRANGE(""https://docs.google.com/spreadsheets/d/1xQzEtGHhTTgxHh6YUkKY1P4dRyjVhS74dGswLfAASA4/edit?usp=share_link"",""ชัยภูมิ!M282"")+IMPORTRANGE(""https://docs.google.com/spreadsheets/d/1EXMBoBxU3OFbjT2TRpneM33qFjqDzrKmn9ydcfl"&amp;"fI0o/edit?usp=share_link"",""นครพนม!M282"")+IMPORTRANGE(""https://docs.google.com/spreadsheets/d/1bDQrolntRWtHumK8W-x-HXKntwxB9S3sF5aDeRS66Ko/edit?usp=share_link"",""นครราชสีมา!M282"")+IMPORTRANGE(""https://docs.google.com/spreadsheets/d/1_MzZ-2gVPiCW-d2V"&amp;"cafoCmFJQTSrZ6SQyFcMqRRQQ2w/edit?usp=share_link"",""บึงกาฬ!M282"")
+IMPORTRANGE(""https://docs.google.com/spreadsheets/d/1B3lPpzOuaNwVItLwLEZYl_qEblfcx7dRnbRkAw0l-pE/edit?usp=share_link"",""บุรีรัมย์!M282"")+IMPORTRANGE(""https://docs.google.com/spreadshe"&amp;"ets/d/19GOkiOqnzYbevLYWrMk4qFOXe3rX14BkSA8X-mq-a40/edit?usp=share_link"",""มหาสารคาม!M282"")+IMPORTRANGE(""https://docs.google.com/spreadsheets/d/1uMKqWwuNQ-TCKboGA3Bb1qXb5uj2-faACNUINCz8PN4/edit?usp=share_link"",""มุกดาหาร!M282"")+IMPORTRANGE(""https://d"&amp;"ocs.google.com/spreadsheets/d/1oKaccgDdQABndOzGr688Dbfxb_V3YcF67VqEPBtdzsc/edit?usp=share_link"",""ยโสธร!M282"")+IMPORTRANGE(""https://docs.google.com/spreadsheets/d/1BRgc8xKpxZ0PX-gauieMVkV_IOxKSotf0yW8MabGprQ/edit?usp=share_link"",""ร้อยเอ็ด!M282"")+IMP"&amp;"ORTRANGE(""https://docs.google.com/spreadsheets/d/1IdolZc-dfdgMwAm_KZxYJl1sUOcIgnbGQzbWOlddedo/edit?usp=share_link"",""เลย!M282"")+IMPORTRANGE(""https://docs.google.com/spreadsheets/d/1tZ0nmtGuIRCaGAMXHlQU8EpR9LOAJvyKfc4f7EFmE34/edit?usp=share_link"",""ศร"&amp;"ีสะเกษ!M282"")+IMPORTRANGE(""https://docs.google.com/spreadsheets/d/1QC8psz9w0f9IVE9Xuc2FT_btkaOzZbbUSgYObpBuetM/edit?usp=share_link"",""สกลนคร!M282"")+IMPORTRANGE(""https://docs.google.com/spreadsheets/d/1wPdvRbu02d33MYVlbsCnyTiZpefEBs9NNktAnT1HZvw/edit?"&amp;"usp=share_link"",""สุรินทร์!M282"")+IMPORTRANGE(""https://docs.google.com/spreadsheets/d/1GVExpf-Exi_2gmuqTYH28fseTB9MoKPXWcXCbSt_YrM/edit?usp=share_link"",""หนองคาย!M282"")+IMPORTRANGE(""https://docs.google.com/spreadsheets/d/16UeMz0UgOB5BZcoxP75eYGcLFtG"&amp;"YRn9GoesD4OX9m5U/edit?usp=share_link"",""หนองบัวลำภู!M282"")+IMPORTRANGE(""https://docs.google.com/spreadsheets/d/1uUP8Zo1-qaJLuIkRU0qlwLSE3DHkbdrrj2JGJiWBQZE/edit?usp=share_link"",""อำนาจเจริญ!M282"")+IMPORTRANGE(""https://docs.google.com/spreadsheets/d/"&amp;"1hb_taSOHanzRjqfzWPiFo8yiT83VV1L7vvUCLhOiHKc/edit?usp=share_link"",""อุดรธานี!M282"")+IMPORTRANGE(""https://docs.google.com/spreadsheets/d/17IOkEwkUd63EGNfyNDnM5de9YlZ7rwzTiW6-dokVjKI/edit?usp=share_link"",""อุบลราชธานี!M282"")
"),2533953)</f>
        <v>2533953</v>
      </c>
      <c r="N282" s="45">
        <f ca="1">IFERROR(__xludf.DUMMYFUNCTION("IMPORTRANGE(""https://docs.google.com/spreadsheets/d/1fb2B9NLcpJgjIieIJvenUTNPn0TimZDUi0OtYeiSQ_s/edit?usp=share_link"",""กาฬสินธุ์!N282"")+IMPORTRANGE(""https://docs.google.com/spreadsheets/d/1SaMnqrwRGmFYNR0MhpWmHuL5niYUd5E7vDq8X7whAlI/edit?usp=share_li"&amp;"nk"",""ขอนแก่น!N282"")
+IMPORTRANGE(""https://docs.google.com/spreadsheets/d/1xQzEtGHhTTgxHh6YUkKY1P4dRyjVhS74dGswLfAASA4/edit?usp=share_link"",""ชัยภูมิ!N282"")+IMPORTRANGE(""https://docs.google.com/spreadsheets/d/1EXMBoBxU3OFbjT2TRpneM33qFjqDzrKmn9ydcfl"&amp;"fI0o/edit?usp=share_link"",""นครพนม!N282"")+IMPORTRANGE(""https://docs.google.com/spreadsheets/d/1bDQrolntRWtHumK8W-x-HXKntwxB9S3sF5aDeRS66Ko/edit?usp=share_link"",""นครราชสีมา!N282"")+IMPORTRANGE(""https://docs.google.com/spreadsheets/d/1_MzZ-2gVPiCW-d2V"&amp;"cafoCmFJQTSrZ6SQyFcMqRRQQ2w/edit?usp=share_link"",""บึงกาฬ!N282"")
+IMPORTRANGE(""https://docs.google.com/spreadsheets/d/1B3lPpzOuaNwVItLwLEZYl_qEblfcx7dRnbRkAw0l-pE/edit?usp=share_link"",""บุรีรัมย์!N282"")+IMPORTRANGE(""https://docs.google.com/spreadshe"&amp;"ets/d/19GOkiOqnzYbevLYWrMk4qFOXe3rX14BkSA8X-mq-a40/edit?usp=share_link"",""มหาสารคาม!N282"")+IMPORTRANGE(""https://docs.google.com/spreadsheets/d/1uMKqWwuNQ-TCKboGA3Bb1qXb5uj2-faACNUINCz8PN4/edit?usp=share_link"",""มุกดาหาร!N282"")+IMPORTRANGE(""https://d"&amp;"ocs.google.com/spreadsheets/d/1oKaccgDdQABndOzGr688Dbfxb_V3YcF67VqEPBtdzsc/edit?usp=share_link"",""ยโสธร!N282"")+IMPORTRANGE(""https://docs.google.com/spreadsheets/d/1BRgc8xKpxZ0PX-gauieMVkV_IOxKSotf0yW8MabGprQ/edit?usp=share_link"",""ร้อยเอ็ด!N282"")+IMP"&amp;"ORTRANGE(""https://docs.google.com/spreadsheets/d/1IdolZc-dfdgMwAm_KZxYJl1sUOcIgnbGQzbWOlddedo/edit?usp=share_link"",""เลย!N282"")+IMPORTRANGE(""https://docs.google.com/spreadsheets/d/1tZ0nmtGuIRCaGAMXHlQU8EpR9LOAJvyKfc4f7EFmE34/edit?usp=share_link"",""ศร"&amp;"ีสะเกษ!N282"")+IMPORTRANGE(""https://docs.google.com/spreadsheets/d/1QC8psz9w0f9IVE9Xuc2FT_btkaOzZbbUSgYObpBuetM/edit?usp=share_link"",""สกลนคร!N282"")+IMPORTRANGE(""https://docs.google.com/spreadsheets/d/1wPdvRbu02d33MYVlbsCnyTiZpefEBs9NNktAnT1HZvw/edit?"&amp;"usp=share_link"",""สุรินทร์!N282"")+IMPORTRANGE(""https://docs.google.com/spreadsheets/d/1GVExpf-Exi_2gmuqTYH28fseTB9MoKPXWcXCbSt_YrM/edit?usp=share_link"",""หนองคาย!N282"")+IMPORTRANGE(""https://docs.google.com/spreadsheets/d/16UeMz0UgOB5BZcoxP75eYGcLFtG"&amp;"YRn9GoesD4OX9m5U/edit?usp=share_link"",""หนองบัวลำภู!N282"")+IMPORTRANGE(""https://docs.google.com/spreadsheets/d/1uUP8Zo1-qaJLuIkRU0qlwLSE3DHkbdrrj2JGJiWBQZE/edit?usp=share_link"",""อำนาจเจริญ!N282"")+IMPORTRANGE(""https://docs.google.com/spreadsheets/d/"&amp;"1hb_taSOHanzRjqfzWPiFo8yiT83VV1L7vvUCLhOiHKc/edit?usp=share_link"",""อุดรธานี!N282"")+IMPORTRANGE(""https://docs.google.com/spreadsheets/d/17IOkEwkUd63EGNfyNDnM5de9YlZ7rwzTiW6-dokVjKI/edit?usp=share_link"",""อุบลราชธานี!N282"")
"),2533952.51)</f>
        <v>2533952.5099999998</v>
      </c>
      <c r="O282" s="45">
        <f t="shared" ca="1" si="148"/>
        <v>92.358334821640085</v>
      </c>
      <c r="P282" s="45">
        <f t="shared" ca="1" si="149"/>
        <v>99.99998066262475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fb2B9NLcpJgjIieIJvenUTNPn0TimZDUi0OtYeiSQ_s/edit?usp=share_link"",""กาฬสินธุ์!L285"")+IMPORTRANGE(""https://docs.google.com/spreadsheets/d/1SaMnqrwRGmFYNR0MhpWmHuL5niYUd5E7vDq8X7whAlI/edit?usp=share_li"&amp;"nk"",""ขอนแก่น!L285"")
+IMPORTRANGE(""https://docs.google.com/spreadsheets/d/1xQzEtGHhTTgxHh6YUkKY1P4dRyjVhS74dGswLfAASA4/edit?usp=share_link"",""ชัยภูมิ!L285"")+IMPORTRANGE(""https://docs.google.com/spreadsheets/d/1EXMBoBxU3OFbjT2TRpneM33qFjqDzrKmn9ydcfl"&amp;"fI0o/edit?usp=share_link"",""นครพนม!L285"")+IMPORTRANGE(""https://docs.google.com/spreadsheets/d/1bDQrolntRWtHumK8W-x-HXKntwxB9S3sF5aDeRS66Ko/edit?usp=share_link"",""นครราชสีมา!L285"")+IMPORTRANGE(""https://docs.google.com/spreadsheets/d/1_MzZ-2gVPiCW-d2V"&amp;"cafoCmFJQTSrZ6SQyFcMqRRQQ2w/edit?usp=share_link"",""บึงกาฬ!L285"")
+IMPORTRANGE(""https://docs.google.com/spreadsheets/d/1B3lPpzOuaNwVItLwLEZYl_qEblfcx7dRnbRkAw0l-pE/edit?usp=share_link"",""บุรีรัมย์!L285"")+IMPORTRANGE(""https://docs.google.com/spreadshe"&amp;"ets/d/19GOkiOqnzYbevLYWrMk4qFOXe3rX14BkSA8X-mq-a40/edit?usp=share_link"",""มหาสารคาม!L285"")+IMPORTRANGE(""https://docs.google.com/spreadsheets/d/1uMKqWwuNQ-TCKboGA3Bb1qXb5uj2-faACNUINCz8PN4/edit?usp=share_link"",""มุกดาหาร!L285"")+IMPORTRANGE(""https://d"&amp;"ocs.google.com/spreadsheets/d/1oKaccgDdQABndOzGr688Dbfxb_V3YcF67VqEPBtdzsc/edit?usp=share_link"",""ยโสธร!L285"")+IMPORTRANGE(""https://docs.google.com/spreadsheets/d/1BRgc8xKpxZ0PX-gauieMVkV_IOxKSotf0yW8MabGprQ/edit?usp=share_link"",""ร้อยเอ็ด!L285"")+IMP"&amp;"ORTRANGE(""https://docs.google.com/spreadsheets/d/1IdolZc-dfdgMwAm_KZxYJl1sUOcIgnbGQzbWOlddedo/edit?usp=share_link"",""เลย!L285"")+IMPORTRANGE(""https://docs.google.com/spreadsheets/d/1tZ0nmtGuIRCaGAMXHlQU8EpR9LOAJvyKfc4f7EFmE34/edit?usp=share_link"",""ศร"&amp;"ีสะเกษ!L285"")+IMPORTRANGE(""https://docs.google.com/spreadsheets/d/1QC8psz9w0f9IVE9Xuc2FT_btkaOzZbbUSgYObpBuetM/edit?usp=share_link"",""สกลนคร!L285"")+IMPORTRANGE(""https://docs.google.com/spreadsheets/d/1wPdvRbu02d33MYVlbsCnyTiZpefEBs9NNktAnT1HZvw/edit?"&amp;"usp=share_link"",""สุรินทร์!L285"")+IMPORTRANGE(""https://docs.google.com/spreadsheets/d/1GVExpf-Exi_2gmuqTYH28fseTB9MoKPXWcXCbSt_YrM/edit?usp=share_link"",""หนองคาย!L285"")+IMPORTRANGE(""https://docs.google.com/spreadsheets/d/16UeMz0UgOB5BZcoxP75eYGcLFtG"&amp;"YRn9GoesD4OX9m5U/edit?usp=share_link"",""หนองบัวลำภู!L285"")+IMPORTRANGE(""https://docs.google.com/spreadsheets/d/1uUP8Zo1-qaJLuIkRU0qlwLSE3DHkbdrrj2JGJiWBQZE/edit?usp=share_link"",""อำนาจเจริญ!L285"")+IMPORTRANGE(""https://docs.google.com/spreadsheets/d/"&amp;"1hb_taSOHanzRjqfzWPiFo8yiT83VV1L7vvUCLhOiHKc/edit?usp=share_link"",""อุดรธานี!L285"")+IMPORTRANGE(""https://docs.google.com/spreadsheets/d/17IOkEwkUd63EGNfyNDnM5de9YlZ7rwzTiW6-dokVjKI/edit?usp=share_link"",""อุบลราชธานี!L285"")
"),0)</f>
        <v>0</v>
      </c>
      <c r="M285" s="45">
        <f ca="1">IFERROR(__xludf.DUMMYFUNCTION("IMPORTRANGE(""https://docs.google.com/spreadsheets/d/1fb2B9NLcpJgjIieIJvenUTNPn0TimZDUi0OtYeiSQ_s/edit?usp=share_link"",""กาฬสินธุ์!M285"")+IMPORTRANGE(""https://docs.google.com/spreadsheets/d/1SaMnqrwRGmFYNR0MhpWmHuL5niYUd5E7vDq8X7whAlI/edit?usp=share_li"&amp;"nk"",""ขอนแก่น!M285"")
+IMPORTRANGE(""https://docs.google.com/spreadsheets/d/1xQzEtGHhTTgxHh6YUkKY1P4dRyjVhS74dGswLfAASA4/edit?usp=share_link"",""ชัยภูมิ!M285"")+IMPORTRANGE(""https://docs.google.com/spreadsheets/d/1EXMBoBxU3OFbjT2TRpneM33qFjqDzrKmn9ydcfl"&amp;"fI0o/edit?usp=share_link"",""นครพนม!M285"")+IMPORTRANGE(""https://docs.google.com/spreadsheets/d/1bDQrolntRWtHumK8W-x-HXKntwxB9S3sF5aDeRS66Ko/edit?usp=share_link"",""นครราชสีมา!M285"")+IMPORTRANGE(""https://docs.google.com/spreadsheets/d/1_MzZ-2gVPiCW-d2V"&amp;"cafoCmFJQTSrZ6SQyFcMqRRQQ2w/edit?usp=share_link"",""บึงกาฬ!M285"")
+IMPORTRANGE(""https://docs.google.com/spreadsheets/d/1B3lPpzOuaNwVItLwLEZYl_qEblfcx7dRnbRkAw0l-pE/edit?usp=share_link"",""บุรีรัมย์!M285"")+IMPORTRANGE(""https://docs.google.com/spreadshe"&amp;"ets/d/19GOkiOqnzYbevLYWrMk4qFOXe3rX14BkSA8X-mq-a40/edit?usp=share_link"",""มหาสารคาม!M285"")+IMPORTRANGE(""https://docs.google.com/spreadsheets/d/1uMKqWwuNQ-TCKboGA3Bb1qXb5uj2-faACNUINCz8PN4/edit?usp=share_link"",""มุกดาหาร!M285"")+IMPORTRANGE(""https://d"&amp;"ocs.google.com/spreadsheets/d/1oKaccgDdQABndOzGr688Dbfxb_V3YcF67VqEPBtdzsc/edit?usp=share_link"",""ยโสธร!M285"")+IMPORTRANGE(""https://docs.google.com/spreadsheets/d/1BRgc8xKpxZ0PX-gauieMVkV_IOxKSotf0yW8MabGprQ/edit?usp=share_link"",""ร้อยเอ็ด!M285"")+IMP"&amp;"ORTRANGE(""https://docs.google.com/spreadsheets/d/1IdolZc-dfdgMwAm_KZxYJl1sUOcIgnbGQzbWOlddedo/edit?usp=share_link"",""เลย!M285"")+IMPORTRANGE(""https://docs.google.com/spreadsheets/d/1tZ0nmtGuIRCaGAMXHlQU8EpR9LOAJvyKfc4f7EFmE34/edit?usp=share_link"",""ศร"&amp;"ีสะเกษ!M285"")+IMPORTRANGE(""https://docs.google.com/spreadsheets/d/1QC8psz9w0f9IVE9Xuc2FT_btkaOzZbbUSgYObpBuetM/edit?usp=share_link"",""สกลนคร!M285"")+IMPORTRANGE(""https://docs.google.com/spreadsheets/d/1wPdvRbu02d33MYVlbsCnyTiZpefEBs9NNktAnT1HZvw/edit?"&amp;"usp=share_link"",""สุรินทร์!M285"")+IMPORTRANGE(""https://docs.google.com/spreadsheets/d/1GVExpf-Exi_2gmuqTYH28fseTB9MoKPXWcXCbSt_YrM/edit?usp=share_link"",""หนองคาย!M285"")+IMPORTRANGE(""https://docs.google.com/spreadsheets/d/16UeMz0UgOB5BZcoxP75eYGcLFtG"&amp;"YRn9GoesD4OX9m5U/edit?usp=share_link"",""หนองบัวลำภู!M285"")+IMPORTRANGE(""https://docs.google.com/spreadsheets/d/1uUP8Zo1-qaJLuIkRU0qlwLSE3DHkbdrrj2JGJiWBQZE/edit?usp=share_link"",""อำนาจเจริญ!M285"")+IMPORTRANGE(""https://docs.google.com/spreadsheets/d/"&amp;"1hb_taSOHanzRjqfzWPiFo8yiT83VV1L7vvUCLhOiHKc/edit?usp=share_link"",""อุดรธานี!M285"")+IMPORTRANGE(""https://docs.google.com/spreadsheets/d/17IOkEwkUd63EGNfyNDnM5de9YlZ7rwzTiW6-dokVjKI/edit?usp=share_link"",""อุบลราชธานี!M285"")
"),0)</f>
        <v>0</v>
      </c>
      <c r="N285" s="45">
        <f ca="1">IFERROR(__xludf.DUMMYFUNCTION("IMPORTRANGE(""https://docs.google.com/spreadsheets/d/1fb2B9NLcpJgjIieIJvenUTNPn0TimZDUi0OtYeiSQ_s/edit?usp=share_link"",""กาฬสินธุ์!N285"")+IMPORTRANGE(""https://docs.google.com/spreadsheets/d/1SaMnqrwRGmFYNR0MhpWmHuL5niYUd5E7vDq8X7whAlI/edit?usp=share_li"&amp;"nk"",""ขอนแก่น!N285"")
+IMPORTRANGE(""https://docs.google.com/spreadsheets/d/1xQzEtGHhTTgxHh6YUkKY1P4dRyjVhS74dGswLfAASA4/edit?usp=share_link"",""ชัยภูมิ!N285"")+IMPORTRANGE(""https://docs.google.com/spreadsheets/d/1EXMBoBxU3OFbjT2TRpneM33qFjqDzrKmn9ydcfl"&amp;"fI0o/edit?usp=share_link"",""นครพนม!N285"")+IMPORTRANGE(""https://docs.google.com/spreadsheets/d/1bDQrolntRWtHumK8W-x-HXKntwxB9S3sF5aDeRS66Ko/edit?usp=share_link"",""นครราชสีมา!N285"")+IMPORTRANGE(""https://docs.google.com/spreadsheets/d/1_MzZ-2gVPiCW-d2V"&amp;"cafoCmFJQTSrZ6SQyFcMqRRQQ2w/edit?usp=share_link"",""บึงกาฬ!N285"")
+IMPORTRANGE(""https://docs.google.com/spreadsheets/d/1B3lPpzOuaNwVItLwLEZYl_qEblfcx7dRnbRkAw0l-pE/edit?usp=share_link"",""บุรีรัมย์!N285"")+IMPORTRANGE(""https://docs.google.com/spreadshe"&amp;"ets/d/19GOkiOqnzYbevLYWrMk4qFOXe3rX14BkSA8X-mq-a40/edit?usp=share_link"",""มหาสารคาม!N285"")+IMPORTRANGE(""https://docs.google.com/spreadsheets/d/1uMKqWwuNQ-TCKboGA3Bb1qXb5uj2-faACNUINCz8PN4/edit?usp=share_link"",""มุกดาหาร!N285"")+IMPORTRANGE(""https://d"&amp;"ocs.google.com/spreadsheets/d/1oKaccgDdQABndOzGr688Dbfxb_V3YcF67VqEPBtdzsc/edit?usp=share_link"",""ยโสธร!N285"")+IMPORTRANGE(""https://docs.google.com/spreadsheets/d/1BRgc8xKpxZ0PX-gauieMVkV_IOxKSotf0yW8MabGprQ/edit?usp=share_link"",""ร้อยเอ็ด!N285"")+IMP"&amp;"ORTRANGE(""https://docs.google.com/spreadsheets/d/1IdolZc-dfdgMwAm_KZxYJl1sUOcIgnbGQzbWOlddedo/edit?usp=share_link"",""เลย!N285"")+IMPORTRANGE(""https://docs.google.com/spreadsheets/d/1tZ0nmtGuIRCaGAMXHlQU8EpR9LOAJvyKfc4f7EFmE34/edit?usp=share_link"",""ศร"&amp;"ีสะเกษ!N285"")+IMPORTRANGE(""https://docs.google.com/spreadsheets/d/1QC8psz9w0f9IVE9Xuc2FT_btkaOzZbbUSgYObpBuetM/edit?usp=share_link"",""สกลนคร!N285"")+IMPORTRANGE(""https://docs.google.com/spreadsheets/d/1wPdvRbu02d33MYVlbsCnyTiZpefEBs9NNktAnT1HZvw/edit?"&amp;"usp=share_link"",""สุรินทร์!N285"")+IMPORTRANGE(""https://docs.google.com/spreadsheets/d/1GVExpf-Exi_2gmuqTYH28fseTB9MoKPXWcXCbSt_YrM/edit?usp=share_link"",""หนองคาย!N285"")+IMPORTRANGE(""https://docs.google.com/spreadsheets/d/16UeMz0UgOB5BZcoxP75eYGcLFtG"&amp;"YRn9GoesD4OX9m5U/edit?usp=share_link"",""หนองบัวลำภู!N285"")+IMPORTRANGE(""https://docs.google.com/spreadsheets/d/1uUP8Zo1-qaJLuIkRU0qlwLSE3DHkbdrrj2JGJiWBQZE/edit?usp=share_link"",""อำนาจเจริญ!N285"")+IMPORTRANGE(""https://docs.google.com/spreadsheets/d/"&amp;"1hb_taSOHanzRjqfzWPiFo8yiT83VV1L7vvUCLhOiHKc/edit?usp=share_link"",""อุดรธานี!N285"")+IMPORTRANGE(""https://docs.google.com/spreadsheets/d/17IOkEwkUd63EGNfyNDnM5de9YlZ7rwzTiW6-dokVjKI/edit?usp=share_link"",""อุบลราชธานี!N285"")
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fb2B9NLcpJgjIieIJvenUTNPn0TimZDUi0OtYeiSQ_s/edit?usp=share_link"",""กาฬสินธุ์!I287"")+IMPORTRANGE(""https://docs.google.com/spreadsheets/d/1SaMnqrwRGmFYNR0MhpWmHuL5niYUd5E7vDq8X7whAlI/edit?usp=share_li"&amp;"nk"",""ขอนแก่น!I287"")
+IMPORTRANGE(""https://docs.google.com/spreadsheets/d/1xQzEtGHhTTgxHh6YUkKY1P4dRyjVhS74dGswLfAASA4/edit?usp=share_link"",""ชัยภูมิ!I287"")+IMPORTRANGE(""https://docs.google.com/spreadsheets/d/1EXMBoBxU3OFbjT2TRpneM33qFjqDzrKmn9ydcfl"&amp;"fI0o/edit?usp=share_link"",""นครพนม!I287"")+IMPORTRANGE(""https://docs.google.com/spreadsheets/d/1bDQrolntRWtHumK8W-x-HXKntwxB9S3sF5aDeRS66Ko/edit?usp=share_link"",""นครราชสีมา!I287"")+IMPORTRANGE(""https://docs.google.com/spreadsheets/d/1_MzZ-2gVPiCW-d2V"&amp;"cafoCmFJQTSrZ6SQyFcMqRRQQ2w/edit?usp=share_link"",""บึงกาฬ!I287"")
+IMPORTRANGE(""https://docs.google.com/spreadsheets/d/1B3lPpzOuaNwVItLwLEZYl_qEblfcx7dRnbRkAw0l-pE/edit?usp=share_link"",""บุรีรัมย์!I287"")+IMPORTRANGE(""https://docs.google.com/spreadshe"&amp;"ets/d/19GOkiOqnzYbevLYWrMk4qFOXe3rX14BkSA8X-mq-a40/edit?usp=share_link"",""มหาสารคาม!I287"")+IMPORTRANGE(""https://docs.google.com/spreadsheets/d/1uMKqWwuNQ-TCKboGA3Bb1qXb5uj2-faACNUINCz8PN4/edit?usp=share_link"",""มุกดาหาร!I287"")+IMPORTRANGE(""https://d"&amp;"ocs.google.com/spreadsheets/d/1oKaccgDdQABndOzGr688Dbfxb_V3YcF67VqEPBtdzsc/edit?usp=share_link"",""ยโสธร!I287"")+IMPORTRANGE(""https://docs.google.com/spreadsheets/d/1BRgc8xKpxZ0PX-gauieMVkV_IOxKSotf0yW8MabGprQ/edit?usp=share_link"",""ร้อยเอ็ด!I287"")+IMP"&amp;"ORTRANGE(""https://docs.google.com/spreadsheets/d/1IdolZc-dfdgMwAm_KZxYJl1sUOcIgnbGQzbWOlddedo/edit?usp=share_link"",""เลย!I287"")+IMPORTRANGE(""https://docs.google.com/spreadsheets/d/1tZ0nmtGuIRCaGAMXHlQU8EpR9LOAJvyKfc4f7EFmE34/edit?usp=share_link"",""ศร"&amp;"ีสะเกษ!I287"")+IMPORTRANGE(""https://docs.google.com/spreadsheets/d/1QC8psz9w0f9IVE9Xuc2FT_btkaOzZbbUSgYObpBuetM/edit?usp=share_link"",""สกลนคร!I287"")+IMPORTRANGE(""https://docs.google.com/spreadsheets/d/1wPdvRbu02d33MYVlbsCnyTiZpefEBs9NNktAnT1HZvw/edit?"&amp;"usp=share_link"",""สุรินทร์!I287"")+IMPORTRANGE(""https://docs.google.com/spreadsheets/d/1GVExpf-Exi_2gmuqTYH28fseTB9MoKPXWcXCbSt_YrM/edit?usp=share_link"",""หนองคาย!I287"")+IMPORTRANGE(""https://docs.google.com/spreadsheets/d/16UeMz0UgOB5BZcoxP75eYGcLFtG"&amp;"YRn9GoesD4OX9m5U/edit?usp=share_link"",""หนองบัวลำภู!I287"")+IMPORTRANGE(""https://docs.google.com/spreadsheets/d/1uUP8Zo1-qaJLuIkRU0qlwLSE3DHkbdrrj2JGJiWBQZE/edit?usp=share_link"",""อำนาจเจริญ!I287"")+IMPORTRANGE(""https://docs.google.com/spreadsheets/d/"&amp;"1hb_taSOHanzRjqfzWPiFo8yiT83VV1L7vvUCLhOiHKc/edit?usp=share_link"",""อุดรธานี!I287"")+IMPORTRANGE(""https://docs.google.com/spreadsheets/d/17IOkEwkUd63EGNfyNDnM5de9YlZ7rwzTiW6-dokVjKI/edit?usp=share_link"",""อุบลราชธานี!I287"")
"),4350)</f>
        <v>4350</v>
      </c>
      <c r="J287" s="183">
        <f ca="1">IFERROR(__xludf.DUMMYFUNCTION("IMPORTRANGE(""https://docs.google.com/spreadsheets/d/1fb2B9NLcpJgjIieIJvenUTNPn0TimZDUi0OtYeiSQ_s/edit?usp=share_link"",""กาฬสินธุ์!J287"")+IMPORTRANGE(""https://docs.google.com/spreadsheets/d/1SaMnqrwRGmFYNR0MhpWmHuL5niYUd5E7vDq8X7whAlI/edit?usp=share_li"&amp;"nk"",""ขอนแก่น!J287"")
+IMPORTRANGE(""https://docs.google.com/spreadsheets/d/1xQzEtGHhTTgxHh6YUkKY1P4dRyjVhS74dGswLfAASA4/edit?usp=share_link"",""ชัยภูมิ!J287"")+IMPORTRANGE(""https://docs.google.com/spreadsheets/d/1EXMBoBxU3OFbjT2TRpneM33qFjqDzrKmn9ydcfl"&amp;"fI0o/edit?usp=share_link"",""นครพนม!J287"")+IMPORTRANGE(""https://docs.google.com/spreadsheets/d/1bDQrolntRWtHumK8W-x-HXKntwxB9S3sF5aDeRS66Ko/edit?usp=share_link"",""นครราชสีมา!J287"")+IMPORTRANGE(""https://docs.google.com/spreadsheets/d/1_MzZ-2gVPiCW-d2V"&amp;"cafoCmFJQTSrZ6SQyFcMqRRQQ2w/edit?usp=share_link"",""บึงกาฬ!J287"")
+IMPORTRANGE(""https://docs.google.com/spreadsheets/d/1B3lPpzOuaNwVItLwLEZYl_qEblfcx7dRnbRkAw0l-pE/edit?usp=share_link"",""บุรีรัมย์!J287"")+IMPORTRANGE(""https://docs.google.com/spreadshe"&amp;"ets/d/19GOkiOqnzYbevLYWrMk4qFOXe3rX14BkSA8X-mq-a40/edit?usp=share_link"",""มหาสารคาม!J287"")+IMPORTRANGE(""https://docs.google.com/spreadsheets/d/1uMKqWwuNQ-TCKboGA3Bb1qXb5uj2-faACNUINCz8PN4/edit?usp=share_link"",""มุกดาหาร!J287"")+IMPORTRANGE(""https://d"&amp;"ocs.google.com/spreadsheets/d/1oKaccgDdQABndOzGr688Dbfxb_V3YcF67VqEPBtdzsc/edit?usp=share_link"",""ยโสธร!J287"")+IMPORTRANGE(""https://docs.google.com/spreadsheets/d/1BRgc8xKpxZ0PX-gauieMVkV_IOxKSotf0yW8MabGprQ/edit?usp=share_link"",""ร้อยเอ็ด!J287"")+IMP"&amp;"ORTRANGE(""https://docs.google.com/spreadsheets/d/1IdolZc-dfdgMwAm_KZxYJl1sUOcIgnbGQzbWOlddedo/edit?usp=share_link"",""เลย!J287"")+IMPORTRANGE(""https://docs.google.com/spreadsheets/d/1tZ0nmtGuIRCaGAMXHlQU8EpR9LOAJvyKfc4f7EFmE34/edit?usp=share_link"",""ศร"&amp;"ีสะเกษ!J287"")+IMPORTRANGE(""https://docs.google.com/spreadsheets/d/1QC8psz9w0f9IVE9Xuc2FT_btkaOzZbbUSgYObpBuetM/edit?usp=share_link"",""สกลนคร!J287"")+IMPORTRANGE(""https://docs.google.com/spreadsheets/d/1wPdvRbu02d33MYVlbsCnyTiZpefEBs9NNktAnT1HZvw/edit?"&amp;"usp=share_link"",""สุรินทร์!J287"")+IMPORTRANGE(""https://docs.google.com/spreadsheets/d/1GVExpf-Exi_2gmuqTYH28fseTB9MoKPXWcXCbSt_YrM/edit?usp=share_link"",""หนองคาย!J287"")+IMPORTRANGE(""https://docs.google.com/spreadsheets/d/16UeMz0UgOB5BZcoxP75eYGcLFtG"&amp;"YRn9GoesD4OX9m5U/edit?usp=share_link"",""หนองบัวลำภู!J287"")+IMPORTRANGE(""https://docs.google.com/spreadsheets/d/1uUP8Zo1-qaJLuIkRU0qlwLSE3DHkbdrrj2JGJiWBQZE/edit?usp=share_link"",""อำนาจเจริญ!J287"")+IMPORTRANGE(""https://docs.google.com/spreadsheets/d/"&amp;"1hb_taSOHanzRjqfzWPiFo8yiT83VV1L7vvUCLhOiHKc/edit?usp=share_link"",""อุดรธานี!J287"")+IMPORTRANGE(""https://docs.google.com/spreadsheets/d/17IOkEwkUd63EGNfyNDnM5de9YlZ7rwzTiW6-dokVjKI/edit?usp=share_link"",""อุบลราชธานี!J287"")
"),4350)</f>
        <v>4350</v>
      </c>
      <c r="K287" s="163">
        <f t="shared" ref="K287:K288" ca="1" si="154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fb2B9NLcpJgjIieIJvenUTNPn0TimZDUi0OtYeiSQ_s/edit?usp=share_link"",""กาฬสินธุ์!I288"")+IMPORTRANGE(""https://docs.google.com/spreadsheets/d/1SaMnqrwRGmFYNR0MhpWmHuL5niYUd5E7vDq8X7whAlI/edit?usp=share_li"&amp;"nk"",""ขอนแก่น!I288"")
+IMPORTRANGE(""https://docs.google.com/spreadsheets/d/1xQzEtGHhTTgxHh6YUkKY1P4dRyjVhS74dGswLfAASA4/edit?usp=share_link"",""ชัยภูมิ!I288"")+IMPORTRANGE(""https://docs.google.com/spreadsheets/d/1EXMBoBxU3OFbjT2TRpneM33qFjqDzrKmn9ydcfl"&amp;"fI0o/edit?usp=share_link"",""นครพนม!I288"")+IMPORTRANGE(""https://docs.google.com/spreadsheets/d/1bDQrolntRWtHumK8W-x-HXKntwxB9S3sF5aDeRS66Ko/edit?usp=share_link"",""นครราชสีมา!I288"")+IMPORTRANGE(""https://docs.google.com/spreadsheets/d/1_MzZ-2gVPiCW-d2V"&amp;"cafoCmFJQTSrZ6SQyFcMqRRQQ2w/edit?usp=share_link"",""บึงกาฬ!I288"")
+IMPORTRANGE(""https://docs.google.com/spreadsheets/d/1B3lPpzOuaNwVItLwLEZYl_qEblfcx7dRnbRkAw0l-pE/edit?usp=share_link"",""บุรีรัมย์!I288"")+IMPORTRANGE(""https://docs.google.com/spreadshe"&amp;"ets/d/19GOkiOqnzYbevLYWrMk4qFOXe3rX14BkSA8X-mq-a40/edit?usp=share_link"",""มหาสารคาม!I288"")+IMPORTRANGE(""https://docs.google.com/spreadsheets/d/1uMKqWwuNQ-TCKboGA3Bb1qXb5uj2-faACNUINCz8PN4/edit?usp=share_link"",""มุกดาหาร!I288"")+IMPORTRANGE(""https://d"&amp;"ocs.google.com/spreadsheets/d/1oKaccgDdQABndOzGr688Dbfxb_V3YcF67VqEPBtdzsc/edit?usp=share_link"",""ยโสธร!I288"")+IMPORTRANGE(""https://docs.google.com/spreadsheets/d/1BRgc8xKpxZ0PX-gauieMVkV_IOxKSotf0yW8MabGprQ/edit?usp=share_link"",""ร้อยเอ็ด!I288"")+IMP"&amp;"ORTRANGE(""https://docs.google.com/spreadsheets/d/1IdolZc-dfdgMwAm_KZxYJl1sUOcIgnbGQzbWOlddedo/edit?usp=share_link"",""เลย!I288"")+IMPORTRANGE(""https://docs.google.com/spreadsheets/d/1tZ0nmtGuIRCaGAMXHlQU8EpR9LOAJvyKfc4f7EFmE34/edit?usp=share_link"",""ศร"&amp;"ีสะเกษ!I288"")+IMPORTRANGE(""https://docs.google.com/spreadsheets/d/1QC8psz9w0f9IVE9Xuc2FT_btkaOzZbbUSgYObpBuetM/edit?usp=share_link"",""สกลนคร!I288"")+IMPORTRANGE(""https://docs.google.com/spreadsheets/d/1wPdvRbu02d33MYVlbsCnyTiZpefEBs9NNktAnT1HZvw/edit?"&amp;"usp=share_link"",""สุรินทร์!I288"")+IMPORTRANGE(""https://docs.google.com/spreadsheets/d/1GVExpf-Exi_2gmuqTYH28fseTB9MoKPXWcXCbSt_YrM/edit?usp=share_link"",""หนองคาย!I288"")+IMPORTRANGE(""https://docs.google.com/spreadsheets/d/16UeMz0UgOB5BZcoxP75eYGcLFtG"&amp;"YRn9GoesD4OX9m5U/edit?usp=share_link"",""หนองบัวลำภู!I288"")+IMPORTRANGE(""https://docs.google.com/spreadsheets/d/1uUP8Zo1-qaJLuIkRU0qlwLSE3DHkbdrrj2JGJiWBQZE/edit?usp=share_link"",""อำนาจเจริญ!I288"")+IMPORTRANGE(""https://docs.google.com/spreadsheets/d/"&amp;"1hb_taSOHanzRjqfzWPiFo8yiT83VV1L7vvUCLhOiHKc/edit?usp=share_link"",""อุดรธานี!I288"")+IMPORTRANGE(""https://docs.google.com/spreadsheets/d/17IOkEwkUd63EGNfyNDnM5de9YlZ7rwzTiW6-dokVjKI/edit?usp=share_link"",""อุบลราชธานี!I288"")
"),435)</f>
        <v>435</v>
      </c>
      <c r="J288" s="194">
        <f ca="1">IFERROR(__xludf.DUMMYFUNCTION("IMPORTRANGE(""https://docs.google.com/spreadsheets/d/1fb2B9NLcpJgjIieIJvenUTNPn0TimZDUi0OtYeiSQ_s/edit?usp=share_link"",""กาฬสินธุ์!J288"")+IMPORTRANGE(""https://docs.google.com/spreadsheets/d/1SaMnqrwRGmFYNR0MhpWmHuL5niYUd5E7vDq8X7whAlI/edit?usp=share_li"&amp;"nk"",""ขอนแก่น!J288"")
+IMPORTRANGE(""https://docs.google.com/spreadsheets/d/1xQzEtGHhTTgxHh6YUkKY1P4dRyjVhS74dGswLfAASA4/edit?usp=share_link"",""ชัยภูมิ!J288"")+IMPORTRANGE(""https://docs.google.com/spreadsheets/d/1EXMBoBxU3OFbjT2TRpneM33qFjqDzrKmn9ydcfl"&amp;"fI0o/edit?usp=share_link"",""นครพนม!J288"")+IMPORTRANGE(""https://docs.google.com/spreadsheets/d/1bDQrolntRWtHumK8W-x-HXKntwxB9S3sF5aDeRS66Ko/edit?usp=share_link"",""นครราชสีมา!J288"")+IMPORTRANGE(""https://docs.google.com/spreadsheets/d/1_MzZ-2gVPiCW-d2V"&amp;"cafoCmFJQTSrZ6SQyFcMqRRQQ2w/edit?usp=share_link"",""บึงกาฬ!J288"")
+IMPORTRANGE(""https://docs.google.com/spreadsheets/d/1B3lPpzOuaNwVItLwLEZYl_qEblfcx7dRnbRkAw0l-pE/edit?usp=share_link"",""บุรีรัมย์!J288"")+IMPORTRANGE(""https://docs.google.com/spreadshe"&amp;"ets/d/19GOkiOqnzYbevLYWrMk4qFOXe3rX14BkSA8X-mq-a40/edit?usp=share_link"",""มหาสารคาม!J288"")+IMPORTRANGE(""https://docs.google.com/spreadsheets/d/1uMKqWwuNQ-TCKboGA3Bb1qXb5uj2-faACNUINCz8PN4/edit?usp=share_link"",""มุกดาหาร!J288"")+IMPORTRANGE(""https://d"&amp;"ocs.google.com/spreadsheets/d/1oKaccgDdQABndOzGr688Dbfxb_V3YcF67VqEPBtdzsc/edit?usp=share_link"",""ยโสธร!J288"")+IMPORTRANGE(""https://docs.google.com/spreadsheets/d/1BRgc8xKpxZ0PX-gauieMVkV_IOxKSotf0yW8MabGprQ/edit?usp=share_link"",""ร้อยเอ็ด!J288"")+IMP"&amp;"ORTRANGE(""https://docs.google.com/spreadsheets/d/1IdolZc-dfdgMwAm_KZxYJl1sUOcIgnbGQzbWOlddedo/edit?usp=share_link"",""เลย!J288"")+IMPORTRANGE(""https://docs.google.com/spreadsheets/d/1tZ0nmtGuIRCaGAMXHlQU8EpR9LOAJvyKfc4f7EFmE34/edit?usp=share_link"",""ศร"&amp;"ีสะเกษ!J288"")+IMPORTRANGE(""https://docs.google.com/spreadsheets/d/1QC8psz9w0f9IVE9Xuc2FT_btkaOzZbbUSgYObpBuetM/edit?usp=share_link"",""สกลนคร!J288"")+IMPORTRANGE(""https://docs.google.com/spreadsheets/d/1wPdvRbu02d33MYVlbsCnyTiZpefEBs9NNktAnT1HZvw/edit?"&amp;"usp=share_link"",""สุรินทร์!J288"")+IMPORTRANGE(""https://docs.google.com/spreadsheets/d/1GVExpf-Exi_2gmuqTYH28fseTB9MoKPXWcXCbSt_YrM/edit?usp=share_link"",""หนองคาย!J288"")+IMPORTRANGE(""https://docs.google.com/spreadsheets/d/16UeMz0UgOB5BZcoxP75eYGcLFtG"&amp;"YRn9GoesD4OX9m5U/edit?usp=share_link"",""หนองบัวลำภู!J288"")+IMPORTRANGE(""https://docs.google.com/spreadsheets/d/1uUP8Zo1-qaJLuIkRU0qlwLSE3DHkbdrrj2JGJiWBQZE/edit?usp=share_link"",""อำนาจเจริญ!J288"")+IMPORTRANGE(""https://docs.google.com/spreadsheets/d/"&amp;"1hb_taSOHanzRjqfzWPiFo8yiT83VV1L7vvUCLhOiHKc/edit?usp=share_link"",""อุดรธานี!J288"")+IMPORTRANGE(""https://docs.google.com/spreadsheets/d/17IOkEwkUd63EGNfyNDnM5de9YlZ7rwzTiW6-dokVjKI/edit?usp=share_link"",""อุบลราชธานี!J288"")
"),435)</f>
        <v>435</v>
      </c>
      <c r="K288" s="411">
        <f t="shared" ca="1" si="154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fb2B9NLcpJgjIieIJvenUTNPn0TimZDUi0OtYeiSQ_s/edit?usp=share_link"",""กาฬสินธุ์!I290"")+IMPORTRANGE(""https://docs.google.com/spreadsheets/d/1SaMnqrwRGmFYNR0MhpWmHuL5niYUd5E7vDq8X7whAlI/edit?usp=share_li"&amp;"nk"",""ขอนแก่น!I290"")
+IMPORTRANGE(""https://docs.google.com/spreadsheets/d/1xQzEtGHhTTgxHh6YUkKY1P4dRyjVhS74dGswLfAASA4/edit?usp=share_link"",""ชัยภูมิ!I290"")+IMPORTRANGE(""https://docs.google.com/spreadsheets/d/1EXMBoBxU3OFbjT2TRpneM33qFjqDzrKmn9ydcfl"&amp;"fI0o/edit?usp=share_link"",""นครพนม!I290"")+IMPORTRANGE(""https://docs.google.com/spreadsheets/d/1bDQrolntRWtHumK8W-x-HXKntwxB9S3sF5aDeRS66Ko/edit?usp=share_link"",""นครราชสีมา!I290"")+IMPORTRANGE(""https://docs.google.com/spreadsheets/d/1_MzZ-2gVPiCW-d2V"&amp;"cafoCmFJQTSrZ6SQyFcMqRRQQ2w/edit?usp=share_link"",""บึงกาฬ!I290"")
+IMPORTRANGE(""https://docs.google.com/spreadsheets/d/1B3lPpzOuaNwVItLwLEZYl_qEblfcx7dRnbRkAw0l-pE/edit?usp=share_link"",""บุรีรัมย์!I290"")+IMPORTRANGE(""https://docs.google.com/spreadshe"&amp;"ets/d/19GOkiOqnzYbevLYWrMk4qFOXe3rX14BkSA8X-mq-a40/edit?usp=share_link"",""มหาสารคาม!I290"")+IMPORTRANGE(""https://docs.google.com/spreadsheets/d/1uMKqWwuNQ-TCKboGA3Bb1qXb5uj2-faACNUINCz8PN4/edit?usp=share_link"",""มุกดาหาร!I290"")+IMPORTRANGE(""https://d"&amp;"ocs.google.com/spreadsheets/d/1oKaccgDdQABndOzGr688Dbfxb_V3YcF67VqEPBtdzsc/edit?usp=share_link"",""ยโสธร!I290"")+IMPORTRANGE(""https://docs.google.com/spreadsheets/d/1BRgc8xKpxZ0PX-gauieMVkV_IOxKSotf0yW8MabGprQ/edit?usp=share_link"",""ร้อยเอ็ด!I290"")+IMP"&amp;"ORTRANGE(""https://docs.google.com/spreadsheets/d/1IdolZc-dfdgMwAm_KZxYJl1sUOcIgnbGQzbWOlddedo/edit?usp=share_link"",""เลย!I290"")+IMPORTRANGE(""https://docs.google.com/spreadsheets/d/1tZ0nmtGuIRCaGAMXHlQU8EpR9LOAJvyKfc4f7EFmE34/edit?usp=share_link"",""ศร"&amp;"ีสะเกษ!I290"")+IMPORTRANGE(""https://docs.google.com/spreadsheets/d/1QC8psz9w0f9IVE9Xuc2FT_btkaOzZbbUSgYObpBuetM/edit?usp=share_link"",""สกลนคร!I290"")+IMPORTRANGE(""https://docs.google.com/spreadsheets/d/1wPdvRbu02d33MYVlbsCnyTiZpefEBs9NNktAnT1HZvw/edit?"&amp;"usp=share_link"",""สุรินทร์!I290"")+IMPORTRANGE(""https://docs.google.com/spreadsheets/d/1GVExpf-Exi_2gmuqTYH28fseTB9MoKPXWcXCbSt_YrM/edit?usp=share_link"",""หนองคาย!I290"")+IMPORTRANGE(""https://docs.google.com/spreadsheets/d/16UeMz0UgOB5BZcoxP75eYGcLFtG"&amp;"YRn9GoesD4OX9m5U/edit?usp=share_link"",""หนองบัวลำภู!I290"")+IMPORTRANGE(""https://docs.google.com/spreadsheets/d/1uUP8Zo1-qaJLuIkRU0qlwLSE3DHkbdrrj2JGJiWBQZE/edit?usp=share_link"",""อำนาจเจริญ!I290"")+IMPORTRANGE(""https://docs.google.com/spreadsheets/d/"&amp;"1hb_taSOHanzRjqfzWPiFo8yiT83VV1L7vvUCLhOiHKc/edit?usp=share_link"",""อุดรธานี!I290"")+IMPORTRANGE(""https://docs.google.com/spreadsheets/d/17IOkEwkUd63EGNfyNDnM5de9YlZ7rwzTiW6-dokVjKI/edit?usp=share_link"",""อุบลราชธานี!I290"")
"),435)</f>
        <v>435</v>
      </c>
      <c r="J290" s="183">
        <f ca="1">IFERROR(__xludf.DUMMYFUNCTION("IMPORTRANGE(""https://docs.google.com/spreadsheets/d/1fb2B9NLcpJgjIieIJvenUTNPn0TimZDUi0OtYeiSQ_s/edit?usp=share_link"",""กาฬสินธุ์!J290"")+IMPORTRANGE(""https://docs.google.com/spreadsheets/d/1SaMnqrwRGmFYNR0MhpWmHuL5niYUd5E7vDq8X7whAlI/edit?usp=share_li"&amp;"nk"",""ขอนแก่น!J290"")
+IMPORTRANGE(""https://docs.google.com/spreadsheets/d/1xQzEtGHhTTgxHh6YUkKY1P4dRyjVhS74dGswLfAASA4/edit?usp=share_link"",""ชัยภูมิ!J290"")+IMPORTRANGE(""https://docs.google.com/spreadsheets/d/1EXMBoBxU3OFbjT2TRpneM33qFjqDzrKmn9ydcfl"&amp;"fI0o/edit?usp=share_link"",""นครพนม!J290"")+IMPORTRANGE(""https://docs.google.com/spreadsheets/d/1bDQrolntRWtHumK8W-x-HXKntwxB9S3sF5aDeRS66Ko/edit?usp=share_link"",""นครราชสีมา!J290"")+IMPORTRANGE(""https://docs.google.com/spreadsheets/d/1_MzZ-2gVPiCW-d2V"&amp;"cafoCmFJQTSrZ6SQyFcMqRRQQ2w/edit?usp=share_link"",""บึงกาฬ!J290"")
+IMPORTRANGE(""https://docs.google.com/spreadsheets/d/1B3lPpzOuaNwVItLwLEZYl_qEblfcx7dRnbRkAw0l-pE/edit?usp=share_link"",""บุรีรัมย์!J290"")+IMPORTRANGE(""https://docs.google.com/spreadshe"&amp;"ets/d/19GOkiOqnzYbevLYWrMk4qFOXe3rX14BkSA8X-mq-a40/edit?usp=share_link"",""มหาสารคาม!J290"")+IMPORTRANGE(""https://docs.google.com/spreadsheets/d/1uMKqWwuNQ-TCKboGA3Bb1qXb5uj2-faACNUINCz8PN4/edit?usp=share_link"",""มุกดาหาร!J290"")+IMPORTRANGE(""https://d"&amp;"ocs.google.com/spreadsheets/d/1oKaccgDdQABndOzGr688Dbfxb_V3YcF67VqEPBtdzsc/edit?usp=share_link"",""ยโสธร!J290"")+IMPORTRANGE(""https://docs.google.com/spreadsheets/d/1BRgc8xKpxZ0PX-gauieMVkV_IOxKSotf0yW8MabGprQ/edit?usp=share_link"",""ร้อยเอ็ด!J290"")+IMP"&amp;"ORTRANGE(""https://docs.google.com/spreadsheets/d/1IdolZc-dfdgMwAm_KZxYJl1sUOcIgnbGQzbWOlddedo/edit?usp=share_link"",""เลย!J290"")+IMPORTRANGE(""https://docs.google.com/spreadsheets/d/1tZ0nmtGuIRCaGAMXHlQU8EpR9LOAJvyKfc4f7EFmE34/edit?usp=share_link"",""ศร"&amp;"ีสะเกษ!J290"")+IMPORTRANGE(""https://docs.google.com/spreadsheets/d/1QC8psz9w0f9IVE9Xuc2FT_btkaOzZbbUSgYObpBuetM/edit?usp=share_link"",""สกลนคร!J290"")+IMPORTRANGE(""https://docs.google.com/spreadsheets/d/1wPdvRbu02d33MYVlbsCnyTiZpefEBs9NNktAnT1HZvw/edit?"&amp;"usp=share_link"",""สุรินทร์!J290"")+IMPORTRANGE(""https://docs.google.com/spreadsheets/d/1GVExpf-Exi_2gmuqTYH28fseTB9MoKPXWcXCbSt_YrM/edit?usp=share_link"",""หนองคาย!J290"")+IMPORTRANGE(""https://docs.google.com/spreadsheets/d/16UeMz0UgOB5BZcoxP75eYGcLFtG"&amp;"YRn9GoesD4OX9m5U/edit?usp=share_link"",""หนองบัวลำภู!J290"")+IMPORTRANGE(""https://docs.google.com/spreadsheets/d/1uUP8Zo1-qaJLuIkRU0qlwLSE3DHkbdrrj2JGJiWBQZE/edit?usp=share_link"",""อำนาจเจริญ!J290"")+IMPORTRANGE(""https://docs.google.com/spreadsheets/d/"&amp;"1hb_taSOHanzRjqfzWPiFo8yiT83VV1L7vvUCLhOiHKc/edit?usp=share_link"",""อุดรธานี!J290"")+IMPORTRANGE(""https://docs.google.com/spreadsheets/d/17IOkEwkUd63EGNfyNDnM5de9YlZ7rwzTiW6-dokVjKI/edit?usp=share_link"",""อุบลราชธานี!J290"")
"),435)</f>
        <v>435</v>
      </c>
      <c r="K290" s="163">
        <f t="shared" ref="K290:K291" ca="1" si="155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fb2B9NLcpJgjIieIJvenUTNPn0TimZDUi0OtYeiSQ_s/edit?usp=share_link"",""กาฬสินธุ์!I291"")+IMPORTRANGE(""https://docs.google.com/spreadsheets/d/1SaMnqrwRGmFYNR0MhpWmHuL5niYUd5E7vDq8X7whAlI/edit?usp=share_li"&amp;"nk"",""ขอนแก่น!I291"")
+IMPORTRANGE(""https://docs.google.com/spreadsheets/d/1xQzEtGHhTTgxHh6YUkKY1P4dRyjVhS74dGswLfAASA4/edit?usp=share_link"",""ชัยภูมิ!I291"")+IMPORTRANGE(""https://docs.google.com/spreadsheets/d/1EXMBoBxU3OFbjT2TRpneM33qFjqDzrKmn9ydcfl"&amp;"fI0o/edit?usp=share_link"",""นครพนม!I291"")+IMPORTRANGE(""https://docs.google.com/spreadsheets/d/1bDQrolntRWtHumK8W-x-HXKntwxB9S3sF5aDeRS66Ko/edit?usp=share_link"",""นครราชสีมา!I291"")+IMPORTRANGE(""https://docs.google.com/spreadsheets/d/1_MzZ-2gVPiCW-d2V"&amp;"cafoCmFJQTSrZ6SQyFcMqRRQQ2w/edit?usp=share_link"",""บึงกาฬ!I291"")
+IMPORTRANGE(""https://docs.google.com/spreadsheets/d/1B3lPpzOuaNwVItLwLEZYl_qEblfcx7dRnbRkAw0l-pE/edit?usp=share_link"",""บุรีรัมย์!I291"")+IMPORTRANGE(""https://docs.google.com/spreadshe"&amp;"ets/d/19GOkiOqnzYbevLYWrMk4qFOXe3rX14BkSA8X-mq-a40/edit?usp=share_link"",""มหาสารคาม!I291"")+IMPORTRANGE(""https://docs.google.com/spreadsheets/d/1uMKqWwuNQ-TCKboGA3Bb1qXb5uj2-faACNUINCz8PN4/edit?usp=share_link"",""มุกดาหาร!I291"")+IMPORTRANGE(""https://d"&amp;"ocs.google.com/spreadsheets/d/1oKaccgDdQABndOzGr688Dbfxb_V3YcF67VqEPBtdzsc/edit?usp=share_link"",""ยโสธร!I291"")+IMPORTRANGE(""https://docs.google.com/spreadsheets/d/1BRgc8xKpxZ0PX-gauieMVkV_IOxKSotf0yW8MabGprQ/edit?usp=share_link"",""ร้อยเอ็ด!I291"")+IMP"&amp;"ORTRANGE(""https://docs.google.com/spreadsheets/d/1IdolZc-dfdgMwAm_KZxYJl1sUOcIgnbGQzbWOlddedo/edit?usp=share_link"",""เลย!I291"")+IMPORTRANGE(""https://docs.google.com/spreadsheets/d/1tZ0nmtGuIRCaGAMXHlQU8EpR9LOAJvyKfc4f7EFmE34/edit?usp=share_link"",""ศร"&amp;"ีสะเกษ!I291"")+IMPORTRANGE(""https://docs.google.com/spreadsheets/d/1QC8psz9w0f9IVE9Xuc2FT_btkaOzZbbUSgYObpBuetM/edit?usp=share_link"",""สกลนคร!I291"")+IMPORTRANGE(""https://docs.google.com/spreadsheets/d/1wPdvRbu02d33MYVlbsCnyTiZpefEBs9NNktAnT1HZvw/edit?"&amp;"usp=share_link"",""สุรินทร์!I291"")+IMPORTRANGE(""https://docs.google.com/spreadsheets/d/1GVExpf-Exi_2gmuqTYH28fseTB9MoKPXWcXCbSt_YrM/edit?usp=share_link"",""หนองคาย!I291"")+IMPORTRANGE(""https://docs.google.com/spreadsheets/d/16UeMz0UgOB5BZcoxP75eYGcLFtG"&amp;"YRn9GoesD4OX9m5U/edit?usp=share_link"",""หนองบัวลำภู!I291"")+IMPORTRANGE(""https://docs.google.com/spreadsheets/d/1uUP8Zo1-qaJLuIkRU0qlwLSE3DHkbdrrj2JGJiWBQZE/edit?usp=share_link"",""อำนาจเจริญ!I291"")+IMPORTRANGE(""https://docs.google.com/spreadsheets/d/"&amp;"1hb_taSOHanzRjqfzWPiFo8yiT83VV1L7vvUCLhOiHKc/edit?usp=share_link"",""อุดรธานี!I291"")+IMPORTRANGE(""https://docs.google.com/spreadsheets/d/17IOkEwkUd63EGNfyNDnM5de9YlZ7rwzTiW6-dokVjKI/edit?usp=share_link"",""อุบลราชธานี!I291"")
"),435)</f>
        <v>435</v>
      </c>
      <c r="J291" s="183">
        <f ca="1">IFERROR(__xludf.DUMMYFUNCTION("IMPORTRANGE(""https://docs.google.com/spreadsheets/d/1fb2B9NLcpJgjIieIJvenUTNPn0TimZDUi0OtYeiSQ_s/edit?usp=share_link"",""กาฬสินธุ์!J291"")+IMPORTRANGE(""https://docs.google.com/spreadsheets/d/1SaMnqrwRGmFYNR0MhpWmHuL5niYUd5E7vDq8X7whAlI/edit?usp=share_li"&amp;"nk"",""ขอนแก่น!J291"")
+IMPORTRANGE(""https://docs.google.com/spreadsheets/d/1xQzEtGHhTTgxHh6YUkKY1P4dRyjVhS74dGswLfAASA4/edit?usp=share_link"",""ชัยภูมิ!J291"")+IMPORTRANGE(""https://docs.google.com/spreadsheets/d/1EXMBoBxU3OFbjT2TRpneM33qFjqDzrKmn9ydcfl"&amp;"fI0o/edit?usp=share_link"",""นครพนม!J291"")+IMPORTRANGE(""https://docs.google.com/spreadsheets/d/1bDQrolntRWtHumK8W-x-HXKntwxB9S3sF5aDeRS66Ko/edit?usp=share_link"",""นครราชสีมา!J291"")+IMPORTRANGE(""https://docs.google.com/spreadsheets/d/1_MzZ-2gVPiCW-d2V"&amp;"cafoCmFJQTSrZ6SQyFcMqRRQQ2w/edit?usp=share_link"",""บึงกาฬ!J291"")
+IMPORTRANGE(""https://docs.google.com/spreadsheets/d/1B3lPpzOuaNwVItLwLEZYl_qEblfcx7dRnbRkAw0l-pE/edit?usp=share_link"",""บุรีรัมย์!J291"")+IMPORTRANGE(""https://docs.google.com/spreadshe"&amp;"ets/d/19GOkiOqnzYbevLYWrMk4qFOXe3rX14BkSA8X-mq-a40/edit?usp=share_link"",""มหาสารคาม!J291"")+IMPORTRANGE(""https://docs.google.com/spreadsheets/d/1uMKqWwuNQ-TCKboGA3Bb1qXb5uj2-faACNUINCz8PN4/edit?usp=share_link"",""มุกดาหาร!J291"")+IMPORTRANGE(""https://d"&amp;"ocs.google.com/spreadsheets/d/1oKaccgDdQABndOzGr688Dbfxb_V3YcF67VqEPBtdzsc/edit?usp=share_link"",""ยโสธร!J291"")+IMPORTRANGE(""https://docs.google.com/spreadsheets/d/1BRgc8xKpxZ0PX-gauieMVkV_IOxKSotf0yW8MabGprQ/edit?usp=share_link"",""ร้อยเอ็ด!J291"")+IMP"&amp;"ORTRANGE(""https://docs.google.com/spreadsheets/d/1IdolZc-dfdgMwAm_KZxYJl1sUOcIgnbGQzbWOlddedo/edit?usp=share_link"",""เลย!J291"")+IMPORTRANGE(""https://docs.google.com/spreadsheets/d/1tZ0nmtGuIRCaGAMXHlQU8EpR9LOAJvyKfc4f7EFmE34/edit?usp=share_link"",""ศร"&amp;"ีสะเกษ!J291"")+IMPORTRANGE(""https://docs.google.com/spreadsheets/d/1QC8psz9w0f9IVE9Xuc2FT_btkaOzZbbUSgYObpBuetM/edit?usp=share_link"",""สกลนคร!J291"")+IMPORTRANGE(""https://docs.google.com/spreadsheets/d/1wPdvRbu02d33MYVlbsCnyTiZpefEBs9NNktAnT1HZvw/edit?"&amp;"usp=share_link"",""สุรินทร์!J291"")+IMPORTRANGE(""https://docs.google.com/spreadsheets/d/1GVExpf-Exi_2gmuqTYH28fseTB9MoKPXWcXCbSt_YrM/edit?usp=share_link"",""หนองคาย!J291"")+IMPORTRANGE(""https://docs.google.com/spreadsheets/d/16UeMz0UgOB5BZcoxP75eYGcLFtG"&amp;"YRn9GoesD4OX9m5U/edit?usp=share_link"",""หนองบัวลำภู!J291"")+IMPORTRANGE(""https://docs.google.com/spreadsheets/d/1uUP8Zo1-qaJLuIkRU0qlwLSE3DHkbdrrj2JGJiWBQZE/edit?usp=share_link"",""อำนาจเจริญ!J291"")+IMPORTRANGE(""https://docs.google.com/spreadsheets/d/"&amp;"1hb_taSOHanzRjqfzWPiFo8yiT83VV1L7vvUCLhOiHKc/edit?usp=share_link"",""อุดรธานี!J291"")+IMPORTRANGE(""https://docs.google.com/spreadsheets/d/17IOkEwkUd63EGNfyNDnM5de9YlZ7rwzTiW6-dokVjKI/edit?usp=share_link"",""อุบลราชธานี!J291"")
"),435)</f>
        <v>435</v>
      </c>
      <c r="K291" s="163">
        <f t="shared" ca="1" si="155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fb2B9NLcpJgjIieIJvenUTNPn0TimZDUi0OtYeiSQ_s/edit?usp=share_link"",""กาฬสินธุ์!I293"")+IMPORTRANGE(""https://docs.google.com/spreadsheets/d/1SaMnqrwRGmFYNR0MhpWmHuL5niYUd5E7vDq8X7whAlI/edit?usp=share_li"&amp;"nk"",""ขอนแก่น!I293"")
+IMPORTRANGE(""https://docs.google.com/spreadsheets/d/1xQzEtGHhTTgxHh6YUkKY1P4dRyjVhS74dGswLfAASA4/edit?usp=share_link"",""ชัยภูมิ!I293"")+IMPORTRANGE(""https://docs.google.com/spreadsheets/d/1EXMBoBxU3OFbjT2TRpneM33qFjqDzrKmn9ydcfl"&amp;"fI0o/edit?usp=share_link"",""นครพนม!I293"")+IMPORTRANGE(""https://docs.google.com/spreadsheets/d/1bDQrolntRWtHumK8W-x-HXKntwxB9S3sF5aDeRS66Ko/edit?usp=share_link"",""นครราชสีมา!I293"")+IMPORTRANGE(""https://docs.google.com/spreadsheets/d/1_MzZ-2gVPiCW-d2V"&amp;"cafoCmFJQTSrZ6SQyFcMqRRQQ2w/edit?usp=share_link"",""บึงกาฬ!I293"")
+IMPORTRANGE(""https://docs.google.com/spreadsheets/d/1B3lPpzOuaNwVItLwLEZYl_qEblfcx7dRnbRkAw0l-pE/edit?usp=share_link"",""บุรีรัมย์!I293"")+IMPORTRANGE(""https://docs.google.com/spreadshe"&amp;"ets/d/19GOkiOqnzYbevLYWrMk4qFOXe3rX14BkSA8X-mq-a40/edit?usp=share_link"",""มหาสารคาม!I293"")+IMPORTRANGE(""https://docs.google.com/spreadsheets/d/1uMKqWwuNQ-TCKboGA3Bb1qXb5uj2-faACNUINCz8PN4/edit?usp=share_link"",""มุกดาหาร!I293"")+IMPORTRANGE(""https://d"&amp;"ocs.google.com/spreadsheets/d/1oKaccgDdQABndOzGr688Dbfxb_V3YcF67VqEPBtdzsc/edit?usp=share_link"",""ยโสธร!I293"")+IMPORTRANGE(""https://docs.google.com/spreadsheets/d/1BRgc8xKpxZ0PX-gauieMVkV_IOxKSotf0yW8MabGprQ/edit?usp=share_link"",""ร้อยเอ็ด!I293"")+IMP"&amp;"ORTRANGE(""https://docs.google.com/spreadsheets/d/1IdolZc-dfdgMwAm_KZxYJl1sUOcIgnbGQzbWOlddedo/edit?usp=share_link"",""เลย!I293"")+IMPORTRANGE(""https://docs.google.com/spreadsheets/d/1tZ0nmtGuIRCaGAMXHlQU8EpR9LOAJvyKfc4f7EFmE34/edit?usp=share_link"",""ศร"&amp;"ีสะเกษ!I293"")+IMPORTRANGE(""https://docs.google.com/spreadsheets/d/1QC8psz9w0f9IVE9Xuc2FT_btkaOzZbbUSgYObpBuetM/edit?usp=share_link"",""สกลนคร!I293"")+IMPORTRANGE(""https://docs.google.com/spreadsheets/d/1wPdvRbu02d33MYVlbsCnyTiZpefEBs9NNktAnT1HZvw/edit?"&amp;"usp=share_link"",""สุรินทร์!I293"")+IMPORTRANGE(""https://docs.google.com/spreadsheets/d/1GVExpf-Exi_2gmuqTYH28fseTB9MoKPXWcXCbSt_YrM/edit?usp=share_link"",""หนองคาย!I293"")+IMPORTRANGE(""https://docs.google.com/spreadsheets/d/16UeMz0UgOB5BZcoxP75eYGcLFtG"&amp;"YRn9GoesD4OX9m5U/edit?usp=share_link"",""หนองบัวลำภู!I293"")+IMPORTRANGE(""https://docs.google.com/spreadsheets/d/1uUP8Zo1-qaJLuIkRU0qlwLSE3DHkbdrrj2JGJiWBQZE/edit?usp=share_link"",""อำนาจเจริญ!I293"")+IMPORTRANGE(""https://docs.google.com/spreadsheets/d/"&amp;"1hb_taSOHanzRjqfzWPiFo8yiT83VV1L7vvUCLhOiHKc/edit?usp=share_link"",""อุดรธานี!I293"")+IMPORTRANGE(""https://docs.google.com/spreadsheets/d/17IOkEwkUd63EGNfyNDnM5de9YlZ7rwzTiW6-dokVjKI/edit?usp=share_link"",""อุบลราชธานี!I293"")
"),435)</f>
        <v>435</v>
      </c>
      <c r="J293" s="183">
        <f ca="1">IFERROR(__xludf.DUMMYFUNCTION("IMPORTRANGE(""https://docs.google.com/spreadsheets/d/1fb2B9NLcpJgjIieIJvenUTNPn0TimZDUi0OtYeiSQ_s/edit?usp=share_link"",""กาฬสินธุ์!J293"")+IMPORTRANGE(""https://docs.google.com/spreadsheets/d/1SaMnqrwRGmFYNR0MhpWmHuL5niYUd5E7vDq8X7whAlI/edit?usp=share_li"&amp;"nk"",""ขอนแก่น!J293"")
+IMPORTRANGE(""https://docs.google.com/spreadsheets/d/1xQzEtGHhTTgxHh6YUkKY1P4dRyjVhS74dGswLfAASA4/edit?usp=share_link"",""ชัยภูมิ!J293"")+IMPORTRANGE(""https://docs.google.com/spreadsheets/d/1EXMBoBxU3OFbjT2TRpneM33qFjqDzrKmn9ydcfl"&amp;"fI0o/edit?usp=share_link"",""นครพนม!J293"")+IMPORTRANGE(""https://docs.google.com/spreadsheets/d/1bDQrolntRWtHumK8W-x-HXKntwxB9S3sF5aDeRS66Ko/edit?usp=share_link"",""นครราชสีมา!J293"")+IMPORTRANGE(""https://docs.google.com/spreadsheets/d/1_MzZ-2gVPiCW-d2V"&amp;"cafoCmFJQTSrZ6SQyFcMqRRQQ2w/edit?usp=share_link"",""บึงกาฬ!J293"")
+IMPORTRANGE(""https://docs.google.com/spreadsheets/d/1B3lPpzOuaNwVItLwLEZYl_qEblfcx7dRnbRkAw0l-pE/edit?usp=share_link"",""บุรีรัมย์!J293"")+IMPORTRANGE(""https://docs.google.com/spreadshe"&amp;"ets/d/19GOkiOqnzYbevLYWrMk4qFOXe3rX14BkSA8X-mq-a40/edit?usp=share_link"",""มหาสารคาม!J293"")+IMPORTRANGE(""https://docs.google.com/spreadsheets/d/1uMKqWwuNQ-TCKboGA3Bb1qXb5uj2-faACNUINCz8PN4/edit?usp=share_link"",""มุกดาหาร!J293"")+IMPORTRANGE(""https://d"&amp;"ocs.google.com/spreadsheets/d/1oKaccgDdQABndOzGr688Dbfxb_V3YcF67VqEPBtdzsc/edit?usp=share_link"",""ยโสธร!J293"")+IMPORTRANGE(""https://docs.google.com/spreadsheets/d/1BRgc8xKpxZ0PX-gauieMVkV_IOxKSotf0yW8MabGprQ/edit?usp=share_link"",""ร้อยเอ็ด!J293"")+IMP"&amp;"ORTRANGE(""https://docs.google.com/spreadsheets/d/1IdolZc-dfdgMwAm_KZxYJl1sUOcIgnbGQzbWOlddedo/edit?usp=share_link"",""เลย!J293"")+IMPORTRANGE(""https://docs.google.com/spreadsheets/d/1tZ0nmtGuIRCaGAMXHlQU8EpR9LOAJvyKfc4f7EFmE34/edit?usp=share_link"",""ศร"&amp;"ีสะเกษ!J293"")+IMPORTRANGE(""https://docs.google.com/spreadsheets/d/1QC8psz9w0f9IVE9Xuc2FT_btkaOzZbbUSgYObpBuetM/edit?usp=share_link"",""สกลนคร!J293"")+IMPORTRANGE(""https://docs.google.com/spreadsheets/d/1wPdvRbu02d33MYVlbsCnyTiZpefEBs9NNktAnT1HZvw/edit?"&amp;"usp=share_link"",""สุรินทร์!J293"")+IMPORTRANGE(""https://docs.google.com/spreadsheets/d/1GVExpf-Exi_2gmuqTYH28fseTB9MoKPXWcXCbSt_YrM/edit?usp=share_link"",""หนองคาย!J293"")+IMPORTRANGE(""https://docs.google.com/spreadsheets/d/16UeMz0UgOB5BZcoxP75eYGcLFtG"&amp;"YRn9GoesD4OX9m5U/edit?usp=share_link"",""หนองบัวลำภู!J293"")+IMPORTRANGE(""https://docs.google.com/spreadsheets/d/1uUP8Zo1-qaJLuIkRU0qlwLSE3DHkbdrrj2JGJiWBQZE/edit?usp=share_link"",""อำนาจเจริญ!J293"")+IMPORTRANGE(""https://docs.google.com/spreadsheets/d/"&amp;"1hb_taSOHanzRjqfzWPiFo8yiT83VV1L7vvUCLhOiHKc/edit?usp=share_link"",""อุดรธานี!J293"")+IMPORTRANGE(""https://docs.google.com/spreadsheets/d/17IOkEwkUd63EGNfyNDnM5de9YlZ7rwzTiW6-dokVjKI/edit?usp=share_link"",""อุบลราชธานี!J293"")
"),435)</f>
        <v>435</v>
      </c>
      <c r="K293" s="163">
        <f t="shared" ref="K293:K294" ca="1" si="156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fb2B9NLcpJgjIieIJvenUTNPn0TimZDUi0OtYeiSQ_s/edit?usp=share_link"",""กาฬสินธุ์!I294"")+IMPORTRANGE(""https://docs.google.com/spreadsheets/d/1SaMnqrwRGmFYNR0MhpWmHuL5niYUd5E7vDq8X7whAlI/edit?usp=share_li"&amp;"nk"",""ขอนแก่น!I294"")
+IMPORTRANGE(""https://docs.google.com/spreadsheets/d/1xQzEtGHhTTgxHh6YUkKY1P4dRyjVhS74dGswLfAASA4/edit?usp=share_link"",""ชัยภูมิ!I294"")+IMPORTRANGE(""https://docs.google.com/spreadsheets/d/1EXMBoBxU3OFbjT2TRpneM33qFjqDzrKmn9ydcfl"&amp;"fI0o/edit?usp=share_link"",""นครพนม!I294"")+IMPORTRANGE(""https://docs.google.com/spreadsheets/d/1bDQrolntRWtHumK8W-x-HXKntwxB9S3sF5aDeRS66Ko/edit?usp=share_link"",""นครราชสีมา!I294"")+IMPORTRANGE(""https://docs.google.com/spreadsheets/d/1_MzZ-2gVPiCW-d2V"&amp;"cafoCmFJQTSrZ6SQyFcMqRRQQ2w/edit?usp=share_link"",""บึงกาฬ!I294"")
+IMPORTRANGE(""https://docs.google.com/spreadsheets/d/1B3lPpzOuaNwVItLwLEZYl_qEblfcx7dRnbRkAw0l-pE/edit?usp=share_link"",""บุรีรัมย์!I294"")+IMPORTRANGE(""https://docs.google.com/spreadshe"&amp;"ets/d/19GOkiOqnzYbevLYWrMk4qFOXe3rX14BkSA8X-mq-a40/edit?usp=share_link"",""มหาสารคาม!I294"")+IMPORTRANGE(""https://docs.google.com/spreadsheets/d/1uMKqWwuNQ-TCKboGA3Bb1qXb5uj2-faACNUINCz8PN4/edit?usp=share_link"",""มุกดาหาร!I294"")+IMPORTRANGE(""https://d"&amp;"ocs.google.com/spreadsheets/d/1oKaccgDdQABndOzGr688Dbfxb_V3YcF67VqEPBtdzsc/edit?usp=share_link"",""ยโสธร!I294"")+IMPORTRANGE(""https://docs.google.com/spreadsheets/d/1BRgc8xKpxZ0PX-gauieMVkV_IOxKSotf0yW8MabGprQ/edit?usp=share_link"",""ร้อยเอ็ด!I294"")+IMP"&amp;"ORTRANGE(""https://docs.google.com/spreadsheets/d/1IdolZc-dfdgMwAm_KZxYJl1sUOcIgnbGQzbWOlddedo/edit?usp=share_link"",""เลย!I294"")+IMPORTRANGE(""https://docs.google.com/spreadsheets/d/1tZ0nmtGuIRCaGAMXHlQU8EpR9LOAJvyKfc4f7EFmE34/edit?usp=share_link"",""ศร"&amp;"ีสะเกษ!I294"")+IMPORTRANGE(""https://docs.google.com/spreadsheets/d/1QC8psz9w0f9IVE9Xuc2FT_btkaOzZbbUSgYObpBuetM/edit?usp=share_link"",""สกลนคร!I294"")+IMPORTRANGE(""https://docs.google.com/spreadsheets/d/1wPdvRbu02d33MYVlbsCnyTiZpefEBs9NNktAnT1HZvw/edit?"&amp;"usp=share_link"",""สุรินทร์!I294"")+IMPORTRANGE(""https://docs.google.com/spreadsheets/d/1GVExpf-Exi_2gmuqTYH28fseTB9MoKPXWcXCbSt_YrM/edit?usp=share_link"",""หนองคาย!I294"")+IMPORTRANGE(""https://docs.google.com/spreadsheets/d/16UeMz0UgOB5BZcoxP75eYGcLFtG"&amp;"YRn9GoesD4OX9m5U/edit?usp=share_link"",""หนองบัวลำภู!I294"")+IMPORTRANGE(""https://docs.google.com/spreadsheets/d/1uUP8Zo1-qaJLuIkRU0qlwLSE3DHkbdrrj2JGJiWBQZE/edit?usp=share_link"",""อำนาจเจริญ!I294"")+IMPORTRANGE(""https://docs.google.com/spreadsheets/d/"&amp;"1hb_taSOHanzRjqfzWPiFo8yiT83VV1L7vvUCLhOiHKc/edit?usp=share_link"",""อุดรธานี!I294"")+IMPORTRANGE(""https://docs.google.com/spreadsheets/d/17IOkEwkUd63EGNfyNDnM5de9YlZ7rwzTiW6-dokVjKI/edit?usp=share_link"",""อุบลราชธานี!I294"")
"),435)</f>
        <v>435</v>
      </c>
      <c r="J294" s="424">
        <f ca="1">IFERROR(__xludf.DUMMYFUNCTION("IMPORTRANGE(""https://docs.google.com/spreadsheets/d/1fb2B9NLcpJgjIieIJvenUTNPn0TimZDUi0OtYeiSQ_s/edit?usp=share_link"",""กาฬสินธุ์!J294"")+IMPORTRANGE(""https://docs.google.com/spreadsheets/d/1SaMnqrwRGmFYNR0MhpWmHuL5niYUd5E7vDq8X7whAlI/edit?usp=share_li"&amp;"nk"",""ขอนแก่น!J294"")
+IMPORTRANGE(""https://docs.google.com/spreadsheets/d/1xQzEtGHhTTgxHh6YUkKY1P4dRyjVhS74dGswLfAASA4/edit?usp=share_link"",""ชัยภูมิ!J294"")+IMPORTRANGE(""https://docs.google.com/spreadsheets/d/1EXMBoBxU3OFbjT2TRpneM33qFjqDzrKmn9ydcfl"&amp;"fI0o/edit?usp=share_link"",""นครพนม!J294"")+IMPORTRANGE(""https://docs.google.com/spreadsheets/d/1bDQrolntRWtHumK8W-x-HXKntwxB9S3sF5aDeRS66Ko/edit?usp=share_link"",""นครราชสีมา!J294"")+IMPORTRANGE(""https://docs.google.com/spreadsheets/d/1_MzZ-2gVPiCW-d2V"&amp;"cafoCmFJQTSrZ6SQyFcMqRRQQ2w/edit?usp=share_link"",""บึงกาฬ!J294"")
+IMPORTRANGE(""https://docs.google.com/spreadsheets/d/1B3lPpzOuaNwVItLwLEZYl_qEblfcx7dRnbRkAw0l-pE/edit?usp=share_link"",""บุรีรัมย์!J294"")+IMPORTRANGE(""https://docs.google.com/spreadshe"&amp;"ets/d/19GOkiOqnzYbevLYWrMk4qFOXe3rX14BkSA8X-mq-a40/edit?usp=share_link"",""มหาสารคาม!J294"")+IMPORTRANGE(""https://docs.google.com/spreadsheets/d/1uMKqWwuNQ-TCKboGA3Bb1qXb5uj2-faACNUINCz8PN4/edit?usp=share_link"",""มุกดาหาร!J294"")+IMPORTRANGE(""https://d"&amp;"ocs.google.com/spreadsheets/d/1oKaccgDdQABndOzGr688Dbfxb_V3YcF67VqEPBtdzsc/edit?usp=share_link"",""ยโสธร!J294"")+IMPORTRANGE(""https://docs.google.com/spreadsheets/d/1BRgc8xKpxZ0PX-gauieMVkV_IOxKSotf0yW8MabGprQ/edit?usp=share_link"",""ร้อยเอ็ด!J294"")+IMP"&amp;"ORTRANGE(""https://docs.google.com/spreadsheets/d/1IdolZc-dfdgMwAm_KZxYJl1sUOcIgnbGQzbWOlddedo/edit?usp=share_link"",""เลย!J294"")+IMPORTRANGE(""https://docs.google.com/spreadsheets/d/1tZ0nmtGuIRCaGAMXHlQU8EpR9LOAJvyKfc4f7EFmE34/edit?usp=share_link"",""ศร"&amp;"ีสะเกษ!J294"")+IMPORTRANGE(""https://docs.google.com/spreadsheets/d/1QC8psz9w0f9IVE9Xuc2FT_btkaOzZbbUSgYObpBuetM/edit?usp=share_link"",""สกลนคร!J294"")+IMPORTRANGE(""https://docs.google.com/spreadsheets/d/1wPdvRbu02d33MYVlbsCnyTiZpefEBs9NNktAnT1HZvw/edit?"&amp;"usp=share_link"",""สุรินทร์!J294"")+IMPORTRANGE(""https://docs.google.com/spreadsheets/d/1GVExpf-Exi_2gmuqTYH28fseTB9MoKPXWcXCbSt_YrM/edit?usp=share_link"",""หนองคาย!J294"")+IMPORTRANGE(""https://docs.google.com/spreadsheets/d/16UeMz0UgOB5BZcoxP75eYGcLFtG"&amp;"YRn9GoesD4OX9m5U/edit?usp=share_link"",""หนองบัวลำภู!J294"")+IMPORTRANGE(""https://docs.google.com/spreadsheets/d/1uUP8Zo1-qaJLuIkRU0qlwLSE3DHkbdrrj2JGJiWBQZE/edit?usp=share_link"",""อำนาจเจริญ!J294"")+IMPORTRANGE(""https://docs.google.com/spreadsheets/d/"&amp;"1hb_taSOHanzRjqfzWPiFo8yiT83VV1L7vvUCLhOiHKc/edit?usp=share_link"",""อุดรธานี!J294"")+IMPORTRANGE(""https://docs.google.com/spreadsheets/d/17IOkEwkUd63EGNfyNDnM5de9YlZ7rwzTiW6-dokVjKI/edit?usp=share_link"",""อุบลราชธานี!J294"")
"),435)</f>
        <v>435</v>
      </c>
      <c r="K294" s="385">
        <f t="shared" ca="1" si="156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7">I309</f>
        <v>245</v>
      </c>
      <c r="J297" s="444">
        <f t="shared" ca="1" si="157"/>
        <v>245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1579400</v>
      </c>
      <c r="M298" s="155">
        <f t="shared" ca="1" si="158"/>
        <v>1684620</v>
      </c>
      <c r="N298" s="155">
        <f t="shared" ca="1" si="158"/>
        <v>1684620</v>
      </c>
      <c r="O298" s="155">
        <f t="shared" ref="O298:O306" ca="1" si="159">IF(L298&gt;0,N298*100/L298,0)</f>
        <v>106.66202355324806</v>
      </c>
      <c r="P298" s="155">
        <f t="shared" ref="P298:P306" ca="1" si="160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1579400</v>
      </c>
      <c r="M300" s="45">
        <f t="shared" ca="1" si="162"/>
        <v>1684620</v>
      </c>
      <c r="N300" s="45">
        <f t="shared" ca="1" si="162"/>
        <v>1684620</v>
      </c>
      <c r="O300" s="45">
        <f t="shared" ca="1" si="159"/>
        <v>106.66202355324806</v>
      </c>
      <c r="P300" s="45">
        <f t="shared" ca="1" si="160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1579400</v>
      </c>
      <c r="M301" s="38">
        <f t="shared" ca="1" si="163"/>
        <v>1684620</v>
      </c>
      <c r="N301" s="38">
        <f t="shared" ca="1" si="163"/>
        <v>1684620</v>
      </c>
      <c r="O301" s="38">
        <f t="shared" ca="1" si="159"/>
        <v>106.66202355324806</v>
      </c>
      <c r="P301" s="38">
        <f t="shared" ca="1" si="160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fb2B9NLcpJgjIieIJvenUTNPn0TimZDUi0OtYeiSQ_s/edit?usp=share_link"",""กาฬสินธุ์!L303"")+IMPORTRANGE(""https://docs.google.com/spreadsheets/d/1SaMnqrwRGmFYNR0MhpWmHuL5niYUd5E7vDq8X7whAlI/edit?usp=share_li"&amp;"nk"",""ขอนแก่น!L303"")
+IMPORTRANGE(""https://docs.google.com/spreadsheets/d/1xQzEtGHhTTgxHh6YUkKY1P4dRyjVhS74dGswLfAASA4/edit?usp=share_link"",""ชัยภูมิ!L303"")+IMPORTRANGE(""https://docs.google.com/spreadsheets/d/1EXMBoBxU3OFbjT2TRpneM33qFjqDzrKmn9ydcfl"&amp;"fI0o/edit?usp=share_link"",""นครพนม!L303"")+IMPORTRANGE(""https://docs.google.com/spreadsheets/d/1bDQrolntRWtHumK8W-x-HXKntwxB9S3sF5aDeRS66Ko/edit?usp=share_link"",""นครราชสีมา!L303"")+IMPORTRANGE(""https://docs.google.com/spreadsheets/d/1_MzZ-2gVPiCW-d2V"&amp;"cafoCmFJQTSrZ6SQyFcMqRRQQ2w/edit?usp=share_link"",""บึงกาฬ!L303"")
+IMPORTRANGE(""https://docs.google.com/spreadsheets/d/1B3lPpzOuaNwVItLwLEZYl_qEblfcx7dRnbRkAw0l-pE/edit?usp=share_link"",""บุรีรัมย์!L303"")+IMPORTRANGE(""https://docs.google.com/spreadshe"&amp;"ets/d/19GOkiOqnzYbevLYWrMk4qFOXe3rX14BkSA8X-mq-a40/edit?usp=share_link"",""มหาสารคาม!L303"")+IMPORTRANGE(""https://docs.google.com/spreadsheets/d/1uMKqWwuNQ-TCKboGA3Bb1qXb5uj2-faACNUINCz8PN4/edit?usp=share_link"",""มุกดาหาร!L303"")+IMPORTRANGE(""https://d"&amp;"ocs.google.com/spreadsheets/d/1oKaccgDdQABndOzGr688Dbfxb_V3YcF67VqEPBtdzsc/edit?usp=share_link"",""ยโสธร!L303"")+IMPORTRANGE(""https://docs.google.com/spreadsheets/d/1BRgc8xKpxZ0PX-gauieMVkV_IOxKSotf0yW8MabGprQ/edit?usp=share_link"",""ร้อยเอ็ด!L303"")+IMP"&amp;"ORTRANGE(""https://docs.google.com/spreadsheets/d/1IdolZc-dfdgMwAm_KZxYJl1sUOcIgnbGQzbWOlddedo/edit?usp=share_link"",""เลย!L303"")+IMPORTRANGE(""https://docs.google.com/spreadsheets/d/1tZ0nmtGuIRCaGAMXHlQU8EpR9LOAJvyKfc4f7EFmE34/edit?usp=share_link"",""ศร"&amp;"ีสะเกษ!L303"")+IMPORTRANGE(""https://docs.google.com/spreadsheets/d/1QC8psz9w0f9IVE9Xuc2FT_btkaOzZbbUSgYObpBuetM/edit?usp=share_link"",""สกลนคร!L303"")+IMPORTRANGE(""https://docs.google.com/spreadsheets/d/1wPdvRbu02d33MYVlbsCnyTiZpefEBs9NNktAnT1HZvw/edit?"&amp;"usp=share_link"",""สุรินทร์!L303"")+IMPORTRANGE(""https://docs.google.com/spreadsheets/d/1GVExpf-Exi_2gmuqTYH28fseTB9MoKPXWcXCbSt_YrM/edit?usp=share_link"",""หนองคาย!L303"")+IMPORTRANGE(""https://docs.google.com/spreadsheets/d/16UeMz0UgOB5BZcoxP75eYGcLFtG"&amp;"YRn9GoesD4OX9m5U/edit?usp=share_link"",""หนองบัวลำภู!L303"")+IMPORTRANGE(""https://docs.google.com/spreadsheets/d/1uUP8Zo1-qaJLuIkRU0qlwLSE3DHkbdrrj2JGJiWBQZE/edit?usp=share_link"",""อำนาจเจริญ!L303"")+IMPORTRANGE(""https://docs.google.com/spreadsheets/d/"&amp;"1hb_taSOHanzRjqfzWPiFo8yiT83VV1L7vvUCLhOiHKc/edit?usp=share_link"",""อุดรธานี!L303"")+IMPORTRANGE(""https://docs.google.com/spreadsheets/d/17IOkEwkUd63EGNfyNDnM5de9YlZ7rwzTiW6-dokVjKI/edit?usp=share_link"",""อุบลราชธานี!L303"")
"),1579400)</f>
        <v>1579400</v>
      </c>
      <c r="M303" s="45">
        <f ca="1">IFERROR(__xludf.DUMMYFUNCTION("IMPORTRANGE(""https://docs.google.com/spreadsheets/d/1fb2B9NLcpJgjIieIJvenUTNPn0TimZDUi0OtYeiSQ_s/edit?usp=share_link"",""กาฬสินธุ์!M303"")+IMPORTRANGE(""https://docs.google.com/spreadsheets/d/1SaMnqrwRGmFYNR0MhpWmHuL5niYUd5E7vDq8X7whAlI/edit?usp=share_li"&amp;"nk"",""ขอนแก่น!M303"")
+IMPORTRANGE(""https://docs.google.com/spreadsheets/d/1xQzEtGHhTTgxHh6YUkKY1P4dRyjVhS74dGswLfAASA4/edit?usp=share_link"",""ชัยภูมิ!M303"")+IMPORTRANGE(""https://docs.google.com/spreadsheets/d/1EXMBoBxU3OFbjT2TRpneM33qFjqDzrKmn9ydcfl"&amp;"fI0o/edit?usp=share_link"",""นครพนม!M303"")+IMPORTRANGE(""https://docs.google.com/spreadsheets/d/1bDQrolntRWtHumK8W-x-HXKntwxB9S3sF5aDeRS66Ko/edit?usp=share_link"",""นครราชสีมา!M303"")+IMPORTRANGE(""https://docs.google.com/spreadsheets/d/1_MzZ-2gVPiCW-d2V"&amp;"cafoCmFJQTSrZ6SQyFcMqRRQQ2w/edit?usp=share_link"",""บึงกาฬ!M303"")
+IMPORTRANGE(""https://docs.google.com/spreadsheets/d/1B3lPpzOuaNwVItLwLEZYl_qEblfcx7dRnbRkAw0l-pE/edit?usp=share_link"",""บุรีรัมย์!M303"")+IMPORTRANGE(""https://docs.google.com/spreadshe"&amp;"ets/d/19GOkiOqnzYbevLYWrMk4qFOXe3rX14BkSA8X-mq-a40/edit?usp=share_link"",""มหาสารคาม!M303"")+IMPORTRANGE(""https://docs.google.com/spreadsheets/d/1uMKqWwuNQ-TCKboGA3Bb1qXb5uj2-faACNUINCz8PN4/edit?usp=share_link"",""มุกดาหาร!M303"")+IMPORTRANGE(""https://d"&amp;"ocs.google.com/spreadsheets/d/1oKaccgDdQABndOzGr688Dbfxb_V3YcF67VqEPBtdzsc/edit?usp=share_link"",""ยโสธร!M303"")+IMPORTRANGE(""https://docs.google.com/spreadsheets/d/1BRgc8xKpxZ0PX-gauieMVkV_IOxKSotf0yW8MabGprQ/edit?usp=share_link"",""ร้อยเอ็ด!M303"")+IMP"&amp;"ORTRANGE(""https://docs.google.com/spreadsheets/d/1IdolZc-dfdgMwAm_KZxYJl1sUOcIgnbGQzbWOlddedo/edit?usp=share_link"",""เลย!M303"")+IMPORTRANGE(""https://docs.google.com/spreadsheets/d/1tZ0nmtGuIRCaGAMXHlQU8EpR9LOAJvyKfc4f7EFmE34/edit?usp=share_link"",""ศร"&amp;"ีสะเกษ!M303"")+IMPORTRANGE(""https://docs.google.com/spreadsheets/d/1QC8psz9w0f9IVE9Xuc2FT_btkaOzZbbUSgYObpBuetM/edit?usp=share_link"",""สกลนคร!M303"")+IMPORTRANGE(""https://docs.google.com/spreadsheets/d/1wPdvRbu02d33MYVlbsCnyTiZpefEBs9NNktAnT1HZvw/edit?"&amp;"usp=share_link"",""สุรินทร์!M303"")+IMPORTRANGE(""https://docs.google.com/spreadsheets/d/1GVExpf-Exi_2gmuqTYH28fseTB9MoKPXWcXCbSt_YrM/edit?usp=share_link"",""หนองคาย!M303"")+IMPORTRANGE(""https://docs.google.com/spreadsheets/d/16UeMz0UgOB5BZcoxP75eYGcLFtG"&amp;"YRn9GoesD4OX9m5U/edit?usp=share_link"",""หนองบัวลำภู!M303"")+IMPORTRANGE(""https://docs.google.com/spreadsheets/d/1uUP8Zo1-qaJLuIkRU0qlwLSE3DHkbdrrj2JGJiWBQZE/edit?usp=share_link"",""อำนาจเจริญ!M303"")+IMPORTRANGE(""https://docs.google.com/spreadsheets/d/"&amp;"1hb_taSOHanzRjqfzWPiFo8yiT83VV1L7vvUCLhOiHKc/edit?usp=share_link"",""อุดรธานี!M303"")+IMPORTRANGE(""https://docs.google.com/spreadsheets/d/17IOkEwkUd63EGNfyNDnM5de9YlZ7rwzTiW6-dokVjKI/edit?usp=share_link"",""อุบลราชธานี!M303"")
"),1684620)</f>
        <v>1684620</v>
      </c>
      <c r="N303" s="45">
        <f ca="1">IFERROR(__xludf.DUMMYFUNCTION("IMPORTRANGE(""https://docs.google.com/spreadsheets/d/1fb2B9NLcpJgjIieIJvenUTNPn0TimZDUi0OtYeiSQ_s/edit?usp=share_link"",""กาฬสินธุ์!N303"")+IMPORTRANGE(""https://docs.google.com/spreadsheets/d/1SaMnqrwRGmFYNR0MhpWmHuL5niYUd5E7vDq8X7whAlI/edit?usp=share_li"&amp;"nk"",""ขอนแก่น!N303"")
+IMPORTRANGE(""https://docs.google.com/spreadsheets/d/1xQzEtGHhTTgxHh6YUkKY1P4dRyjVhS74dGswLfAASA4/edit?usp=share_link"",""ชัยภูมิ!N303"")+IMPORTRANGE(""https://docs.google.com/spreadsheets/d/1EXMBoBxU3OFbjT2TRpneM33qFjqDzrKmn9ydcfl"&amp;"fI0o/edit?usp=share_link"",""นครพนม!N303"")+IMPORTRANGE(""https://docs.google.com/spreadsheets/d/1bDQrolntRWtHumK8W-x-HXKntwxB9S3sF5aDeRS66Ko/edit?usp=share_link"",""นครราชสีมา!N303"")+IMPORTRANGE(""https://docs.google.com/spreadsheets/d/1_MzZ-2gVPiCW-d2V"&amp;"cafoCmFJQTSrZ6SQyFcMqRRQQ2w/edit?usp=share_link"",""บึงกาฬ!N303"")
+IMPORTRANGE(""https://docs.google.com/spreadsheets/d/1B3lPpzOuaNwVItLwLEZYl_qEblfcx7dRnbRkAw0l-pE/edit?usp=share_link"",""บุรีรัมย์!N303"")+IMPORTRANGE(""https://docs.google.com/spreadshe"&amp;"ets/d/19GOkiOqnzYbevLYWrMk4qFOXe3rX14BkSA8X-mq-a40/edit?usp=share_link"",""มหาสารคาม!N303"")+IMPORTRANGE(""https://docs.google.com/spreadsheets/d/1uMKqWwuNQ-TCKboGA3Bb1qXb5uj2-faACNUINCz8PN4/edit?usp=share_link"",""มุกดาหาร!N303"")+IMPORTRANGE(""https://d"&amp;"ocs.google.com/spreadsheets/d/1oKaccgDdQABndOzGr688Dbfxb_V3YcF67VqEPBtdzsc/edit?usp=share_link"",""ยโสธร!N303"")+IMPORTRANGE(""https://docs.google.com/spreadsheets/d/1BRgc8xKpxZ0PX-gauieMVkV_IOxKSotf0yW8MabGprQ/edit?usp=share_link"",""ร้อยเอ็ด!N303"")+IMP"&amp;"ORTRANGE(""https://docs.google.com/spreadsheets/d/1IdolZc-dfdgMwAm_KZxYJl1sUOcIgnbGQzbWOlddedo/edit?usp=share_link"",""เลย!N303"")+IMPORTRANGE(""https://docs.google.com/spreadsheets/d/1tZ0nmtGuIRCaGAMXHlQU8EpR9LOAJvyKfc4f7EFmE34/edit?usp=share_link"",""ศร"&amp;"ีสะเกษ!N303"")+IMPORTRANGE(""https://docs.google.com/spreadsheets/d/1QC8psz9w0f9IVE9Xuc2FT_btkaOzZbbUSgYObpBuetM/edit?usp=share_link"",""สกลนคร!N303"")+IMPORTRANGE(""https://docs.google.com/spreadsheets/d/1wPdvRbu02d33MYVlbsCnyTiZpefEBs9NNktAnT1HZvw/edit?"&amp;"usp=share_link"",""สุรินทร์!N303"")+IMPORTRANGE(""https://docs.google.com/spreadsheets/d/1GVExpf-Exi_2gmuqTYH28fseTB9MoKPXWcXCbSt_YrM/edit?usp=share_link"",""หนองคาย!N303"")+IMPORTRANGE(""https://docs.google.com/spreadsheets/d/16UeMz0UgOB5BZcoxP75eYGcLFtG"&amp;"YRn9GoesD4OX9m5U/edit?usp=share_link"",""หนองบัวลำภู!N303"")+IMPORTRANGE(""https://docs.google.com/spreadsheets/d/1uUP8Zo1-qaJLuIkRU0qlwLSE3DHkbdrrj2JGJiWBQZE/edit?usp=share_link"",""อำนาจเจริญ!N303"")+IMPORTRANGE(""https://docs.google.com/spreadsheets/d/"&amp;"1hb_taSOHanzRjqfzWPiFo8yiT83VV1L7vvUCLhOiHKc/edit?usp=share_link"",""อุดรธานี!N303"")+IMPORTRANGE(""https://docs.google.com/spreadsheets/d/17IOkEwkUd63EGNfyNDnM5de9YlZ7rwzTiW6-dokVjKI/edit?usp=share_link"",""อุบลราชธานี!N303"")
"),1684620)</f>
        <v>1684620</v>
      </c>
      <c r="O303" s="45">
        <f t="shared" ca="1" si="159"/>
        <v>106.66202355324806</v>
      </c>
      <c r="P303" s="45">
        <f t="shared" ca="1" si="160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fb2B9NLcpJgjIieIJvenUTNPn0TimZDUi0OtYeiSQ_s/edit?usp=share_link"",""กาฬสินธุ์!L306"")+IMPORTRANGE(""https://docs.google.com/spreadsheets/d/1SaMnqrwRGmFYNR0MhpWmHuL5niYUd5E7vDq8X7whAlI/edit?usp=share_li"&amp;"nk"",""ขอนแก่น!L306"")
+IMPORTRANGE(""https://docs.google.com/spreadsheets/d/1xQzEtGHhTTgxHh6YUkKY1P4dRyjVhS74dGswLfAASA4/edit?usp=share_link"",""ชัยภูมิ!L306"")+IMPORTRANGE(""https://docs.google.com/spreadsheets/d/1EXMBoBxU3OFbjT2TRpneM33qFjqDzrKmn9ydcfl"&amp;"fI0o/edit?usp=share_link"",""นครพนม!L306"")+IMPORTRANGE(""https://docs.google.com/spreadsheets/d/1bDQrolntRWtHumK8W-x-HXKntwxB9S3sF5aDeRS66Ko/edit?usp=share_link"",""นครราชสีมา!L306"")+IMPORTRANGE(""https://docs.google.com/spreadsheets/d/1_MzZ-2gVPiCW-d2V"&amp;"cafoCmFJQTSrZ6SQyFcMqRRQQ2w/edit?usp=share_link"",""บึงกาฬ!L306"")
+IMPORTRANGE(""https://docs.google.com/spreadsheets/d/1B3lPpzOuaNwVItLwLEZYl_qEblfcx7dRnbRkAw0l-pE/edit?usp=share_link"",""บุรีรัมย์!L306"")+IMPORTRANGE(""https://docs.google.com/spreadshe"&amp;"ets/d/19GOkiOqnzYbevLYWrMk4qFOXe3rX14BkSA8X-mq-a40/edit?usp=share_link"",""มหาสารคาม!L306"")+IMPORTRANGE(""https://docs.google.com/spreadsheets/d/1uMKqWwuNQ-TCKboGA3Bb1qXb5uj2-faACNUINCz8PN4/edit?usp=share_link"",""มุกดาหาร!L306"")+IMPORTRANGE(""https://d"&amp;"ocs.google.com/spreadsheets/d/1oKaccgDdQABndOzGr688Dbfxb_V3YcF67VqEPBtdzsc/edit?usp=share_link"",""ยโสธร!L306"")+IMPORTRANGE(""https://docs.google.com/spreadsheets/d/1BRgc8xKpxZ0PX-gauieMVkV_IOxKSotf0yW8MabGprQ/edit?usp=share_link"",""ร้อยเอ็ด!L306"")+IMP"&amp;"ORTRANGE(""https://docs.google.com/spreadsheets/d/1IdolZc-dfdgMwAm_KZxYJl1sUOcIgnbGQzbWOlddedo/edit?usp=share_link"",""เลย!L306"")+IMPORTRANGE(""https://docs.google.com/spreadsheets/d/1tZ0nmtGuIRCaGAMXHlQU8EpR9LOAJvyKfc4f7EFmE34/edit?usp=share_link"",""ศร"&amp;"ีสะเกษ!L306"")+IMPORTRANGE(""https://docs.google.com/spreadsheets/d/1QC8psz9w0f9IVE9Xuc2FT_btkaOzZbbUSgYObpBuetM/edit?usp=share_link"",""สกลนคร!L306"")+IMPORTRANGE(""https://docs.google.com/spreadsheets/d/1wPdvRbu02d33MYVlbsCnyTiZpefEBs9NNktAnT1HZvw/edit?"&amp;"usp=share_link"",""สุรินทร์!L306"")+IMPORTRANGE(""https://docs.google.com/spreadsheets/d/1GVExpf-Exi_2gmuqTYH28fseTB9MoKPXWcXCbSt_YrM/edit?usp=share_link"",""หนองคาย!L306"")+IMPORTRANGE(""https://docs.google.com/spreadsheets/d/16UeMz0UgOB5BZcoxP75eYGcLFtG"&amp;"YRn9GoesD4OX9m5U/edit?usp=share_link"",""หนองบัวลำภู!L306"")+IMPORTRANGE(""https://docs.google.com/spreadsheets/d/1uUP8Zo1-qaJLuIkRU0qlwLSE3DHkbdrrj2JGJiWBQZE/edit?usp=share_link"",""อำนาจเจริญ!L306"")+IMPORTRANGE(""https://docs.google.com/spreadsheets/d/"&amp;"1hb_taSOHanzRjqfzWPiFo8yiT83VV1L7vvUCLhOiHKc/edit?usp=share_link"",""อุดรธานี!L306"")+IMPORTRANGE(""https://docs.google.com/spreadsheets/d/17IOkEwkUd63EGNfyNDnM5de9YlZ7rwzTiW6-dokVjKI/edit?usp=share_link"",""อุบลราชธานี!L306"")
"),0)</f>
        <v>0</v>
      </c>
      <c r="M306" s="45">
        <f ca="1">IFERROR(__xludf.DUMMYFUNCTION("IMPORTRANGE(""https://docs.google.com/spreadsheets/d/1fb2B9NLcpJgjIieIJvenUTNPn0TimZDUi0OtYeiSQ_s/edit?usp=share_link"",""กาฬสินธุ์!M306"")+IMPORTRANGE(""https://docs.google.com/spreadsheets/d/1SaMnqrwRGmFYNR0MhpWmHuL5niYUd5E7vDq8X7whAlI/edit?usp=share_li"&amp;"nk"",""ขอนแก่น!M306"")
+IMPORTRANGE(""https://docs.google.com/spreadsheets/d/1xQzEtGHhTTgxHh6YUkKY1P4dRyjVhS74dGswLfAASA4/edit?usp=share_link"",""ชัยภูมิ!M306"")+IMPORTRANGE(""https://docs.google.com/spreadsheets/d/1EXMBoBxU3OFbjT2TRpneM33qFjqDzrKmn9ydcfl"&amp;"fI0o/edit?usp=share_link"",""นครพนม!M306"")+IMPORTRANGE(""https://docs.google.com/spreadsheets/d/1bDQrolntRWtHumK8W-x-HXKntwxB9S3sF5aDeRS66Ko/edit?usp=share_link"",""นครราชสีมา!M306"")+IMPORTRANGE(""https://docs.google.com/spreadsheets/d/1_MzZ-2gVPiCW-d2V"&amp;"cafoCmFJQTSrZ6SQyFcMqRRQQ2w/edit?usp=share_link"",""บึงกาฬ!M306"")
+IMPORTRANGE(""https://docs.google.com/spreadsheets/d/1B3lPpzOuaNwVItLwLEZYl_qEblfcx7dRnbRkAw0l-pE/edit?usp=share_link"",""บุรีรัมย์!M306"")+IMPORTRANGE(""https://docs.google.com/spreadshe"&amp;"ets/d/19GOkiOqnzYbevLYWrMk4qFOXe3rX14BkSA8X-mq-a40/edit?usp=share_link"",""มหาสารคาม!M306"")+IMPORTRANGE(""https://docs.google.com/spreadsheets/d/1uMKqWwuNQ-TCKboGA3Bb1qXb5uj2-faACNUINCz8PN4/edit?usp=share_link"",""มุกดาหาร!M306"")+IMPORTRANGE(""https://d"&amp;"ocs.google.com/spreadsheets/d/1oKaccgDdQABndOzGr688Dbfxb_V3YcF67VqEPBtdzsc/edit?usp=share_link"",""ยโสธร!M306"")+IMPORTRANGE(""https://docs.google.com/spreadsheets/d/1BRgc8xKpxZ0PX-gauieMVkV_IOxKSotf0yW8MabGprQ/edit?usp=share_link"",""ร้อยเอ็ด!M306"")+IMP"&amp;"ORTRANGE(""https://docs.google.com/spreadsheets/d/1IdolZc-dfdgMwAm_KZxYJl1sUOcIgnbGQzbWOlddedo/edit?usp=share_link"",""เลย!M306"")+IMPORTRANGE(""https://docs.google.com/spreadsheets/d/1tZ0nmtGuIRCaGAMXHlQU8EpR9LOAJvyKfc4f7EFmE34/edit?usp=share_link"",""ศร"&amp;"ีสะเกษ!M306"")+IMPORTRANGE(""https://docs.google.com/spreadsheets/d/1QC8psz9w0f9IVE9Xuc2FT_btkaOzZbbUSgYObpBuetM/edit?usp=share_link"",""สกลนคร!M306"")+IMPORTRANGE(""https://docs.google.com/spreadsheets/d/1wPdvRbu02d33MYVlbsCnyTiZpefEBs9NNktAnT1HZvw/edit?"&amp;"usp=share_link"",""สุรินทร์!M306"")+IMPORTRANGE(""https://docs.google.com/spreadsheets/d/1GVExpf-Exi_2gmuqTYH28fseTB9MoKPXWcXCbSt_YrM/edit?usp=share_link"",""หนองคาย!M306"")+IMPORTRANGE(""https://docs.google.com/spreadsheets/d/16UeMz0UgOB5BZcoxP75eYGcLFtG"&amp;"YRn9GoesD4OX9m5U/edit?usp=share_link"",""หนองบัวลำภู!M306"")+IMPORTRANGE(""https://docs.google.com/spreadsheets/d/1uUP8Zo1-qaJLuIkRU0qlwLSE3DHkbdrrj2JGJiWBQZE/edit?usp=share_link"",""อำนาจเจริญ!M306"")+IMPORTRANGE(""https://docs.google.com/spreadsheets/d/"&amp;"1hb_taSOHanzRjqfzWPiFo8yiT83VV1L7vvUCLhOiHKc/edit?usp=share_link"",""อุดรธานี!M306"")+IMPORTRANGE(""https://docs.google.com/spreadsheets/d/17IOkEwkUd63EGNfyNDnM5de9YlZ7rwzTiW6-dokVjKI/edit?usp=share_link"",""อุบลราชธานี!M306"")
"),0)</f>
        <v>0</v>
      </c>
      <c r="N306" s="45">
        <f ca="1">IFERROR(__xludf.DUMMYFUNCTION("IMPORTRANGE(""https://docs.google.com/spreadsheets/d/1fb2B9NLcpJgjIieIJvenUTNPn0TimZDUi0OtYeiSQ_s/edit?usp=share_link"",""กาฬสินธุ์!N306"")+IMPORTRANGE(""https://docs.google.com/spreadsheets/d/1SaMnqrwRGmFYNR0MhpWmHuL5niYUd5E7vDq8X7whAlI/edit?usp=share_li"&amp;"nk"",""ขอนแก่น!N306"")
+IMPORTRANGE(""https://docs.google.com/spreadsheets/d/1xQzEtGHhTTgxHh6YUkKY1P4dRyjVhS74dGswLfAASA4/edit?usp=share_link"",""ชัยภูมิ!N306"")+IMPORTRANGE(""https://docs.google.com/spreadsheets/d/1EXMBoBxU3OFbjT2TRpneM33qFjqDzrKmn9ydcfl"&amp;"fI0o/edit?usp=share_link"",""นครพนม!N306"")+IMPORTRANGE(""https://docs.google.com/spreadsheets/d/1bDQrolntRWtHumK8W-x-HXKntwxB9S3sF5aDeRS66Ko/edit?usp=share_link"",""นครราชสีมา!N306"")+IMPORTRANGE(""https://docs.google.com/spreadsheets/d/1_MzZ-2gVPiCW-d2V"&amp;"cafoCmFJQTSrZ6SQyFcMqRRQQ2w/edit?usp=share_link"",""บึงกาฬ!N306"")
+IMPORTRANGE(""https://docs.google.com/spreadsheets/d/1B3lPpzOuaNwVItLwLEZYl_qEblfcx7dRnbRkAw0l-pE/edit?usp=share_link"",""บุรีรัมย์!N306"")+IMPORTRANGE(""https://docs.google.com/spreadshe"&amp;"ets/d/19GOkiOqnzYbevLYWrMk4qFOXe3rX14BkSA8X-mq-a40/edit?usp=share_link"",""มหาสารคาม!N306"")+IMPORTRANGE(""https://docs.google.com/spreadsheets/d/1uMKqWwuNQ-TCKboGA3Bb1qXb5uj2-faACNUINCz8PN4/edit?usp=share_link"",""มุกดาหาร!N306"")+IMPORTRANGE(""https://d"&amp;"ocs.google.com/spreadsheets/d/1oKaccgDdQABndOzGr688Dbfxb_V3YcF67VqEPBtdzsc/edit?usp=share_link"",""ยโสธร!N306"")+IMPORTRANGE(""https://docs.google.com/spreadsheets/d/1BRgc8xKpxZ0PX-gauieMVkV_IOxKSotf0yW8MabGprQ/edit?usp=share_link"",""ร้อยเอ็ด!N306"")+IMP"&amp;"ORTRANGE(""https://docs.google.com/spreadsheets/d/1IdolZc-dfdgMwAm_KZxYJl1sUOcIgnbGQzbWOlddedo/edit?usp=share_link"",""เลย!N306"")+IMPORTRANGE(""https://docs.google.com/spreadsheets/d/1tZ0nmtGuIRCaGAMXHlQU8EpR9LOAJvyKfc4f7EFmE34/edit?usp=share_link"",""ศร"&amp;"ีสะเกษ!N306"")+IMPORTRANGE(""https://docs.google.com/spreadsheets/d/1QC8psz9w0f9IVE9Xuc2FT_btkaOzZbbUSgYObpBuetM/edit?usp=share_link"",""สกลนคร!N306"")+IMPORTRANGE(""https://docs.google.com/spreadsheets/d/1wPdvRbu02d33MYVlbsCnyTiZpefEBs9NNktAnT1HZvw/edit?"&amp;"usp=share_link"",""สุรินทร์!N306"")+IMPORTRANGE(""https://docs.google.com/spreadsheets/d/1GVExpf-Exi_2gmuqTYH28fseTB9MoKPXWcXCbSt_YrM/edit?usp=share_link"",""หนองคาย!N306"")+IMPORTRANGE(""https://docs.google.com/spreadsheets/d/16UeMz0UgOB5BZcoxP75eYGcLFtG"&amp;"YRn9GoesD4OX9m5U/edit?usp=share_link"",""หนองบัวลำภู!N306"")+IMPORTRANGE(""https://docs.google.com/spreadsheets/d/1uUP8Zo1-qaJLuIkRU0qlwLSE3DHkbdrrj2JGJiWBQZE/edit?usp=share_link"",""อำนาจเจริญ!N306"")+IMPORTRANGE(""https://docs.google.com/spreadsheets/d/"&amp;"1hb_taSOHanzRjqfzWPiFo8yiT83VV1L7vvUCLhOiHKc/edit?usp=share_link"",""อุดรธานี!N306"")+IMPORTRANGE(""https://docs.google.com/spreadsheets/d/17IOkEwkUd63EGNfyNDnM5de9YlZ7rwzTiW6-dokVjKI/edit?usp=share_link"",""อุบลราชธานี!N306"")
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fb2B9NLcpJgjIieIJvenUTNPn0TimZDUi0OtYeiSQ_s/edit?usp=share_link"",""กาฬสินธุ์!J308"")+IMPORTRANGE(""https://docs.google.com/spreadsheets/d/1SaMnqrwRGmFYNR0MhpWmHuL5niYUd5E7vDq8X7whAlI/edit?usp=share_li"&amp;"nk"",""ขอนแก่น!J308"")
+IMPORTRANGE(""https://docs.google.com/spreadsheets/d/1xQzEtGHhTTgxHh6YUkKY1P4dRyjVhS74dGswLfAASA4/edit?usp=share_link"",""ชัยภูมิ!J308"")+IMPORTRANGE(""https://docs.google.com/spreadsheets/d/1EXMBoBxU3OFbjT2TRpneM33qFjqDzrKmn9ydcfl"&amp;"fI0o/edit?usp=share_link"",""นครพนม!J308"")+IMPORTRANGE(""https://docs.google.com/spreadsheets/d/1bDQrolntRWtHumK8W-x-HXKntwxB9S3sF5aDeRS66Ko/edit?usp=share_link"",""นครราชสีมา!J308"")+IMPORTRANGE(""https://docs.google.com/spreadsheets/d/1_MzZ-2gVPiCW-d2V"&amp;"cafoCmFJQTSrZ6SQyFcMqRRQQ2w/edit?usp=share_link"",""บึงกาฬ!J308"")
+IMPORTRANGE(""https://docs.google.com/spreadsheets/d/1B3lPpzOuaNwVItLwLEZYl_qEblfcx7dRnbRkAw0l-pE/edit?usp=share_link"",""บุรีรัมย์!J308"")+IMPORTRANGE(""https://docs.google.com/spreadshe"&amp;"ets/d/19GOkiOqnzYbevLYWrMk4qFOXe3rX14BkSA8X-mq-a40/edit?usp=share_link"",""มหาสารคาม!J308"")+IMPORTRANGE(""https://docs.google.com/spreadsheets/d/1uMKqWwuNQ-TCKboGA3Bb1qXb5uj2-faACNUINCz8PN4/edit?usp=share_link"",""มุกดาหาร!J308"")+IMPORTRANGE(""https://d"&amp;"ocs.google.com/spreadsheets/d/1oKaccgDdQABndOzGr688Dbfxb_V3YcF67VqEPBtdzsc/edit?usp=share_link"",""ยโสธร!J308"")+IMPORTRANGE(""https://docs.google.com/spreadsheets/d/1BRgc8xKpxZ0PX-gauieMVkV_IOxKSotf0yW8MabGprQ/edit?usp=share_link"",""ร้อยเอ็ด!J308"")+IMP"&amp;"ORTRANGE(""https://docs.google.com/spreadsheets/d/1IdolZc-dfdgMwAm_KZxYJl1sUOcIgnbGQzbWOlddedo/edit?usp=share_link"",""เลย!J308"")+IMPORTRANGE(""https://docs.google.com/spreadsheets/d/1tZ0nmtGuIRCaGAMXHlQU8EpR9LOAJvyKfc4f7EFmE34/edit?usp=share_link"",""ศร"&amp;"ีสะเกษ!J308"")+IMPORTRANGE(""https://docs.google.com/spreadsheets/d/1QC8psz9w0f9IVE9Xuc2FT_btkaOzZbbUSgYObpBuetM/edit?usp=share_link"",""สกลนคร!J308"")+IMPORTRANGE(""https://docs.google.com/spreadsheets/d/1wPdvRbu02d33MYVlbsCnyTiZpefEBs9NNktAnT1HZvw/edit?"&amp;"usp=share_link"",""สุรินทร์!J308"")+IMPORTRANGE(""https://docs.google.com/spreadsheets/d/1GVExpf-Exi_2gmuqTYH28fseTB9MoKPXWcXCbSt_YrM/edit?usp=share_link"",""หนองคาย!J308"")+IMPORTRANGE(""https://docs.google.com/spreadsheets/d/16UeMz0UgOB5BZcoxP75eYGcLFtG"&amp;"YRn9GoesD4OX9m5U/edit?usp=share_link"",""หนองบัวลำภู!J308"")+IMPORTRANGE(""https://docs.google.com/spreadsheets/d/1uUP8Zo1-qaJLuIkRU0qlwLSE3DHkbdrrj2JGJiWBQZE/edit?usp=share_link"",""อำนาจเจริญ!J308"")+IMPORTRANGE(""https://docs.google.com/spreadsheets/d/"&amp;"1hb_taSOHanzRjqfzWPiFo8yiT83VV1L7vvUCLhOiHKc/edit?usp=share_link"",""อุดรธานี!J308"")+IMPORTRANGE(""https://docs.google.com/spreadsheets/d/17IOkEwkUd63EGNfyNDnM5de9YlZ7rwzTiW6-dokVjKI/edit?usp=share_link"",""อุบลราชธานี!J308"")
"),12)</f>
        <v>12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fb2B9NLcpJgjIieIJvenUTNPn0TimZDUi0OtYeiSQ_s/edit?usp=share_link"",""กาฬสินธุ์!I309"")+IMPORTRANGE(""https://docs.google.com/spreadsheets/d/1SaMnqrwRGmFYNR0MhpWmHuL5niYUd5E7vDq8X7whAlI/edit?usp=share_li"&amp;"nk"",""ขอนแก่น!I309"")
+IMPORTRANGE(""https://docs.google.com/spreadsheets/d/1xQzEtGHhTTgxHh6YUkKY1P4dRyjVhS74dGswLfAASA4/edit?usp=share_link"",""ชัยภูมิ!I309"")+IMPORTRANGE(""https://docs.google.com/spreadsheets/d/1EXMBoBxU3OFbjT2TRpneM33qFjqDzrKmn9ydcfl"&amp;"fI0o/edit?usp=share_link"",""นครพนม!I309"")+IMPORTRANGE(""https://docs.google.com/spreadsheets/d/1bDQrolntRWtHumK8W-x-HXKntwxB9S3sF5aDeRS66Ko/edit?usp=share_link"",""นครราชสีมา!I309"")+IMPORTRANGE(""https://docs.google.com/spreadsheets/d/1_MzZ-2gVPiCW-d2V"&amp;"cafoCmFJQTSrZ6SQyFcMqRRQQ2w/edit?usp=share_link"",""บึงกาฬ!I309"")
+IMPORTRANGE(""https://docs.google.com/spreadsheets/d/1B3lPpzOuaNwVItLwLEZYl_qEblfcx7dRnbRkAw0l-pE/edit?usp=share_link"",""บุรีรัมย์!I309"")+IMPORTRANGE(""https://docs.google.com/spreadshe"&amp;"ets/d/19GOkiOqnzYbevLYWrMk4qFOXe3rX14BkSA8X-mq-a40/edit?usp=share_link"",""มหาสารคาม!I309"")+IMPORTRANGE(""https://docs.google.com/spreadsheets/d/1uMKqWwuNQ-TCKboGA3Bb1qXb5uj2-faACNUINCz8PN4/edit?usp=share_link"",""มุกดาหาร!I309"")+IMPORTRANGE(""https://d"&amp;"ocs.google.com/spreadsheets/d/1oKaccgDdQABndOzGr688Dbfxb_V3YcF67VqEPBtdzsc/edit?usp=share_link"",""ยโสธร!I309"")+IMPORTRANGE(""https://docs.google.com/spreadsheets/d/1BRgc8xKpxZ0PX-gauieMVkV_IOxKSotf0yW8MabGprQ/edit?usp=share_link"",""ร้อยเอ็ด!I309"")+IMP"&amp;"ORTRANGE(""https://docs.google.com/spreadsheets/d/1IdolZc-dfdgMwAm_KZxYJl1sUOcIgnbGQzbWOlddedo/edit?usp=share_link"",""เลย!I309"")+IMPORTRANGE(""https://docs.google.com/spreadsheets/d/1tZ0nmtGuIRCaGAMXHlQU8EpR9LOAJvyKfc4f7EFmE34/edit?usp=share_link"",""ศร"&amp;"ีสะเกษ!I309"")+IMPORTRANGE(""https://docs.google.com/spreadsheets/d/1QC8psz9w0f9IVE9Xuc2FT_btkaOzZbbUSgYObpBuetM/edit?usp=share_link"",""สกลนคร!I309"")+IMPORTRANGE(""https://docs.google.com/spreadsheets/d/1wPdvRbu02d33MYVlbsCnyTiZpefEBs9NNktAnT1HZvw/edit?"&amp;"usp=share_link"",""สุรินทร์!I309"")+IMPORTRANGE(""https://docs.google.com/spreadsheets/d/1GVExpf-Exi_2gmuqTYH28fseTB9MoKPXWcXCbSt_YrM/edit?usp=share_link"",""หนองคาย!I309"")+IMPORTRANGE(""https://docs.google.com/spreadsheets/d/16UeMz0UgOB5BZcoxP75eYGcLFtG"&amp;"YRn9GoesD4OX9m5U/edit?usp=share_link"",""หนองบัวลำภู!I309"")+IMPORTRANGE(""https://docs.google.com/spreadsheets/d/1uUP8Zo1-qaJLuIkRU0qlwLSE3DHkbdrrj2JGJiWBQZE/edit?usp=share_link"",""อำนาจเจริญ!I309"")+IMPORTRANGE(""https://docs.google.com/spreadsheets/d/"&amp;"1hb_taSOHanzRjqfzWPiFo8yiT83VV1L7vvUCLhOiHKc/edit?usp=share_link"",""อุดรธานี!I309"")+IMPORTRANGE(""https://docs.google.com/spreadsheets/d/17IOkEwkUd63EGNfyNDnM5de9YlZ7rwzTiW6-dokVjKI/edit?usp=share_link"",""อุบลราชธานี!I309"")
"),245)</f>
        <v>245</v>
      </c>
      <c r="J309" s="183">
        <f ca="1">IFERROR(__xludf.DUMMYFUNCTION("IMPORTRANGE(""https://docs.google.com/spreadsheets/d/1fb2B9NLcpJgjIieIJvenUTNPn0TimZDUi0OtYeiSQ_s/edit?usp=share_link"",""กาฬสินธุ์!J309"")+IMPORTRANGE(""https://docs.google.com/spreadsheets/d/1SaMnqrwRGmFYNR0MhpWmHuL5niYUd5E7vDq8X7whAlI/edit?usp=share_li"&amp;"nk"",""ขอนแก่น!J309"")
+IMPORTRANGE(""https://docs.google.com/spreadsheets/d/1xQzEtGHhTTgxHh6YUkKY1P4dRyjVhS74dGswLfAASA4/edit?usp=share_link"",""ชัยภูมิ!J309"")+IMPORTRANGE(""https://docs.google.com/spreadsheets/d/1EXMBoBxU3OFbjT2TRpneM33qFjqDzrKmn9ydcfl"&amp;"fI0o/edit?usp=share_link"",""นครพนม!J309"")+IMPORTRANGE(""https://docs.google.com/spreadsheets/d/1bDQrolntRWtHumK8W-x-HXKntwxB9S3sF5aDeRS66Ko/edit?usp=share_link"",""นครราชสีมา!J309"")+IMPORTRANGE(""https://docs.google.com/spreadsheets/d/1_MzZ-2gVPiCW-d2V"&amp;"cafoCmFJQTSrZ6SQyFcMqRRQQ2w/edit?usp=share_link"",""บึงกาฬ!J309"")
+IMPORTRANGE(""https://docs.google.com/spreadsheets/d/1B3lPpzOuaNwVItLwLEZYl_qEblfcx7dRnbRkAw0l-pE/edit?usp=share_link"",""บุรีรัมย์!J309"")+IMPORTRANGE(""https://docs.google.com/spreadshe"&amp;"ets/d/19GOkiOqnzYbevLYWrMk4qFOXe3rX14BkSA8X-mq-a40/edit?usp=share_link"",""มหาสารคาม!J309"")+IMPORTRANGE(""https://docs.google.com/spreadsheets/d/1uMKqWwuNQ-TCKboGA3Bb1qXb5uj2-faACNUINCz8PN4/edit?usp=share_link"",""มุกดาหาร!J309"")+IMPORTRANGE(""https://d"&amp;"ocs.google.com/spreadsheets/d/1oKaccgDdQABndOzGr688Dbfxb_V3YcF67VqEPBtdzsc/edit?usp=share_link"",""ยโสธร!J309"")+IMPORTRANGE(""https://docs.google.com/spreadsheets/d/1BRgc8xKpxZ0PX-gauieMVkV_IOxKSotf0yW8MabGprQ/edit?usp=share_link"",""ร้อยเอ็ด!J309"")+IMP"&amp;"ORTRANGE(""https://docs.google.com/spreadsheets/d/1IdolZc-dfdgMwAm_KZxYJl1sUOcIgnbGQzbWOlddedo/edit?usp=share_link"",""เลย!J309"")+IMPORTRANGE(""https://docs.google.com/spreadsheets/d/1tZ0nmtGuIRCaGAMXHlQU8EpR9LOAJvyKfc4f7EFmE34/edit?usp=share_link"",""ศร"&amp;"ีสะเกษ!J309"")+IMPORTRANGE(""https://docs.google.com/spreadsheets/d/1QC8psz9w0f9IVE9Xuc2FT_btkaOzZbbUSgYObpBuetM/edit?usp=share_link"",""สกลนคร!J309"")+IMPORTRANGE(""https://docs.google.com/spreadsheets/d/1wPdvRbu02d33MYVlbsCnyTiZpefEBs9NNktAnT1HZvw/edit?"&amp;"usp=share_link"",""สุรินทร์!J309"")+IMPORTRANGE(""https://docs.google.com/spreadsheets/d/1GVExpf-Exi_2gmuqTYH28fseTB9MoKPXWcXCbSt_YrM/edit?usp=share_link"",""หนองคาย!J309"")+IMPORTRANGE(""https://docs.google.com/spreadsheets/d/16UeMz0UgOB5BZcoxP75eYGcLFtG"&amp;"YRn9GoesD4OX9m5U/edit?usp=share_link"",""หนองบัวลำภู!J309"")+IMPORTRANGE(""https://docs.google.com/spreadsheets/d/1uUP8Zo1-qaJLuIkRU0qlwLSE3DHkbdrrj2JGJiWBQZE/edit?usp=share_link"",""อำนาจเจริญ!J309"")+IMPORTRANGE(""https://docs.google.com/spreadsheets/d/"&amp;"1hb_taSOHanzRjqfzWPiFo8yiT83VV1L7vvUCLhOiHKc/edit?usp=share_link"",""อุดรธานี!J309"")+IMPORTRANGE(""https://docs.google.com/spreadsheets/d/17IOkEwkUd63EGNfyNDnM5de9YlZ7rwzTiW6-dokVjKI/edit?usp=share_link"",""อุบลราชธานี!J309"")
"),245)</f>
        <v>245</v>
      </c>
      <c r="K309" s="38">
        <f t="shared" ref="K309:K312" ca="1" si="165">IF(I309&gt;0,J309*100/I309,0)</f>
        <v>100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fb2B9NLcpJgjIieIJvenUTNPn0TimZDUi0OtYeiSQ_s/edit?usp=share_link"",""กาฬสินธุ์!I310"")+IMPORTRANGE(""https://docs.google.com/spreadsheets/d/1SaMnqrwRGmFYNR0MhpWmHuL5niYUd5E7vDq8X7whAlI/edit?usp=share_li"&amp;"nk"",""ขอนแก่น!I310"")
+IMPORTRANGE(""https://docs.google.com/spreadsheets/d/1xQzEtGHhTTgxHh6YUkKY1P4dRyjVhS74dGswLfAASA4/edit?usp=share_link"",""ชัยภูมิ!I310"")+IMPORTRANGE(""https://docs.google.com/spreadsheets/d/1EXMBoBxU3OFbjT2TRpneM33qFjqDzrKmn9ydcfl"&amp;"fI0o/edit?usp=share_link"",""นครพนม!I310"")+IMPORTRANGE(""https://docs.google.com/spreadsheets/d/1bDQrolntRWtHumK8W-x-HXKntwxB9S3sF5aDeRS66Ko/edit?usp=share_link"",""นครราชสีมา!I310"")+IMPORTRANGE(""https://docs.google.com/spreadsheets/d/1_MzZ-2gVPiCW-d2V"&amp;"cafoCmFJQTSrZ6SQyFcMqRRQQ2w/edit?usp=share_link"",""บึงกาฬ!I310"")
+IMPORTRANGE(""https://docs.google.com/spreadsheets/d/1B3lPpzOuaNwVItLwLEZYl_qEblfcx7dRnbRkAw0l-pE/edit?usp=share_link"",""บุรีรัมย์!I310"")+IMPORTRANGE(""https://docs.google.com/spreadshe"&amp;"ets/d/19GOkiOqnzYbevLYWrMk4qFOXe3rX14BkSA8X-mq-a40/edit?usp=share_link"",""มหาสารคาม!I310"")+IMPORTRANGE(""https://docs.google.com/spreadsheets/d/1uMKqWwuNQ-TCKboGA3Bb1qXb5uj2-faACNUINCz8PN4/edit?usp=share_link"",""มุกดาหาร!I310"")+IMPORTRANGE(""https://d"&amp;"ocs.google.com/spreadsheets/d/1oKaccgDdQABndOzGr688Dbfxb_V3YcF67VqEPBtdzsc/edit?usp=share_link"",""ยโสธร!I310"")+IMPORTRANGE(""https://docs.google.com/spreadsheets/d/1BRgc8xKpxZ0PX-gauieMVkV_IOxKSotf0yW8MabGprQ/edit?usp=share_link"",""ร้อยเอ็ด!I310"")+IMP"&amp;"ORTRANGE(""https://docs.google.com/spreadsheets/d/1IdolZc-dfdgMwAm_KZxYJl1sUOcIgnbGQzbWOlddedo/edit?usp=share_link"",""เลย!I310"")+IMPORTRANGE(""https://docs.google.com/spreadsheets/d/1tZ0nmtGuIRCaGAMXHlQU8EpR9LOAJvyKfc4f7EFmE34/edit?usp=share_link"",""ศร"&amp;"ีสะเกษ!I310"")+IMPORTRANGE(""https://docs.google.com/spreadsheets/d/1QC8psz9w0f9IVE9Xuc2FT_btkaOzZbbUSgYObpBuetM/edit?usp=share_link"",""สกลนคร!I310"")+IMPORTRANGE(""https://docs.google.com/spreadsheets/d/1wPdvRbu02d33MYVlbsCnyTiZpefEBs9NNktAnT1HZvw/edit?"&amp;"usp=share_link"",""สุรินทร์!I310"")+IMPORTRANGE(""https://docs.google.com/spreadsheets/d/1GVExpf-Exi_2gmuqTYH28fseTB9MoKPXWcXCbSt_YrM/edit?usp=share_link"",""หนองคาย!I310"")+IMPORTRANGE(""https://docs.google.com/spreadsheets/d/16UeMz0UgOB5BZcoxP75eYGcLFtG"&amp;"YRn9GoesD4OX9m5U/edit?usp=share_link"",""หนองบัวลำภู!I310"")+IMPORTRANGE(""https://docs.google.com/spreadsheets/d/1uUP8Zo1-qaJLuIkRU0qlwLSE3DHkbdrrj2JGJiWBQZE/edit?usp=share_link"",""อำนาจเจริญ!I310"")+IMPORTRANGE(""https://docs.google.com/spreadsheets/d/"&amp;"1hb_taSOHanzRjqfzWPiFo8yiT83VV1L7vvUCLhOiHKc/edit?usp=share_link"",""อุดรธานี!I310"")+IMPORTRANGE(""https://docs.google.com/spreadsheets/d/17IOkEwkUd63EGNfyNDnM5de9YlZ7rwzTiW6-dokVjKI/edit?usp=share_link"",""อุบลราชธานี!I310"")
"),245)</f>
        <v>245</v>
      </c>
      <c r="J310" s="183">
        <f ca="1">IFERROR(__xludf.DUMMYFUNCTION("IMPORTRANGE(""https://docs.google.com/spreadsheets/d/1fb2B9NLcpJgjIieIJvenUTNPn0TimZDUi0OtYeiSQ_s/edit?usp=share_link"",""กาฬสินธุ์!J310"")+IMPORTRANGE(""https://docs.google.com/spreadsheets/d/1SaMnqrwRGmFYNR0MhpWmHuL5niYUd5E7vDq8X7whAlI/edit?usp=share_li"&amp;"nk"",""ขอนแก่น!J310"")
+IMPORTRANGE(""https://docs.google.com/spreadsheets/d/1xQzEtGHhTTgxHh6YUkKY1P4dRyjVhS74dGswLfAASA4/edit?usp=share_link"",""ชัยภูมิ!J310"")+IMPORTRANGE(""https://docs.google.com/spreadsheets/d/1EXMBoBxU3OFbjT2TRpneM33qFjqDzrKmn9ydcfl"&amp;"fI0o/edit?usp=share_link"",""นครพนม!J310"")+IMPORTRANGE(""https://docs.google.com/spreadsheets/d/1bDQrolntRWtHumK8W-x-HXKntwxB9S3sF5aDeRS66Ko/edit?usp=share_link"",""นครราชสีมา!J310"")+IMPORTRANGE(""https://docs.google.com/spreadsheets/d/1_MzZ-2gVPiCW-d2V"&amp;"cafoCmFJQTSrZ6SQyFcMqRRQQ2w/edit?usp=share_link"",""บึงกาฬ!J310"")
+IMPORTRANGE(""https://docs.google.com/spreadsheets/d/1B3lPpzOuaNwVItLwLEZYl_qEblfcx7dRnbRkAw0l-pE/edit?usp=share_link"",""บุรีรัมย์!J310"")+IMPORTRANGE(""https://docs.google.com/spreadshe"&amp;"ets/d/19GOkiOqnzYbevLYWrMk4qFOXe3rX14BkSA8X-mq-a40/edit?usp=share_link"",""มหาสารคาม!J310"")+IMPORTRANGE(""https://docs.google.com/spreadsheets/d/1uMKqWwuNQ-TCKboGA3Bb1qXb5uj2-faACNUINCz8PN4/edit?usp=share_link"",""มุกดาหาร!J310"")+IMPORTRANGE(""https://d"&amp;"ocs.google.com/spreadsheets/d/1oKaccgDdQABndOzGr688Dbfxb_V3YcF67VqEPBtdzsc/edit?usp=share_link"",""ยโสธร!J310"")+IMPORTRANGE(""https://docs.google.com/spreadsheets/d/1BRgc8xKpxZ0PX-gauieMVkV_IOxKSotf0yW8MabGprQ/edit?usp=share_link"",""ร้อยเอ็ด!J310"")+IMP"&amp;"ORTRANGE(""https://docs.google.com/spreadsheets/d/1IdolZc-dfdgMwAm_KZxYJl1sUOcIgnbGQzbWOlddedo/edit?usp=share_link"",""เลย!J310"")+IMPORTRANGE(""https://docs.google.com/spreadsheets/d/1tZ0nmtGuIRCaGAMXHlQU8EpR9LOAJvyKfc4f7EFmE34/edit?usp=share_link"",""ศร"&amp;"ีสะเกษ!J310"")+IMPORTRANGE(""https://docs.google.com/spreadsheets/d/1QC8psz9w0f9IVE9Xuc2FT_btkaOzZbbUSgYObpBuetM/edit?usp=share_link"",""สกลนคร!J310"")+IMPORTRANGE(""https://docs.google.com/spreadsheets/d/1wPdvRbu02d33MYVlbsCnyTiZpefEBs9NNktAnT1HZvw/edit?"&amp;"usp=share_link"",""สุรินทร์!J310"")+IMPORTRANGE(""https://docs.google.com/spreadsheets/d/1GVExpf-Exi_2gmuqTYH28fseTB9MoKPXWcXCbSt_YrM/edit?usp=share_link"",""หนองคาย!J310"")+IMPORTRANGE(""https://docs.google.com/spreadsheets/d/16UeMz0UgOB5BZcoxP75eYGcLFtG"&amp;"YRn9GoesD4OX9m5U/edit?usp=share_link"",""หนองบัวลำภู!J310"")+IMPORTRANGE(""https://docs.google.com/spreadsheets/d/1uUP8Zo1-qaJLuIkRU0qlwLSE3DHkbdrrj2JGJiWBQZE/edit?usp=share_link"",""อำนาจเจริญ!J310"")+IMPORTRANGE(""https://docs.google.com/spreadsheets/d/"&amp;"1hb_taSOHanzRjqfzWPiFo8yiT83VV1L7vvUCLhOiHKc/edit?usp=share_link"",""อุดรธานี!J310"")+IMPORTRANGE(""https://docs.google.com/spreadsheets/d/17IOkEwkUd63EGNfyNDnM5de9YlZ7rwzTiW6-dokVjKI/edit?usp=share_link"",""อุบลราชธานี!J310"")
"),245)</f>
        <v>245</v>
      </c>
      <c r="K310" s="38">
        <f t="shared" ca="1" si="165"/>
        <v>100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fb2B9NLcpJgjIieIJvenUTNPn0TimZDUi0OtYeiSQ_s/edit?usp=share_link"",""กาฬสินธุ์!I311"")+IMPORTRANGE(""https://docs.google.com/spreadsheets/d/1SaMnqrwRGmFYNR0MhpWmHuL5niYUd5E7vDq8X7whAlI/edit?usp=share_li"&amp;"nk"",""ขอนแก่น!I311"")
+IMPORTRANGE(""https://docs.google.com/spreadsheets/d/1xQzEtGHhTTgxHh6YUkKY1P4dRyjVhS74dGswLfAASA4/edit?usp=share_link"",""ชัยภูมิ!I311"")+IMPORTRANGE(""https://docs.google.com/spreadsheets/d/1EXMBoBxU3OFbjT2TRpneM33qFjqDzrKmn9ydcfl"&amp;"fI0o/edit?usp=share_link"",""นครพนม!I311"")+IMPORTRANGE(""https://docs.google.com/spreadsheets/d/1bDQrolntRWtHumK8W-x-HXKntwxB9S3sF5aDeRS66Ko/edit?usp=share_link"",""นครราชสีมา!I311"")+IMPORTRANGE(""https://docs.google.com/spreadsheets/d/1_MzZ-2gVPiCW-d2V"&amp;"cafoCmFJQTSrZ6SQyFcMqRRQQ2w/edit?usp=share_link"",""บึงกาฬ!I311"")
+IMPORTRANGE(""https://docs.google.com/spreadsheets/d/1B3lPpzOuaNwVItLwLEZYl_qEblfcx7dRnbRkAw0l-pE/edit?usp=share_link"",""บุรีรัมย์!I311"")+IMPORTRANGE(""https://docs.google.com/spreadshe"&amp;"ets/d/19GOkiOqnzYbevLYWrMk4qFOXe3rX14BkSA8X-mq-a40/edit?usp=share_link"",""มหาสารคาม!I311"")+IMPORTRANGE(""https://docs.google.com/spreadsheets/d/1uMKqWwuNQ-TCKboGA3Bb1qXb5uj2-faACNUINCz8PN4/edit?usp=share_link"",""มุกดาหาร!I311"")+IMPORTRANGE(""https://d"&amp;"ocs.google.com/spreadsheets/d/1oKaccgDdQABndOzGr688Dbfxb_V3YcF67VqEPBtdzsc/edit?usp=share_link"",""ยโสธร!I311"")+IMPORTRANGE(""https://docs.google.com/spreadsheets/d/1BRgc8xKpxZ0PX-gauieMVkV_IOxKSotf0yW8MabGprQ/edit?usp=share_link"",""ร้อยเอ็ด!I311"")+IMP"&amp;"ORTRANGE(""https://docs.google.com/spreadsheets/d/1IdolZc-dfdgMwAm_KZxYJl1sUOcIgnbGQzbWOlddedo/edit?usp=share_link"",""เลย!I311"")+IMPORTRANGE(""https://docs.google.com/spreadsheets/d/1tZ0nmtGuIRCaGAMXHlQU8EpR9LOAJvyKfc4f7EFmE34/edit?usp=share_link"",""ศร"&amp;"ีสะเกษ!I311"")+IMPORTRANGE(""https://docs.google.com/spreadsheets/d/1QC8psz9w0f9IVE9Xuc2FT_btkaOzZbbUSgYObpBuetM/edit?usp=share_link"",""สกลนคร!I311"")+IMPORTRANGE(""https://docs.google.com/spreadsheets/d/1wPdvRbu02d33MYVlbsCnyTiZpefEBs9NNktAnT1HZvw/edit?"&amp;"usp=share_link"",""สุรินทร์!I311"")+IMPORTRANGE(""https://docs.google.com/spreadsheets/d/1GVExpf-Exi_2gmuqTYH28fseTB9MoKPXWcXCbSt_YrM/edit?usp=share_link"",""หนองคาย!I311"")+IMPORTRANGE(""https://docs.google.com/spreadsheets/d/16UeMz0UgOB5BZcoxP75eYGcLFtG"&amp;"YRn9GoesD4OX9m5U/edit?usp=share_link"",""หนองบัวลำภู!I311"")+IMPORTRANGE(""https://docs.google.com/spreadsheets/d/1uUP8Zo1-qaJLuIkRU0qlwLSE3DHkbdrrj2JGJiWBQZE/edit?usp=share_link"",""อำนาจเจริญ!I311"")+IMPORTRANGE(""https://docs.google.com/spreadsheets/d/"&amp;"1hb_taSOHanzRjqfzWPiFo8yiT83VV1L7vvUCLhOiHKc/edit?usp=share_link"",""อุดรธานี!I311"")+IMPORTRANGE(""https://docs.google.com/spreadsheets/d/17IOkEwkUd63EGNfyNDnM5de9YlZ7rwzTiW6-dokVjKI/edit?usp=share_link"",""อุบลราชธานี!I311"")
"),245)</f>
        <v>245</v>
      </c>
      <c r="J311" s="183">
        <f ca="1">IFERROR(__xludf.DUMMYFUNCTION("IMPORTRANGE(""https://docs.google.com/spreadsheets/d/1fb2B9NLcpJgjIieIJvenUTNPn0TimZDUi0OtYeiSQ_s/edit?usp=share_link"",""กาฬสินธุ์!J311"")+IMPORTRANGE(""https://docs.google.com/spreadsheets/d/1SaMnqrwRGmFYNR0MhpWmHuL5niYUd5E7vDq8X7whAlI/edit?usp=share_li"&amp;"nk"",""ขอนแก่น!J311"")
+IMPORTRANGE(""https://docs.google.com/spreadsheets/d/1xQzEtGHhTTgxHh6YUkKY1P4dRyjVhS74dGswLfAASA4/edit?usp=share_link"",""ชัยภูมิ!J311"")+IMPORTRANGE(""https://docs.google.com/spreadsheets/d/1EXMBoBxU3OFbjT2TRpneM33qFjqDzrKmn9ydcfl"&amp;"fI0o/edit?usp=share_link"",""นครพนม!J311"")+IMPORTRANGE(""https://docs.google.com/spreadsheets/d/1bDQrolntRWtHumK8W-x-HXKntwxB9S3sF5aDeRS66Ko/edit?usp=share_link"",""นครราชสีมา!J311"")+IMPORTRANGE(""https://docs.google.com/spreadsheets/d/1_MzZ-2gVPiCW-d2V"&amp;"cafoCmFJQTSrZ6SQyFcMqRRQQ2w/edit?usp=share_link"",""บึงกาฬ!J311"")
+IMPORTRANGE(""https://docs.google.com/spreadsheets/d/1B3lPpzOuaNwVItLwLEZYl_qEblfcx7dRnbRkAw0l-pE/edit?usp=share_link"",""บุรีรัมย์!J311"")+IMPORTRANGE(""https://docs.google.com/spreadshe"&amp;"ets/d/19GOkiOqnzYbevLYWrMk4qFOXe3rX14BkSA8X-mq-a40/edit?usp=share_link"",""มหาสารคาม!J311"")+IMPORTRANGE(""https://docs.google.com/spreadsheets/d/1uMKqWwuNQ-TCKboGA3Bb1qXb5uj2-faACNUINCz8PN4/edit?usp=share_link"",""มุกดาหาร!J311"")+IMPORTRANGE(""https://d"&amp;"ocs.google.com/spreadsheets/d/1oKaccgDdQABndOzGr688Dbfxb_V3YcF67VqEPBtdzsc/edit?usp=share_link"",""ยโสธร!J311"")+IMPORTRANGE(""https://docs.google.com/spreadsheets/d/1BRgc8xKpxZ0PX-gauieMVkV_IOxKSotf0yW8MabGprQ/edit?usp=share_link"",""ร้อยเอ็ด!J311"")+IMP"&amp;"ORTRANGE(""https://docs.google.com/spreadsheets/d/1IdolZc-dfdgMwAm_KZxYJl1sUOcIgnbGQzbWOlddedo/edit?usp=share_link"",""เลย!J311"")+IMPORTRANGE(""https://docs.google.com/spreadsheets/d/1tZ0nmtGuIRCaGAMXHlQU8EpR9LOAJvyKfc4f7EFmE34/edit?usp=share_link"",""ศร"&amp;"ีสะเกษ!J311"")+IMPORTRANGE(""https://docs.google.com/spreadsheets/d/1QC8psz9w0f9IVE9Xuc2FT_btkaOzZbbUSgYObpBuetM/edit?usp=share_link"",""สกลนคร!J311"")+IMPORTRANGE(""https://docs.google.com/spreadsheets/d/1wPdvRbu02d33MYVlbsCnyTiZpefEBs9NNktAnT1HZvw/edit?"&amp;"usp=share_link"",""สุรินทร์!J311"")+IMPORTRANGE(""https://docs.google.com/spreadsheets/d/1GVExpf-Exi_2gmuqTYH28fseTB9MoKPXWcXCbSt_YrM/edit?usp=share_link"",""หนองคาย!J311"")+IMPORTRANGE(""https://docs.google.com/spreadsheets/d/16UeMz0UgOB5BZcoxP75eYGcLFtG"&amp;"YRn9GoesD4OX9m5U/edit?usp=share_link"",""หนองบัวลำภู!J311"")+IMPORTRANGE(""https://docs.google.com/spreadsheets/d/1uUP8Zo1-qaJLuIkRU0qlwLSE3DHkbdrrj2JGJiWBQZE/edit?usp=share_link"",""อำนาจเจริญ!J311"")+IMPORTRANGE(""https://docs.google.com/spreadsheets/d/"&amp;"1hb_taSOHanzRjqfzWPiFo8yiT83VV1L7vvUCLhOiHKc/edit?usp=share_link"",""อุดรธานี!J311"")+IMPORTRANGE(""https://docs.google.com/spreadsheets/d/17IOkEwkUd63EGNfyNDnM5de9YlZ7rwzTiW6-dokVjKI/edit?usp=share_link"",""อุบลราชธานี!J311"")
"),245)</f>
        <v>245</v>
      </c>
      <c r="K311" s="38">
        <f t="shared" ca="1" si="165"/>
        <v>100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fb2B9NLcpJgjIieIJvenUTNPn0TimZDUi0OtYeiSQ_s/edit?usp=share_link"",""กาฬสินธุ์!I312"")+IMPORTRANGE(""https://docs.google.com/spreadsheets/d/1SaMnqrwRGmFYNR0MhpWmHuL5niYUd5E7vDq8X7whAlI/edit?usp=share_li"&amp;"nk"",""ขอนแก่น!I312"")
+IMPORTRANGE(""https://docs.google.com/spreadsheets/d/1xQzEtGHhTTgxHh6YUkKY1P4dRyjVhS74dGswLfAASA4/edit?usp=share_link"",""ชัยภูมิ!I312"")+IMPORTRANGE(""https://docs.google.com/spreadsheets/d/1EXMBoBxU3OFbjT2TRpneM33qFjqDzrKmn9ydcfl"&amp;"fI0o/edit?usp=share_link"",""นครพนม!I312"")+IMPORTRANGE(""https://docs.google.com/spreadsheets/d/1bDQrolntRWtHumK8W-x-HXKntwxB9S3sF5aDeRS66Ko/edit?usp=share_link"",""นครราชสีมา!I312"")+IMPORTRANGE(""https://docs.google.com/spreadsheets/d/1_MzZ-2gVPiCW-d2V"&amp;"cafoCmFJQTSrZ6SQyFcMqRRQQ2w/edit?usp=share_link"",""บึงกาฬ!I312"")
+IMPORTRANGE(""https://docs.google.com/spreadsheets/d/1B3lPpzOuaNwVItLwLEZYl_qEblfcx7dRnbRkAw0l-pE/edit?usp=share_link"",""บุรีรัมย์!I312"")+IMPORTRANGE(""https://docs.google.com/spreadshe"&amp;"ets/d/19GOkiOqnzYbevLYWrMk4qFOXe3rX14BkSA8X-mq-a40/edit?usp=share_link"",""มหาสารคาม!I312"")+IMPORTRANGE(""https://docs.google.com/spreadsheets/d/1uMKqWwuNQ-TCKboGA3Bb1qXb5uj2-faACNUINCz8PN4/edit?usp=share_link"",""มุกดาหาร!I312"")+IMPORTRANGE(""https://d"&amp;"ocs.google.com/spreadsheets/d/1oKaccgDdQABndOzGr688Dbfxb_V3YcF67VqEPBtdzsc/edit?usp=share_link"",""ยโสธร!I312"")+IMPORTRANGE(""https://docs.google.com/spreadsheets/d/1BRgc8xKpxZ0PX-gauieMVkV_IOxKSotf0yW8MabGprQ/edit?usp=share_link"",""ร้อยเอ็ด!I312"")+IMP"&amp;"ORTRANGE(""https://docs.google.com/spreadsheets/d/1IdolZc-dfdgMwAm_KZxYJl1sUOcIgnbGQzbWOlddedo/edit?usp=share_link"",""เลย!I312"")+IMPORTRANGE(""https://docs.google.com/spreadsheets/d/1tZ0nmtGuIRCaGAMXHlQU8EpR9LOAJvyKfc4f7EFmE34/edit?usp=share_link"",""ศร"&amp;"ีสะเกษ!I312"")+IMPORTRANGE(""https://docs.google.com/spreadsheets/d/1QC8psz9w0f9IVE9Xuc2FT_btkaOzZbbUSgYObpBuetM/edit?usp=share_link"",""สกลนคร!I312"")+IMPORTRANGE(""https://docs.google.com/spreadsheets/d/1wPdvRbu02d33MYVlbsCnyTiZpefEBs9NNktAnT1HZvw/edit?"&amp;"usp=share_link"",""สุรินทร์!I312"")+IMPORTRANGE(""https://docs.google.com/spreadsheets/d/1GVExpf-Exi_2gmuqTYH28fseTB9MoKPXWcXCbSt_YrM/edit?usp=share_link"",""หนองคาย!I312"")+IMPORTRANGE(""https://docs.google.com/spreadsheets/d/16UeMz0UgOB5BZcoxP75eYGcLFtG"&amp;"YRn9GoesD4OX9m5U/edit?usp=share_link"",""หนองบัวลำภู!I312"")+IMPORTRANGE(""https://docs.google.com/spreadsheets/d/1uUP8Zo1-qaJLuIkRU0qlwLSE3DHkbdrrj2JGJiWBQZE/edit?usp=share_link"",""อำนาจเจริญ!I312"")+IMPORTRANGE(""https://docs.google.com/spreadsheets/d/"&amp;"1hb_taSOHanzRjqfzWPiFo8yiT83VV1L7vvUCLhOiHKc/edit?usp=share_link"",""อุดรธานี!I312"")+IMPORTRANGE(""https://docs.google.com/spreadsheets/d/17IOkEwkUd63EGNfyNDnM5de9YlZ7rwzTiW6-dokVjKI/edit?usp=share_link"",""อุบลราชธานี!I312"")
"),49)</f>
        <v>49</v>
      </c>
      <c r="J312" s="183">
        <f ca="1">IFERROR(__xludf.DUMMYFUNCTION("IMPORTRANGE(""https://docs.google.com/spreadsheets/d/1fb2B9NLcpJgjIieIJvenUTNPn0TimZDUi0OtYeiSQ_s/edit?usp=share_link"",""กาฬสินธุ์!J312"")+IMPORTRANGE(""https://docs.google.com/spreadsheets/d/1SaMnqrwRGmFYNR0MhpWmHuL5niYUd5E7vDq8X7whAlI/edit?usp=share_li"&amp;"nk"",""ขอนแก่น!J312"")
+IMPORTRANGE(""https://docs.google.com/spreadsheets/d/1xQzEtGHhTTgxHh6YUkKY1P4dRyjVhS74dGswLfAASA4/edit?usp=share_link"",""ชัยภูมิ!J312"")+IMPORTRANGE(""https://docs.google.com/spreadsheets/d/1EXMBoBxU3OFbjT2TRpneM33qFjqDzrKmn9ydcfl"&amp;"fI0o/edit?usp=share_link"",""นครพนม!J312"")+IMPORTRANGE(""https://docs.google.com/spreadsheets/d/1bDQrolntRWtHumK8W-x-HXKntwxB9S3sF5aDeRS66Ko/edit?usp=share_link"",""นครราชสีมา!J312"")+IMPORTRANGE(""https://docs.google.com/spreadsheets/d/1_MzZ-2gVPiCW-d2V"&amp;"cafoCmFJQTSrZ6SQyFcMqRRQQ2w/edit?usp=share_link"",""บึงกาฬ!J312"")
+IMPORTRANGE(""https://docs.google.com/spreadsheets/d/1B3lPpzOuaNwVItLwLEZYl_qEblfcx7dRnbRkAw0l-pE/edit?usp=share_link"",""บุรีรัมย์!J312"")+IMPORTRANGE(""https://docs.google.com/spreadshe"&amp;"ets/d/19GOkiOqnzYbevLYWrMk4qFOXe3rX14BkSA8X-mq-a40/edit?usp=share_link"",""มหาสารคาม!J312"")+IMPORTRANGE(""https://docs.google.com/spreadsheets/d/1uMKqWwuNQ-TCKboGA3Bb1qXb5uj2-faACNUINCz8PN4/edit?usp=share_link"",""มุกดาหาร!J312"")+IMPORTRANGE(""https://d"&amp;"ocs.google.com/spreadsheets/d/1oKaccgDdQABndOzGr688Dbfxb_V3YcF67VqEPBtdzsc/edit?usp=share_link"",""ยโสธร!J312"")+IMPORTRANGE(""https://docs.google.com/spreadsheets/d/1BRgc8xKpxZ0PX-gauieMVkV_IOxKSotf0yW8MabGprQ/edit?usp=share_link"",""ร้อยเอ็ด!J312"")+IMP"&amp;"ORTRANGE(""https://docs.google.com/spreadsheets/d/1IdolZc-dfdgMwAm_KZxYJl1sUOcIgnbGQzbWOlddedo/edit?usp=share_link"",""เลย!J312"")+IMPORTRANGE(""https://docs.google.com/spreadsheets/d/1tZ0nmtGuIRCaGAMXHlQU8EpR9LOAJvyKfc4f7EFmE34/edit?usp=share_link"",""ศร"&amp;"ีสะเกษ!J312"")+IMPORTRANGE(""https://docs.google.com/spreadsheets/d/1QC8psz9w0f9IVE9Xuc2FT_btkaOzZbbUSgYObpBuetM/edit?usp=share_link"",""สกลนคร!J312"")+IMPORTRANGE(""https://docs.google.com/spreadsheets/d/1wPdvRbu02d33MYVlbsCnyTiZpefEBs9NNktAnT1HZvw/edit?"&amp;"usp=share_link"",""สุรินทร์!J312"")+IMPORTRANGE(""https://docs.google.com/spreadsheets/d/1GVExpf-Exi_2gmuqTYH28fseTB9MoKPXWcXCbSt_YrM/edit?usp=share_link"",""หนองคาย!J312"")+IMPORTRANGE(""https://docs.google.com/spreadsheets/d/16UeMz0UgOB5BZcoxP75eYGcLFtG"&amp;"YRn9GoesD4OX9m5U/edit?usp=share_link"",""หนองบัวลำภู!J312"")+IMPORTRANGE(""https://docs.google.com/spreadsheets/d/1uUP8Zo1-qaJLuIkRU0qlwLSE3DHkbdrrj2JGJiWBQZE/edit?usp=share_link"",""อำนาจเจริญ!J312"")+IMPORTRANGE(""https://docs.google.com/spreadsheets/d/"&amp;"1hb_taSOHanzRjqfzWPiFo8yiT83VV1L7vvUCLhOiHKc/edit?usp=share_link"",""อุดรธานี!J312"")+IMPORTRANGE(""https://docs.google.com/spreadsheets/d/17IOkEwkUd63EGNfyNDnM5de9YlZ7rwzTiW6-dokVjKI/edit?usp=share_link"",""อุบลราชธานี!J312"")
"),50)</f>
        <v>50</v>
      </c>
      <c r="K312" s="38">
        <f t="shared" ca="1" si="165"/>
        <v>102.04081632653062</v>
      </c>
      <c r="L312" s="38"/>
      <c r="M312" s="38"/>
      <c r="N312" s="38"/>
      <c r="O312" s="38"/>
      <c r="P312" s="38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6">I325</f>
        <v>3</v>
      </c>
      <c r="J314" s="444">
        <f t="shared" ca="1" si="166"/>
        <v>3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878000</v>
      </c>
      <c r="M315" s="155">
        <f t="shared" ca="1" si="167"/>
        <v>878000</v>
      </c>
      <c r="N315" s="155">
        <f t="shared" ca="1" si="167"/>
        <v>877999.4</v>
      </c>
      <c r="O315" s="155">
        <f t="shared" ref="O315:O323" ca="1" si="168">IF(L315&gt;0,N315*100/L315,0)</f>
        <v>99.999931662870154</v>
      </c>
      <c r="P315" s="155">
        <f t="shared" ref="P315:P323" ca="1" si="169">IF(M315&gt;0,N315*100/M315,0)</f>
        <v>99.999931662870154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878000</v>
      </c>
      <c r="M317" s="45">
        <f t="shared" ca="1" si="171"/>
        <v>878000</v>
      </c>
      <c r="N317" s="45">
        <f t="shared" ca="1" si="171"/>
        <v>877999.4</v>
      </c>
      <c r="O317" s="45">
        <f t="shared" ca="1" si="168"/>
        <v>99.999931662870154</v>
      </c>
      <c r="P317" s="45">
        <f t="shared" ca="1" si="169"/>
        <v>99.999931662870154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878000</v>
      </c>
      <c r="M318" s="38">
        <f t="shared" ca="1" si="172"/>
        <v>878000</v>
      </c>
      <c r="N318" s="38">
        <f t="shared" ca="1" si="172"/>
        <v>877999.4</v>
      </c>
      <c r="O318" s="38">
        <f t="shared" ca="1" si="168"/>
        <v>99.999931662870154</v>
      </c>
      <c r="P318" s="38">
        <f t="shared" ca="1" si="169"/>
        <v>99.999931662870154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fb2B9NLcpJgjIieIJvenUTNPn0TimZDUi0OtYeiSQ_s/edit?usp=share_link"",""กาฬสินธุ์!L320"")+IMPORTRANGE(""https://docs.google.com/spreadsheets/d/1SaMnqrwRGmFYNR0MhpWmHuL5niYUd5E7vDq8X7whAlI/edit?usp=share_li"&amp;"nk"",""ขอนแก่น!L320"")
+IMPORTRANGE(""https://docs.google.com/spreadsheets/d/1xQzEtGHhTTgxHh6YUkKY1P4dRyjVhS74dGswLfAASA4/edit?usp=share_link"",""ชัยภูมิ!L320"")+IMPORTRANGE(""https://docs.google.com/spreadsheets/d/1EXMBoBxU3OFbjT2TRpneM33qFjqDzrKmn9ydcfl"&amp;"fI0o/edit?usp=share_link"",""นครพนม!L320"")+IMPORTRANGE(""https://docs.google.com/spreadsheets/d/1bDQrolntRWtHumK8W-x-HXKntwxB9S3sF5aDeRS66Ko/edit?usp=share_link"",""นครราชสีมา!L320"")+IMPORTRANGE(""https://docs.google.com/spreadsheets/d/1_MzZ-2gVPiCW-d2V"&amp;"cafoCmFJQTSrZ6SQyFcMqRRQQ2w/edit?usp=share_link"",""บึงกาฬ!L320"")
+IMPORTRANGE(""https://docs.google.com/spreadsheets/d/1B3lPpzOuaNwVItLwLEZYl_qEblfcx7dRnbRkAw0l-pE/edit?usp=share_link"",""บุรีรัมย์!L320"")+IMPORTRANGE(""https://docs.google.com/spreadshe"&amp;"ets/d/19GOkiOqnzYbevLYWrMk4qFOXe3rX14BkSA8X-mq-a40/edit?usp=share_link"",""มหาสารคาม!L320"")+IMPORTRANGE(""https://docs.google.com/spreadsheets/d/1uMKqWwuNQ-TCKboGA3Bb1qXb5uj2-faACNUINCz8PN4/edit?usp=share_link"",""มุกดาหาร!L320"")+IMPORTRANGE(""https://d"&amp;"ocs.google.com/spreadsheets/d/1oKaccgDdQABndOzGr688Dbfxb_V3YcF67VqEPBtdzsc/edit?usp=share_link"",""ยโสธร!L320"")+IMPORTRANGE(""https://docs.google.com/spreadsheets/d/1BRgc8xKpxZ0PX-gauieMVkV_IOxKSotf0yW8MabGprQ/edit?usp=share_link"",""ร้อยเอ็ด!L320"")+IMP"&amp;"ORTRANGE(""https://docs.google.com/spreadsheets/d/1IdolZc-dfdgMwAm_KZxYJl1sUOcIgnbGQzbWOlddedo/edit?usp=share_link"",""เลย!L320"")+IMPORTRANGE(""https://docs.google.com/spreadsheets/d/1tZ0nmtGuIRCaGAMXHlQU8EpR9LOAJvyKfc4f7EFmE34/edit?usp=share_link"",""ศร"&amp;"ีสะเกษ!L320"")+IMPORTRANGE(""https://docs.google.com/spreadsheets/d/1QC8psz9w0f9IVE9Xuc2FT_btkaOzZbbUSgYObpBuetM/edit?usp=share_link"",""สกลนคร!L320"")+IMPORTRANGE(""https://docs.google.com/spreadsheets/d/1wPdvRbu02d33MYVlbsCnyTiZpefEBs9NNktAnT1HZvw/edit?"&amp;"usp=share_link"",""สุรินทร์!L320"")+IMPORTRANGE(""https://docs.google.com/spreadsheets/d/1GVExpf-Exi_2gmuqTYH28fseTB9MoKPXWcXCbSt_YrM/edit?usp=share_link"",""หนองคาย!L320"")+IMPORTRANGE(""https://docs.google.com/spreadsheets/d/16UeMz0UgOB5BZcoxP75eYGcLFtG"&amp;"YRn9GoesD4OX9m5U/edit?usp=share_link"",""หนองบัวลำภู!L320"")+IMPORTRANGE(""https://docs.google.com/spreadsheets/d/1uUP8Zo1-qaJLuIkRU0qlwLSE3DHkbdrrj2JGJiWBQZE/edit?usp=share_link"",""อำนาจเจริญ!L320"")+IMPORTRANGE(""https://docs.google.com/spreadsheets/d/"&amp;"1hb_taSOHanzRjqfzWPiFo8yiT83VV1L7vvUCLhOiHKc/edit?usp=share_link"",""อุดรธานี!L320"")+IMPORTRANGE(""https://docs.google.com/spreadsheets/d/17IOkEwkUd63EGNfyNDnM5de9YlZ7rwzTiW6-dokVjKI/edit?usp=share_link"",""อุบลราชธานี!L320"")
"),878000)</f>
        <v>878000</v>
      </c>
      <c r="M320" s="45">
        <f ca="1">IFERROR(__xludf.DUMMYFUNCTION("IMPORTRANGE(""https://docs.google.com/spreadsheets/d/1fb2B9NLcpJgjIieIJvenUTNPn0TimZDUi0OtYeiSQ_s/edit?usp=share_link"",""กาฬสินธุ์!M320"")+IMPORTRANGE(""https://docs.google.com/spreadsheets/d/1SaMnqrwRGmFYNR0MhpWmHuL5niYUd5E7vDq8X7whAlI/edit?usp=share_li"&amp;"nk"",""ขอนแก่น!M320"")
+IMPORTRANGE(""https://docs.google.com/spreadsheets/d/1xQzEtGHhTTgxHh6YUkKY1P4dRyjVhS74dGswLfAASA4/edit?usp=share_link"",""ชัยภูมิ!M320"")+IMPORTRANGE(""https://docs.google.com/spreadsheets/d/1EXMBoBxU3OFbjT2TRpneM33qFjqDzrKmn9ydcfl"&amp;"fI0o/edit?usp=share_link"",""นครพนม!M320"")+IMPORTRANGE(""https://docs.google.com/spreadsheets/d/1bDQrolntRWtHumK8W-x-HXKntwxB9S3sF5aDeRS66Ko/edit?usp=share_link"",""นครราชสีมา!M320"")+IMPORTRANGE(""https://docs.google.com/spreadsheets/d/1_MzZ-2gVPiCW-d2V"&amp;"cafoCmFJQTSrZ6SQyFcMqRRQQ2w/edit?usp=share_link"",""บึงกาฬ!M320"")
+IMPORTRANGE(""https://docs.google.com/spreadsheets/d/1B3lPpzOuaNwVItLwLEZYl_qEblfcx7dRnbRkAw0l-pE/edit?usp=share_link"",""บุรีรัมย์!M320"")+IMPORTRANGE(""https://docs.google.com/spreadshe"&amp;"ets/d/19GOkiOqnzYbevLYWrMk4qFOXe3rX14BkSA8X-mq-a40/edit?usp=share_link"",""มหาสารคาม!M320"")+IMPORTRANGE(""https://docs.google.com/spreadsheets/d/1uMKqWwuNQ-TCKboGA3Bb1qXb5uj2-faACNUINCz8PN4/edit?usp=share_link"",""มุกดาหาร!M320"")+IMPORTRANGE(""https://d"&amp;"ocs.google.com/spreadsheets/d/1oKaccgDdQABndOzGr688Dbfxb_V3YcF67VqEPBtdzsc/edit?usp=share_link"",""ยโสธร!M320"")+IMPORTRANGE(""https://docs.google.com/spreadsheets/d/1BRgc8xKpxZ0PX-gauieMVkV_IOxKSotf0yW8MabGprQ/edit?usp=share_link"",""ร้อยเอ็ด!M320"")+IMP"&amp;"ORTRANGE(""https://docs.google.com/spreadsheets/d/1IdolZc-dfdgMwAm_KZxYJl1sUOcIgnbGQzbWOlddedo/edit?usp=share_link"",""เลย!M320"")+IMPORTRANGE(""https://docs.google.com/spreadsheets/d/1tZ0nmtGuIRCaGAMXHlQU8EpR9LOAJvyKfc4f7EFmE34/edit?usp=share_link"",""ศร"&amp;"ีสะเกษ!M320"")+IMPORTRANGE(""https://docs.google.com/spreadsheets/d/1QC8psz9w0f9IVE9Xuc2FT_btkaOzZbbUSgYObpBuetM/edit?usp=share_link"",""สกลนคร!M320"")+IMPORTRANGE(""https://docs.google.com/spreadsheets/d/1wPdvRbu02d33MYVlbsCnyTiZpefEBs9NNktAnT1HZvw/edit?"&amp;"usp=share_link"",""สุรินทร์!M320"")+IMPORTRANGE(""https://docs.google.com/spreadsheets/d/1GVExpf-Exi_2gmuqTYH28fseTB9MoKPXWcXCbSt_YrM/edit?usp=share_link"",""หนองคาย!M320"")+IMPORTRANGE(""https://docs.google.com/spreadsheets/d/16UeMz0UgOB5BZcoxP75eYGcLFtG"&amp;"YRn9GoesD4OX9m5U/edit?usp=share_link"",""หนองบัวลำภู!M320"")+IMPORTRANGE(""https://docs.google.com/spreadsheets/d/1uUP8Zo1-qaJLuIkRU0qlwLSE3DHkbdrrj2JGJiWBQZE/edit?usp=share_link"",""อำนาจเจริญ!M320"")+IMPORTRANGE(""https://docs.google.com/spreadsheets/d/"&amp;"1hb_taSOHanzRjqfzWPiFo8yiT83VV1L7vvUCLhOiHKc/edit?usp=share_link"",""อุดรธานี!M320"")+IMPORTRANGE(""https://docs.google.com/spreadsheets/d/17IOkEwkUd63EGNfyNDnM5de9YlZ7rwzTiW6-dokVjKI/edit?usp=share_link"",""อุบลราชธานี!M320"")
"),878000)</f>
        <v>878000</v>
      </c>
      <c r="N320" s="45">
        <f ca="1">IFERROR(__xludf.DUMMYFUNCTION("IMPORTRANGE(""https://docs.google.com/spreadsheets/d/1fb2B9NLcpJgjIieIJvenUTNPn0TimZDUi0OtYeiSQ_s/edit?usp=share_link"",""กาฬสินธุ์!N320"")+IMPORTRANGE(""https://docs.google.com/spreadsheets/d/1SaMnqrwRGmFYNR0MhpWmHuL5niYUd5E7vDq8X7whAlI/edit?usp=share_li"&amp;"nk"",""ขอนแก่น!N320"")
+IMPORTRANGE(""https://docs.google.com/spreadsheets/d/1xQzEtGHhTTgxHh6YUkKY1P4dRyjVhS74dGswLfAASA4/edit?usp=share_link"",""ชัยภูมิ!N320"")+IMPORTRANGE(""https://docs.google.com/spreadsheets/d/1EXMBoBxU3OFbjT2TRpneM33qFjqDzrKmn9ydcfl"&amp;"fI0o/edit?usp=share_link"",""นครพนม!N320"")+IMPORTRANGE(""https://docs.google.com/spreadsheets/d/1bDQrolntRWtHumK8W-x-HXKntwxB9S3sF5aDeRS66Ko/edit?usp=share_link"",""นครราชสีมา!N320"")+IMPORTRANGE(""https://docs.google.com/spreadsheets/d/1_MzZ-2gVPiCW-d2V"&amp;"cafoCmFJQTSrZ6SQyFcMqRRQQ2w/edit?usp=share_link"",""บึงกาฬ!N320"")
+IMPORTRANGE(""https://docs.google.com/spreadsheets/d/1B3lPpzOuaNwVItLwLEZYl_qEblfcx7dRnbRkAw0l-pE/edit?usp=share_link"",""บุรีรัมย์!N320"")+IMPORTRANGE(""https://docs.google.com/spreadshe"&amp;"ets/d/19GOkiOqnzYbevLYWrMk4qFOXe3rX14BkSA8X-mq-a40/edit?usp=share_link"",""มหาสารคาม!N320"")+IMPORTRANGE(""https://docs.google.com/spreadsheets/d/1uMKqWwuNQ-TCKboGA3Bb1qXb5uj2-faACNUINCz8PN4/edit?usp=share_link"",""มุกดาหาร!N320"")+IMPORTRANGE(""https://d"&amp;"ocs.google.com/spreadsheets/d/1oKaccgDdQABndOzGr688Dbfxb_V3YcF67VqEPBtdzsc/edit?usp=share_link"",""ยโสธร!N320"")+IMPORTRANGE(""https://docs.google.com/spreadsheets/d/1BRgc8xKpxZ0PX-gauieMVkV_IOxKSotf0yW8MabGprQ/edit?usp=share_link"",""ร้อยเอ็ด!N320"")+IMP"&amp;"ORTRANGE(""https://docs.google.com/spreadsheets/d/1IdolZc-dfdgMwAm_KZxYJl1sUOcIgnbGQzbWOlddedo/edit?usp=share_link"",""เลย!N320"")+IMPORTRANGE(""https://docs.google.com/spreadsheets/d/1tZ0nmtGuIRCaGAMXHlQU8EpR9LOAJvyKfc4f7EFmE34/edit?usp=share_link"",""ศร"&amp;"ีสะเกษ!N320"")+IMPORTRANGE(""https://docs.google.com/spreadsheets/d/1QC8psz9w0f9IVE9Xuc2FT_btkaOzZbbUSgYObpBuetM/edit?usp=share_link"",""สกลนคร!N320"")+IMPORTRANGE(""https://docs.google.com/spreadsheets/d/1wPdvRbu02d33MYVlbsCnyTiZpefEBs9NNktAnT1HZvw/edit?"&amp;"usp=share_link"",""สุรินทร์!N320"")+IMPORTRANGE(""https://docs.google.com/spreadsheets/d/1GVExpf-Exi_2gmuqTYH28fseTB9MoKPXWcXCbSt_YrM/edit?usp=share_link"",""หนองคาย!N320"")+IMPORTRANGE(""https://docs.google.com/spreadsheets/d/16UeMz0UgOB5BZcoxP75eYGcLFtG"&amp;"YRn9GoesD4OX9m5U/edit?usp=share_link"",""หนองบัวลำภู!N320"")+IMPORTRANGE(""https://docs.google.com/spreadsheets/d/1uUP8Zo1-qaJLuIkRU0qlwLSE3DHkbdrrj2JGJiWBQZE/edit?usp=share_link"",""อำนาจเจริญ!N320"")+IMPORTRANGE(""https://docs.google.com/spreadsheets/d/"&amp;"1hb_taSOHanzRjqfzWPiFo8yiT83VV1L7vvUCLhOiHKc/edit?usp=share_link"",""อุดรธานี!N320"")+IMPORTRANGE(""https://docs.google.com/spreadsheets/d/17IOkEwkUd63EGNfyNDnM5de9YlZ7rwzTiW6-dokVjKI/edit?usp=share_link"",""อุบลราชธานี!N320"")
"),877999.4)</f>
        <v>877999.4</v>
      </c>
      <c r="O320" s="45">
        <f t="shared" ca="1" si="168"/>
        <v>99.999931662870154</v>
      </c>
      <c r="P320" s="45">
        <f t="shared" ca="1" si="169"/>
        <v>99.999931662870154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0</v>
      </c>
      <c r="M321" s="38">
        <f t="shared" ca="1" si="173"/>
        <v>0</v>
      </c>
      <c r="N321" s="38">
        <f t="shared" ca="1" si="173"/>
        <v>0</v>
      </c>
      <c r="O321" s="38">
        <f t="shared" ca="1" si="168"/>
        <v>0</v>
      </c>
      <c r="P321" s="38">
        <f t="shared" ca="1" si="169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fb2B9NLcpJgjIieIJvenUTNPn0TimZDUi0OtYeiSQ_s/edit?usp=share_link"",""กาฬสินธุ์!L323"")+IMPORTRANGE(""https://docs.google.com/spreadsheets/d/1SaMnqrwRGmFYNR0MhpWmHuL5niYUd5E7vDq8X7whAlI/edit?usp=share_li"&amp;"nk"",""ขอนแก่น!L323"")
+IMPORTRANGE(""https://docs.google.com/spreadsheets/d/1xQzEtGHhTTgxHh6YUkKY1P4dRyjVhS74dGswLfAASA4/edit?usp=share_link"",""ชัยภูมิ!L323"")+IMPORTRANGE(""https://docs.google.com/spreadsheets/d/1EXMBoBxU3OFbjT2TRpneM33qFjqDzrKmn9ydcfl"&amp;"fI0o/edit?usp=share_link"",""นครพนม!L323"")+IMPORTRANGE(""https://docs.google.com/spreadsheets/d/1bDQrolntRWtHumK8W-x-HXKntwxB9S3sF5aDeRS66Ko/edit?usp=share_link"",""นครราชสีมา!L323"")+IMPORTRANGE(""https://docs.google.com/spreadsheets/d/1_MzZ-2gVPiCW-d2V"&amp;"cafoCmFJQTSrZ6SQyFcMqRRQQ2w/edit?usp=share_link"",""บึงกาฬ!L323"")
+IMPORTRANGE(""https://docs.google.com/spreadsheets/d/1B3lPpzOuaNwVItLwLEZYl_qEblfcx7dRnbRkAw0l-pE/edit?usp=share_link"",""บุรีรัมย์!L323"")+IMPORTRANGE(""https://docs.google.com/spreadshe"&amp;"ets/d/19GOkiOqnzYbevLYWrMk4qFOXe3rX14BkSA8X-mq-a40/edit?usp=share_link"",""มหาสารคาม!L323"")+IMPORTRANGE(""https://docs.google.com/spreadsheets/d/1uMKqWwuNQ-TCKboGA3Bb1qXb5uj2-faACNUINCz8PN4/edit?usp=share_link"",""มุกดาหาร!L323"")+IMPORTRANGE(""https://d"&amp;"ocs.google.com/spreadsheets/d/1oKaccgDdQABndOzGr688Dbfxb_V3YcF67VqEPBtdzsc/edit?usp=share_link"",""ยโสธร!L323"")+IMPORTRANGE(""https://docs.google.com/spreadsheets/d/1BRgc8xKpxZ0PX-gauieMVkV_IOxKSotf0yW8MabGprQ/edit?usp=share_link"",""ร้อยเอ็ด!L323"")+IMP"&amp;"ORTRANGE(""https://docs.google.com/spreadsheets/d/1IdolZc-dfdgMwAm_KZxYJl1sUOcIgnbGQzbWOlddedo/edit?usp=share_link"",""เลย!L323"")+IMPORTRANGE(""https://docs.google.com/spreadsheets/d/1tZ0nmtGuIRCaGAMXHlQU8EpR9LOAJvyKfc4f7EFmE34/edit?usp=share_link"",""ศร"&amp;"ีสะเกษ!L323"")+IMPORTRANGE(""https://docs.google.com/spreadsheets/d/1QC8psz9w0f9IVE9Xuc2FT_btkaOzZbbUSgYObpBuetM/edit?usp=share_link"",""สกลนคร!L323"")+IMPORTRANGE(""https://docs.google.com/spreadsheets/d/1wPdvRbu02d33MYVlbsCnyTiZpefEBs9NNktAnT1HZvw/edit?"&amp;"usp=share_link"",""สุรินทร์!L323"")+IMPORTRANGE(""https://docs.google.com/spreadsheets/d/1GVExpf-Exi_2gmuqTYH28fseTB9MoKPXWcXCbSt_YrM/edit?usp=share_link"",""หนองคาย!L323"")+IMPORTRANGE(""https://docs.google.com/spreadsheets/d/16UeMz0UgOB5BZcoxP75eYGcLFtG"&amp;"YRn9GoesD4OX9m5U/edit?usp=share_link"",""หนองบัวลำภู!L323"")+IMPORTRANGE(""https://docs.google.com/spreadsheets/d/1uUP8Zo1-qaJLuIkRU0qlwLSE3DHkbdrrj2JGJiWBQZE/edit?usp=share_link"",""อำนาจเจริญ!L323"")+IMPORTRANGE(""https://docs.google.com/spreadsheets/d/"&amp;"1hb_taSOHanzRjqfzWPiFo8yiT83VV1L7vvUCLhOiHKc/edit?usp=share_link"",""อุดรธานี!L323"")+IMPORTRANGE(""https://docs.google.com/spreadsheets/d/17IOkEwkUd63EGNfyNDnM5de9YlZ7rwzTiW6-dokVjKI/edit?usp=share_link"",""อุบลราชธานี!L323"")
"),0)</f>
        <v>0</v>
      </c>
      <c r="M323" s="45">
        <f ca="1">IFERROR(__xludf.DUMMYFUNCTION("IMPORTRANGE(""https://docs.google.com/spreadsheets/d/1fb2B9NLcpJgjIieIJvenUTNPn0TimZDUi0OtYeiSQ_s/edit?usp=share_link"",""กาฬสินธุ์!M323"")+IMPORTRANGE(""https://docs.google.com/spreadsheets/d/1SaMnqrwRGmFYNR0MhpWmHuL5niYUd5E7vDq8X7whAlI/edit?usp=share_li"&amp;"nk"",""ขอนแก่น!M323"")
+IMPORTRANGE(""https://docs.google.com/spreadsheets/d/1xQzEtGHhTTgxHh6YUkKY1P4dRyjVhS74dGswLfAASA4/edit?usp=share_link"",""ชัยภูมิ!M323"")+IMPORTRANGE(""https://docs.google.com/spreadsheets/d/1EXMBoBxU3OFbjT2TRpneM33qFjqDzrKmn9ydcfl"&amp;"fI0o/edit?usp=share_link"",""นครพนม!M323"")+IMPORTRANGE(""https://docs.google.com/spreadsheets/d/1bDQrolntRWtHumK8W-x-HXKntwxB9S3sF5aDeRS66Ko/edit?usp=share_link"",""นครราชสีมา!M323"")+IMPORTRANGE(""https://docs.google.com/spreadsheets/d/1_MzZ-2gVPiCW-d2V"&amp;"cafoCmFJQTSrZ6SQyFcMqRRQQ2w/edit?usp=share_link"",""บึงกาฬ!M323"")
+IMPORTRANGE(""https://docs.google.com/spreadsheets/d/1B3lPpzOuaNwVItLwLEZYl_qEblfcx7dRnbRkAw0l-pE/edit?usp=share_link"",""บุรีรัมย์!M323"")+IMPORTRANGE(""https://docs.google.com/spreadshe"&amp;"ets/d/19GOkiOqnzYbevLYWrMk4qFOXe3rX14BkSA8X-mq-a40/edit?usp=share_link"",""มหาสารคาม!M323"")+IMPORTRANGE(""https://docs.google.com/spreadsheets/d/1uMKqWwuNQ-TCKboGA3Bb1qXb5uj2-faACNUINCz8PN4/edit?usp=share_link"",""มุกดาหาร!M323"")+IMPORTRANGE(""https://d"&amp;"ocs.google.com/spreadsheets/d/1oKaccgDdQABndOzGr688Dbfxb_V3YcF67VqEPBtdzsc/edit?usp=share_link"",""ยโสธร!M323"")+IMPORTRANGE(""https://docs.google.com/spreadsheets/d/1BRgc8xKpxZ0PX-gauieMVkV_IOxKSotf0yW8MabGprQ/edit?usp=share_link"",""ร้อยเอ็ด!M323"")+IMP"&amp;"ORTRANGE(""https://docs.google.com/spreadsheets/d/1IdolZc-dfdgMwAm_KZxYJl1sUOcIgnbGQzbWOlddedo/edit?usp=share_link"",""เลย!M323"")+IMPORTRANGE(""https://docs.google.com/spreadsheets/d/1tZ0nmtGuIRCaGAMXHlQU8EpR9LOAJvyKfc4f7EFmE34/edit?usp=share_link"",""ศร"&amp;"ีสะเกษ!M323"")+IMPORTRANGE(""https://docs.google.com/spreadsheets/d/1QC8psz9w0f9IVE9Xuc2FT_btkaOzZbbUSgYObpBuetM/edit?usp=share_link"",""สกลนคร!M323"")+IMPORTRANGE(""https://docs.google.com/spreadsheets/d/1wPdvRbu02d33MYVlbsCnyTiZpefEBs9NNktAnT1HZvw/edit?"&amp;"usp=share_link"",""สุรินทร์!M323"")+IMPORTRANGE(""https://docs.google.com/spreadsheets/d/1GVExpf-Exi_2gmuqTYH28fseTB9MoKPXWcXCbSt_YrM/edit?usp=share_link"",""หนองคาย!M323"")+IMPORTRANGE(""https://docs.google.com/spreadsheets/d/16UeMz0UgOB5BZcoxP75eYGcLFtG"&amp;"YRn9GoesD4OX9m5U/edit?usp=share_link"",""หนองบัวลำภู!M323"")+IMPORTRANGE(""https://docs.google.com/spreadsheets/d/1uUP8Zo1-qaJLuIkRU0qlwLSE3DHkbdrrj2JGJiWBQZE/edit?usp=share_link"",""อำนาจเจริญ!M323"")+IMPORTRANGE(""https://docs.google.com/spreadsheets/d/"&amp;"1hb_taSOHanzRjqfzWPiFo8yiT83VV1L7vvUCLhOiHKc/edit?usp=share_link"",""อุดรธานี!M323"")+IMPORTRANGE(""https://docs.google.com/spreadsheets/d/17IOkEwkUd63EGNfyNDnM5de9YlZ7rwzTiW6-dokVjKI/edit?usp=share_link"",""อุบลราชธานี!M323"")
"),0)</f>
        <v>0</v>
      </c>
      <c r="N323" s="45">
        <f ca="1">IFERROR(__xludf.DUMMYFUNCTION("IMPORTRANGE(""https://docs.google.com/spreadsheets/d/1fb2B9NLcpJgjIieIJvenUTNPn0TimZDUi0OtYeiSQ_s/edit?usp=share_link"",""กาฬสินธุ์!N323"")+IMPORTRANGE(""https://docs.google.com/spreadsheets/d/1SaMnqrwRGmFYNR0MhpWmHuL5niYUd5E7vDq8X7whAlI/edit?usp=share_li"&amp;"nk"",""ขอนแก่น!N323"")
+IMPORTRANGE(""https://docs.google.com/spreadsheets/d/1xQzEtGHhTTgxHh6YUkKY1P4dRyjVhS74dGswLfAASA4/edit?usp=share_link"",""ชัยภูมิ!N323"")+IMPORTRANGE(""https://docs.google.com/spreadsheets/d/1EXMBoBxU3OFbjT2TRpneM33qFjqDzrKmn9ydcfl"&amp;"fI0o/edit?usp=share_link"",""นครพนม!N323"")+IMPORTRANGE(""https://docs.google.com/spreadsheets/d/1bDQrolntRWtHumK8W-x-HXKntwxB9S3sF5aDeRS66Ko/edit?usp=share_link"",""นครราชสีมา!N323"")+IMPORTRANGE(""https://docs.google.com/spreadsheets/d/1_MzZ-2gVPiCW-d2V"&amp;"cafoCmFJQTSrZ6SQyFcMqRRQQ2w/edit?usp=share_link"",""บึงกาฬ!N323"")
+IMPORTRANGE(""https://docs.google.com/spreadsheets/d/1B3lPpzOuaNwVItLwLEZYl_qEblfcx7dRnbRkAw0l-pE/edit?usp=share_link"",""บุรีรัมย์!N323"")+IMPORTRANGE(""https://docs.google.com/spreadshe"&amp;"ets/d/19GOkiOqnzYbevLYWrMk4qFOXe3rX14BkSA8X-mq-a40/edit?usp=share_link"",""มหาสารคาม!N323"")+IMPORTRANGE(""https://docs.google.com/spreadsheets/d/1uMKqWwuNQ-TCKboGA3Bb1qXb5uj2-faACNUINCz8PN4/edit?usp=share_link"",""มุกดาหาร!N323"")+IMPORTRANGE(""https://d"&amp;"ocs.google.com/spreadsheets/d/1oKaccgDdQABndOzGr688Dbfxb_V3YcF67VqEPBtdzsc/edit?usp=share_link"",""ยโสธร!N323"")+IMPORTRANGE(""https://docs.google.com/spreadsheets/d/1BRgc8xKpxZ0PX-gauieMVkV_IOxKSotf0yW8MabGprQ/edit?usp=share_link"",""ร้อยเอ็ด!N323"")+IMP"&amp;"ORTRANGE(""https://docs.google.com/spreadsheets/d/1IdolZc-dfdgMwAm_KZxYJl1sUOcIgnbGQzbWOlddedo/edit?usp=share_link"",""เลย!N323"")+IMPORTRANGE(""https://docs.google.com/spreadsheets/d/1tZ0nmtGuIRCaGAMXHlQU8EpR9LOAJvyKfc4f7EFmE34/edit?usp=share_link"",""ศร"&amp;"ีสะเกษ!N323"")+IMPORTRANGE(""https://docs.google.com/spreadsheets/d/1QC8psz9w0f9IVE9Xuc2FT_btkaOzZbbUSgYObpBuetM/edit?usp=share_link"",""สกลนคร!N323"")+IMPORTRANGE(""https://docs.google.com/spreadsheets/d/1wPdvRbu02d33MYVlbsCnyTiZpefEBs9NNktAnT1HZvw/edit?"&amp;"usp=share_link"",""สุรินทร์!N323"")+IMPORTRANGE(""https://docs.google.com/spreadsheets/d/1GVExpf-Exi_2gmuqTYH28fseTB9MoKPXWcXCbSt_YrM/edit?usp=share_link"",""หนองคาย!N323"")+IMPORTRANGE(""https://docs.google.com/spreadsheets/d/16UeMz0UgOB5BZcoxP75eYGcLFtG"&amp;"YRn9GoesD4OX9m5U/edit?usp=share_link"",""หนองบัวลำภู!N323"")+IMPORTRANGE(""https://docs.google.com/spreadsheets/d/1uUP8Zo1-qaJLuIkRU0qlwLSE3DHkbdrrj2JGJiWBQZE/edit?usp=share_link"",""อำนาจเจริญ!N323"")+IMPORTRANGE(""https://docs.google.com/spreadsheets/d/"&amp;"1hb_taSOHanzRjqfzWPiFo8yiT83VV1L7vvUCLhOiHKc/edit?usp=share_link"",""อุดรธานี!N323"")+IMPORTRANGE(""https://docs.google.com/spreadsheets/d/17IOkEwkUd63EGNfyNDnM5de9YlZ7rwzTiW6-dokVjKI/edit?usp=share_link"",""อุบลราชธานี!N323"")
"),0)</f>
        <v>0</v>
      </c>
      <c r="O323" s="45">
        <f t="shared" ca="1" si="168"/>
        <v>0</v>
      </c>
      <c r="P323" s="45">
        <f t="shared" ca="1" si="169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fb2B9NLcpJgjIieIJvenUTNPn0TimZDUi0OtYeiSQ_s/edit?usp=share_link"",""กาฬสินธุ์!I325"")+IMPORTRANGE(""https://docs.google.com/spreadsheets/d/1SaMnqrwRGmFYNR0MhpWmHuL5niYUd5E7vDq8X7whAlI/edit?usp=share_li"&amp;"nk"",""ขอนแก่น!I325"")
+IMPORTRANGE(""https://docs.google.com/spreadsheets/d/1xQzEtGHhTTgxHh6YUkKY1P4dRyjVhS74dGswLfAASA4/edit?usp=share_link"",""ชัยภูมิ!I325"")+IMPORTRANGE(""https://docs.google.com/spreadsheets/d/1EXMBoBxU3OFbjT2TRpneM33qFjqDzrKmn9ydcfl"&amp;"fI0o/edit?usp=share_link"",""นครพนม!I325"")+IMPORTRANGE(""https://docs.google.com/spreadsheets/d/1bDQrolntRWtHumK8W-x-HXKntwxB9S3sF5aDeRS66Ko/edit?usp=share_link"",""นครราชสีมา!I325"")+IMPORTRANGE(""https://docs.google.com/spreadsheets/d/1_MzZ-2gVPiCW-d2V"&amp;"cafoCmFJQTSrZ6SQyFcMqRRQQ2w/edit?usp=share_link"",""บึงกาฬ!I325"")
+IMPORTRANGE(""https://docs.google.com/spreadsheets/d/1B3lPpzOuaNwVItLwLEZYl_qEblfcx7dRnbRkAw0l-pE/edit?usp=share_link"",""บุรีรัมย์!I325"")+IMPORTRANGE(""https://docs.google.com/spreadshe"&amp;"ets/d/19GOkiOqnzYbevLYWrMk4qFOXe3rX14BkSA8X-mq-a40/edit?usp=share_link"",""มหาสารคาม!I325"")+IMPORTRANGE(""https://docs.google.com/spreadsheets/d/1uMKqWwuNQ-TCKboGA3Bb1qXb5uj2-faACNUINCz8PN4/edit?usp=share_link"",""มุกดาหาร!I325"")+IMPORTRANGE(""https://d"&amp;"ocs.google.com/spreadsheets/d/1oKaccgDdQABndOzGr688Dbfxb_V3YcF67VqEPBtdzsc/edit?usp=share_link"",""ยโสธร!I325"")+IMPORTRANGE(""https://docs.google.com/spreadsheets/d/1BRgc8xKpxZ0PX-gauieMVkV_IOxKSotf0yW8MabGprQ/edit?usp=share_link"",""ร้อยเอ็ด!I325"")+IMP"&amp;"ORTRANGE(""https://docs.google.com/spreadsheets/d/1IdolZc-dfdgMwAm_KZxYJl1sUOcIgnbGQzbWOlddedo/edit?usp=share_link"",""เลย!I325"")+IMPORTRANGE(""https://docs.google.com/spreadsheets/d/1tZ0nmtGuIRCaGAMXHlQU8EpR9LOAJvyKfc4f7EFmE34/edit?usp=share_link"",""ศร"&amp;"ีสะเกษ!I325"")+IMPORTRANGE(""https://docs.google.com/spreadsheets/d/1QC8psz9w0f9IVE9Xuc2FT_btkaOzZbbUSgYObpBuetM/edit?usp=share_link"",""สกลนคร!I325"")+IMPORTRANGE(""https://docs.google.com/spreadsheets/d/1wPdvRbu02d33MYVlbsCnyTiZpefEBs9NNktAnT1HZvw/edit?"&amp;"usp=share_link"",""สุรินทร์!I325"")+IMPORTRANGE(""https://docs.google.com/spreadsheets/d/1GVExpf-Exi_2gmuqTYH28fseTB9MoKPXWcXCbSt_YrM/edit?usp=share_link"",""หนองคาย!I325"")+IMPORTRANGE(""https://docs.google.com/spreadsheets/d/16UeMz0UgOB5BZcoxP75eYGcLFtG"&amp;"YRn9GoesD4OX9m5U/edit?usp=share_link"",""หนองบัวลำภู!I325"")+IMPORTRANGE(""https://docs.google.com/spreadsheets/d/1uUP8Zo1-qaJLuIkRU0qlwLSE3DHkbdrrj2JGJiWBQZE/edit?usp=share_link"",""อำนาจเจริญ!I325"")+IMPORTRANGE(""https://docs.google.com/spreadsheets/d/"&amp;"1hb_taSOHanzRjqfzWPiFo8yiT83VV1L7vvUCLhOiHKc/edit?usp=share_link"",""อุดรธานี!I325"")+IMPORTRANGE(""https://docs.google.com/spreadsheets/d/17IOkEwkUd63EGNfyNDnM5de9YlZ7rwzTiW6-dokVjKI/edit?usp=share_link"",""อุบลราชธานี!I325"")
"),3)</f>
        <v>3</v>
      </c>
      <c r="J325" s="183">
        <f ca="1">IFERROR(__xludf.DUMMYFUNCTION("IMPORTRANGE(""https://docs.google.com/spreadsheets/d/1fb2B9NLcpJgjIieIJvenUTNPn0TimZDUi0OtYeiSQ_s/edit?usp=share_link"",""กาฬสินธุ์!J325"")+IMPORTRANGE(""https://docs.google.com/spreadsheets/d/1SaMnqrwRGmFYNR0MhpWmHuL5niYUd5E7vDq8X7whAlI/edit?usp=share_li"&amp;"nk"",""ขอนแก่น!J325"")
+IMPORTRANGE(""https://docs.google.com/spreadsheets/d/1xQzEtGHhTTgxHh6YUkKY1P4dRyjVhS74dGswLfAASA4/edit?usp=share_link"",""ชัยภูมิ!J325"")+IMPORTRANGE(""https://docs.google.com/spreadsheets/d/1EXMBoBxU3OFbjT2TRpneM33qFjqDzrKmn9ydcfl"&amp;"fI0o/edit?usp=share_link"",""นครพนม!J325"")+IMPORTRANGE(""https://docs.google.com/spreadsheets/d/1bDQrolntRWtHumK8W-x-HXKntwxB9S3sF5aDeRS66Ko/edit?usp=share_link"",""นครราชสีมา!J325"")+IMPORTRANGE(""https://docs.google.com/spreadsheets/d/1_MzZ-2gVPiCW-d2V"&amp;"cafoCmFJQTSrZ6SQyFcMqRRQQ2w/edit?usp=share_link"",""บึงกาฬ!J325"")
+IMPORTRANGE(""https://docs.google.com/spreadsheets/d/1B3lPpzOuaNwVItLwLEZYl_qEblfcx7dRnbRkAw0l-pE/edit?usp=share_link"",""บุรีรัมย์!J325"")+IMPORTRANGE(""https://docs.google.com/spreadshe"&amp;"ets/d/19GOkiOqnzYbevLYWrMk4qFOXe3rX14BkSA8X-mq-a40/edit?usp=share_link"",""มหาสารคาม!J325"")+IMPORTRANGE(""https://docs.google.com/spreadsheets/d/1uMKqWwuNQ-TCKboGA3Bb1qXb5uj2-faACNUINCz8PN4/edit?usp=share_link"",""มุกดาหาร!J325"")+IMPORTRANGE(""https://d"&amp;"ocs.google.com/spreadsheets/d/1oKaccgDdQABndOzGr688Dbfxb_V3YcF67VqEPBtdzsc/edit?usp=share_link"",""ยโสธร!J325"")+IMPORTRANGE(""https://docs.google.com/spreadsheets/d/1BRgc8xKpxZ0PX-gauieMVkV_IOxKSotf0yW8MabGprQ/edit?usp=share_link"",""ร้อยเอ็ด!J325"")+IMP"&amp;"ORTRANGE(""https://docs.google.com/spreadsheets/d/1IdolZc-dfdgMwAm_KZxYJl1sUOcIgnbGQzbWOlddedo/edit?usp=share_link"",""เลย!J325"")+IMPORTRANGE(""https://docs.google.com/spreadsheets/d/1tZ0nmtGuIRCaGAMXHlQU8EpR9LOAJvyKfc4f7EFmE34/edit?usp=share_link"",""ศร"&amp;"ีสะเกษ!J325"")+IMPORTRANGE(""https://docs.google.com/spreadsheets/d/1QC8psz9w0f9IVE9Xuc2FT_btkaOzZbbUSgYObpBuetM/edit?usp=share_link"",""สกลนคร!J325"")+IMPORTRANGE(""https://docs.google.com/spreadsheets/d/1wPdvRbu02d33MYVlbsCnyTiZpefEBs9NNktAnT1HZvw/edit?"&amp;"usp=share_link"",""สุรินทร์!J325"")+IMPORTRANGE(""https://docs.google.com/spreadsheets/d/1GVExpf-Exi_2gmuqTYH28fseTB9MoKPXWcXCbSt_YrM/edit?usp=share_link"",""หนองคาย!J325"")+IMPORTRANGE(""https://docs.google.com/spreadsheets/d/16UeMz0UgOB5BZcoxP75eYGcLFtG"&amp;"YRn9GoesD4OX9m5U/edit?usp=share_link"",""หนองบัวลำภู!J325"")+IMPORTRANGE(""https://docs.google.com/spreadsheets/d/1uUP8Zo1-qaJLuIkRU0qlwLSE3DHkbdrrj2JGJiWBQZE/edit?usp=share_link"",""อำนาจเจริญ!J325"")+IMPORTRANGE(""https://docs.google.com/spreadsheets/d/"&amp;"1hb_taSOHanzRjqfzWPiFo8yiT83VV1L7vvUCLhOiHKc/edit?usp=share_link"",""อุดรธานี!J325"")+IMPORTRANGE(""https://docs.google.com/spreadsheets/d/17IOkEwkUd63EGNfyNDnM5de9YlZ7rwzTiW6-dokVjKI/edit?usp=share_link"",""อุบลราชธานี!J325"")
"),3)</f>
        <v>3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fb2B9NLcpJgjIieIJvenUTNPn0TimZDUi0OtYeiSQ_s/edit?usp=share_link"",""กาฬสินธุ์!I327"")+IMPORTRANGE(""https://docs.google.com/spreadsheets/d/1SaMnqrwRGmFYNR0MhpWmHuL5niYUd5E7vDq8X7whAlI/edit?usp=share_li"&amp;"nk"",""ขอนแก่น!I327"")
+IMPORTRANGE(""https://docs.google.com/spreadsheets/d/1xQzEtGHhTTgxHh6YUkKY1P4dRyjVhS74dGswLfAASA4/edit?usp=share_link"",""ชัยภูมิ!I327"")+IMPORTRANGE(""https://docs.google.com/spreadsheets/d/1EXMBoBxU3OFbjT2TRpneM33qFjqDzrKmn9ydcfl"&amp;"fI0o/edit?usp=share_link"",""นครพนม!I327"")+IMPORTRANGE(""https://docs.google.com/spreadsheets/d/1bDQrolntRWtHumK8W-x-HXKntwxB9S3sF5aDeRS66Ko/edit?usp=share_link"",""นครราชสีมา!I327"")+IMPORTRANGE(""https://docs.google.com/spreadsheets/d/1_MzZ-2gVPiCW-d2V"&amp;"cafoCmFJQTSrZ6SQyFcMqRRQQ2w/edit?usp=share_link"",""บึงกาฬ!I327"")
+IMPORTRANGE(""https://docs.google.com/spreadsheets/d/1B3lPpzOuaNwVItLwLEZYl_qEblfcx7dRnbRkAw0l-pE/edit?usp=share_link"",""บุรีรัมย์!I327"")+IMPORTRANGE(""https://docs.google.com/spreadshe"&amp;"ets/d/19GOkiOqnzYbevLYWrMk4qFOXe3rX14BkSA8X-mq-a40/edit?usp=share_link"",""มหาสารคาม!I327"")+IMPORTRANGE(""https://docs.google.com/spreadsheets/d/1uMKqWwuNQ-TCKboGA3Bb1qXb5uj2-faACNUINCz8PN4/edit?usp=share_link"",""มุกดาหาร!I327"")+IMPORTRANGE(""https://d"&amp;"ocs.google.com/spreadsheets/d/1oKaccgDdQABndOzGr688Dbfxb_V3YcF67VqEPBtdzsc/edit?usp=share_link"",""ยโสธร!I327"")+IMPORTRANGE(""https://docs.google.com/spreadsheets/d/1BRgc8xKpxZ0PX-gauieMVkV_IOxKSotf0yW8MabGprQ/edit?usp=share_link"",""ร้อยเอ็ด!I327"")+IMP"&amp;"ORTRANGE(""https://docs.google.com/spreadsheets/d/1IdolZc-dfdgMwAm_KZxYJl1sUOcIgnbGQzbWOlddedo/edit?usp=share_link"",""เลย!I327"")+IMPORTRANGE(""https://docs.google.com/spreadsheets/d/1tZ0nmtGuIRCaGAMXHlQU8EpR9LOAJvyKfc4f7EFmE34/edit?usp=share_link"",""ศร"&amp;"ีสะเกษ!I327"")+IMPORTRANGE(""https://docs.google.com/spreadsheets/d/1QC8psz9w0f9IVE9Xuc2FT_btkaOzZbbUSgYObpBuetM/edit?usp=share_link"",""สกลนคร!I327"")+IMPORTRANGE(""https://docs.google.com/spreadsheets/d/1wPdvRbu02d33MYVlbsCnyTiZpefEBs9NNktAnT1HZvw/edit?"&amp;"usp=share_link"",""สุรินทร์!I327"")+IMPORTRANGE(""https://docs.google.com/spreadsheets/d/1GVExpf-Exi_2gmuqTYH28fseTB9MoKPXWcXCbSt_YrM/edit?usp=share_link"",""หนองคาย!I327"")+IMPORTRANGE(""https://docs.google.com/spreadsheets/d/16UeMz0UgOB5BZcoxP75eYGcLFtG"&amp;"YRn9GoesD4OX9m5U/edit?usp=share_link"",""หนองบัวลำภู!I327"")+IMPORTRANGE(""https://docs.google.com/spreadsheets/d/1uUP8Zo1-qaJLuIkRU0qlwLSE3DHkbdrrj2JGJiWBQZE/edit?usp=share_link"",""อำนาจเจริญ!I327"")+IMPORTRANGE(""https://docs.google.com/spreadsheets/d/"&amp;"1hb_taSOHanzRjqfzWPiFo8yiT83VV1L7vvUCLhOiHKc/edit?usp=share_link"",""อุดรธานี!I327"")+IMPORTRANGE(""https://docs.google.com/spreadsheets/d/17IOkEwkUd63EGNfyNDnM5de9YlZ7rwzTiW6-dokVjKI/edit?usp=share_link"",""อุบลราชธานี!I327"")
"),85820)</f>
        <v>85820</v>
      </c>
      <c r="J327" s="444">
        <f>J338+J341+J342+J343</f>
        <v>194672</v>
      </c>
      <c r="K327" s="445">
        <f ca="1">IF(I327&gt;0,J327*100/I327,0)</f>
        <v>226.83756700069912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4688800</v>
      </c>
      <c r="M328" s="155">
        <f t="shared" ca="1" si="174"/>
        <v>5015500</v>
      </c>
      <c r="N328" s="155">
        <f t="shared" ca="1" si="174"/>
        <v>5027498.87</v>
      </c>
      <c r="O328" s="155">
        <f t="shared" ref="O328:O336" ca="1" si="175">IF(L328&gt;0,N328*100/L328,0)</f>
        <v>107.22357255587784</v>
      </c>
      <c r="P328" s="155">
        <f t="shared" ref="P328:P336" ca="1" si="176">IF(M328&gt;0,N328*100/M328,0)</f>
        <v>100.23923576911574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4688800</v>
      </c>
      <c r="M330" s="45">
        <f t="shared" ca="1" si="178"/>
        <v>5015500</v>
      </c>
      <c r="N330" s="45">
        <f t="shared" ca="1" si="178"/>
        <v>5027498.87</v>
      </c>
      <c r="O330" s="45">
        <f t="shared" ca="1" si="175"/>
        <v>107.22357255587784</v>
      </c>
      <c r="P330" s="45">
        <f t="shared" ca="1" si="176"/>
        <v>100.23923576911574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3838800</v>
      </c>
      <c r="M331" s="38">
        <f t="shared" ca="1" si="179"/>
        <v>3983800</v>
      </c>
      <c r="N331" s="38">
        <f t="shared" ca="1" si="179"/>
        <v>3983798.87</v>
      </c>
      <c r="O331" s="38">
        <f t="shared" ca="1" si="175"/>
        <v>103.77719261227467</v>
      </c>
      <c r="P331" s="38">
        <f t="shared" ca="1" si="176"/>
        <v>99.99997163512225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fb2B9NLcpJgjIieIJvenUTNPn0TimZDUi0OtYeiSQ_s/edit?usp=share_link"",""กาฬสินธุ์!L333"")+IMPORTRANGE(""https://docs.google.com/spreadsheets/d/1SaMnqrwRGmFYNR0MhpWmHuL5niYUd5E7vDq8X7whAlI/edit?usp=share_li"&amp;"nk"",""ขอนแก่น!L333"")
+IMPORTRANGE(""https://docs.google.com/spreadsheets/d/1xQzEtGHhTTgxHh6YUkKY1P4dRyjVhS74dGswLfAASA4/edit?usp=share_link"",""ชัยภูมิ!L333"")+IMPORTRANGE(""https://docs.google.com/spreadsheets/d/1EXMBoBxU3OFbjT2TRpneM33qFjqDzrKmn9ydcfl"&amp;"fI0o/edit?usp=share_link"",""นครพนม!L333"")+IMPORTRANGE(""https://docs.google.com/spreadsheets/d/1bDQrolntRWtHumK8W-x-HXKntwxB9S3sF5aDeRS66Ko/edit?usp=share_link"",""นครราชสีมา!L333"")+IMPORTRANGE(""https://docs.google.com/spreadsheets/d/1_MzZ-2gVPiCW-d2V"&amp;"cafoCmFJQTSrZ6SQyFcMqRRQQ2w/edit?usp=share_link"",""บึงกาฬ!L333"")
+IMPORTRANGE(""https://docs.google.com/spreadsheets/d/1B3lPpzOuaNwVItLwLEZYl_qEblfcx7dRnbRkAw0l-pE/edit?usp=share_link"",""บุรีรัมย์!L333"")+IMPORTRANGE(""https://docs.google.com/spreadshe"&amp;"ets/d/19GOkiOqnzYbevLYWrMk4qFOXe3rX14BkSA8X-mq-a40/edit?usp=share_link"",""มหาสารคาม!L333"")+IMPORTRANGE(""https://docs.google.com/spreadsheets/d/1uMKqWwuNQ-TCKboGA3Bb1qXb5uj2-faACNUINCz8PN4/edit?usp=share_link"",""มุกดาหาร!L333"")+IMPORTRANGE(""https://d"&amp;"ocs.google.com/spreadsheets/d/1oKaccgDdQABndOzGr688Dbfxb_V3YcF67VqEPBtdzsc/edit?usp=share_link"",""ยโสธร!L333"")+IMPORTRANGE(""https://docs.google.com/spreadsheets/d/1BRgc8xKpxZ0PX-gauieMVkV_IOxKSotf0yW8MabGprQ/edit?usp=share_link"",""ร้อยเอ็ด!L333"")+IMP"&amp;"ORTRANGE(""https://docs.google.com/spreadsheets/d/1IdolZc-dfdgMwAm_KZxYJl1sUOcIgnbGQzbWOlddedo/edit?usp=share_link"",""เลย!L333"")+IMPORTRANGE(""https://docs.google.com/spreadsheets/d/1tZ0nmtGuIRCaGAMXHlQU8EpR9LOAJvyKfc4f7EFmE34/edit?usp=share_link"",""ศร"&amp;"ีสะเกษ!L333"")+IMPORTRANGE(""https://docs.google.com/spreadsheets/d/1QC8psz9w0f9IVE9Xuc2FT_btkaOzZbbUSgYObpBuetM/edit?usp=share_link"",""สกลนคร!L333"")+IMPORTRANGE(""https://docs.google.com/spreadsheets/d/1wPdvRbu02d33MYVlbsCnyTiZpefEBs9NNktAnT1HZvw/edit?"&amp;"usp=share_link"",""สุรินทร์!L333"")+IMPORTRANGE(""https://docs.google.com/spreadsheets/d/1GVExpf-Exi_2gmuqTYH28fseTB9MoKPXWcXCbSt_YrM/edit?usp=share_link"",""หนองคาย!L333"")+IMPORTRANGE(""https://docs.google.com/spreadsheets/d/16UeMz0UgOB5BZcoxP75eYGcLFtG"&amp;"YRn9GoesD4OX9m5U/edit?usp=share_link"",""หนองบัวลำภู!L333"")+IMPORTRANGE(""https://docs.google.com/spreadsheets/d/1uUP8Zo1-qaJLuIkRU0qlwLSE3DHkbdrrj2JGJiWBQZE/edit?usp=share_link"",""อำนาจเจริญ!L333"")+IMPORTRANGE(""https://docs.google.com/spreadsheets/d/"&amp;"1hb_taSOHanzRjqfzWPiFo8yiT83VV1L7vvUCLhOiHKc/edit?usp=share_link"",""อุดรธานี!L333"")+IMPORTRANGE(""https://docs.google.com/spreadsheets/d/17IOkEwkUd63EGNfyNDnM5de9YlZ7rwzTiW6-dokVjKI/edit?usp=share_link"",""อุบลราชธานี!L333"")
"),3838800)</f>
        <v>3838800</v>
      </c>
      <c r="M333" s="45">
        <f ca="1">IFERROR(__xludf.DUMMYFUNCTION("IMPORTRANGE(""https://docs.google.com/spreadsheets/d/1fb2B9NLcpJgjIieIJvenUTNPn0TimZDUi0OtYeiSQ_s/edit?usp=share_link"",""กาฬสินธุ์!M333"")+IMPORTRANGE(""https://docs.google.com/spreadsheets/d/1SaMnqrwRGmFYNR0MhpWmHuL5niYUd5E7vDq8X7whAlI/edit?usp=share_li"&amp;"nk"",""ขอนแก่น!M333"")
+IMPORTRANGE(""https://docs.google.com/spreadsheets/d/1xQzEtGHhTTgxHh6YUkKY1P4dRyjVhS74dGswLfAASA4/edit?usp=share_link"",""ชัยภูมิ!M333"")+IMPORTRANGE(""https://docs.google.com/spreadsheets/d/1EXMBoBxU3OFbjT2TRpneM33qFjqDzrKmn9ydcfl"&amp;"fI0o/edit?usp=share_link"",""นครพนม!M333"")+IMPORTRANGE(""https://docs.google.com/spreadsheets/d/1bDQrolntRWtHumK8W-x-HXKntwxB9S3sF5aDeRS66Ko/edit?usp=share_link"",""นครราชสีมา!M333"")+IMPORTRANGE(""https://docs.google.com/spreadsheets/d/1_MzZ-2gVPiCW-d2V"&amp;"cafoCmFJQTSrZ6SQyFcMqRRQQ2w/edit?usp=share_link"",""บึงกาฬ!M333"")
+IMPORTRANGE(""https://docs.google.com/spreadsheets/d/1B3lPpzOuaNwVItLwLEZYl_qEblfcx7dRnbRkAw0l-pE/edit?usp=share_link"",""บุรีรัมย์!M333"")+IMPORTRANGE(""https://docs.google.com/spreadshe"&amp;"ets/d/19GOkiOqnzYbevLYWrMk4qFOXe3rX14BkSA8X-mq-a40/edit?usp=share_link"",""มหาสารคาม!M333"")+IMPORTRANGE(""https://docs.google.com/spreadsheets/d/1uMKqWwuNQ-TCKboGA3Bb1qXb5uj2-faACNUINCz8PN4/edit?usp=share_link"",""มุกดาหาร!M333"")+IMPORTRANGE(""https://d"&amp;"ocs.google.com/spreadsheets/d/1oKaccgDdQABndOzGr688Dbfxb_V3YcF67VqEPBtdzsc/edit?usp=share_link"",""ยโสธร!M333"")+IMPORTRANGE(""https://docs.google.com/spreadsheets/d/1BRgc8xKpxZ0PX-gauieMVkV_IOxKSotf0yW8MabGprQ/edit?usp=share_link"",""ร้อยเอ็ด!M333"")+IMP"&amp;"ORTRANGE(""https://docs.google.com/spreadsheets/d/1IdolZc-dfdgMwAm_KZxYJl1sUOcIgnbGQzbWOlddedo/edit?usp=share_link"",""เลย!M333"")+IMPORTRANGE(""https://docs.google.com/spreadsheets/d/1tZ0nmtGuIRCaGAMXHlQU8EpR9LOAJvyKfc4f7EFmE34/edit?usp=share_link"",""ศร"&amp;"ีสะเกษ!M333"")+IMPORTRANGE(""https://docs.google.com/spreadsheets/d/1QC8psz9w0f9IVE9Xuc2FT_btkaOzZbbUSgYObpBuetM/edit?usp=share_link"",""สกลนคร!M333"")+IMPORTRANGE(""https://docs.google.com/spreadsheets/d/1wPdvRbu02d33MYVlbsCnyTiZpefEBs9NNktAnT1HZvw/edit?"&amp;"usp=share_link"",""สุรินทร์!M333"")+IMPORTRANGE(""https://docs.google.com/spreadsheets/d/1GVExpf-Exi_2gmuqTYH28fseTB9MoKPXWcXCbSt_YrM/edit?usp=share_link"",""หนองคาย!M333"")+IMPORTRANGE(""https://docs.google.com/spreadsheets/d/16UeMz0UgOB5BZcoxP75eYGcLFtG"&amp;"YRn9GoesD4OX9m5U/edit?usp=share_link"",""หนองบัวลำภู!M333"")+IMPORTRANGE(""https://docs.google.com/spreadsheets/d/1uUP8Zo1-qaJLuIkRU0qlwLSE3DHkbdrrj2JGJiWBQZE/edit?usp=share_link"",""อำนาจเจริญ!M333"")+IMPORTRANGE(""https://docs.google.com/spreadsheets/d/"&amp;"1hb_taSOHanzRjqfzWPiFo8yiT83VV1L7vvUCLhOiHKc/edit?usp=share_link"",""อุดรธานี!M333"")+IMPORTRANGE(""https://docs.google.com/spreadsheets/d/17IOkEwkUd63EGNfyNDnM5de9YlZ7rwzTiW6-dokVjKI/edit?usp=share_link"",""อุบลราชธานี!M333"")
"),3983800)</f>
        <v>3983800</v>
      </c>
      <c r="N333" s="45">
        <f ca="1">IFERROR(__xludf.DUMMYFUNCTION("IMPORTRANGE(""https://docs.google.com/spreadsheets/d/1fb2B9NLcpJgjIieIJvenUTNPn0TimZDUi0OtYeiSQ_s/edit?usp=share_link"",""กาฬสินธุ์!N333"")+IMPORTRANGE(""https://docs.google.com/spreadsheets/d/1SaMnqrwRGmFYNR0MhpWmHuL5niYUd5E7vDq8X7whAlI/edit?usp=share_li"&amp;"nk"",""ขอนแก่น!N333"")
+IMPORTRANGE(""https://docs.google.com/spreadsheets/d/1xQzEtGHhTTgxHh6YUkKY1P4dRyjVhS74dGswLfAASA4/edit?usp=share_link"",""ชัยภูมิ!N333"")+IMPORTRANGE(""https://docs.google.com/spreadsheets/d/1EXMBoBxU3OFbjT2TRpneM33qFjqDzrKmn9ydcfl"&amp;"fI0o/edit?usp=share_link"",""นครพนม!N333"")+IMPORTRANGE(""https://docs.google.com/spreadsheets/d/1bDQrolntRWtHumK8W-x-HXKntwxB9S3sF5aDeRS66Ko/edit?usp=share_link"",""นครราชสีมา!N333"")+IMPORTRANGE(""https://docs.google.com/spreadsheets/d/1_MzZ-2gVPiCW-d2V"&amp;"cafoCmFJQTSrZ6SQyFcMqRRQQ2w/edit?usp=share_link"",""บึงกาฬ!N333"")
+IMPORTRANGE(""https://docs.google.com/spreadsheets/d/1B3lPpzOuaNwVItLwLEZYl_qEblfcx7dRnbRkAw0l-pE/edit?usp=share_link"",""บุรีรัมย์!N333"")+IMPORTRANGE(""https://docs.google.com/spreadshe"&amp;"ets/d/19GOkiOqnzYbevLYWrMk4qFOXe3rX14BkSA8X-mq-a40/edit?usp=share_link"",""มหาสารคาม!N333"")+IMPORTRANGE(""https://docs.google.com/spreadsheets/d/1uMKqWwuNQ-TCKboGA3Bb1qXb5uj2-faACNUINCz8PN4/edit?usp=share_link"",""มุกดาหาร!N333"")+IMPORTRANGE(""https://d"&amp;"ocs.google.com/spreadsheets/d/1oKaccgDdQABndOzGr688Dbfxb_V3YcF67VqEPBtdzsc/edit?usp=share_link"",""ยโสธร!N333"")+IMPORTRANGE(""https://docs.google.com/spreadsheets/d/1BRgc8xKpxZ0PX-gauieMVkV_IOxKSotf0yW8MabGprQ/edit?usp=share_link"",""ร้อยเอ็ด!N333"")+IMP"&amp;"ORTRANGE(""https://docs.google.com/spreadsheets/d/1IdolZc-dfdgMwAm_KZxYJl1sUOcIgnbGQzbWOlddedo/edit?usp=share_link"",""เลย!N333"")+IMPORTRANGE(""https://docs.google.com/spreadsheets/d/1tZ0nmtGuIRCaGAMXHlQU8EpR9LOAJvyKfc4f7EFmE34/edit?usp=share_link"",""ศร"&amp;"ีสะเกษ!N333"")+IMPORTRANGE(""https://docs.google.com/spreadsheets/d/1QC8psz9w0f9IVE9Xuc2FT_btkaOzZbbUSgYObpBuetM/edit?usp=share_link"",""สกลนคร!N333"")+IMPORTRANGE(""https://docs.google.com/spreadsheets/d/1wPdvRbu02d33MYVlbsCnyTiZpefEBs9NNktAnT1HZvw/edit?"&amp;"usp=share_link"",""สุรินทร์!N333"")+IMPORTRANGE(""https://docs.google.com/spreadsheets/d/1GVExpf-Exi_2gmuqTYH28fseTB9MoKPXWcXCbSt_YrM/edit?usp=share_link"",""หนองคาย!N333"")+IMPORTRANGE(""https://docs.google.com/spreadsheets/d/16UeMz0UgOB5BZcoxP75eYGcLFtG"&amp;"YRn9GoesD4OX9m5U/edit?usp=share_link"",""หนองบัวลำภู!N333"")+IMPORTRANGE(""https://docs.google.com/spreadsheets/d/1uUP8Zo1-qaJLuIkRU0qlwLSE3DHkbdrrj2JGJiWBQZE/edit?usp=share_link"",""อำนาจเจริญ!N333"")+IMPORTRANGE(""https://docs.google.com/spreadsheets/d/"&amp;"1hb_taSOHanzRjqfzWPiFo8yiT83VV1L7vvUCLhOiHKc/edit?usp=share_link"",""อุดรธานี!N333"")+IMPORTRANGE(""https://docs.google.com/spreadsheets/d/17IOkEwkUd63EGNfyNDnM5de9YlZ7rwzTiW6-dokVjKI/edit?usp=share_link"",""อุบลราชธานี!N333"")
"),3983798.87)</f>
        <v>3983798.87</v>
      </c>
      <c r="O333" s="45">
        <f t="shared" ca="1" si="175"/>
        <v>103.77719261227467</v>
      </c>
      <c r="P333" s="45">
        <f t="shared" ca="1" si="176"/>
        <v>99.99997163512225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850000</v>
      </c>
      <c r="M334" s="38">
        <f t="shared" ca="1" si="180"/>
        <v>1031700</v>
      </c>
      <c r="N334" s="38">
        <f t="shared" ca="1" si="180"/>
        <v>1043700</v>
      </c>
      <c r="O334" s="38">
        <f t="shared" ca="1" si="175"/>
        <v>122.78823529411764</v>
      </c>
      <c r="P334" s="38">
        <f t="shared" ca="1" si="176"/>
        <v>101.16312881651643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fb2B9NLcpJgjIieIJvenUTNPn0TimZDUi0OtYeiSQ_s/edit?usp=share_link"",""กาฬสินธุ์!L336"")+IMPORTRANGE(""https://docs.google.com/spreadsheets/d/1SaMnqrwRGmFYNR0MhpWmHuL5niYUd5E7vDq8X7whAlI/edit?usp=share_li"&amp;"nk"",""ขอนแก่น!L336"")
+IMPORTRANGE(""https://docs.google.com/spreadsheets/d/1xQzEtGHhTTgxHh6YUkKY1P4dRyjVhS74dGswLfAASA4/edit?usp=share_link"",""ชัยภูมิ!L336"")+IMPORTRANGE(""https://docs.google.com/spreadsheets/d/1EXMBoBxU3OFbjT2TRpneM33qFjqDzrKmn9ydcfl"&amp;"fI0o/edit?usp=share_link"",""นครพนม!L336"")+IMPORTRANGE(""https://docs.google.com/spreadsheets/d/1bDQrolntRWtHumK8W-x-HXKntwxB9S3sF5aDeRS66Ko/edit?usp=share_link"",""นครราชสีมา!L336"")+IMPORTRANGE(""https://docs.google.com/spreadsheets/d/1_MzZ-2gVPiCW-d2V"&amp;"cafoCmFJQTSrZ6SQyFcMqRRQQ2w/edit?usp=share_link"",""บึงกาฬ!L336"")
+IMPORTRANGE(""https://docs.google.com/spreadsheets/d/1B3lPpzOuaNwVItLwLEZYl_qEblfcx7dRnbRkAw0l-pE/edit?usp=share_link"",""บุรีรัมย์!L336"")+IMPORTRANGE(""https://docs.google.com/spreadshe"&amp;"ets/d/19GOkiOqnzYbevLYWrMk4qFOXe3rX14BkSA8X-mq-a40/edit?usp=share_link"",""มหาสารคาม!L336"")+IMPORTRANGE(""https://docs.google.com/spreadsheets/d/1uMKqWwuNQ-TCKboGA3Bb1qXb5uj2-faACNUINCz8PN4/edit?usp=share_link"",""มุกดาหาร!L336"")+IMPORTRANGE(""https://d"&amp;"ocs.google.com/spreadsheets/d/1oKaccgDdQABndOzGr688Dbfxb_V3YcF67VqEPBtdzsc/edit?usp=share_link"",""ยโสธร!L336"")+IMPORTRANGE(""https://docs.google.com/spreadsheets/d/1BRgc8xKpxZ0PX-gauieMVkV_IOxKSotf0yW8MabGprQ/edit?usp=share_link"",""ร้อยเอ็ด!L336"")+IMP"&amp;"ORTRANGE(""https://docs.google.com/spreadsheets/d/1IdolZc-dfdgMwAm_KZxYJl1sUOcIgnbGQzbWOlddedo/edit?usp=share_link"",""เลย!L336"")+IMPORTRANGE(""https://docs.google.com/spreadsheets/d/1tZ0nmtGuIRCaGAMXHlQU8EpR9LOAJvyKfc4f7EFmE34/edit?usp=share_link"",""ศร"&amp;"ีสะเกษ!L336"")+IMPORTRANGE(""https://docs.google.com/spreadsheets/d/1QC8psz9w0f9IVE9Xuc2FT_btkaOzZbbUSgYObpBuetM/edit?usp=share_link"",""สกลนคร!L336"")+IMPORTRANGE(""https://docs.google.com/spreadsheets/d/1wPdvRbu02d33MYVlbsCnyTiZpefEBs9NNktAnT1HZvw/edit?"&amp;"usp=share_link"",""สุรินทร์!L336"")+IMPORTRANGE(""https://docs.google.com/spreadsheets/d/1GVExpf-Exi_2gmuqTYH28fseTB9MoKPXWcXCbSt_YrM/edit?usp=share_link"",""หนองคาย!L336"")+IMPORTRANGE(""https://docs.google.com/spreadsheets/d/16UeMz0UgOB5BZcoxP75eYGcLFtG"&amp;"YRn9GoesD4OX9m5U/edit?usp=share_link"",""หนองบัวลำภู!L336"")+IMPORTRANGE(""https://docs.google.com/spreadsheets/d/1uUP8Zo1-qaJLuIkRU0qlwLSE3DHkbdrrj2JGJiWBQZE/edit?usp=share_link"",""อำนาจเจริญ!L336"")+IMPORTRANGE(""https://docs.google.com/spreadsheets/d/"&amp;"1hb_taSOHanzRjqfzWPiFo8yiT83VV1L7vvUCLhOiHKc/edit?usp=share_link"",""อุดรธานี!L336"")+IMPORTRANGE(""https://docs.google.com/spreadsheets/d/17IOkEwkUd63EGNfyNDnM5de9YlZ7rwzTiW6-dokVjKI/edit?usp=share_link"",""อุบลราชธานี!L336"")
"),850000)</f>
        <v>850000</v>
      </c>
      <c r="M336" s="45">
        <f ca="1">IFERROR(__xludf.DUMMYFUNCTION("IMPORTRANGE(""https://docs.google.com/spreadsheets/d/1fb2B9NLcpJgjIieIJvenUTNPn0TimZDUi0OtYeiSQ_s/edit?usp=share_link"",""กาฬสินธุ์!M336"")+IMPORTRANGE(""https://docs.google.com/spreadsheets/d/1SaMnqrwRGmFYNR0MhpWmHuL5niYUd5E7vDq8X7whAlI/edit?usp=share_li"&amp;"nk"",""ขอนแก่น!M336"")
+IMPORTRANGE(""https://docs.google.com/spreadsheets/d/1xQzEtGHhTTgxHh6YUkKY1P4dRyjVhS74dGswLfAASA4/edit?usp=share_link"",""ชัยภูมิ!M336"")+IMPORTRANGE(""https://docs.google.com/spreadsheets/d/1EXMBoBxU3OFbjT2TRpneM33qFjqDzrKmn9ydcfl"&amp;"fI0o/edit?usp=share_link"",""นครพนม!M336"")+IMPORTRANGE(""https://docs.google.com/spreadsheets/d/1bDQrolntRWtHumK8W-x-HXKntwxB9S3sF5aDeRS66Ko/edit?usp=share_link"",""นครราชสีมา!M336"")+IMPORTRANGE(""https://docs.google.com/spreadsheets/d/1_MzZ-2gVPiCW-d2V"&amp;"cafoCmFJQTSrZ6SQyFcMqRRQQ2w/edit?usp=share_link"",""บึงกาฬ!M336"")
+IMPORTRANGE(""https://docs.google.com/spreadsheets/d/1B3lPpzOuaNwVItLwLEZYl_qEblfcx7dRnbRkAw0l-pE/edit?usp=share_link"",""บุรีรัมย์!M336"")+IMPORTRANGE(""https://docs.google.com/spreadshe"&amp;"ets/d/19GOkiOqnzYbevLYWrMk4qFOXe3rX14BkSA8X-mq-a40/edit?usp=share_link"",""มหาสารคาม!M336"")+IMPORTRANGE(""https://docs.google.com/spreadsheets/d/1uMKqWwuNQ-TCKboGA3Bb1qXb5uj2-faACNUINCz8PN4/edit?usp=share_link"",""มุกดาหาร!M336"")+IMPORTRANGE(""https://d"&amp;"ocs.google.com/spreadsheets/d/1oKaccgDdQABndOzGr688Dbfxb_V3YcF67VqEPBtdzsc/edit?usp=share_link"",""ยโสธร!M336"")+IMPORTRANGE(""https://docs.google.com/spreadsheets/d/1BRgc8xKpxZ0PX-gauieMVkV_IOxKSotf0yW8MabGprQ/edit?usp=share_link"",""ร้อยเอ็ด!M336"")+IMP"&amp;"ORTRANGE(""https://docs.google.com/spreadsheets/d/1IdolZc-dfdgMwAm_KZxYJl1sUOcIgnbGQzbWOlddedo/edit?usp=share_link"",""เลย!M336"")+IMPORTRANGE(""https://docs.google.com/spreadsheets/d/1tZ0nmtGuIRCaGAMXHlQU8EpR9LOAJvyKfc4f7EFmE34/edit?usp=share_link"",""ศร"&amp;"ีสะเกษ!M336"")+IMPORTRANGE(""https://docs.google.com/spreadsheets/d/1QC8psz9w0f9IVE9Xuc2FT_btkaOzZbbUSgYObpBuetM/edit?usp=share_link"",""สกลนคร!M336"")+IMPORTRANGE(""https://docs.google.com/spreadsheets/d/1wPdvRbu02d33MYVlbsCnyTiZpefEBs9NNktAnT1HZvw/edit?"&amp;"usp=share_link"",""สุรินทร์!M336"")+IMPORTRANGE(""https://docs.google.com/spreadsheets/d/1GVExpf-Exi_2gmuqTYH28fseTB9MoKPXWcXCbSt_YrM/edit?usp=share_link"",""หนองคาย!M336"")+IMPORTRANGE(""https://docs.google.com/spreadsheets/d/16UeMz0UgOB5BZcoxP75eYGcLFtG"&amp;"YRn9GoesD4OX9m5U/edit?usp=share_link"",""หนองบัวลำภู!M336"")+IMPORTRANGE(""https://docs.google.com/spreadsheets/d/1uUP8Zo1-qaJLuIkRU0qlwLSE3DHkbdrrj2JGJiWBQZE/edit?usp=share_link"",""อำนาจเจริญ!M336"")+IMPORTRANGE(""https://docs.google.com/spreadsheets/d/"&amp;"1hb_taSOHanzRjqfzWPiFo8yiT83VV1L7vvUCLhOiHKc/edit?usp=share_link"",""อุดรธานี!M336"")+IMPORTRANGE(""https://docs.google.com/spreadsheets/d/17IOkEwkUd63EGNfyNDnM5de9YlZ7rwzTiW6-dokVjKI/edit?usp=share_link"",""อุบลราชธานี!M336"")
"),1031700)</f>
        <v>1031700</v>
      </c>
      <c r="N336" s="45">
        <f ca="1">IFERROR(__xludf.DUMMYFUNCTION("IMPORTRANGE(""https://docs.google.com/spreadsheets/d/1fb2B9NLcpJgjIieIJvenUTNPn0TimZDUi0OtYeiSQ_s/edit?usp=share_link"",""กาฬสินธุ์!N336"")+IMPORTRANGE(""https://docs.google.com/spreadsheets/d/1SaMnqrwRGmFYNR0MhpWmHuL5niYUd5E7vDq8X7whAlI/edit?usp=share_li"&amp;"nk"",""ขอนแก่น!N336"")
+IMPORTRANGE(""https://docs.google.com/spreadsheets/d/1xQzEtGHhTTgxHh6YUkKY1P4dRyjVhS74dGswLfAASA4/edit?usp=share_link"",""ชัยภูมิ!N336"")+IMPORTRANGE(""https://docs.google.com/spreadsheets/d/1EXMBoBxU3OFbjT2TRpneM33qFjqDzrKmn9ydcfl"&amp;"fI0o/edit?usp=share_link"",""นครพนม!N336"")+IMPORTRANGE(""https://docs.google.com/spreadsheets/d/1bDQrolntRWtHumK8W-x-HXKntwxB9S3sF5aDeRS66Ko/edit?usp=share_link"",""นครราชสีมา!N336"")+IMPORTRANGE(""https://docs.google.com/spreadsheets/d/1_MzZ-2gVPiCW-d2V"&amp;"cafoCmFJQTSrZ6SQyFcMqRRQQ2w/edit?usp=share_link"",""บึงกาฬ!N336"")
+IMPORTRANGE(""https://docs.google.com/spreadsheets/d/1B3lPpzOuaNwVItLwLEZYl_qEblfcx7dRnbRkAw0l-pE/edit?usp=share_link"",""บุรีรัมย์!N336"")+IMPORTRANGE(""https://docs.google.com/spreadshe"&amp;"ets/d/19GOkiOqnzYbevLYWrMk4qFOXe3rX14BkSA8X-mq-a40/edit?usp=share_link"",""มหาสารคาม!N336"")+IMPORTRANGE(""https://docs.google.com/spreadsheets/d/1uMKqWwuNQ-TCKboGA3Bb1qXb5uj2-faACNUINCz8PN4/edit?usp=share_link"",""มุกดาหาร!N336"")+IMPORTRANGE(""https://d"&amp;"ocs.google.com/spreadsheets/d/1oKaccgDdQABndOzGr688Dbfxb_V3YcF67VqEPBtdzsc/edit?usp=share_link"",""ยโสธร!N336"")+IMPORTRANGE(""https://docs.google.com/spreadsheets/d/1BRgc8xKpxZ0PX-gauieMVkV_IOxKSotf0yW8MabGprQ/edit?usp=share_link"",""ร้อยเอ็ด!N336"")+IMP"&amp;"ORTRANGE(""https://docs.google.com/spreadsheets/d/1IdolZc-dfdgMwAm_KZxYJl1sUOcIgnbGQzbWOlddedo/edit?usp=share_link"",""เลย!N336"")+IMPORTRANGE(""https://docs.google.com/spreadsheets/d/1tZ0nmtGuIRCaGAMXHlQU8EpR9LOAJvyKfc4f7EFmE34/edit?usp=share_link"",""ศร"&amp;"ีสะเกษ!N336"")+IMPORTRANGE(""https://docs.google.com/spreadsheets/d/1QC8psz9w0f9IVE9Xuc2FT_btkaOzZbbUSgYObpBuetM/edit?usp=share_link"",""สกลนคร!N336"")+IMPORTRANGE(""https://docs.google.com/spreadsheets/d/1wPdvRbu02d33MYVlbsCnyTiZpefEBs9NNktAnT1HZvw/edit?"&amp;"usp=share_link"",""สุรินทร์!N336"")+IMPORTRANGE(""https://docs.google.com/spreadsheets/d/1GVExpf-Exi_2gmuqTYH28fseTB9MoKPXWcXCbSt_YrM/edit?usp=share_link"",""หนองคาย!N336"")+IMPORTRANGE(""https://docs.google.com/spreadsheets/d/16UeMz0UgOB5BZcoxP75eYGcLFtG"&amp;"YRn9GoesD4OX9m5U/edit?usp=share_link"",""หนองบัวลำภู!N336"")+IMPORTRANGE(""https://docs.google.com/spreadsheets/d/1uUP8Zo1-qaJLuIkRU0qlwLSE3DHkbdrrj2JGJiWBQZE/edit?usp=share_link"",""อำนาจเจริญ!N336"")+IMPORTRANGE(""https://docs.google.com/spreadsheets/d/"&amp;"1hb_taSOHanzRjqfzWPiFo8yiT83VV1L7vvUCLhOiHKc/edit?usp=share_link"",""อุดรธานี!N336"")+IMPORTRANGE(""https://docs.google.com/spreadsheets/d/17IOkEwkUd63EGNfyNDnM5de9YlZ7rwzTiW6-dokVjKI/edit?usp=share_link"",""อุบลราชธานี!N336"")
"),1043700)</f>
        <v>1043700</v>
      </c>
      <c r="O336" s="45">
        <f t="shared" ca="1" si="175"/>
        <v>122.78823529411764</v>
      </c>
      <c r="P336" s="45">
        <f t="shared" ca="1" si="176"/>
        <v>101.16312881651643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453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fb2B9NLcpJgjIieIJvenUTNPn0TimZDUi0OtYeiSQ_s/edit?usp=share_link"",""กาฬสินธุ์!I338"")+IMPORTRANGE(""https://docs.google.com/spreadsheets/d/1SaMnqrwRGmFYNR0MhpWmHuL5niYUd5E7vDq8X7whAlI/edit?usp=share_li"&amp;"nk"",""ขอนแก่น!I338"")
+IMPORTRANGE(""https://docs.google.com/spreadsheets/d/1xQzEtGHhTTgxHh6YUkKY1P4dRyjVhS74dGswLfAASA4/edit?usp=share_link"",""ชัยภูมิ!I338"")+IMPORTRANGE(""https://docs.google.com/spreadsheets/d/1EXMBoBxU3OFbjT2TRpneM33qFjqDzrKmn9ydcfl"&amp;"fI0o/edit?usp=share_link"",""นครพนม!I338"")+IMPORTRANGE(""https://docs.google.com/spreadsheets/d/1bDQrolntRWtHumK8W-x-HXKntwxB9S3sF5aDeRS66Ko/edit?usp=share_link"",""นครราชสีมา!I338"")+IMPORTRANGE(""https://docs.google.com/spreadsheets/d/1_MzZ-2gVPiCW-d2V"&amp;"cafoCmFJQTSrZ6SQyFcMqRRQQ2w/edit?usp=share_link"",""บึงกาฬ!I338"")
+IMPORTRANGE(""https://docs.google.com/spreadsheets/d/1B3lPpzOuaNwVItLwLEZYl_qEblfcx7dRnbRkAw0l-pE/edit?usp=share_link"",""บุรีรัมย์!I338"")+IMPORTRANGE(""https://docs.google.com/spreadshe"&amp;"ets/d/19GOkiOqnzYbevLYWrMk4qFOXe3rX14BkSA8X-mq-a40/edit?usp=share_link"",""มหาสารคาม!I338"")+IMPORTRANGE(""https://docs.google.com/spreadsheets/d/1uMKqWwuNQ-TCKboGA3Bb1qXb5uj2-faACNUINCz8PN4/edit?usp=share_link"",""มุกดาหาร!I338"")+IMPORTRANGE(""https://d"&amp;"ocs.google.com/spreadsheets/d/1oKaccgDdQABndOzGr688Dbfxb_V3YcF67VqEPBtdzsc/edit?usp=share_link"",""ยโสธร!I338"")+IMPORTRANGE(""https://docs.google.com/spreadsheets/d/1BRgc8xKpxZ0PX-gauieMVkV_IOxKSotf0yW8MabGprQ/edit?usp=share_link"",""ร้อยเอ็ด!I338"")+IMP"&amp;"ORTRANGE(""https://docs.google.com/spreadsheets/d/1IdolZc-dfdgMwAm_KZxYJl1sUOcIgnbGQzbWOlddedo/edit?usp=share_link"",""เลย!I338"")+IMPORTRANGE(""https://docs.google.com/spreadsheets/d/1tZ0nmtGuIRCaGAMXHlQU8EpR9LOAJvyKfc4f7EFmE34/edit?usp=share_link"",""ศร"&amp;"ีสะเกษ!I338"")+IMPORTRANGE(""https://docs.google.com/spreadsheets/d/1QC8psz9w0f9IVE9Xuc2FT_btkaOzZbbUSgYObpBuetM/edit?usp=share_link"",""สกลนคร!I338"")+IMPORTRANGE(""https://docs.google.com/spreadsheets/d/1wPdvRbu02d33MYVlbsCnyTiZpefEBs9NNktAnT1HZvw/edit?"&amp;"usp=share_link"",""สุรินทร์!I338"")+IMPORTRANGE(""https://docs.google.com/spreadsheets/d/1GVExpf-Exi_2gmuqTYH28fseTB9MoKPXWcXCbSt_YrM/edit?usp=share_link"",""หนองคาย!I338"")+IMPORTRANGE(""https://docs.google.com/spreadsheets/d/16UeMz0UgOB5BZcoxP75eYGcLFtG"&amp;"YRn9GoesD4OX9m5U/edit?usp=share_link"",""หนองบัวลำภู!I338"")+IMPORTRANGE(""https://docs.google.com/spreadsheets/d/1uUP8Zo1-qaJLuIkRU0qlwLSE3DHkbdrrj2JGJiWBQZE/edit?usp=share_link"",""อำนาจเจริญ!I338"")+IMPORTRANGE(""https://docs.google.com/spreadsheets/d/"&amp;"1hb_taSOHanzRjqfzWPiFo8yiT83VV1L7vvUCLhOiHKc/edit?usp=share_link"",""อุดรธานี!I338"")+IMPORTRANGE(""https://docs.google.com/spreadsheets/d/17IOkEwkUd63EGNfyNDnM5de9YlZ7rwzTiW6-dokVjKI/edit?usp=share_link"",""อุบลราชธานี!I338"")
"),85820)</f>
        <v>85820</v>
      </c>
      <c r="J338" s="929">
        <v>179894</v>
      </c>
      <c r="K338" s="38">
        <f ca="1">IF(I338&gt;0,J338*100/I338,0)</f>
        <v>209.61780470752737</v>
      </c>
      <c r="L338" s="38"/>
      <c r="M338" s="38"/>
      <c r="N338" s="38"/>
      <c r="O338" s="38"/>
      <c r="P338" s="38"/>
    </row>
    <row r="339" spans="1:26" ht="18.75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18.75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fb2B9NLcpJgjIieIJvenUTNPn0TimZDUi0OtYeiSQ_s/edit?usp=share_link"",""กาฬสินธุ์!I340"")+IMPORTRANGE(""https://docs.google.com/spreadsheets/d/1SaMnqrwRGmFYNR0MhpWmHuL5niYUd5E7vDq8X7whAlI/edit?usp=share_li"&amp;"nk"",""ขอนแก่น!I340"")
+IMPORTRANGE(""https://docs.google.com/spreadsheets/d/1xQzEtGHhTTgxHh6YUkKY1P4dRyjVhS74dGswLfAASA4/edit?usp=share_link"",""ชัยภูมิ!I340"")+IMPORTRANGE(""https://docs.google.com/spreadsheets/d/1EXMBoBxU3OFbjT2TRpneM33qFjqDzrKmn9ydcfl"&amp;"fI0o/edit?usp=share_link"",""นครพนม!I340"")+IMPORTRANGE(""https://docs.google.com/spreadsheets/d/1bDQrolntRWtHumK8W-x-HXKntwxB9S3sF5aDeRS66Ko/edit?usp=share_link"",""นครราชสีมา!I340"")+IMPORTRANGE(""https://docs.google.com/spreadsheets/d/1_MzZ-2gVPiCW-d2V"&amp;"cafoCmFJQTSrZ6SQyFcMqRRQQ2w/edit?usp=share_link"",""บึงกาฬ!I340"")
+IMPORTRANGE(""https://docs.google.com/spreadsheets/d/1B3lPpzOuaNwVItLwLEZYl_qEblfcx7dRnbRkAw0l-pE/edit?usp=share_link"",""บุรีรัมย์!I340"")+IMPORTRANGE(""https://docs.google.com/spreadshe"&amp;"ets/d/19GOkiOqnzYbevLYWrMk4qFOXe3rX14BkSA8X-mq-a40/edit?usp=share_link"",""มหาสารคาม!I340"")+IMPORTRANGE(""https://docs.google.com/spreadsheets/d/1uMKqWwuNQ-TCKboGA3Bb1qXb5uj2-faACNUINCz8PN4/edit?usp=share_link"",""มุกดาหาร!I340"")+IMPORTRANGE(""https://d"&amp;"ocs.google.com/spreadsheets/d/1oKaccgDdQABndOzGr688Dbfxb_V3YcF67VqEPBtdzsc/edit?usp=share_link"",""ยโสธร!I340"")+IMPORTRANGE(""https://docs.google.com/spreadsheets/d/1BRgc8xKpxZ0PX-gauieMVkV_IOxKSotf0yW8MabGprQ/edit?usp=share_link"",""ร้อยเอ็ด!I340"")+IMP"&amp;"ORTRANGE(""https://docs.google.com/spreadsheets/d/1IdolZc-dfdgMwAm_KZxYJl1sUOcIgnbGQzbWOlddedo/edit?usp=share_link"",""เลย!I340"")+IMPORTRANGE(""https://docs.google.com/spreadsheets/d/1tZ0nmtGuIRCaGAMXHlQU8EpR9LOAJvyKfc4f7EFmE34/edit?usp=share_link"",""ศร"&amp;"ีสะเกษ!I340"")+IMPORTRANGE(""https://docs.google.com/spreadsheets/d/1QC8psz9w0f9IVE9Xuc2FT_btkaOzZbbUSgYObpBuetM/edit?usp=share_link"",""สกลนคร!I340"")+IMPORTRANGE(""https://docs.google.com/spreadsheets/d/1wPdvRbu02d33MYVlbsCnyTiZpefEBs9NNktAnT1HZvw/edit?"&amp;"usp=share_link"",""สุรินทร์!I340"")+IMPORTRANGE(""https://docs.google.com/spreadsheets/d/1GVExpf-Exi_2gmuqTYH28fseTB9MoKPXWcXCbSt_YrM/edit?usp=share_link"",""หนองคาย!I340"")+IMPORTRANGE(""https://docs.google.com/spreadsheets/d/16UeMz0UgOB5BZcoxP75eYGcLFtG"&amp;"YRn9GoesD4OX9m5U/edit?usp=share_link"",""หนองบัวลำภู!I340"")+IMPORTRANGE(""https://docs.google.com/spreadsheets/d/1uUP8Zo1-qaJLuIkRU0qlwLSE3DHkbdrrj2JGJiWBQZE/edit?usp=share_link"",""อำนาจเจริญ!I340"")+IMPORTRANGE(""https://docs.google.com/spreadsheets/d/"&amp;"1hb_taSOHanzRjqfzWPiFo8yiT83VV1L7vvUCLhOiHKc/edit?usp=share_link"",""อุดรธานี!I340"")+IMPORTRANGE(""https://docs.google.com/spreadsheets/d/17IOkEwkUd63EGNfyNDnM5de9YlZ7rwzTiW6-dokVjKI/edit?usp=share_link"",""อุบลราชธานี!I340"")
"),158)</f>
        <v>158</v>
      </c>
      <c r="J340" s="270">
        <v>179</v>
      </c>
      <c r="K340" s="38">
        <f ca="1">IF(I340&gt;0,J340*100/I340,0)</f>
        <v>113.29113924050633</v>
      </c>
      <c r="L340" s="38"/>
      <c r="M340" s="38"/>
      <c r="N340" s="38"/>
      <c r="O340" s="38"/>
      <c r="P340" s="38"/>
    </row>
    <row r="341" spans="1:26" ht="18.75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v>11773</v>
      </c>
      <c r="K341" s="38"/>
      <c r="L341" s="38"/>
      <c r="M341" s="38"/>
      <c r="N341" s="38"/>
      <c r="O341" s="38"/>
      <c r="P341" s="38"/>
    </row>
    <row r="342" spans="1:26" ht="18.75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v>2353</v>
      </c>
      <c r="K342" s="38"/>
      <c r="L342" s="38"/>
      <c r="M342" s="38"/>
      <c r="N342" s="38"/>
      <c r="O342" s="38"/>
      <c r="P342" s="38"/>
    </row>
    <row r="343" spans="1:26" ht="18.75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v>652</v>
      </c>
      <c r="K343" s="38"/>
      <c r="L343" s="38"/>
      <c r="M343" s="38"/>
      <c r="N343" s="38"/>
      <c r="O343" s="38"/>
      <c r="P343" s="3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29266000</v>
      </c>
      <c r="M345" s="155">
        <f t="shared" ca="1" si="181"/>
        <v>31575852</v>
      </c>
      <c r="N345" s="155">
        <f t="shared" ca="1" si="181"/>
        <v>31575852</v>
      </c>
      <c r="O345" s="155">
        <f t="shared" ref="O345:O353" ca="1" si="182">IF(L345&gt;0,N345*100/L345,0)</f>
        <v>107.89261258798606</v>
      </c>
      <c r="P345" s="155">
        <f t="shared" ref="P345:P353" ca="1" si="183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29266000</v>
      </c>
      <c r="M347" s="45">
        <f t="shared" ca="1" si="185"/>
        <v>31575852</v>
      </c>
      <c r="N347" s="45">
        <f t="shared" ca="1" si="185"/>
        <v>31575852</v>
      </c>
      <c r="O347" s="45">
        <f t="shared" ca="1" si="182"/>
        <v>107.89261258798606</v>
      </c>
      <c r="P347" s="45">
        <f t="shared" ca="1" si="183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26914600</v>
      </c>
      <c r="M348" s="38">
        <f t="shared" ca="1" si="186"/>
        <v>29148132</v>
      </c>
      <c r="N348" s="38">
        <f t="shared" ca="1" si="186"/>
        <v>29148132</v>
      </c>
      <c r="O348" s="38">
        <f t="shared" ca="1" si="182"/>
        <v>108.29858886998134</v>
      </c>
      <c r="P348" s="38">
        <f t="shared" ca="1" si="183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fb2B9NLcpJgjIieIJvenUTNPn0TimZDUi0OtYeiSQ_s/edit?usp=share_link"",""กาฬสินธุ์!L350"")+IMPORTRANGE(""https://docs.google.com/spreadsheets/d/1SaMnqrwRGmFYNR0MhpWmHuL5niYUd5E7vDq8X7whAlI/edit?usp=share_li"&amp;"nk"",""ขอนแก่น!L350"")
+IMPORTRANGE(""https://docs.google.com/spreadsheets/d/1xQzEtGHhTTgxHh6YUkKY1P4dRyjVhS74dGswLfAASA4/edit?usp=share_link"",""ชัยภูมิ!L350"")+IMPORTRANGE(""https://docs.google.com/spreadsheets/d/1EXMBoBxU3OFbjT2TRpneM33qFjqDzrKmn9ydcfl"&amp;"fI0o/edit?usp=share_link"",""นครพนม!L350"")+IMPORTRANGE(""https://docs.google.com/spreadsheets/d/1bDQrolntRWtHumK8W-x-HXKntwxB9S3sF5aDeRS66Ko/edit?usp=share_link"",""นครราชสีมา!L350"")+IMPORTRANGE(""https://docs.google.com/spreadsheets/d/1_MzZ-2gVPiCW-d2V"&amp;"cafoCmFJQTSrZ6SQyFcMqRRQQ2w/edit?usp=share_link"",""บึงกาฬ!L350"")
+IMPORTRANGE(""https://docs.google.com/spreadsheets/d/1B3lPpzOuaNwVItLwLEZYl_qEblfcx7dRnbRkAw0l-pE/edit?usp=share_link"",""บุรีรัมย์!L350"")+IMPORTRANGE(""https://docs.google.com/spreadshe"&amp;"ets/d/19GOkiOqnzYbevLYWrMk4qFOXe3rX14BkSA8X-mq-a40/edit?usp=share_link"",""มหาสารคาม!L350"")+IMPORTRANGE(""https://docs.google.com/spreadsheets/d/1uMKqWwuNQ-TCKboGA3Bb1qXb5uj2-faACNUINCz8PN4/edit?usp=share_link"",""มุกดาหาร!L350"")+IMPORTRANGE(""https://d"&amp;"ocs.google.com/spreadsheets/d/1oKaccgDdQABndOzGr688Dbfxb_V3YcF67VqEPBtdzsc/edit?usp=share_link"",""ยโสธร!L350"")+IMPORTRANGE(""https://docs.google.com/spreadsheets/d/1BRgc8xKpxZ0PX-gauieMVkV_IOxKSotf0yW8MabGprQ/edit?usp=share_link"",""ร้อยเอ็ด!L350"")+IMP"&amp;"ORTRANGE(""https://docs.google.com/spreadsheets/d/1IdolZc-dfdgMwAm_KZxYJl1sUOcIgnbGQzbWOlddedo/edit?usp=share_link"",""เลย!L350"")+IMPORTRANGE(""https://docs.google.com/spreadsheets/d/1tZ0nmtGuIRCaGAMXHlQU8EpR9LOAJvyKfc4f7EFmE34/edit?usp=share_link"",""ศร"&amp;"ีสะเกษ!L350"")+IMPORTRANGE(""https://docs.google.com/spreadsheets/d/1QC8psz9w0f9IVE9Xuc2FT_btkaOzZbbUSgYObpBuetM/edit?usp=share_link"",""สกลนคร!L350"")+IMPORTRANGE(""https://docs.google.com/spreadsheets/d/1wPdvRbu02d33MYVlbsCnyTiZpefEBs9NNktAnT1HZvw/edit?"&amp;"usp=share_link"",""สุรินทร์!L350"")+IMPORTRANGE(""https://docs.google.com/spreadsheets/d/1GVExpf-Exi_2gmuqTYH28fseTB9MoKPXWcXCbSt_YrM/edit?usp=share_link"",""หนองคาย!L350"")+IMPORTRANGE(""https://docs.google.com/spreadsheets/d/16UeMz0UgOB5BZcoxP75eYGcLFtG"&amp;"YRn9GoesD4OX9m5U/edit?usp=share_link"",""หนองบัวลำภู!L350"")+IMPORTRANGE(""https://docs.google.com/spreadsheets/d/1uUP8Zo1-qaJLuIkRU0qlwLSE3DHkbdrrj2JGJiWBQZE/edit?usp=share_link"",""อำนาจเจริญ!L350"")+IMPORTRANGE(""https://docs.google.com/spreadsheets/d/"&amp;"1hb_taSOHanzRjqfzWPiFo8yiT83VV1L7vvUCLhOiHKc/edit?usp=share_link"",""อุดรธานี!L350"")+IMPORTRANGE(""https://docs.google.com/spreadsheets/d/17IOkEwkUd63EGNfyNDnM5de9YlZ7rwzTiW6-dokVjKI/edit?usp=share_link"",""อุบลราชธานี!L350"")
"),26914600)</f>
        <v>26914600</v>
      </c>
      <c r="M350" s="45">
        <f ca="1">IFERROR(__xludf.DUMMYFUNCTION("IMPORTRANGE(""https://docs.google.com/spreadsheets/d/1fb2B9NLcpJgjIieIJvenUTNPn0TimZDUi0OtYeiSQ_s/edit?usp=share_link"",""กาฬสินธุ์!M350"")+IMPORTRANGE(""https://docs.google.com/spreadsheets/d/1SaMnqrwRGmFYNR0MhpWmHuL5niYUd5E7vDq8X7whAlI/edit?usp=share_li"&amp;"nk"",""ขอนแก่น!M350"")
+IMPORTRANGE(""https://docs.google.com/spreadsheets/d/1xQzEtGHhTTgxHh6YUkKY1P4dRyjVhS74dGswLfAASA4/edit?usp=share_link"",""ชัยภูมิ!M350"")+IMPORTRANGE(""https://docs.google.com/spreadsheets/d/1EXMBoBxU3OFbjT2TRpneM33qFjqDzrKmn9ydcfl"&amp;"fI0o/edit?usp=share_link"",""นครพนม!M350"")+IMPORTRANGE(""https://docs.google.com/spreadsheets/d/1bDQrolntRWtHumK8W-x-HXKntwxB9S3sF5aDeRS66Ko/edit?usp=share_link"",""นครราชสีมา!M350"")+IMPORTRANGE(""https://docs.google.com/spreadsheets/d/1_MzZ-2gVPiCW-d2V"&amp;"cafoCmFJQTSrZ6SQyFcMqRRQQ2w/edit?usp=share_link"",""บึงกาฬ!M350"")
+IMPORTRANGE(""https://docs.google.com/spreadsheets/d/1B3lPpzOuaNwVItLwLEZYl_qEblfcx7dRnbRkAw0l-pE/edit?usp=share_link"",""บุรีรัมย์!M350"")+IMPORTRANGE(""https://docs.google.com/spreadshe"&amp;"ets/d/19GOkiOqnzYbevLYWrMk4qFOXe3rX14BkSA8X-mq-a40/edit?usp=share_link"",""มหาสารคาม!M350"")+IMPORTRANGE(""https://docs.google.com/spreadsheets/d/1uMKqWwuNQ-TCKboGA3Bb1qXb5uj2-faACNUINCz8PN4/edit?usp=share_link"",""มุกดาหาร!M350"")+IMPORTRANGE(""https://d"&amp;"ocs.google.com/spreadsheets/d/1oKaccgDdQABndOzGr688Dbfxb_V3YcF67VqEPBtdzsc/edit?usp=share_link"",""ยโสธร!M350"")+IMPORTRANGE(""https://docs.google.com/spreadsheets/d/1BRgc8xKpxZ0PX-gauieMVkV_IOxKSotf0yW8MabGprQ/edit?usp=share_link"",""ร้อยเอ็ด!M350"")+IMP"&amp;"ORTRANGE(""https://docs.google.com/spreadsheets/d/1IdolZc-dfdgMwAm_KZxYJl1sUOcIgnbGQzbWOlddedo/edit?usp=share_link"",""เลย!M350"")+IMPORTRANGE(""https://docs.google.com/spreadsheets/d/1tZ0nmtGuIRCaGAMXHlQU8EpR9LOAJvyKfc4f7EFmE34/edit?usp=share_link"",""ศร"&amp;"ีสะเกษ!M350"")+IMPORTRANGE(""https://docs.google.com/spreadsheets/d/1QC8psz9w0f9IVE9Xuc2FT_btkaOzZbbUSgYObpBuetM/edit?usp=share_link"",""สกลนคร!M350"")+IMPORTRANGE(""https://docs.google.com/spreadsheets/d/1wPdvRbu02d33MYVlbsCnyTiZpefEBs9NNktAnT1HZvw/edit?"&amp;"usp=share_link"",""สุรินทร์!M350"")+IMPORTRANGE(""https://docs.google.com/spreadsheets/d/1GVExpf-Exi_2gmuqTYH28fseTB9MoKPXWcXCbSt_YrM/edit?usp=share_link"",""หนองคาย!M350"")+IMPORTRANGE(""https://docs.google.com/spreadsheets/d/16UeMz0UgOB5BZcoxP75eYGcLFtG"&amp;"YRn9GoesD4OX9m5U/edit?usp=share_link"",""หนองบัวลำภู!M350"")+IMPORTRANGE(""https://docs.google.com/spreadsheets/d/1uUP8Zo1-qaJLuIkRU0qlwLSE3DHkbdrrj2JGJiWBQZE/edit?usp=share_link"",""อำนาจเจริญ!M350"")+IMPORTRANGE(""https://docs.google.com/spreadsheets/d/"&amp;"1hb_taSOHanzRjqfzWPiFo8yiT83VV1L7vvUCLhOiHKc/edit?usp=share_link"",""อุดรธานี!M350"")+IMPORTRANGE(""https://docs.google.com/spreadsheets/d/17IOkEwkUd63EGNfyNDnM5de9YlZ7rwzTiW6-dokVjKI/edit?usp=share_link"",""อุบลราชธานี!M350"")
"),29148132)</f>
        <v>29148132</v>
      </c>
      <c r="N350" s="45">
        <f ca="1">IFERROR(__xludf.DUMMYFUNCTION("IMPORTRANGE(""https://docs.google.com/spreadsheets/d/1fb2B9NLcpJgjIieIJvenUTNPn0TimZDUi0OtYeiSQ_s/edit?usp=share_link"",""กาฬสินธุ์!N350"")+IMPORTRANGE(""https://docs.google.com/spreadsheets/d/1SaMnqrwRGmFYNR0MhpWmHuL5niYUd5E7vDq8X7whAlI/edit?usp=share_li"&amp;"nk"",""ขอนแก่น!N350"")
+IMPORTRANGE(""https://docs.google.com/spreadsheets/d/1xQzEtGHhTTgxHh6YUkKY1P4dRyjVhS74dGswLfAASA4/edit?usp=share_link"",""ชัยภูมิ!N350"")+IMPORTRANGE(""https://docs.google.com/spreadsheets/d/1EXMBoBxU3OFbjT2TRpneM33qFjqDzrKmn9ydcfl"&amp;"fI0o/edit?usp=share_link"",""นครพนม!N350"")+IMPORTRANGE(""https://docs.google.com/spreadsheets/d/1bDQrolntRWtHumK8W-x-HXKntwxB9S3sF5aDeRS66Ko/edit?usp=share_link"",""นครราชสีมา!N350"")+IMPORTRANGE(""https://docs.google.com/spreadsheets/d/1_MzZ-2gVPiCW-d2V"&amp;"cafoCmFJQTSrZ6SQyFcMqRRQQ2w/edit?usp=share_link"",""บึงกาฬ!N350"")
+IMPORTRANGE(""https://docs.google.com/spreadsheets/d/1B3lPpzOuaNwVItLwLEZYl_qEblfcx7dRnbRkAw0l-pE/edit?usp=share_link"",""บุรีรัมย์!N350"")+IMPORTRANGE(""https://docs.google.com/spreadshe"&amp;"ets/d/19GOkiOqnzYbevLYWrMk4qFOXe3rX14BkSA8X-mq-a40/edit?usp=share_link"",""มหาสารคาม!N350"")+IMPORTRANGE(""https://docs.google.com/spreadsheets/d/1uMKqWwuNQ-TCKboGA3Bb1qXb5uj2-faACNUINCz8PN4/edit?usp=share_link"",""มุกดาหาร!N350"")+IMPORTRANGE(""https://d"&amp;"ocs.google.com/spreadsheets/d/1oKaccgDdQABndOzGr688Dbfxb_V3YcF67VqEPBtdzsc/edit?usp=share_link"",""ยโสธร!N350"")+IMPORTRANGE(""https://docs.google.com/spreadsheets/d/1BRgc8xKpxZ0PX-gauieMVkV_IOxKSotf0yW8MabGprQ/edit?usp=share_link"",""ร้อยเอ็ด!N350"")+IMP"&amp;"ORTRANGE(""https://docs.google.com/spreadsheets/d/1IdolZc-dfdgMwAm_KZxYJl1sUOcIgnbGQzbWOlddedo/edit?usp=share_link"",""เลย!N350"")+IMPORTRANGE(""https://docs.google.com/spreadsheets/d/1tZ0nmtGuIRCaGAMXHlQU8EpR9LOAJvyKfc4f7EFmE34/edit?usp=share_link"",""ศร"&amp;"ีสะเกษ!N350"")+IMPORTRANGE(""https://docs.google.com/spreadsheets/d/1QC8psz9w0f9IVE9Xuc2FT_btkaOzZbbUSgYObpBuetM/edit?usp=share_link"",""สกลนคร!N350"")+IMPORTRANGE(""https://docs.google.com/spreadsheets/d/1wPdvRbu02d33MYVlbsCnyTiZpefEBs9NNktAnT1HZvw/edit?"&amp;"usp=share_link"",""สุรินทร์!N350"")+IMPORTRANGE(""https://docs.google.com/spreadsheets/d/1GVExpf-Exi_2gmuqTYH28fseTB9MoKPXWcXCbSt_YrM/edit?usp=share_link"",""หนองคาย!N350"")+IMPORTRANGE(""https://docs.google.com/spreadsheets/d/16UeMz0UgOB5BZcoxP75eYGcLFtG"&amp;"YRn9GoesD4OX9m5U/edit?usp=share_link"",""หนองบัวลำภู!N350"")+IMPORTRANGE(""https://docs.google.com/spreadsheets/d/1uUP8Zo1-qaJLuIkRU0qlwLSE3DHkbdrrj2JGJiWBQZE/edit?usp=share_link"",""อำนาจเจริญ!N350"")+IMPORTRANGE(""https://docs.google.com/spreadsheets/d/"&amp;"1hb_taSOHanzRjqfzWPiFo8yiT83VV1L7vvUCLhOiHKc/edit?usp=share_link"",""อุดรธานี!N350"")+IMPORTRANGE(""https://docs.google.com/spreadsheets/d/17IOkEwkUd63EGNfyNDnM5de9YlZ7rwzTiW6-dokVjKI/edit?usp=share_link"",""อุบลราชธานี!N350"")
"),29148132)</f>
        <v>29148132</v>
      </c>
      <c r="O350" s="45">
        <f t="shared" ca="1" si="182"/>
        <v>108.29858886998134</v>
      </c>
      <c r="P350" s="45">
        <f t="shared" ca="1" si="183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2351400</v>
      </c>
      <c r="M351" s="38">
        <f t="shared" ca="1" si="187"/>
        <v>2427720</v>
      </c>
      <c r="N351" s="38">
        <f t="shared" ca="1" si="187"/>
        <v>2427720</v>
      </c>
      <c r="O351" s="38">
        <f t="shared" ca="1" si="182"/>
        <v>103.24572595049757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fb2B9NLcpJgjIieIJvenUTNPn0TimZDUi0OtYeiSQ_s/edit?usp=share_link"",""กาฬสินธุ์!L353"")+IMPORTRANGE(""https://docs.google.com/spreadsheets/d/1SaMnqrwRGmFYNR0MhpWmHuL5niYUd5E7vDq8X7whAlI/edit?usp=share_li"&amp;"nk"",""ขอนแก่น!L353"")
+IMPORTRANGE(""https://docs.google.com/spreadsheets/d/1xQzEtGHhTTgxHh6YUkKY1P4dRyjVhS74dGswLfAASA4/edit?usp=share_link"",""ชัยภูมิ!L353"")+IMPORTRANGE(""https://docs.google.com/spreadsheets/d/1EXMBoBxU3OFbjT2TRpneM33qFjqDzrKmn9ydcfl"&amp;"fI0o/edit?usp=share_link"",""นครพนม!L353"")+IMPORTRANGE(""https://docs.google.com/spreadsheets/d/1bDQrolntRWtHumK8W-x-HXKntwxB9S3sF5aDeRS66Ko/edit?usp=share_link"",""นครราชสีมา!L353"")+IMPORTRANGE(""https://docs.google.com/spreadsheets/d/1_MzZ-2gVPiCW-d2V"&amp;"cafoCmFJQTSrZ6SQyFcMqRRQQ2w/edit?usp=share_link"",""บึงกาฬ!L353"")
+IMPORTRANGE(""https://docs.google.com/spreadsheets/d/1B3lPpzOuaNwVItLwLEZYl_qEblfcx7dRnbRkAw0l-pE/edit?usp=share_link"",""บุรีรัมย์!L353"")+IMPORTRANGE(""https://docs.google.com/spreadshe"&amp;"ets/d/19GOkiOqnzYbevLYWrMk4qFOXe3rX14BkSA8X-mq-a40/edit?usp=share_link"",""มหาสารคาม!L353"")+IMPORTRANGE(""https://docs.google.com/spreadsheets/d/1uMKqWwuNQ-TCKboGA3Bb1qXb5uj2-faACNUINCz8PN4/edit?usp=share_link"",""มุกดาหาร!L353"")+IMPORTRANGE(""https://d"&amp;"ocs.google.com/spreadsheets/d/1oKaccgDdQABndOzGr688Dbfxb_V3YcF67VqEPBtdzsc/edit?usp=share_link"",""ยโสธร!L353"")+IMPORTRANGE(""https://docs.google.com/spreadsheets/d/1BRgc8xKpxZ0PX-gauieMVkV_IOxKSotf0yW8MabGprQ/edit?usp=share_link"",""ร้อยเอ็ด!L353"")+IMP"&amp;"ORTRANGE(""https://docs.google.com/spreadsheets/d/1IdolZc-dfdgMwAm_KZxYJl1sUOcIgnbGQzbWOlddedo/edit?usp=share_link"",""เลย!L353"")+IMPORTRANGE(""https://docs.google.com/spreadsheets/d/1tZ0nmtGuIRCaGAMXHlQU8EpR9LOAJvyKfc4f7EFmE34/edit?usp=share_link"",""ศร"&amp;"ีสะเกษ!L353"")+IMPORTRANGE(""https://docs.google.com/spreadsheets/d/1QC8psz9w0f9IVE9Xuc2FT_btkaOzZbbUSgYObpBuetM/edit?usp=share_link"",""สกลนคร!L353"")+IMPORTRANGE(""https://docs.google.com/spreadsheets/d/1wPdvRbu02d33MYVlbsCnyTiZpefEBs9NNktAnT1HZvw/edit?"&amp;"usp=share_link"",""สุรินทร์!L353"")+IMPORTRANGE(""https://docs.google.com/spreadsheets/d/1GVExpf-Exi_2gmuqTYH28fseTB9MoKPXWcXCbSt_YrM/edit?usp=share_link"",""หนองคาย!L353"")+IMPORTRANGE(""https://docs.google.com/spreadsheets/d/16UeMz0UgOB5BZcoxP75eYGcLFtG"&amp;"YRn9GoesD4OX9m5U/edit?usp=share_link"",""หนองบัวลำภู!L353"")+IMPORTRANGE(""https://docs.google.com/spreadsheets/d/1uUP8Zo1-qaJLuIkRU0qlwLSE3DHkbdrrj2JGJiWBQZE/edit?usp=share_link"",""อำนาจเจริญ!L353"")+IMPORTRANGE(""https://docs.google.com/spreadsheets/d/"&amp;"1hb_taSOHanzRjqfzWPiFo8yiT83VV1L7vvUCLhOiHKc/edit?usp=share_link"",""อุดรธานี!L353"")+IMPORTRANGE(""https://docs.google.com/spreadsheets/d/17IOkEwkUd63EGNfyNDnM5de9YlZ7rwzTiW6-dokVjKI/edit?usp=share_link"",""อุบลราชธานี!L353"")
"),2351400)</f>
        <v>2351400</v>
      </c>
      <c r="M353" s="45">
        <f ca="1">IFERROR(__xludf.DUMMYFUNCTION("IMPORTRANGE(""https://docs.google.com/spreadsheets/d/1fb2B9NLcpJgjIieIJvenUTNPn0TimZDUi0OtYeiSQ_s/edit?usp=share_link"",""กาฬสินธุ์!M353"")+IMPORTRANGE(""https://docs.google.com/spreadsheets/d/1SaMnqrwRGmFYNR0MhpWmHuL5niYUd5E7vDq8X7whAlI/edit?usp=share_li"&amp;"nk"",""ขอนแก่น!M353"")
+IMPORTRANGE(""https://docs.google.com/spreadsheets/d/1xQzEtGHhTTgxHh6YUkKY1P4dRyjVhS74dGswLfAASA4/edit?usp=share_link"",""ชัยภูมิ!M353"")+IMPORTRANGE(""https://docs.google.com/spreadsheets/d/1EXMBoBxU3OFbjT2TRpneM33qFjqDzrKmn9ydcfl"&amp;"fI0o/edit?usp=share_link"",""นครพนม!M353"")+IMPORTRANGE(""https://docs.google.com/spreadsheets/d/1bDQrolntRWtHumK8W-x-HXKntwxB9S3sF5aDeRS66Ko/edit?usp=share_link"",""นครราชสีมา!M353"")+IMPORTRANGE(""https://docs.google.com/spreadsheets/d/1_MzZ-2gVPiCW-d2V"&amp;"cafoCmFJQTSrZ6SQyFcMqRRQQ2w/edit?usp=share_link"",""บึงกาฬ!M353"")
+IMPORTRANGE(""https://docs.google.com/spreadsheets/d/1B3lPpzOuaNwVItLwLEZYl_qEblfcx7dRnbRkAw0l-pE/edit?usp=share_link"",""บุรีรัมย์!M353"")+IMPORTRANGE(""https://docs.google.com/spreadshe"&amp;"ets/d/19GOkiOqnzYbevLYWrMk4qFOXe3rX14BkSA8X-mq-a40/edit?usp=share_link"",""มหาสารคาม!M353"")+IMPORTRANGE(""https://docs.google.com/spreadsheets/d/1uMKqWwuNQ-TCKboGA3Bb1qXb5uj2-faACNUINCz8PN4/edit?usp=share_link"",""มุกดาหาร!M353"")+IMPORTRANGE(""https://d"&amp;"ocs.google.com/spreadsheets/d/1oKaccgDdQABndOzGr688Dbfxb_V3YcF67VqEPBtdzsc/edit?usp=share_link"",""ยโสธร!M353"")+IMPORTRANGE(""https://docs.google.com/spreadsheets/d/1BRgc8xKpxZ0PX-gauieMVkV_IOxKSotf0yW8MabGprQ/edit?usp=share_link"",""ร้อยเอ็ด!M353"")+IMP"&amp;"ORTRANGE(""https://docs.google.com/spreadsheets/d/1IdolZc-dfdgMwAm_KZxYJl1sUOcIgnbGQzbWOlddedo/edit?usp=share_link"",""เลย!M353"")+IMPORTRANGE(""https://docs.google.com/spreadsheets/d/1tZ0nmtGuIRCaGAMXHlQU8EpR9LOAJvyKfc4f7EFmE34/edit?usp=share_link"",""ศร"&amp;"ีสะเกษ!M353"")+IMPORTRANGE(""https://docs.google.com/spreadsheets/d/1QC8psz9w0f9IVE9Xuc2FT_btkaOzZbbUSgYObpBuetM/edit?usp=share_link"",""สกลนคร!M353"")+IMPORTRANGE(""https://docs.google.com/spreadsheets/d/1wPdvRbu02d33MYVlbsCnyTiZpefEBs9NNktAnT1HZvw/edit?"&amp;"usp=share_link"",""สุรินทร์!M353"")+IMPORTRANGE(""https://docs.google.com/spreadsheets/d/1GVExpf-Exi_2gmuqTYH28fseTB9MoKPXWcXCbSt_YrM/edit?usp=share_link"",""หนองคาย!M353"")+IMPORTRANGE(""https://docs.google.com/spreadsheets/d/16UeMz0UgOB5BZcoxP75eYGcLFtG"&amp;"YRn9GoesD4OX9m5U/edit?usp=share_link"",""หนองบัวลำภู!M353"")+IMPORTRANGE(""https://docs.google.com/spreadsheets/d/1uUP8Zo1-qaJLuIkRU0qlwLSE3DHkbdrrj2JGJiWBQZE/edit?usp=share_link"",""อำนาจเจริญ!M353"")+IMPORTRANGE(""https://docs.google.com/spreadsheets/d/"&amp;"1hb_taSOHanzRjqfzWPiFo8yiT83VV1L7vvUCLhOiHKc/edit?usp=share_link"",""อุดรธานี!M353"")+IMPORTRANGE(""https://docs.google.com/spreadsheets/d/17IOkEwkUd63EGNfyNDnM5de9YlZ7rwzTiW6-dokVjKI/edit?usp=share_link"",""อุบลราชธานี!M353"")
"),2427720)</f>
        <v>2427720</v>
      </c>
      <c r="N353" s="45">
        <f ca="1">IFERROR(__xludf.DUMMYFUNCTION("IMPORTRANGE(""https://docs.google.com/spreadsheets/d/1fb2B9NLcpJgjIieIJvenUTNPn0TimZDUi0OtYeiSQ_s/edit?usp=share_link"",""กาฬสินธุ์!N353"")+IMPORTRANGE(""https://docs.google.com/spreadsheets/d/1SaMnqrwRGmFYNR0MhpWmHuL5niYUd5E7vDq8X7whAlI/edit?usp=share_li"&amp;"nk"",""ขอนแก่น!N353"")
+IMPORTRANGE(""https://docs.google.com/spreadsheets/d/1xQzEtGHhTTgxHh6YUkKY1P4dRyjVhS74dGswLfAASA4/edit?usp=share_link"",""ชัยภูมิ!N353"")+IMPORTRANGE(""https://docs.google.com/spreadsheets/d/1EXMBoBxU3OFbjT2TRpneM33qFjqDzrKmn9ydcfl"&amp;"fI0o/edit?usp=share_link"",""นครพนม!N353"")+IMPORTRANGE(""https://docs.google.com/spreadsheets/d/1bDQrolntRWtHumK8W-x-HXKntwxB9S3sF5aDeRS66Ko/edit?usp=share_link"",""นครราชสีมา!N353"")+IMPORTRANGE(""https://docs.google.com/spreadsheets/d/1_MzZ-2gVPiCW-d2V"&amp;"cafoCmFJQTSrZ6SQyFcMqRRQQ2w/edit?usp=share_link"",""บึงกาฬ!N353"")
+IMPORTRANGE(""https://docs.google.com/spreadsheets/d/1B3lPpzOuaNwVItLwLEZYl_qEblfcx7dRnbRkAw0l-pE/edit?usp=share_link"",""บุรีรัมย์!N353"")+IMPORTRANGE(""https://docs.google.com/spreadshe"&amp;"ets/d/19GOkiOqnzYbevLYWrMk4qFOXe3rX14BkSA8X-mq-a40/edit?usp=share_link"",""มหาสารคาม!N353"")+IMPORTRANGE(""https://docs.google.com/spreadsheets/d/1uMKqWwuNQ-TCKboGA3Bb1qXb5uj2-faACNUINCz8PN4/edit?usp=share_link"",""มุกดาหาร!N353"")+IMPORTRANGE(""https://d"&amp;"ocs.google.com/spreadsheets/d/1oKaccgDdQABndOzGr688Dbfxb_V3YcF67VqEPBtdzsc/edit?usp=share_link"",""ยโสธร!N353"")+IMPORTRANGE(""https://docs.google.com/spreadsheets/d/1BRgc8xKpxZ0PX-gauieMVkV_IOxKSotf0yW8MabGprQ/edit?usp=share_link"",""ร้อยเอ็ด!N353"")+IMP"&amp;"ORTRANGE(""https://docs.google.com/spreadsheets/d/1IdolZc-dfdgMwAm_KZxYJl1sUOcIgnbGQzbWOlddedo/edit?usp=share_link"",""เลย!N353"")+IMPORTRANGE(""https://docs.google.com/spreadsheets/d/1tZ0nmtGuIRCaGAMXHlQU8EpR9LOAJvyKfc4f7EFmE34/edit?usp=share_link"",""ศร"&amp;"ีสะเกษ!N353"")+IMPORTRANGE(""https://docs.google.com/spreadsheets/d/1QC8psz9w0f9IVE9Xuc2FT_btkaOzZbbUSgYObpBuetM/edit?usp=share_link"",""สกลนคร!N353"")+IMPORTRANGE(""https://docs.google.com/spreadsheets/d/1wPdvRbu02d33MYVlbsCnyTiZpefEBs9NNktAnT1HZvw/edit?"&amp;"usp=share_link"",""สุรินทร์!N353"")+IMPORTRANGE(""https://docs.google.com/spreadsheets/d/1GVExpf-Exi_2gmuqTYH28fseTB9MoKPXWcXCbSt_YrM/edit?usp=share_link"",""หนองคาย!N353"")+IMPORTRANGE(""https://docs.google.com/spreadsheets/d/16UeMz0UgOB5BZcoxP75eYGcLFtG"&amp;"YRn9GoesD4OX9m5U/edit?usp=share_link"",""หนองบัวลำภู!N353"")+IMPORTRANGE(""https://docs.google.com/spreadsheets/d/1uUP8Zo1-qaJLuIkRU0qlwLSE3DHkbdrrj2JGJiWBQZE/edit?usp=share_link"",""อำนาจเจริญ!N353"")+IMPORTRANGE(""https://docs.google.com/spreadsheets/d/"&amp;"1hb_taSOHanzRjqfzWPiFo8yiT83VV1L7vvUCLhOiHKc/edit?usp=share_link"",""อุดรธานี!N353"")+IMPORTRANGE(""https://docs.google.com/spreadsheets/d/17IOkEwkUd63EGNfyNDnM5de9YlZ7rwzTiW6-dokVjKI/edit?usp=share_link"",""อุบลราชธานี!N353"")
"),2427720)</f>
        <v>2427720</v>
      </c>
      <c r="O353" s="45">
        <f t="shared" ca="1" si="182"/>
        <v>103.24572595049757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45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460" t="s">
        <v>159</v>
      </c>
      <c r="E355" s="461"/>
      <c r="F355" s="461"/>
      <c r="G355" s="462"/>
      <c r="H355" s="463" t="s">
        <v>35</v>
      </c>
      <c r="I355" s="464">
        <f ca="1">IFERROR(__xludf.DUMMYFUNCTION("IMPORTRANGE(""https://docs.google.com/spreadsheets/d/1fb2B9NLcpJgjIieIJvenUTNPn0TimZDUi0OtYeiSQ_s/edit?usp=share_link"",""กาฬสินธุ์!I355"")+IMPORTRANGE(""https://docs.google.com/spreadsheets/d/1SaMnqrwRGmFYNR0MhpWmHuL5niYUd5E7vDq8X7whAlI/edit?usp=share_li"&amp;"nk"",""ขอนแก่น!I355"")
+IMPORTRANGE(""https://docs.google.com/spreadsheets/d/1xQzEtGHhTTgxHh6YUkKY1P4dRyjVhS74dGswLfAASA4/edit?usp=share_link"",""ชัยภูมิ!I355"")+IMPORTRANGE(""https://docs.google.com/spreadsheets/d/1EXMBoBxU3OFbjT2TRpneM33qFjqDzrKmn9ydcfl"&amp;"fI0o/edit?usp=share_link"",""นครพนม!I355"")+IMPORTRANGE(""https://docs.google.com/spreadsheets/d/1bDQrolntRWtHumK8W-x-HXKntwxB9S3sF5aDeRS66Ko/edit?usp=share_link"",""นครราชสีมา!I355"")+IMPORTRANGE(""https://docs.google.com/spreadsheets/d/1_MzZ-2gVPiCW-d2V"&amp;"cafoCmFJQTSrZ6SQyFcMqRRQQ2w/edit?usp=share_link"",""บึงกาฬ!I355"")
+IMPORTRANGE(""https://docs.google.com/spreadsheets/d/1B3lPpzOuaNwVItLwLEZYl_qEblfcx7dRnbRkAw0l-pE/edit?usp=share_link"",""บุรีรัมย์!I355"")+IMPORTRANGE(""https://docs.google.com/spreadshe"&amp;"ets/d/19GOkiOqnzYbevLYWrMk4qFOXe3rX14BkSA8X-mq-a40/edit?usp=share_link"",""มหาสารคาม!I355"")+IMPORTRANGE(""https://docs.google.com/spreadsheets/d/1uMKqWwuNQ-TCKboGA3Bb1qXb5uj2-faACNUINCz8PN4/edit?usp=share_link"",""มุกดาหาร!I355"")+IMPORTRANGE(""https://d"&amp;"ocs.google.com/spreadsheets/d/1oKaccgDdQABndOzGr688Dbfxb_V3YcF67VqEPBtdzsc/edit?usp=share_link"",""ยโสธร!I355"")+IMPORTRANGE(""https://docs.google.com/spreadsheets/d/1BRgc8xKpxZ0PX-gauieMVkV_IOxKSotf0yW8MabGprQ/edit?usp=share_link"",""ร้อยเอ็ด!I355"")+IMP"&amp;"ORTRANGE(""https://docs.google.com/spreadsheets/d/1IdolZc-dfdgMwAm_KZxYJl1sUOcIgnbGQzbWOlddedo/edit?usp=share_link"",""เลย!I355"")+IMPORTRANGE(""https://docs.google.com/spreadsheets/d/1tZ0nmtGuIRCaGAMXHlQU8EpR9LOAJvyKfc4f7EFmE34/edit?usp=share_link"",""ศร"&amp;"ีสะเกษ!I355"")+IMPORTRANGE(""https://docs.google.com/spreadsheets/d/1QC8psz9w0f9IVE9Xuc2FT_btkaOzZbbUSgYObpBuetM/edit?usp=share_link"",""สกลนคร!I355"")+IMPORTRANGE(""https://docs.google.com/spreadsheets/d/1wPdvRbu02d33MYVlbsCnyTiZpefEBs9NNktAnT1HZvw/edit?"&amp;"usp=share_link"",""สุรินทร์!I355"")+IMPORTRANGE(""https://docs.google.com/spreadsheets/d/1GVExpf-Exi_2gmuqTYH28fseTB9MoKPXWcXCbSt_YrM/edit?usp=share_link"",""หนองคาย!I355"")+IMPORTRANGE(""https://docs.google.com/spreadsheets/d/16UeMz0UgOB5BZcoxP75eYGcLFtG"&amp;"YRn9GoesD4OX9m5U/edit?usp=share_link"",""หนองบัวลำภู!I355"")+IMPORTRANGE(""https://docs.google.com/spreadsheets/d/1uUP8Zo1-qaJLuIkRU0qlwLSE3DHkbdrrj2JGJiWBQZE/edit?usp=share_link"",""อำนาจเจริญ!I355"")+IMPORTRANGE(""https://docs.google.com/spreadsheets/d/"&amp;"1hb_taSOHanzRjqfzWPiFo8yiT83VV1L7vvUCLhOiHKc/edit?usp=share_link"",""อุดรธานี!I355"")+IMPORTRANGE(""https://docs.google.com/spreadsheets/d/17IOkEwkUd63EGNfyNDnM5de9YlZ7rwzTiW6-dokVjKI/edit?usp=share_link"",""อุบลราชธานี!I355"")
"),14473)</f>
        <v>14473</v>
      </c>
      <c r="J355" s="465">
        <f ca="1">J362</f>
        <v>13066</v>
      </c>
      <c r="K355" s="466">
        <f ca="1">IF(I355&gt;0,J355*100/I355,0)</f>
        <v>90.278449526704904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fb2B9NLcpJgjIieIJvenUTNPn0TimZDUi0OtYeiSQ_s/edit?usp=share_link"",""กาฬสินธุ์!J358"")+IMPORTRANGE(""https://docs.google.com/spreadsheets/d/1SaMnqrwRGmFYNR0MhpWmHuL5niYUd5E7vDq8X7whAlI/edit?usp=share_li"&amp;"nk"",""ขอนแก่น!J358"")
+IMPORTRANGE(""https://docs.google.com/spreadsheets/d/1xQzEtGHhTTgxHh6YUkKY1P4dRyjVhS74dGswLfAASA4/edit?usp=share_link"",""ชัยภูมิ!J358"")+IMPORTRANGE(""https://docs.google.com/spreadsheets/d/1EXMBoBxU3OFbjT2TRpneM33qFjqDzrKmn9ydcfl"&amp;"fI0o/edit?usp=share_link"",""นครพนม!J358"")+IMPORTRANGE(""https://docs.google.com/spreadsheets/d/1bDQrolntRWtHumK8W-x-HXKntwxB9S3sF5aDeRS66Ko/edit?usp=share_link"",""นครราชสีมา!J358"")+IMPORTRANGE(""https://docs.google.com/spreadsheets/d/1_MzZ-2gVPiCW-d2V"&amp;"cafoCmFJQTSrZ6SQyFcMqRRQQ2w/edit?usp=share_link"",""บึงกาฬ!J358"")
+IMPORTRANGE(""https://docs.google.com/spreadsheets/d/1B3lPpzOuaNwVItLwLEZYl_qEblfcx7dRnbRkAw0l-pE/edit?usp=share_link"",""บุรีรัมย์!J358"")+IMPORTRANGE(""https://docs.google.com/spreadshe"&amp;"ets/d/19GOkiOqnzYbevLYWrMk4qFOXe3rX14BkSA8X-mq-a40/edit?usp=share_link"",""มหาสารคาม!J358"")+IMPORTRANGE(""https://docs.google.com/spreadsheets/d/1uMKqWwuNQ-TCKboGA3Bb1qXb5uj2-faACNUINCz8PN4/edit?usp=share_link"",""มุกดาหาร!J358"")+IMPORTRANGE(""https://d"&amp;"ocs.google.com/spreadsheets/d/1oKaccgDdQABndOzGr688Dbfxb_V3YcF67VqEPBtdzsc/edit?usp=share_link"",""ยโสธร!J358"")+IMPORTRANGE(""https://docs.google.com/spreadsheets/d/1BRgc8xKpxZ0PX-gauieMVkV_IOxKSotf0yW8MabGprQ/edit?usp=share_link"",""ร้อยเอ็ด!J358"")+IMP"&amp;"ORTRANGE(""https://docs.google.com/spreadsheets/d/1IdolZc-dfdgMwAm_KZxYJl1sUOcIgnbGQzbWOlddedo/edit?usp=share_link"",""เลย!J358"")+IMPORTRANGE(""https://docs.google.com/spreadsheets/d/1tZ0nmtGuIRCaGAMXHlQU8EpR9LOAJvyKfc4f7EFmE34/edit?usp=share_link"",""ศร"&amp;"ีสะเกษ!J358"")+IMPORTRANGE(""https://docs.google.com/spreadsheets/d/1QC8psz9w0f9IVE9Xuc2FT_btkaOzZbbUSgYObpBuetM/edit?usp=share_link"",""สกลนคร!J358"")+IMPORTRANGE(""https://docs.google.com/spreadsheets/d/1wPdvRbu02d33MYVlbsCnyTiZpefEBs9NNktAnT1HZvw/edit?"&amp;"usp=share_link"",""สุรินทร์!J358"")+IMPORTRANGE(""https://docs.google.com/spreadsheets/d/1GVExpf-Exi_2gmuqTYH28fseTB9MoKPXWcXCbSt_YrM/edit?usp=share_link"",""หนองคาย!J358"")+IMPORTRANGE(""https://docs.google.com/spreadsheets/d/16UeMz0UgOB5BZcoxP75eYGcLFtG"&amp;"YRn9GoesD4OX9m5U/edit?usp=share_link"",""หนองบัวลำภู!J358"")+IMPORTRANGE(""https://docs.google.com/spreadsheets/d/1uUP8Zo1-qaJLuIkRU0qlwLSE3DHkbdrrj2JGJiWBQZE/edit?usp=share_link"",""อำนาจเจริญ!J358"")+IMPORTRANGE(""https://docs.google.com/spreadsheets/d/"&amp;"1hb_taSOHanzRjqfzWPiFo8yiT83VV1L7vvUCLhOiHKc/edit?usp=share_link"",""อุดรธานี!J358"")+IMPORTRANGE(""https://docs.google.com/spreadsheets/d/17IOkEwkUd63EGNfyNDnM5de9YlZ7rwzTiW6-dokVjKI/edit?usp=share_link"",""อุบลราชธานี!J358"")
"),17068)</f>
        <v>17068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fb2B9NLcpJgjIieIJvenUTNPn0TimZDUi0OtYeiSQ_s/edit?usp=share_link"",""กาฬสินธุ์!I359"")+IMPORTRANGE(""https://docs.google.com/spreadsheets/d/1SaMnqrwRGmFYNR0MhpWmHuL5niYUd5E7vDq8X7whAlI/edit?usp=share_li"&amp;"nk"",""ขอนแก่น!I359"")
+IMPORTRANGE(""https://docs.google.com/spreadsheets/d/1xQzEtGHhTTgxHh6YUkKY1P4dRyjVhS74dGswLfAASA4/edit?usp=share_link"",""ชัยภูมิ!I359"")+IMPORTRANGE(""https://docs.google.com/spreadsheets/d/1EXMBoBxU3OFbjT2TRpneM33qFjqDzrKmn9ydcfl"&amp;"fI0o/edit?usp=share_link"",""นครพนม!I359"")+IMPORTRANGE(""https://docs.google.com/spreadsheets/d/1bDQrolntRWtHumK8W-x-HXKntwxB9S3sF5aDeRS66Ko/edit?usp=share_link"",""นครราชสีมา!I359"")+IMPORTRANGE(""https://docs.google.com/spreadsheets/d/1_MzZ-2gVPiCW-d2V"&amp;"cafoCmFJQTSrZ6SQyFcMqRRQQ2w/edit?usp=share_link"",""บึงกาฬ!I359"")
+IMPORTRANGE(""https://docs.google.com/spreadsheets/d/1B3lPpzOuaNwVItLwLEZYl_qEblfcx7dRnbRkAw0l-pE/edit?usp=share_link"",""บุรีรัมย์!I359"")+IMPORTRANGE(""https://docs.google.com/spreadshe"&amp;"ets/d/19GOkiOqnzYbevLYWrMk4qFOXe3rX14BkSA8X-mq-a40/edit?usp=share_link"",""มหาสารคาม!I359"")+IMPORTRANGE(""https://docs.google.com/spreadsheets/d/1uMKqWwuNQ-TCKboGA3Bb1qXb5uj2-faACNUINCz8PN4/edit?usp=share_link"",""มุกดาหาร!I359"")+IMPORTRANGE(""https://d"&amp;"ocs.google.com/spreadsheets/d/1oKaccgDdQABndOzGr688Dbfxb_V3YcF67VqEPBtdzsc/edit?usp=share_link"",""ยโสธร!I359"")+IMPORTRANGE(""https://docs.google.com/spreadsheets/d/1BRgc8xKpxZ0PX-gauieMVkV_IOxKSotf0yW8MabGprQ/edit?usp=share_link"",""ร้อยเอ็ด!I359"")+IMP"&amp;"ORTRANGE(""https://docs.google.com/spreadsheets/d/1IdolZc-dfdgMwAm_KZxYJl1sUOcIgnbGQzbWOlddedo/edit?usp=share_link"",""เลย!I359"")+IMPORTRANGE(""https://docs.google.com/spreadsheets/d/1tZ0nmtGuIRCaGAMXHlQU8EpR9LOAJvyKfc4f7EFmE34/edit?usp=share_link"",""ศร"&amp;"ีสะเกษ!I359"")+IMPORTRANGE(""https://docs.google.com/spreadsheets/d/1QC8psz9w0f9IVE9Xuc2FT_btkaOzZbbUSgYObpBuetM/edit?usp=share_link"",""สกลนคร!I359"")+IMPORTRANGE(""https://docs.google.com/spreadsheets/d/1wPdvRbu02d33MYVlbsCnyTiZpefEBs9NNktAnT1HZvw/edit?"&amp;"usp=share_link"",""สุรินทร์!I359"")+IMPORTRANGE(""https://docs.google.com/spreadsheets/d/1GVExpf-Exi_2gmuqTYH28fseTB9MoKPXWcXCbSt_YrM/edit?usp=share_link"",""หนองคาย!I359"")+IMPORTRANGE(""https://docs.google.com/spreadsheets/d/16UeMz0UgOB5BZcoxP75eYGcLFtG"&amp;"YRn9GoesD4OX9m5U/edit?usp=share_link"",""หนองบัวลำภู!I359"")+IMPORTRANGE(""https://docs.google.com/spreadsheets/d/1uUP8Zo1-qaJLuIkRU0qlwLSE3DHkbdrrj2JGJiWBQZE/edit?usp=share_link"",""อำนาจเจริญ!I359"")+IMPORTRANGE(""https://docs.google.com/spreadsheets/d/"&amp;"1hb_taSOHanzRjqfzWPiFo8yiT83VV1L7vvUCLhOiHKc/edit?usp=share_link"",""อุดรธานี!I359"")+IMPORTRANGE(""https://docs.google.com/spreadsheets/d/17IOkEwkUd63EGNfyNDnM5de9YlZ7rwzTiW6-dokVjKI/edit?usp=share_link"",""อุบลราชธานี!I359"")
"),151020)</f>
        <v>151020</v>
      </c>
      <c r="J359" s="270">
        <f ca="1">IFERROR(__xludf.DUMMYFUNCTION("IMPORTRANGE(""https://docs.google.com/spreadsheets/d/1fb2B9NLcpJgjIieIJvenUTNPn0TimZDUi0OtYeiSQ_s/edit?usp=share_link"",""กาฬสินธุ์!J359"")+IMPORTRANGE(""https://docs.google.com/spreadsheets/d/1SaMnqrwRGmFYNR0MhpWmHuL5niYUd5E7vDq8X7whAlI/edit?usp=share_li"&amp;"nk"",""ขอนแก่น!J359"")
+IMPORTRANGE(""https://docs.google.com/spreadsheets/d/1xQzEtGHhTTgxHh6YUkKY1P4dRyjVhS74dGswLfAASA4/edit?usp=share_link"",""ชัยภูมิ!J359"")+IMPORTRANGE(""https://docs.google.com/spreadsheets/d/1EXMBoBxU3OFbjT2TRpneM33qFjqDzrKmn9ydcfl"&amp;"fI0o/edit?usp=share_link"",""นครพนม!J359"")+IMPORTRANGE(""https://docs.google.com/spreadsheets/d/1bDQrolntRWtHumK8W-x-HXKntwxB9S3sF5aDeRS66Ko/edit?usp=share_link"",""นครราชสีมา!J359"")+IMPORTRANGE(""https://docs.google.com/spreadsheets/d/1_MzZ-2gVPiCW-d2V"&amp;"cafoCmFJQTSrZ6SQyFcMqRRQQ2w/edit?usp=share_link"",""บึงกาฬ!J359"")
+IMPORTRANGE(""https://docs.google.com/spreadsheets/d/1B3lPpzOuaNwVItLwLEZYl_qEblfcx7dRnbRkAw0l-pE/edit?usp=share_link"",""บุรีรัมย์!J359"")+IMPORTRANGE(""https://docs.google.com/spreadshe"&amp;"ets/d/19GOkiOqnzYbevLYWrMk4qFOXe3rX14BkSA8X-mq-a40/edit?usp=share_link"",""มหาสารคาม!J359"")+IMPORTRANGE(""https://docs.google.com/spreadsheets/d/1uMKqWwuNQ-TCKboGA3Bb1qXb5uj2-faACNUINCz8PN4/edit?usp=share_link"",""มุกดาหาร!J359"")+IMPORTRANGE(""https://d"&amp;"ocs.google.com/spreadsheets/d/1oKaccgDdQABndOzGr688Dbfxb_V3YcF67VqEPBtdzsc/edit?usp=share_link"",""ยโสธร!J359"")+IMPORTRANGE(""https://docs.google.com/spreadsheets/d/1BRgc8xKpxZ0PX-gauieMVkV_IOxKSotf0yW8MabGprQ/edit?usp=share_link"",""ร้อยเอ็ด!J359"")+IMP"&amp;"ORTRANGE(""https://docs.google.com/spreadsheets/d/1IdolZc-dfdgMwAm_KZxYJl1sUOcIgnbGQzbWOlddedo/edit?usp=share_link"",""เลย!J359"")+IMPORTRANGE(""https://docs.google.com/spreadsheets/d/1tZ0nmtGuIRCaGAMXHlQU8EpR9LOAJvyKfc4f7EFmE34/edit?usp=share_link"",""ศร"&amp;"ีสะเกษ!J359"")+IMPORTRANGE(""https://docs.google.com/spreadsheets/d/1QC8psz9w0f9IVE9Xuc2FT_btkaOzZbbUSgYObpBuetM/edit?usp=share_link"",""สกลนคร!J359"")+IMPORTRANGE(""https://docs.google.com/spreadsheets/d/1wPdvRbu02d33MYVlbsCnyTiZpefEBs9NNktAnT1HZvw/edit?"&amp;"usp=share_link"",""สุรินทร์!J359"")+IMPORTRANGE(""https://docs.google.com/spreadsheets/d/1GVExpf-Exi_2gmuqTYH28fseTB9MoKPXWcXCbSt_YrM/edit?usp=share_link"",""หนองคาย!J359"")+IMPORTRANGE(""https://docs.google.com/spreadsheets/d/16UeMz0UgOB5BZcoxP75eYGcLFtG"&amp;"YRn9GoesD4OX9m5U/edit?usp=share_link"",""หนองบัวลำภู!J359"")+IMPORTRANGE(""https://docs.google.com/spreadsheets/d/1uUP8Zo1-qaJLuIkRU0qlwLSE3DHkbdrrj2JGJiWBQZE/edit?usp=share_link"",""อำนาจเจริญ!J359"")+IMPORTRANGE(""https://docs.google.com/spreadsheets/d/"&amp;"1hb_taSOHanzRjqfzWPiFo8yiT83VV1L7vvUCLhOiHKc/edit?usp=share_link"",""อุดรธานี!J359"")+IMPORTRANGE(""https://docs.google.com/spreadsheets/d/17IOkEwkUd63EGNfyNDnM5de9YlZ7rwzTiW6-dokVjKI/edit?usp=share_link"",""อุบลราชธานี!J359"")
"),147959.31)</f>
        <v>147959.31</v>
      </c>
      <c r="K359" s="38">
        <f t="shared" ca="1" si="188"/>
        <v>97.973321414382198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fb2B9NLcpJgjIieIJvenUTNPn0TimZDUi0OtYeiSQ_s/edit?usp=share_link"",""กาฬสินธุ์!I360"")+IMPORTRANGE(""https://docs.google.com/spreadsheets/d/1SaMnqrwRGmFYNR0MhpWmHuL5niYUd5E7vDq8X7whAlI/edit?usp=share_li"&amp;"nk"",""ขอนแก่น!I360"")
+IMPORTRANGE(""https://docs.google.com/spreadsheets/d/1xQzEtGHhTTgxHh6YUkKY1P4dRyjVhS74dGswLfAASA4/edit?usp=share_link"",""ชัยภูมิ!I360"")+IMPORTRANGE(""https://docs.google.com/spreadsheets/d/1EXMBoBxU3OFbjT2TRpneM33qFjqDzrKmn9ydcfl"&amp;"fI0o/edit?usp=share_link"",""นครพนม!I360"")+IMPORTRANGE(""https://docs.google.com/spreadsheets/d/1bDQrolntRWtHumK8W-x-HXKntwxB9S3sF5aDeRS66Ko/edit?usp=share_link"",""นครราชสีมา!I360"")+IMPORTRANGE(""https://docs.google.com/spreadsheets/d/1_MzZ-2gVPiCW-d2V"&amp;"cafoCmFJQTSrZ6SQyFcMqRRQQ2w/edit?usp=share_link"",""บึงกาฬ!I360"")
+IMPORTRANGE(""https://docs.google.com/spreadsheets/d/1B3lPpzOuaNwVItLwLEZYl_qEblfcx7dRnbRkAw0l-pE/edit?usp=share_link"",""บุรีรัมย์!I360"")+IMPORTRANGE(""https://docs.google.com/spreadshe"&amp;"ets/d/19GOkiOqnzYbevLYWrMk4qFOXe3rX14BkSA8X-mq-a40/edit?usp=share_link"",""มหาสารคาม!I360"")+IMPORTRANGE(""https://docs.google.com/spreadsheets/d/1uMKqWwuNQ-TCKboGA3Bb1qXb5uj2-faACNUINCz8PN4/edit?usp=share_link"",""มุกดาหาร!I360"")+IMPORTRANGE(""https://d"&amp;"ocs.google.com/spreadsheets/d/1oKaccgDdQABndOzGr688Dbfxb_V3YcF67VqEPBtdzsc/edit?usp=share_link"",""ยโสธร!I360"")+IMPORTRANGE(""https://docs.google.com/spreadsheets/d/1BRgc8xKpxZ0PX-gauieMVkV_IOxKSotf0yW8MabGprQ/edit?usp=share_link"",""ร้อยเอ็ด!I360"")+IMP"&amp;"ORTRANGE(""https://docs.google.com/spreadsheets/d/1IdolZc-dfdgMwAm_KZxYJl1sUOcIgnbGQzbWOlddedo/edit?usp=share_link"",""เลย!I360"")+IMPORTRANGE(""https://docs.google.com/spreadsheets/d/1tZ0nmtGuIRCaGAMXHlQU8EpR9LOAJvyKfc4f7EFmE34/edit?usp=share_link"",""ศร"&amp;"ีสะเกษ!I360"")+IMPORTRANGE(""https://docs.google.com/spreadsheets/d/1QC8psz9w0f9IVE9Xuc2FT_btkaOzZbbUSgYObpBuetM/edit?usp=share_link"",""สกลนคร!I360"")+IMPORTRANGE(""https://docs.google.com/spreadsheets/d/1wPdvRbu02d33MYVlbsCnyTiZpefEBs9NNktAnT1HZvw/edit?"&amp;"usp=share_link"",""สุรินทร์!I360"")+IMPORTRANGE(""https://docs.google.com/spreadsheets/d/1GVExpf-Exi_2gmuqTYH28fseTB9MoKPXWcXCbSt_YrM/edit?usp=share_link"",""หนองคาย!I360"")+IMPORTRANGE(""https://docs.google.com/spreadsheets/d/16UeMz0UgOB5BZcoxP75eYGcLFtG"&amp;"YRn9GoesD4OX9m5U/edit?usp=share_link"",""หนองบัวลำภู!I360"")+IMPORTRANGE(""https://docs.google.com/spreadsheets/d/1uUP8Zo1-qaJLuIkRU0qlwLSE3DHkbdrrj2JGJiWBQZE/edit?usp=share_link"",""อำนาจเจริญ!I360"")+IMPORTRANGE(""https://docs.google.com/spreadsheets/d/"&amp;"1hb_taSOHanzRjqfzWPiFo8yiT83VV1L7vvUCLhOiHKc/edit?usp=share_link"",""อุดรธานี!I360"")+IMPORTRANGE(""https://docs.google.com/spreadsheets/d/17IOkEwkUd63EGNfyNDnM5de9YlZ7rwzTiW6-dokVjKI/edit?usp=share_link"",""อุบลราชธานี!I360"")
"),14473)</f>
        <v>14473</v>
      </c>
      <c r="J360" s="270">
        <f ca="1">IFERROR(__xludf.DUMMYFUNCTION("IMPORTRANGE(""https://docs.google.com/spreadsheets/d/1fb2B9NLcpJgjIieIJvenUTNPn0TimZDUi0OtYeiSQ_s/edit?usp=share_link"",""กาฬสินธุ์!J360"")+IMPORTRANGE(""https://docs.google.com/spreadsheets/d/1SaMnqrwRGmFYNR0MhpWmHuL5niYUd5E7vDq8X7whAlI/edit?usp=share_li"&amp;"nk"",""ขอนแก่น!J360"")
+IMPORTRANGE(""https://docs.google.com/spreadsheets/d/1xQzEtGHhTTgxHh6YUkKY1P4dRyjVhS74dGswLfAASA4/edit?usp=share_link"",""ชัยภูมิ!J360"")+IMPORTRANGE(""https://docs.google.com/spreadsheets/d/1EXMBoBxU3OFbjT2TRpneM33qFjqDzrKmn9ydcfl"&amp;"fI0o/edit?usp=share_link"",""นครพนม!J360"")+IMPORTRANGE(""https://docs.google.com/spreadsheets/d/1bDQrolntRWtHumK8W-x-HXKntwxB9S3sF5aDeRS66Ko/edit?usp=share_link"",""นครราชสีมา!J360"")+IMPORTRANGE(""https://docs.google.com/spreadsheets/d/1_MzZ-2gVPiCW-d2V"&amp;"cafoCmFJQTSrZ6SQyFcMqRRQQ2w/edit?usp=share_link"",""บึงกาฬ!J360"")
+IMPORTRANGE(""https://docs.google.com/spreadsheets/d/1B3lPpzOuaNwVItLwLEZYl_qEblfcx7dRnbRkAw0l-pE/edit?usp=share_link"",""บุรีรัมย์!J360"")+IMPORTRANGE(""https://docs.google.com/spreadshe"&amp;"ets/d/19GOkiOqnzYbevLYWrMk4qFOXe3rX14BkSA8X-mq-a40/edit?usp=share_link"",""มหาสารคาม!J360"")+IMPORTRANGE(""https://docs.google.com/spreadsheets/d/1uMKqWwuNQ-TCKboGA3Bb1qXb5uj2-faACNUINCz8PN4/edit?usp=share_link"",""มุกดาหาร!J360"")+IMPORTRANGE(""https://d"&amp;"ocs.google.com/spreadsheets/d/1oKaccgDdQABndOzGr688Dbfxb_V3YcF67VqEPBtdzsc/edit?usp=share_link"",""ยโสธร!J360"")+IMPORTRANGE(""https://docs.google.com/spreadsheets/d/1BRgc8xKpxZ0PX-gauieMVkV_IOxKSotf0yW8MabGprQ/edit?usp=share_link"",""ร้อยเอ็ด!J360"")+IMP"&amp;"ORTRANGE(""https://docs.google.com/spreadsheets/d/1IdolZc-dfdgMwAm_KZxYJl1sUOcIgnbGQzbWOlddedo/edit?usp=share_link"",""เลย!J360"")+IMPORTRANGE(""https://docs.google.com/spreadsheets/d/1tZ0nmtGuIRCaGAMXHlQU8EpR9LOAJvyKfc4f7EFmE34/edit?usp=share_link"",""ศร"&amp;"ีสะเกษ!J360"")+IMPORTRANGE(""https://docs.google.com/spreadsheets/d/1QC8psz9w0f9IVE9Xuc2FT_btkaOzZbbUSgYObpBuetM/edit?usp=share_link"",""สกลนคร!J360"")+IMPORTRANGE(""https://docs.google.com/spreadsheets/d/1wPdvRbu02d33MYVlbsCnyTiZpefEBs9NNktAnT1HZvw/edit?"&amp;"usp=share_link"",""สุรินทร์!J360"")+IMPORTRANGE(""https://docs.google.com/spreadsheets/d/1GVExpf-Exi_2gmuqTYH28fseTB9MoKPXWcXCbSt_YrM/edit?usp=share_link"",""หนองคาย!J360"")+IMPORTRANGE(""https://docs.google.com/spreadsheets/d/16UeMz0UgOB5BZcoxP75eYGcLFtG"&amp;"YRn9GoesD4OX9m5U/edit?usp=share_link"",""หนองบัวลำภู!J360"")+IMPORTRANGE(""https://docs.google.com/spreadsheets/d/1uUP8Zo1-qaJLuIkRU0qlwLSE3DHkbdrrj2JGJiWBQZE/edit?usp=share_link"",""อำนาจเจริญ!J360"")+IMPORTRANGE(""https://docs.google.com/spreadsheets/d/"&amp;"1hb_taSOHanzRjqfzWPiFo8yiT83VV1L7vvUCLhOiHKc/edit?usp=share_link"",""อุดรธานี!J360"")+IMPORTRANGE(""https://docs.google.com/spreadsheets/d/17IOkEwkUd63EGNfyNDnM5de9YlZ7rwzTiW6-dokVjKI/edit?usp=share_link"",""อุบลราชธานี!J360"")
"),16228)</f>
        <v>16228</v>
      </c>
      <c r="K360" s="38">
        <f t="shared" ca="1" si="188"/>
        <v>112.12602777585849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fb2B9NLcpJgjIieIJvenUTNPn0TimZDUi0OtYeiSQ_s/edit?usp=share_link"",""กาฬสินธุ์!J361"")+IMPORTRANGE(""https://docs.google.com/spreadsheets/d/1SaMnqrwRGmFYNR0MhpWmHuL5niYUd5E7vDq8X7whAlI/edit?usp=share_li"&amp;"nk"",""ขอนแก่น!J361"")
+IMPORTRANGE(""https://docs.google.com/spreadsheets/d/1xQzEtGHhTTgxHh6YUkKY1P4dRyjVhS74dGswLfAASA4/edit?usp=share_link"",""ชัยภูมิ!J361"")+IMPORTRANGE(""https://docs.google.com/spreadsheets/d/1EXMBoBxU3OFbjT2TRpneM33qFjqDzrKmn9ydcfl"&amp;"fI0o/edit?usp=share_link"",""นครพนม!J361"")+IMPORTRANGE(""https://docs.google.com/spreadsheets/d/1bDQrolntRWtHumK8W-x-HXKntwxB9S3sF5aDeRS66Ko/edit?usp=share_link"",""นครราชสีมา!J361"")+IMPORTRANGE(""https://docs.google.com/spreadsheets/d/1_MzZ-2gVPiCW-d2V"&amp;"cafoCmFJQTSrZ6SQyFcMqRRQQ2w/edit?usp=share_link"",""บึงกาฬ!J361"")
+IMPORTRANGE(""https://docs.google.com/spreadsheets/d/1B3lPpzOuaNwVItLwLEZYl_qEblfcx7dRnbRkAw0l-pE/edit?usp=share_link"",""บุรีรัมย์!J361"")+IMPORTRANGE(""https://docs.google.com/spreadshe"&amp;"ets/d/19GOkiOqnzYbevLYWrMk4qFOXe3rX14BkSA8X-mq-a40/edit?usp=share_link"",""มหาสารคาม!J361"")+IMPORTRANGE(""https://docs.google.com/spreadsheets/d/1uMKqWwuNQ-TCKboGA3Bb1qXb5uj2-faACNUINCz8PN4/edit?usp=share_link"",""มุกดาหาร!J361"")+IMPORTRANGE(""https://d"&amp;"ocs.google.com/spreadsheets/d/1oKaccgDdQABndOzGr688Dbfxb_V3YcF67VqEPBtdzsc/edit?usp=share_link"",""ยโสธร!J361"")+IMPORTRANGE(""https://docs.google.com/spreadsheets/d/1BRgc8xKpxZ0PX-gauieMVkV_IOxKSotf0yW8MabGprQ/edit?usp=share_link"",""ร้อยเอ็ด!J361"")+IMP"&amp;"ORTRANGE(""https://docs.google.com/spreadsheets/d/1IdolZc-dfdgMwAm_KZxYJl1sUOcIgnbGQzbWOlddedo/edit?usp=share_link"",""เลย!J361"")+IMPORTRANGE(""https://docs.google.com/spreadsheets/d/1tZ0nmtGuIRCaGAMXHlQU8EpR9LOAJvyKfc4f7EFmE34/edit?usp=share_link"",""ศร"&amp;"ีสะเกษ!J361"")+IMPORTRANGE(""https://docs.google.com/spreadsheets/d/1QC8psz9w0f9IVE9Xuc2FT_btkaOzZbbUSgYObpBuetM/edit?usp=share_link"",""สกลนคร!J361"")+IMPORTRANGE(""https://docs.google.com/spreadsheets/d/1wPdvRbu02d33MYVlbsCnyTiZpefEBs9NNktAnT1HZvw/edit?"&amp;"usp=share_link"",""สุรินทร์!J361"")+IMPORTRANGE(""https://docs.google.com/spreadsheets/d/1GVExpf-Exi_2gmuqTYH28fseTB9MoKPXWcXCbSt_YrM/edit?usp=share_link"",""หนองคาย!J361"")+IMPORTRANGE(""https://docs.google.com/spreadsheets/d/16UeMz0UgOB5BZcoxP75eYGcLFtG"&amp;"YRn9GoesD4OX9m5U/edit?usp=share_link"",""หนองบัวลำภู!J361"")+IMPORTRANGE(""https://docs.google.com/spreadsheets/d/1uUP8Zo1-qaJLuIkRU0qlwLSE3DHkbdrrj2JGJiWBQZE/edit?usp=share_link"",""อำนาจเจริญ!J361"")+IMPORTRANGE(""https://docs.google.com/spreadsheets/d/"&amp;"1hb_taSOHanzRjqfzWPiFo8yiT83VV1L7vvUCLhOiHKc/edit?usp=share_link"",""อุดรธานี!J361"")+IMPORTRANGE(""https://docs.google.com/spreadsheets/d/17IOkEwkUd63EGNfyNDnM5de9YlZ7rwzTiW6-dokVjKI/edit?usp=share_link"",""อุบลราชธานี!J361"")
"),143057.18)</f>
        <v>143057.18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fb2B9NLcpJgjIieIJvenUTNPn0TimZDUi0OtYeiSQ_s/edit?usp=share_link"",""กาฬสินธุ์!I362"")+IMPORTRANGE(""https://docs.google.com/spreadsheets/d/1SaMnqrwRGmFYNR0MhpWmHuL5niYUd5E7vDq8X7whAlI/edit?usp=share_li"&amp;"nk"",""ขอนแก่น!I362"")
+IMPORTRANGE(""https://docs.google.com/spreadsheets/d/1xQzEtGHhTTgxHh6YUkKY1P4dRyjVhS74dGswLfAASA4/edit?usp=share_link"",""ชัยภูมิ!I362"")+IMPORTRANGE(""https://docs.google.com/spreadsheets/d/1EXMBoBxU3OFbjT2TRpneM33qFjqDzrKmn9ydcfl"&amp;"fI0o/edit?usp=share_link"",""นครพนม!I362"")+IMPORTRANGE(""https://docs.google.com/spreadsheets/d/1bDQrolntRWtHumK8W-x-HXKntwxB9S3sF5aDeRS66Ko/edit?usp=share_link"",""นครราชสีมา!I362"")+IMPORTRANGE(""https://docs.google.com/spreadsheets/d/1_MzZ-2gVPiCW-d2V"&amp;"cafoCmFJQTSrZ6SQyFcMqRRQQ2w/edit?usp=share_link"",""บึงกาฬ!I362"")
+IMPORTRANGE(""https://docs.google.com/spreadsheets/d/1B3lPpzOuaNwVItLwLEZYl_qEblfcx7dRnbRkAw0l-pE/edit?usp=share_link"",""บุรีรัมย์!I362"")+IMPORTRANGE(""https://docs.google.com/spreadshe"&amp;"ets/d/19GOkiOqnzYbevLYWrMk4qFOXe3rX14BkSA8X-mq-a40/edit?usp=share_link"",""มหาสารคาม!I362"")+IMPORTRANGE(""https://docs.google.com/spreadsheets/d/1uMKqWwuNQ-TCKboGA3Bb1qXb5uj2-faACNUINCz8PN4/edit?usp=share_link"",""มุกดาหาร!I362"")+IMPORTRANGE(""https://d"&amp;"ocs.google.com/spreadsheets/d/1oKaccgDdQABndOzGr688Dbfxb_V3YcF67VqEPBtdzsc/edit?usp=share_link"",""ยโสธร!I362"")+IMPORTRANGE(""https://docs.google.com/spreadsheets/d/1BRgc8xKpxZ0PX-gauieMVkV_IOxKSotf0yW8MabGprQ/edit?usp=share_link"",""ร้อยเอ็ด!I362"")+IMP"&amp;"ORTRANGE(""https://docs.google.com/spreadsheets/d/1IdolZc-dfdgMwAm_KZxYJl1sUOcIgnbGQzbWOlddedo/edit?usp=share_link"",""เลย!I362"")+IMPORTRANGE(""https://docs.google.com/spreadsheets/d/1tZ0nmtGuIRCaGAMXHlQU8EpR9LOAJvyKfc4f7EFmE34/edit?usp=share_link"",""ศร"&amp;"ีสะเกษ!I362"")+IMPORTRANGE(""https://docs.google.com/spreadsheets/d/1QC8psz9w0f9IVE9Xuc2FT_btkaOzZbbUSgYObpBuetM/edit?usp=share_link"",""สกลนคร!I362"")+IMPORTRANGE(""https://docs.google.com/spreadsheets/d/1wPdvRbu02d33MYVlbsCnyTiZpefEBs9NNktAnT1HZvw/edit?"&amp;"usp=share_link"",""สุรินทร์!I362"")+IMPORTRANGE(""https://docs.google.com/spreadsheets/d/1GVExpf-Exi_2gmuqTYH28fseTB9MoKPXWcXCbSt_YrM/edit?usp=share_link"",""หนองคาย!I362"")+IMPORTRANGE(""https://docs.google.com/spreadsheets/d/16UeMz0UgOB5BZcoxP75eYGcLFtG"&amp;"YRn9GoesD4OX9m5U/edit?usp=share_link"",""หนองบัวลำภู!I362"")+IMPORTRANGE(""https://docs.google.com/spreadsheets/d/1uUP8Zo1-qaJLuIkRU0qlwLSE3DHkbdrrj2JGJiWBQZE/edit?usp=share_link"",""อำนาจเจริญ!I362"")+IMPORTRANGE(""https://docs.google.com/spreadsheets/d/"&amp;"1hb_taSOHanzRjqfzWPiFo8yiT83VV1L7vvUCLhOiHKc/edit?usp=share_link"",""อุดรธานี!I362"")+IMPORTRANGE(""https://docs.google.com/spreadsheets/d/17IOkEwkUd63EGNfyNDnM5de9YlZ7rwzTiW6-dokVjKI/edit?usp=share_link"",""อุบลราชธานี!I362"")
"),14473)</f>
        <v>14473</v>
      </c>
      <c r="J362" s="270">
        <f ca="1">IFERROR(__xludf.DUMMYFUNCTION("IMPORTRANGE(""https://docs.google.com/spreadsheets/d/1fb2B9NLcpJgjIieIJvenUTNPn0TimZDUi0OtYeiSQ_s/edit?usp=share_link"",""กาฬสินธุ์!J362"")+IMPORTRANGE(""https://docs.google.com/spreadsheets/d/1SaMnqrwRGmFYNR0MhpWmHuL5niYUd5E7vDq8X7whAlI/edit?usp=share_li"&amp;"nk"",""ขอนแก่น!J362"")
+IMPORTRANGE(""https://docs.google.com/spreadsheets/d/1xQzEtGHhTTgxHh6YUkKY1P4dRyjVhS74dGswLfAASA4/edit?usp=share_link"",""ชัยภูมิ!J362"")+IMPORTRANGE(""https://docs.google.com/spreadsheets/d/1EXMBoBxU3OFbjT2TRpneM33qFjqDzrKmn9ydcfl"&amp;"fI0o/edit?usp=share_link"",""นครพนม!J362"")+IMPORTRANGE(""https://docs.google.com/spreadsheets/d/1bDQrolntRWtHumK8W-x-HXKntwxB9S3sF5aDeRS66Ko/edit?usp=share_link"",""นครราชสีมา!J362"")+IMPORTRANGE(""https://docs.google.com/spreadsheets/d/1_MzZ-2gVPiCW-d2V"&amp;"cafoCmFJQTSrZ6SQyFcMqRRQQ2w/edit?usp=share_link"",""บึงกาฬ!J362"")
+IMPORTRANGE(""https://docs.google.com/spreadsheets/d/1B3lPpzOuaNwVItLwLEZYl_qEblfcx7dRnbRkAw0l-pE/edit?usp=share_link"",""บุรีรัมย์!J362"")+IMPORTRANGE(""https://docs.google.com/spreadshe"&amp;"ets/d/19GOkiOqnzYbevLYWrMk4qFOXe3rX14BkSA8X-mq-a40/edit?usp=share_link"",""มหาสารคาม!J362"")+IMPORTRANGE(""https://docs.google.com/spreadsheets/d/1uMKqWwuNQ-TCKboGA3Bb1qXb5uj2-faACNUINCz8PN4/edit?usp=share_link"",""มุกดาหาร!J362"")+IMPORTRANGE(""https://d"&amp;"ocs.google.com/spreadsheets/d/1oKaccgDdQABndOzGr688Dbfxb_V3YcF67VqEPBtdzsc/edit?usp=share_link"",""ยโสธร!J362"")+IMPORTRANGE(""https://docs.google.com/spreadsheets/d/1BRgc8xKpxZ0PX-gauieMVkV_IOxKSotf0yW8MabGprQ/edit?usp=share_link"",""ร้อยเอ็ด!J362"")+IMP"&amp;"ORTRANGE(""https://docs.google.com/spreadsheets/d/1IdolZc-dfdgMwAm_KZxYJl1sUOcIgnbGQzbWOlddedo/edit?usp=share_link"",""เลย!J362"")+IMPORTRANGE(""https://docs.google.com/spreadsheets/d/1tZ0nmtGuIRCaGAMXHlQU8EpR9LOAJvyKfc4f7EFmE34/edit?usp=share_link"",""ศร"&amp;"ีสะเกษ!J362"")+IMPORTRANGE(""https://docs.google.com/spreadsheets/d/1QC8psz9w0f9IVE9Xuc2FT_btkaOzZbbUSgYObpBuetM/edit?usp=share_link"",""สกลนคร!J362"")+IMPORTRANGE(""https://docs.google.com/spreadsheets/d/1wPdvRbu02d33MYVlbsCnyTiZpefEBs9NNktAnT1HZvw/edit?"&amp;"usp=share_link"",""สุรินทร์!J362"")+IMPORTRANGE(""https://docs.google.com/spreadsheets/d/1GVExpf-Exi_2gmuqTYH28fseTB9MoKPXWcXCbSt_YrM/edit?usp=share_link"",""หนองคาย!J362"")+IMPORTRANGE(""https://docs.google.com/spreadsheets/d/16UeMz0UgOB5BZcoxP75eYGcLFtG"&amp;"YRn9GoesD4OX9m5U/edit?usp=share_link"",""หนองบัวลำภู!J362"")+IMPORTRANGE(""https://docs.google.com/spreadsheets/d/1uUP8Zo1-qaJLuIkRU0qlwLSE3DHkbdrrj2JGJiWBQZE/edit?usp=share_link"",""อำนาจเจริญ!J362"")+IMPORTRANGE(""https://docs.google.com/spreadsheets/d/"&amp;"1hb_taSOHanzRjqfzWPiFo8yiT83VV1L7vvUCLhOiHKc/edit?usp=share_link"",""อุดรธานี!J362"")+IMPORTRANGE(""https://docs.google.com/spreadsheets/d/17IOkEwkUd63EGNfyNDnM5de9YlZ7rwzTiW6-dokVjKI/edit?usp=share_link"",""อุบลราชธานี!J362"")
"),13066)</f>
        <v>13066</v>
      </c>
      <c r="K362" s="38">
        <f t="shared" ca="1" si="188"/>
        <v>90.278449526704904</v>
      </c>
      <c r="L362" s="163"/>
      <c r="M362" s="163"/>
      <c r="N362" s="163"/>
      <c r="O362" s="163"/>
      <c r="P362" s="163"/>
    </row>
    <row r="363" spans="1:26" ht="18.75">
      <c r="A36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fb2B9NLcpJgjIieIJvenUTNPn0TimZDUi0OtYeiSQ_s/edit?usp=share_link"",""กาฬสินธุ์!J363"")+IMPORTRANGE(""https://docs.google.com/spreadsheets/d/1SaMnqrwRGmFYNR0MhpWmHuL5niYUd5E7vDq8X7whAlI/edit?usp=share_li"&amp;"nk"",""ขอนแก่น!J363"")
+IMPORTRANGE(""https://docs.google.com/spreadsheets/d/1xQzEtGHhTTgxHh6YUkKY1P4dRyjVhS74dGswLfAASA4/edit?usp=share_link"",""ชัยภูมิ!J363"")+IMPORTRANGE(""https://docs.google.com/spreadsheets/d/1EXMBoBxU3OFbjT2TRpneM33qFjqDzrKmn9ydcfl"&amp;"fI0o/edit?usp=share_link"",""นครพนม!J363"")+IMPORTRANGE(""https://docs.google.com/spreadsheets/d/1bDQrolntRWtHumK8W-x-HXKntwxB9S3sF5aDeRS66Ko/edit?usp=share_link"",""นครราชสีมา!J363"")+IMPORTRANGE(""https://docs.google.com/spreadsheets/d/1_MzZ-2gVPiCW-d2V"&amp;"cafoCmFJQTSrZ6SQyFcMqRRQQ2w/edit?usp=share_link"",""บึงกาฬ!J363"")
+IMPORTRANGE(""https://docs.google.com/spreadsheets/d/1B3lPpzOuaNwVItLwLEZYl_qEblfcx7dRnbRkAw0l-pE/edit?usp=share_link"",""บุรีรัมย์!J363"")+IMPORTRANGE(""https://docs.google.com/spreadshe"&amp;"ets/d/19GOkiOqnzYbevLYWrMk4qFOXe3rX14BkSA8X-mq-a40/edit?usp=share_link"",""มหาสารคาม!J363"")+IMPORTRANGE(""https://docs.google.com/spreadsheets/d/1uMKqWwuNQ-TCKboGA3Bb1qXb5uj2-faACNUINCz8PN4/edit?usp=share_link"",""มุกดาหาร!J363"")+IMPORTRANGE(""https://d"&amp;"ocs.google.com/spreadsheets/d/1oKaccgDdQABndOzGr688Dbfxb_V3YcF67VqEPBtdzsc/edit?usp=share_link"",""ยโสธร!J363"")+IMPORTRANGE(""https://docs.google.com/spreadsheets/d/1BRgc8xKpxZ0PX-gauieMVkV_IOxKSotf0yW8MabGprQ/edit?usp=share_link"",""ร้อยเอ็ด!J363"")+IMP"&amp;"ORTRANGE(""https://docs.google.com/spreadsheets/d/1IdolZc-dfdgMwAm_KZxYJl1sUOcIgnbGQzbWOlddedo/edit?usp=share_link"",""เลย!J363"")+IMPORTRANGE(""https://docs.google.com/spreadsheets/d/1tZ0nmtGuIRCaGAMXHlQU8EpR9LOAJvyKfc4f7EFmE34/edit?usp=share_link"",""ศร"&amp;"ีสะเกษ!J363"")+IMPORTRANGE(""https://docs.google.com/spreadsheets/d/1QC8psz9w0f9IVE9Xuc2FT_btkaOzZbbUSgYObpBuetM/edit?usp=share_link"",""สกลนคร!J363"")+IMPORTRANGE(""https://docs.google.com/spreadsheets/d/1wPdvRbu02d33MYVlbsCnyTiZpefEBs9NNktAnT1HZvw/edit?"&amp;"usp=share_link"",""สุรินทร์!J363"")+IMPORTRANGE(""https://docs.google.com/spreadsheets/d/1GVExpf-Exi_2gmuqTYH28fseTB9MoKPXWcXCbSt_YrM/edit?usp=share_link"",""หนองคาย!J363"")+IMPORTRANGE(""https://docs.google.com/spreadsheets/d/16UeMz0UgOB5BZcoxP75eYGcLFtG"&amp;"YRn9GoesD4OX9m5U/edit?usp=share_link"",""หนองบัวลำภู!J363"")+IMPORTRANGE(""https://docs.google.com/spreadsheets/d/1uUP8Zo1-qaJLuIkRU0qlwLSE3DHkbdrrj2JGJiWBQZE/edit?usp=share_link"",""อำนาจเจริญ!J363"")+IMPORTRANGE(""https://docs.google.com/spreadsheets/d/"&amp;"1hb_taSOHanzRjqfzWPiFo8yiT83VV1L7vvUCLhOiHKc/edit?usp=share_link"",""อุดรธานี!J363"")+IMPORTRANGE(""https://docs.google.com/spreadsheets/d/17IOkEwkUd63EGNfyNDnM5de9YlZ7rwzTiW6-dokVjKI/edit?usp=share_link"",""อุบลราชธานี!J363"")
"),114642.37)</f>
        <v>114642.37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t="shared" ref="I364:J364" ca="1" si="189">I365+I374</f>
        <v>25758</v>
      </c>
      <c r="J364" s="479">
        <f t="shared" ca="1" si="189"/>
        <v>28098</v>
      </c>
      <c r="K364" s="480">
        <f t="shared" ca="1" si="188"/>
        <v>109.08455625436757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5"/>
      <c r="D365" s="486" t="s">
        <v>165</v>
      </c>
      <c r="E365" s="487"/>
      <c r="F365" s="487"/>
      <c r="G365" s="488"/>
      <c r="H365" s="489" t="s">
        <v>35</v>
      </c>
      <c r="I365" s="490">
        <f ca="1">IFERROR(__xludf.DUMMYFUNCTION("IMPORTRANGE(""https://docs.google.com/spreadsheets/d/1fb2B9NLcpJgjIieIJvenUTNPn0TimZDUi0OtYeiSQ_s/edit?usp=share_link"",""กาฬสินธุ์!I365"")+IMPORTRANGE(""https://docs.google.com/spreadsheets/d/1SaMnqrwRGmFYNR0MhpWmHuL5niYUd5E7vDq8X7whAlI/edit?usp=share_li"&amp;"nk"",""ขอนแก่น!I365"")
+IMPORTRANGE(""https://docs.google.com/spreadsheets/d/1xQzEtGHhTTgxHh6YUkKY1P4dRyjVhS74dGswLfAASA4/edit?usp=share_link"",""ชัยภูมิ!I365"")+IMPORTRANGE(""https://docs.google.com/spreadsheets/d/1EXMBoBxU3OFbjT2TRpneM33qFjqDzrKmn9ydcfl"&amp;"fI0o/edit?usp=share_link"",""นครพนม!I365"")+IMPORTRANGE(""https://docs.google.com/spreadsheets/d/1bDQrolntRWtHumK8W-x-HXKntwxB9S3sF5aDeRS66Ko/edit?usp=share_link"",""นครราชสีมา!I365"")+IMPORTRANGE(""https://docs.google.com/spreadsheets/d/1_MzZ-2gVPiCW-d2V"&amp;"cafoCmFJQTSrZ6SQyFcMqRRQQ2w/edit?usp=share_link"",""บึงกาฬ!I365"")
+IMPORTRANGE(""https://docs.google.com/spreadsheets/d/1B3lPpzOuaNwVItLwLEZYl_qEblfcx7dRnbRkAw0l-pE/edit?usp=share_link"",""บุรีรัมย์!I365"")+IMPORTRANGE(""https://docs.google.com/spreadshe"&amp;"ets/d/19GOkiOqnzYbevLYWrMk4qFOXe3rX14BkSA8X-mq-a40/edit?usp=share_link"",""มหาสารคาม!I365"")+IMPORTRANGE(""https://docs.google.com/spreadsheets/d/1uMKqWwuNQ-TCKboGA3Bb1qXb5uj2-faACNUINCz8PN4/edit?usp=share_link"",""มุกดาหาร!I365"")+IMPORTRANGE(""https://d"&amp;"ocs.google.com/spreadsheets/d/1oKaccgDdQABndOzGr688Dbfxb_V3YcF67VqEPBtdzsc/edit?usp=share_link"",""ยโสธร!I365"")+IMPORTRANGE(""https://docs.google.com/spreadsheets/d/1BRgc8xKpxZ0PX-gauieMVkV_IOxKSotf0yW8MabGprQ/edit?usp=share_link"",""ร้อยเอ็ด!I365"")+IMP"&amp;"ORTRANGE(""https://docs.google.com/spreadsheets/d/1IdolZc-dfdgMwAm_KZxYJl1sUOcIgnbGQzbWOlddedo/edit?usp=share_link"",""เลย!I365"")+IMPORTRANGE(""https://docs.google.com/spreadsheets/d/1tZ0nmtGuIRCaGAMXHlQU8EpR9LOAJvyKfc4f7EFmE34/edit?usp=share_link"",""ศร"&amp;"ีสะเกษ!I365"")+IMPORTRANGE(""https://docs.google.com/spreadsheets/d/1QC8psz9w0f9IVE9Xuc2FT_btkaOzZbbUSgYObpBuetM/edit?usp=share_link"",""สกลนคร!I365"")+IMPORTRANGE(""https://docs.google.com/spreadsheets/d/1wPdvRbu02d33MYVlbsCnyTiZpefEBs9NNktAnT1HZvw/edit?"&amp;"usp=share_link"",""สุรินทร์!I365"")+IMPORTRANGE(""https://docs.google.com/spreadsheets/d/1GVExpf-Exi_2gmuqTYH28fseTB9MoKPXWcXCbSt_YrM/edit?usp=share_link"",""หนองคาย!I365"")+IMPORTRANGE(""https://docs.google.com/spreadsheets/d/16UeMz0UgOB5BZcoxP75eYGcLFtG"&amp;"YRn9GoesD4OX9m5U/edit?usp=share_link"",""หนองบัวลำภู!I365"")+IMPORTRANGE(""https://docs.google.com/spreadsheets/d/1uUP8Zo1-qaJLuIkRU0qlwLSE3DHkbdrrj2JGJiWBQZE/edit?usp=share_link"",""อำนาจเจริญ!I365"")+IMPORTRANGE(""https://docs.google.com/spreadsheets/d/"&amp;"1hb_taSOHanzRjqfzWPiFo8yiT83VV1L7vvUCLhOiHKc/edit?usp=share_link"",""อุดรธานี!I365"")+IMPORTRANGE(""https://docs.google.com/spreadsheets/d/17IOkEwkUd63EGNfyNDnM5de9YlZ7rwzTiW6-dokVjKI/edit?usp=share_link"",""อุบลราชธานี!I365"")
"),4842)</f>
        <v>4842</v>
      </c>
      <c r="J365" s="491">
        <f ca="1">J372</f>
        <v>4621</v>
      </c>
      <c r="K365" s="492">
        <f t="shared" ca="1" si="188"/>
        <v>95.435770342833536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5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fb2B9NLcpJgjIieIJvenUTNPn0TimZDUi0OtYeiSQ_s/edit?usp=share_link"",""กาฬสินธุ์!J368"")+IMPORTRANGE(""https://docs.google.com/spreadsheets/d/1SaMnqrwRGmFYNR0MhpWmHuL5niYUd5E7vDq8X7whAlI/edit?usp=share_li"&amp;"nk"",""ขอนแก่น!J368"")
+IMPORTRANGE(""https://docs.google.com/spreadsheets/d/1xQzEtGHhTTgxHh6YUkKY1P4dRyjVhS74dGswLfAASA4/edit?usp=share_link"",""ชัยภูมิ!J368"")+IMPORTRANGE(""https://docs.google.com/spreadsheets/d/1EXMBoBxU3OFbjT2TRpneM33qFjqDzrKmn9ydcfl"&amp;"fI0o/edit?usp=share_link"",""นครพนม!J368"")+IMPORTRANGE(""https://docs.google.com/spreadsheets/d/1bDQrolntRWtHumK8W-x-HXKntwxB9S3sF5aDeRS66Ko/edit?usp=share_link"",""นครราชสีมา!J368"")+IMPORTRANGE(""https://docs.google.com/spreadsheets/d/1_MzZ-2gVPiCW-d2V"&amp;"cafoCmFJQTSrZ6SQyFcMqRRQQ2w/edit?usp=share_link"",""บึงกาฬ!J368"")
+IMPORTRANGE(""https://docs.google.com/spreadsheets/d/1B3lPpzOuaNwVItLwLEZYl_qEblfcx7dRnbRkAw0l-pE/edit?usp=share_link"",""บุรีรัมย์!J368"")+IMPORTRANGE(""https://docs.google.com/spreadshe"&amp;"ets/d/19GOkiOqnzYbevLYWrMk4qFOXe3rX14BkSA8X-mq-a40/edit?usp=share_link"",""มหาสารคาม!J368"")+IMPORTRANGE(""https://docs.google.com/spreadsheets/d/1uMKqWwuNQ-TCKboGA3Bb1qXb5uj2-faACNUINCz8PN4/edit?usp=share_link"",""มุกดาหาร!J368"")+IMPORTRANGE(""https://d"&amp;"ocs.google.com/spreadsheets/d/1oKaccgDdQABndOzGr688Dbfxb_V3YcF67VqEPBtdzsc/edit?usp=share_link"",""ยโสธร!J368"")+IMPORTRANGE(""https://docs.google.com/spreadsheets/d/1BRgc8xKpxZ0PX-gauieMVkV_IOxKSotf0yW8MabGprQ/edit?usp=share_link"",""ร้อยเอ็ด!J368"")+IMP"&amp;"ORTRANGE(""https://docs.google.com/spreadsheets/d/1IdolZc-dfdgMwAm_KZxYJl1sUOcIgnbGQzbWOlddedo/edit?usp=share_link"",""เลย!J368"")+IMPORTRANGE(""https://docs.google.com/spreadsheets/d/1tZ0nmtGuIRCaGAMXHlQU8EpR9LOAJvyKfc4f7EFmE34/edit?usp=share_link"",""ศร"&amp;"ีสะเกษ!J368"")+IMPORTRANGE(""https://docs.google.com/spreadsheets/d/1QC8psz9w0f9IVE9Xuc2FT_btkaOzZbbUSgYObpBuetM/edit?usp=share_link"",""สกลนคร!J368"")+IMPORTRANGE(""https://docs.google.com/spreadsheets/d/1wPdvRbu02d33MYVlbsCnyTiZpefEBs9NNktAnT1HZvw/edit?"&amp;"usp=share_link"",""สุรินทร์!J368"")+IMPORTRANGE(""https://docs.google.com/spreadsheets/d/1GVExpf-Exi_2gmuqTYH28fseTB9MoKPXWcXCbSt_YrM/edit?usp=share_link"",""หนองคาย!J368"")+IMPORTRANGE(""https://docs.google.com/spreadsheets/d/16UeMz0UgOB5BZcoxP75eYGcLFtG"&amp;"YRn9GoesD4OX9m5U/edit?usp=share_link"",""หนองบัวลำภู!J368"")+IMPORTRANGE(""https://docs.google.com/spreadsheets/d/1uUP8Zo1-qaJLuIkRU0qlwLSE3DHkbdrrj2JGJiWBQZE/edit?usp=share_link"",""อำนาจเจริญ!J368"")+IMPORTRANGE(""https://docs.google.com/spreadsheets/d/"&amp;"1hb_taSOHanzRjqfzWPiFo8yiT83VV1L7vvUCLhOiHKc/edit?usp=share_link"",""อุดรธานี!J368"")+IMPORTRANGE(""https://docs.google.com/spreadsheets/d/17IOkEwkUd63EGNfyNDnM5de9YlZ7rwzTiW6-dokVjKI/edit?usp=share_link"",""อุบลราชธานี!J368"")
"),5637)</f>
        <v>5637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fb2B9NLcpJgjIieIJvenUTNPn0TimZDUi0OtYeiSQ_s/edit?usp=share_link"",""กาฬสินธุ์!I369"")+IMPORTRANGE(""https://docs.google.com/spreadsheets/d/1SaMnqrwRGmFYNR0MhpWmHuL5niYUd5E7vDq8X7whAlI/edit?usp=share_li"&amp;"nk"",""ขอนแก่น!I369"")
+IMPORTRANGE(""https://docs.google.com/spreadsheets/d/1xQzEtGHhTTgxHh6YUkKY1P4dRyjVhS74dGswLfAASA4/edit?usp=share_link"",""ชัยภูมิ!I369"")+IMPORTRANGE(""https://docs.google.com/spreadsheets/d/1EXMBoBxU3OFbjT2TRpneM33qFjqDzrKmn9ydcfl"&amp;"fI0o/edit?usp=share_link"",""นครพนม!I369"")+IMPORTRANGE(""https://docs.google.com/spreadsheets/d/1bDQrolntRWtHumK8W-x-HXKntwxB9S3sF5aDeRS66Ko/edit?usp=share_link"",""นครราชสีมา!I369"")+IMPORTRANGE(""https://docs.google.com/spreadsheets/d/1_MzZ-2gVPiCW-d2V"&amp;"cafoCmFJQTSrZ6SQyFcMqRRQQ2w/edit?usp=share_link"",""บึงกาฬ!I369"")
+IMPORTRANGE(""https://docs.google.com/spreadsheets/d/1B3lPpzOuaNwVItLwLEZYl_qEblfcx7dRnbRkAw0l-pE/edit?usp=share_link"",""บุรีรัมย์!I369"")+IMPORTRANGE(""https://docs.google.com/spreadshe"&amp;"ets/d/19GOkiOqnzYbevLYWrMk4qFOXe3rX14BkSA8X-mq-a40/edit?usp=share_link"",""มหาสารคาม!I369"")+IMPORTRANGE(""https://docs.google.com/spreadsheets/d/1uMKqWwuNQ-TCKboGA3Bb1qXb5uj2-faACNUINCz8PN4/edit?usp=share_link"",""มุกดาหาร!I369"")+IMPORTRANGE(""https://d"&amp;"ocs.google.com/spreadsheets/d/1oKaccgDdQABndOzGr688Dbfxb_V3YcF67VqEPBtdzsc/edit?usp=share_link"",""ยโสธร!I369"")+IMPORTRANGE(""https://docs.google.com/spreadsheets/d/1BRgc8xKpxZ0PX-gauieMVkV_IOxKSotf0yW8MabGprQ/edit?usp=share_link"",""ร้อยเอ็ด!I369"")+IMP"&amp;"ORTRANGE(""https://docs.google.com/spreadsheets/d/1IdolZc-dfdgMwAm_KZxYJl1sUOcIgnbGQzbWOlddedo/edit?usp=share_link"",""เลย!I369"")+IMPORTRANGE(""https://docs.google.com/spreadsheets/d/1tZ0nmtGuIRCaGAMXHlQU8EpR9LOAJvyKfc4f7EFmE34/edit?usp=share_link"",""ศร"&amp;"ีสะเกษ!I369"")+IMPORTRANGE(""https://docs.google.com/spreadsheets/d/1QC8psz9w0f9IVE9Xuc2FT_btkaOzZbbUSgYObpBuetM/edit?usp=share_link"",""สกลนคร!I369"")+IMPORTRANGE(""https://docs.google.com/spreadsheets/d/1wPdvRbu02d33MYVlbsCnyTiZpefEBs9NNktAnT1HZvw/edit?"&amp;"usp=share_link"",""สุรินทร์!I369"")+IMPORTRANGE(""https://docs.google.com/spreadsheets/d/1GVExpf-Exi_2gmuqTYH28fseTB9MoKPXWcXCbSt_YrM/edit?usp=share_link"",""หนองคาย!I369"")+IMPORTRANGE(""https://docs.google.com/spreadsheets/d/16UeMz0UgOB5BZcoxP75eYGcLFtG"&amp;"YRn9GoesD4OX9m5U/edit?usp=share_link"",""หนองบัวลำภู!I369"")+IMPORTRANGE(""https://docs.google.com/spreadsheets/d/1uUP8Zo1-qaJLuIkRU0qlwLSE3DHkbdrrj2JGJiWBQZE/edit?usp=share_link"",""อำนาจเจริญ!I369"")+IMPORTRANGE(""https://docs.google.com/spreadsheets/d/"&amp;"1hb_taSOHanzRjqfzWPiFo8yiT83VV1L7vvUCLhOiHKc/edit?usp=share_link"",""อุดรธานี!I369"")+IMPORTRANGE(""https://docs.google.com/spreadsheets/d/17IOkEwkUd63EGNfyNDnM5de9YlZ7rwzTiW6-dokVjKI/edit?usp=share_link"",""อุบลราชธานี!I369"")
"),50320)</f>
        <v>50320</v>
      </c>
      <c r="J369" s="270">
        <f ca="1">IFERROR(__xludf.DUMMYFUNCTION("IMPORTRANGE(""https://docs.google.com/spreadsheets/d/1fb2B9NLcpJgjIieIJvenUTNPn0TimZDUi0OtYeiSQ_s/edit?usp=share_link"",""กาฬสินธุ์!J369"")+IMPORTRANGE(""https://docs.google.com/spreadsheets/d/1SaMnqrwRGmFYNR0MhpWmHuL5niYUd5E7vDq8X7whAlI/edit?usp=share_li"&amp;"nk"",""ขอนแก่น!J369"")
+IMPORTRANGE(""https://docs.google.com/spreadsheets/d/1xQzEtGHhTTgxHh6YUkKY1P4dRyjVhS74dGswLfAASA4/edit?usp=share_link"",""ชัยภูมิ!J369"")+IMPORTRANGE(""https://docs.google.com/spreadsheets/d/1EXMBoBxU3OFbjT2TRpneM33qFjqDzrKmn9ydcfl"&amp;"fI0o/edit?usp=share_link"",""นครพนม!J369"")+IMPORTRANGE(""https://docs.google.com/spreadsheets/d/1bDQrolntRWtHumK8W-x-HXKntwxB9S3sF5aDeRS66Ko/edit?usp=share_link"",""นครราชสีมา!J369"")+IMPORTRANGE(""https://docs.google.com/spreadsheets/d/1_MzZ-2gVPiCW-d2V"&amp;"cafoCmFJQTSrZ6SQyFcMqRRQQ2w/edit?usp=share_link"",""บึงกาฬ!J369"")
+IMPORTRANGE(""https://docs.google.com/spreadsheets/d/1B3lPpzOuaNwVItLwLEZYl_qEblfcx7dRnbRkAw0l-pE/edit?usp=share_link"",""บุรีรัมย์!J369"")+IMPORTRANGE(""https://docs.google.com/spreadshe"&amp;"ets/d/19GOkiOqnzYbevLYWrMk4qFOXe3rX14BkSA8X-mq-a40/edit?usp=share_link"",""มหาสารคาม!J369"")+IMPORTRANGE(""https://docs.google.com/spreadsheets/d/1uMKqWwuNQ-TCKboGA3Bb1qXb5uj2-faACNUINCz8PN4/edit?usp=share_link"",""มุกดาหาร!J369"")+IMPORTRANGE(""https://d"&amp;"ocs.google.com/spreadsheets/d/1oKaccgDdQABndOzGr688Dbfxb_V3YcF67VqEPBtdzsc/edit?usp=share_link"",""ยโสธร!J369"")+IMPORTRANGE(""https://docs.google.com/spreadsheets/d/1BRgc8xKpxZ0PX-gauieMVkV_IOxKSotf0yW8MabGprQ/edit?usp=share_link"",""ร้อยเอ็ด!J369"")+IMP"&amp;"ORTRANGE(""https://docs.google.com/spreadsheets/d/1IdolZc-dfdgMwAm_KZxYJl1sUOcIgnbGQzbWOlddedo/edit?usp=share_link"",""เลย!J369"")+IMPORTRANGE(""https://docs.google.com/spreadsheets/d/1tZ0nmtGuIRCaGAMXHlQU8EpR9LOAJvyKfc4f7EFmE34/edit?usp=share_link"",""ศร"&amp;"ีสะเกษ!J369"")+IMPORTRANGE(""https://docs.google.com/spreadsheets/d/1QC8psz9w0f9IVE9Xuc2FT_btkaOzZbbUSgYObpBuetM/edit?usp=share_link"",""สกลนคร!J369"")+IMPORTRANGE(""https://docs.google.com/spreadsheets/d/1wPdvRbu02d33MYVlbsCnyTiZpefEBs9NNktAnT1HZvw/edit?"&amp;"usp=share_link"",""สุรินทร์!J369"")+IMPORTRANGE(""https://docs.google.com/spreadsheets/d/1GVExpf-Exi_2gmuqTYH28fseTB9MoKPXWcXCbSt_YrM/edit?usp=share_link"",""หนองคาย!J369"")+IMPORTRANGE(""https://docs.google.com/spreadsheets/d/16UeMz0UgOB5BZcoxP75eYGcLFtG"&amp;"YRn9GoesD4OX9m5U/edit?usp=share_link"",""หนองบัวลำภู!J369"")+IMPORTRANGE(""https://docs.google.com/spreadsheets/d/1uUP8Zo1-qaJLuIkRU0qlwLSE3DHkbdrrj2JGJiWBQZE/edit?usp=share_link"",""อำนาจเจริญ!J369"")+IMPORTRANGE(""https://docs.google.com/spreadsheets/d/"&amp;"1hb_taSOHanzRjqfzWPiFo8yiT83VV1L7vvUCLhOiHKc/edit?usp=share_link"",""อุดรธานี!J369"")+IMPORTRANGE(""https://docs.google.com/spreadsheets/d/17IOkEwkUd63EGNfyNDnM5de9YlZ7rwzTiW6-dokVjKI/edit?usp=share_link"",""อุบลราชธานี!J369"")
"),49377.6899999999)</f>
        <v>49377.6899999999</v>
      </c>
      <c r="K369" s="38">
        <f t="shared" ca="1" si="190"/>
        <v>98.12736486486466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fb2B9NLcpJgjIieIJvenUTNPn0TimZDUi0OtYeiSQ_s/edit?usp=share_link"",""กาฬสินธุ์!I370"")+IMPORTRANGE(""https://docs.google.com/spreadsheets/d/1SaMnqrwRGmFYNR0MhpWmHuL5niYUd5E7vDq8X7whAlI/edit?usp=share_li"&amp;"nk"",""ขอนแก่น!I370"")
+IMPORTRANGE(""https://docs.google.com/spreadsheets/d/1xQzEtGHhTTgxHh6YUkKY1P4dRyjVhS74dGswLfAASA4/edit?usp=share_link"",""ชัยภูมิ!I370"")+IMPORTRANGE(""https://docs.google.com/spreadsheets/d/1EXMBoBxU3OFbjT2TRpneM33qFjqDzrKmn9ydcfl"&amp;"fI0o/edit?usp=share_link"",""นครพนม!I370"")+IMPORTRANGE(""https://docs.google.com/spreadsheets/d/1bDQrolntRWtHumK8W-x-HXKntwxB9S3sF5aDeRS66Ko/edit?usp=share_link"",""นครราชสีมา!I370"")+IMPORTRANGE(""https://docs.google.com/spreadsheets/d/1_MzZ-2gVPiCW-d2V"&amp;"cafoCmFJQTSrZ6SQyFcMqRRQQ2w/edit?usp=share_link"",""บึงกาฬ!I370"")
+IMPORTRANGE(""https://docs.google.com/spreadsheets/d/1B3lPpzOuaNwVItLwLEZYl_qEblfcx7dRnbRkAw0l-pE/edit?usp=share_link"",""บุรีรัมย์!I370"")+IMPORTRANGE(""https://docs.google.com/spreadshe"&amp;"ets/d/19GOkiOqnzYbevLYWrMk4qFOXe3rX14BkSA8X-mq-a40/edit?usp=share_link"",""มหาสารคาม!I370"")+IMPORTRANGE(""https://docs.google.com/spreadsheets/d/1uMKqWwuNQ-TCKboGA3Bb1qXb5uj2-faACNUINCz8PN4/edit?usp=share_link"",""มุกดาหาร!I370"")+IMPORTRANGE(""https://d"&amp;"ocs.google.com/spreadsheets/d/1oKaccgDdQABndOzGr688Dbfxb_V3YcF67VqEPBtdzsc/edit?usp=share_link"",""ยโสธร!I370"")+IMPORTRANGE(""https://docs.google.com/spreadsheets/d/1BRgc8xKpxZ0PX-gauieMVkV_IOxKSotf0yW8MabGprQ/edit?usp=share_link"",""ร้อยเอ็ด!I370"")+IMP"&amp;"ORTRANGE(""https://docs.google.com/spreadsheets/d/1IdolZc-dfdgMwAm_KZxYJl1sUOcIgnbGQzbWOlddedo/edit?usp=share_link"",""เลย!I370"")+IMPORTRANGE(""https://docs.google.com/spreadsheets/d/1tZ0nmtGuIRCaGAMXHlQU8EpR9LOAJvyKfc4f7EFmE34/edit?usp=share_link"",""ศร"&amp;"ีสะเกษ!I370"")+IMPORTRANGE(""https://docs.google.com/spreadsheets/d/1QC8psz9w0f9IVE9Xuc2FT_btkaOzZbbUSgYObpBuetM/edit?usp=share_link"",""สกลนคร!I370"")+IMPORTRANGE(""https://docs.google.com/spreadsheets/d/1wPdvRbu02d33MYVlbsCnyTiZpefEBs9NNktAnT1HZvw/edit?"&amp;"usp=share_link"",""สุรินทร์!I370"")+IMPORTRANGE(""https://docs.google.com/spreadsheets/d/1GVExpf-Exi_2gmuqTYH28fseTB9MoKPXWcXCbSt_YrM/edit?usp=share_link"",""หนองคาย!I370"")+IMPORTRANGE(""https://docs.google.com/spreadsheets/d/16UeMz0UgOB5BZcoxP75eYGcLFtG"&amp;"YRn9GoesD4OX9m5U/edit?usp=share_link"",""หนองบัวลำภู!I370"")+IMPORTRANGE(""https://docs.google.com/spreadsheets/d/1uUP8Zo1-qaJLuIkRU0qlwLSE3DHkbdrrj2JGJiWBQZE/edit?usp=share_link"",""อำนาจเจริญ!I370"")+IMPORTRANGE(""https://docs.google.com/spreadsheets/d/"&amp;"1hb_taSOHanzRjqfzWPiFo8yiT83VV1L7vvUCLhOiHKc/edit?usp=share_link"",""อุดรธานี!I370"")+IMPORTRANGE(""https://docs.google.com/spreadsheets/d/17IOkEwkUd63EGNfyNDnM5de9YlZ7rwzTiW6-dokVjKI/edit?usp=share_link"",""อุบลราชธานี!I370"")
"),4842)</f>
        <v>4842</v>
      </c>
      <c r="J370" s="270">
        <f ca="1">IFERROR(__xludf.DUMMYFUNCTION("IMPORTRANGE(""https://docs.google.com/spreadsheets/d/1fb2B9NLcpJgjIieIJvenUTNPn0TimZDUi0OtYeiSQ_s/edit?usp=share_link"",""กาฬสินธุ์!J370"")+IMPORTRANGE(""https://docs.google.com/spreadsheets/d/1SaMnqrwRGmFYNR0MhpWmHuL5niYUd5E7vDq8X7whAlI/edit?usp=share_li"&amp;"nk"",""ขอนแก่น!J370"")
+IMPORTRANGE(""https://docs.google.com/spreadsheets/d/1xQzEtGHhTTgxHh6YUkKY1P4dRyjVhS74dGswLfAASA4/edit?usp=share_link"",""ชัยภูมิ!J370"")+IMPORTRANGE(""https://docs.google.com/spreadsheets/d/1EXMBoBxU3OFbjT2TRpneM33qFjqDzrKmn9ydcfl"&amp;"fI0o/edit?usp=share_link"",""นครพนม!J370"")+IMPORTRANGE(""https://docs.google.com/spreadsheets/d/1bDQrolntRWtHumK8W-x-HXKntwxB9S3sF5aDeRS66Ko/edit?usp=share_link"",""นครราชสีมา!J370"")+IMPORTRANGE(""https://docs.google.com/spreadsheets/d/1_MzZ-2gVPiCW-d2V"&amp;"cafoCmFJQTSrZ6SQyFcMqRRQQ2w/edit?usp=share_link"",""บึงกาฬ!J370"")
+IMPORTRANGE(""https://docs.google.com/spreadsheets/d/1B3lPpzOuaNwVItLwLEZYl_qEblfcx7dRnbRkAw0l-pE/edit?usp=share_link"",""บุรีรัมย์!J370"")+IMPORTRANGE(""https://docs.google.com/spreadshe"&amp;"ets/d/19GOkiOqnzYbevLYWrMk4qFOXe3rX14BkSA8X-mq-a40/edit?usp=share_link"",""มหาสารคาม!J370"")+IMPORTRANGE(""https://docs.google.com/spreadsheets/d/1uMKqWwuNQ-TCKboGA3Bb1qXb5uj2-faACNUINCz8PN4/edit?usp=share_link"",""มุกดาหาร!J370"")+IMPORTRANGE(""https://d"&amp;"ocs.google.com/spreadsheets/d/1oKaccgDdQABndOzGr688Dbfxb_V3YcF67VqEPBtdzsc/edit?usp=share_link"",""ยโสธร!J370"")+IMPORTRANGE(""https://docs.google.com/spreadsheets/d/1BRgc8xKpxZ0PX-gauieMVkV_IOxKSotf0yW8MabGprQ/edit?usp=share_link"",""ร้อยเอ็ด!J370"")+IMP"&amp;"ORTRANGE(""https://docs.google.com/spreadsheets/d/1IdolZc-dfdgMwAm_KZxYJl1sUOcIgnbGQzbWOlddedo/edit?usp=share_link"",""เลย!J370"")+IMPORTRANGE(""https://docs.google.com/spreadsheets/d/1tZ0nmtGuIRCaGAMXHlQU8EpR9LOAJvyKfc4f7EFmE34/edit?usp=share_link"",""ศร"&amp;"ีสะเกษ!J370"")+IMPORTRANGE(""https://docs.google.com/spreadsheets/d/1QC8psz9w0f9IVE9Xuc2FT_btkaOzZbbUSgYObpBuetM/edit?usp=share_link"",""สกลนคร!J370"")+IMPORTRANGE(""https://docs.google.com/spreadsheets/d/1wPdvRbu02d33MYVlbsCnyTiZpefEBs9NNktAnT1HZvw/edit?"&amp;"usp=share_link"",""สุรินทร์!J370"")+IMPORTRANGE(""https://docs.google.com/spreadsheets/d/1GVExpf-Exi_2gmuqTYH28fseTB9MoKPXWcXCbSt_YrM/edit?usp=share_link"",""หนองคาย!J370"")+IMPORTRANGE(""https://docs.google.com/spreadsheets/d/16UeMz0UgOB5BZcoxP75eYGcLFtG"&amp;"YRn9GoesD4OX9m5U/edit?usp=share_link"",""หนองบัวลำภู!J370"")+IMPORTRANGE(""https://docs.google.com/spreadsheets/d/1uUP8Zo1-qaJLuIkRU0qlwLSE3DHkbdrrj2JGJiWBQZE/edit?usp=share_link"",""อำนาจเจริญ!J370"")+IMPORTRANGE(""https://docs.google.com/spreadsheets/d/"&amp;"1hb_taSOHanzRjqfzWPiFo8yiT83VV1L7vvUCLhOiHKc/edit?usp=share_link"",""อุดรธานี!J370"")+IMPORTRANGE(""https://docs.google.com/spreadsheets/d/17IOkEwkUd63EGNfyNDnM5de9YlZ7rwzTiW6-dokVjKI/edit?usp=share_link"",""อุบลราชธานี!J370"")
"),4951)</f>
        <v>4951</v>
      </c>
      <c r="K370" s="38">
        <f t="shared" ca="1" si="190"/>
        <v>102.25113589425857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fb2B9NLcpJgjIieIJvenUTNPn0TimZDUi0OtYeiSQ_s/edit?usp=share_link"",""กาฬสินธุ์!J371"")+IMPORTRANGE(""https://docs.google.com/spreadsheets/d/1SaMnqrwRGmFYNR0MhpWmHuL5niYUd5E7vDq8X7whAlI/edit?usp=share_li"&amp;"nk"",""ขอนแก่น!J371"")
+IMPORTRANGE(""https://docs.google.com/spreadsheets/d/1xQzEtGHhTTgxHh6YUkKY1P4dRyjVhS74dGswLfAASA4/edit?usp=share_link"",""ชัยภูมิ!J371"")+IMPORTRANGE(""https://docs.google.com/spreadsheets/d/1EXMBoBxU3OFbjT2TRpneM33qFjqDzrKmn9ydcfl"&amp;"fI0o/edit?usp=share_link"",""นครพนม!J371"")+IMPORTRANGE(""https://docs.google.com/spreadsheets/d/1bDQrolntRWtHumK8W-x-HXKntwxB9S3sF5aDeRS66Ko/edit?usp=share_link"",""นครราชสีมา!J371"")+IMPORTRANGE(""https://docs.google.com/spreadsheets/d/1_MzZ-2gVPiCW-d2V"&amp;"cafoCmFJQTSrZ6SQyFcMqRRQQ2w/edit?usp=share_link"",""บึงกาฬ!J371"")
+IMPORTRANGE(""https://docs.google.com/spreadsheets/d/1B3lPpzOuaNwVItLwLEZYl_qEblfcx7dRnbRkAw0l-pE/edit?usp=share_link"",""บุรีรัมย์!J371"")+IMPORTRANGE(""https://docs.google.com/spreadshe"&amp;"ets/d/19GOkiOqnzYbevLYWrMk4qFOXe3rX14BkSA8X-mq-a40/edit?usp=share_link"",""มหาสารคาม!J371"")+IMPORTRANGE(""https://docs.google.com/spreadsheets/d/1uMKqWwuNQ-TCKboGA3Bb1qXb5uj2-faACNUINCz8PN4/edit?usp=share_link"",""มุกดาหาร!J371"")+IMPORTRANGE(""https://d"&amp;"ocs.google.com/spreadsheets/d/1oKaccgDdQABndOzGr688Dbfxb_V3YcF67VqEPBtdzsc/edit?usp=share_link"",""ยโสธร!J371"")+IMPORTRANGE(""https://docs.google.com/spreadsheets/d/1BRgc8xKpxZ0PX-gauieMVkV_IOxKSotf0yW8MabGprQ/edit?usp=share_link"",""ร้อยเอ็ด!J371"")+IMP"&amp;"ORTRANGE(""https://docs.google.com/spreadsheets/d/1IdolZc-dfdgMwAm_KZxYJl1sUOcIgnbGQzbWOlddedo/edit?usp=share_link"",""เลย!J371"")+IMPORTRANGE(""https://docs.google.com/spreadsheets/d/1tZ0nmtGuIRCaGAMXHlQU8EpR9LOAJvyKfc4f7EFmE34/edit?usp=share_link"",""ศร"&amp;"ีสะเกษ!J371"")+IMPORTRANGE(""https://docs.google.com/spreadsheets/d/1QC8psz9w0f9IVE9Xuc2FT_btkaOzZbbUSgYObpBuetM/edit?usp=share_link"",""สกลนคร!J371"")+IMPORTRANGE(""https://docs.google.com/spreadsheets/d/1wPdvRbu02d33MYVlbsCnyTiZpefEBs9NNktAnT1HZvw/edit?"&amp;"usp=share_link"",""สุรินทร์!J371"")+IMPORTRANGE(""https://docs.google.com/spreadsheets/d/1GVExpf-Exi_2gmuqTYH28fseTB9MoKPXWcXCbSt_YrM/edit?usp=share_link"",""หนองคาย!J371"")+IMPORTRANGE(""https://docs.google.com/spreadsheets/d/16UeMz0UgOB5BZcoxP75eYGcLFtG"&amp;"YRn9GoesD4OX9m5U/edit?usp=share_link"",""หนองบัวลำภู!J371"")+IMPORTRANGE(""https://docs.google.com/spreadsheets/d/1uUP8Zo1-qaJLuIkRU0qlwLSE3DHkbdrrj2JGJiWBQZE/edit?usp=share_link"",""อำนาจเจริญ!J371"")+IMPORTRANGE(""https://docs.google.com/spreadsheets/d/"&amp;"1hb_taSOHanzRjqfzWPiFo8yiT83VV1L7vvUCLhOiHKc/edit?usp=share_link"",""อุดรธานี!J371"")+IMPORTRANGE(""https://docs.google.com/spreadsheets/d/17IOkEwkUd63EGNfyNDnM5de9YlZ7rwzTiW6-dokVjKI/edit?usp=share_link"",""อุบลราชธานี!J371"")
"),43148.06)</f>
        <v>43148.06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fb2B9NLcpJgjIieIJvenUTNPn0TimZDUi0OtYeiSQ_s/edit?usp=share_link"",""กาฬสินธุ์!I372"")+IMPORTRANGE(""https://docs.google.com/spreadsheets/d/1SaMnqrwRGmFYNR0MhpWmHuL5niYUd5E7vDq8X7whAlI/edit?usp=share_li"&amp;"nk"",""ขอนแก่น!I372"")
+IMPORTRANGE(""https://docs.google.com/spreadsheets/d/1xQzEtGHhTTgxHh6YUkKY1P4dRyjVhS74dGswLfAASA4/edit?usp=share_link"",""ชัยภูมิ!I372"")+IMPORTRANGE(""https://docs.google.com/spreadsheets/d/1EXMBoBxU3OFbjT2TRpneM33qFjqDzrKmn9ydcfl"&amp;"fI0o/edit?usp=share_link"",""นครพนม!I372"")+IMPORTRANGE(""https://docs.google.com/spreadsheets/d/1bDQrolntRWtHumK8W-x-HXKntwxB9S3sF5aDeRS66Ko/edit?usp=share_link"",""นครราชสีมา!I372"")+IMPORTRANGE(""https://docs.google.com/spreadsheets/d/1_MzZ-2gVPiCW-d2V"&amp;"cafoCmFJQTSrZ6SQyFcMqRRQQ2w/edit?usp=share_link"",""บึงกาฬ!I372"")
+IMPORTRANGE(""https://docs.google.com/spreadsheets/d/1B3lPpzOuaNwVItLwLEZYl_qEblfcx7dRnbRkAw0l-pE/edit?usp=share_link"",""บุรีรัมย์!I372"")+IMPORTRANGE(""https://docs.google.com/spreadshe"&amp;"ets/d/19GOkiOqnzYbevLYWrMk4qFOXe3rX14BkSA8X-mq-a40/edit?usp=share_link"",""มหาสารคาม!I372"")+IMPORTRANGE(""https://docs.google.com/spreadsheets/d/1uMKqWwuNQ-TCKboGA3Bb1qXb5uj2-faACNUINCz8PN4/edit?usp=share_link"",""มุกดาหาร!I372"")+IMPORTRANGE(""https://d"&amp;"ocs.google.com/spreadsheets/d/1oKaccgDdQABndOzGr688Dbfxb_V3YcF67VqEPBtdzsc/edit?usp=share_link"",""ยโสธร!I372"")+IMPORTRANGE(""https://docs.google.com/spreadsheets/d/1BRgc8xKpxZ0PX-gauieMVkV_IOxKSotf0yW8MabGprQ/edit?usp=share_link"",""ร้อยเอ็ด!I372"")+IMP"&amp;"ORTRANGE(""https://docs.google.com/spreadsheets/d/1IdolZc-dfdgMwAm_KZxYJl1sUOcIgnbGQzbWOlddedo/edit?usp=share_link"",""เลย!I372"")+IMPORTRANGE(""https://docs.google.com/spreadsheets/d/1tZ0nmtGuIRCaGAMXHlQU8EpR9LOAJvyKfc4f7EFmE34/edit?usp=share_link"",""ศร"&amp;"ีสะเกษ!I372"")+IMPORTRANGE(""https://docs.google.com/spreadsheets/d/1QC8psz9w0f9IVE9Xuc2FT_btkaOzZbbUSgYObpBuetM/edit?usp=share_link"",""สกลนคร!I372"")+IMPORTRANGE(""https://docs.google.com/spreadsheets/d/1wPdvRbu02d33MYVlbsCnyTiZpefEBs9NNktAnT1HZvw/edit?"&amp;"usp=share_link"",""สุรินทร์!I372"")+IMPORTRANGE(""https://docs.google.com/spreadsheets/d/1GVExpf-Exi_2gmuqTYH28fseTB9MoKPXWcXCbSt_YrM/edit?usp=share_link"",""หนองคาย!I372"")+IMPORTRANGE(""https://docs.google.com/spreadsheets/d/16UeMz0UgOB5BZcoxP75eYGcLFtG"&amp;"YRn9GoesD4OX9m5U/edit?usp=share_link"",""หนองบัวลำภู!I372"")+IMPORTRANGE(""https://docs.google.com/spreadsheets/d/1uUP8Zo1-qaJLuIkRU0qlwLSE3DHkbdrrj2JGJiWBQZE/edit?usp=share_link"",""อำนาจเจริญ!I372"")+IMPORTRANGE(""https://docs.google.com/spreadsheets/d/"&amp;"1hb_taSOHanzRjqfzWPiFo8yiT83VV1L7vvUCLhOiHKc/edit?usp=share_link"",""อุดรธานี!I372"")+IMPORTRANGE(""https://docs.google.com/spreadsheets/d/17IOkEwkUd63EGNfyNDnM5de9YlZ7rwzTiW6-dokVjKI/edit?usp=share_link"",""อุบลราชธานี!I372"")
"),4842)</f>
        <v>4842</v>
      </c>
      <c r="J372" s="270">
        <f ca="1">IFERROR(__xludf.DUMMYFUNCTION("IMPORTRANGE(""https://docs.google.com/spreadsheets/d/1fb2B9NLcpJgjIieIJvenUTNPn0TimZDUi0OtYeiSQ_s/edit?usp=share_link"",""กาฬสินธุ์!J372"")+IMPORTRANGE(""https://docs.google.com/spreadsheets/d/1SaMnqrwRGmFYNR0MhpWmHuL5niYUd5E7vDq8X7whAlI/edit?usp=share_li"&amp;"nk"",""ขอนแก่น!J372"")
+IMPORTRANGE(""https://docs.google.com/spreadsheets/d/1xQzEtGHhTTgxHh6YUkKY1P4dRyjVhS74dGswLfAASA4/edit?usp=share_link"",""ชัยภูมิ!J372"")+IMPORTRANGE(""https://docs.google.com/spreadsheets/d/1EXMBoBxU3OFbjT2TRpneM33qFjqDzrKmn9ydcfl"&amp;"fI0o/edit?usp=share_link"",""นครพนม!J372"")+IMPORTRANGE(""https://docs.google.com/spreadsheets/d/1bDQrolntRWtHumK8W-x-HXKntwxB9S3sF5aDeRS66Ko/edit?usp=share_link"",""นครราชสีมา!J372"")+IMPORTRANGE(""https://docs.google.com/spreadsheets/d/1_MzZ-2gVPiCW-d2V"&amp;"cafoCmFJQTSrZ6SQyFcMqRRQQ2w/edit?usp=share_link"",""บึงกาฬ!J372"")
+IMPORTRANGE(""https://docs.google.com/spreadsheets/d/1B3lPpzOuaNwVItLwLEZYl_qEblfcx7dRnbRkAw0l-pE/edit?usp=share_link"",""บุรีรัมย์!J372"")+IMPORTRANGE(""https://docs.google.com/spreadshe"&amp;"ets/d/19GOkiOqnzYbevLYWrMk4qFOXe3rX14BkSA8X-mq-a40/edit?usp=share_link"",""มหาสารคาม!J372"")+IMPORTRANGE(""https://docs.google.com/spreadsheets/d/1uMKqWwuNQ-TCKboGA3Bb1qXb5uj2-faACNUINCz8PN4/edit?usp=share_link"",""มุกดาหาร!J372"")+IMPORTRANGE(""https://d"&amp;"ocs.google.com/spreadsheets/d/1oKaccgDdQABndOzGr688Dbfxb_V3YcF67VqEPBtdzsc/edit?usp=share_link"",""ยโสธร!J372"")+IMPORTRANGE(""https://docs.google.com/spreadsheets/d/1BRgc8xKpxZ0PX-gauieMVkV_IOxKSotf0yW8MabGprQ/edit?usp=share_link"",""ร้อยเอ็ด!J372"")+IMP"&amp;"ORTRANGE(""https://docs.google.com/spreadsheets/d/1IdolZc-dfdgMwAm_KZxYJl1sUOcIgnbGQzbWOlddedo/edit?usp=share_link"",""เลย!J372"")+IMPORTRANGE(""https://docs.google.com/spreadsheets/d/1tZ0nmtGuIRCaGAMXHlQU8EpR9LOAJvyKfc4f7EFmE34/edit?usp=share_link"",""ศร"&amp;"ีสะเกษ!J372"")+IMPORTRANGE(""https://docs.google.com/spreadsheets/d/1QC8psz9w0f9IVE9Xuc2FT_btkaOzZbbUSgYObpBuetM/edit?usp=share_link"",""สกลนคร!J372"")+IMPORTRANGE(""https://docs.google.com/spreadsheets/d/1wPdvRbu02d33MYVlbsCnyTiZpefEBs9NNktAnT1HZvw/edit?"&amp;"usp=share_link"",""สุรินทร์!J372"")+IMPORTRANGE(""https://docs.google.com/spreadsheets/d/1GVExpf-Exi_2gmuqTYH28fseTB9MoKPXWcXCbSt_YrM/edit?usp=share_link"",""หนองคาย!J372"")+IMPORTRANGE(""https://docs.google.com/spreadsheets/d/16UeMz0UgOB5BZcoxP75eYGcLFtG"&amp;"YRn9GoesD4OX9m5U/edit?usp=share_link"",""หนองบัวลำภู!J372"")+IMPORTRANGE(""https://docs.google.com/spreadsheets/d/1uUP8Zo1-qaJLuIkRU0qlwLSE3DHkbdrrj2JGJiWBQZE/edit?usp=share_link"",""อำนาจเจริญ!J372"")+IMPORTRANGE(""https://docs.google.com/spreadsheets/d/"&amp;"1hb_taSOHanzRjqfzWPiFo8yiT83VV1L7vvUCLhOiHKc/edit?usp=share_link"",""อุดรธานี!J372"")+IMPORTRANGE(""https://docs.google.com/spreadsheets/d/17IOkEwkUd63EGNfyNDnM5de9YlZ7rwzTiW6-dokVjKI/edit?usp=share_link"",""อุบลราชธานี!J372"")
"),4621)</f>
        <v>4621</v>
      </c>
      <c r="K372" s="38">
        <f t="shared" ca="1" si="190"/>
        <v>95.435770342833536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fb2B9NLcpJgjIieIJvenUTNPn0TimZDUi0OtYeiSQ_s/edit?usp=share_link"",""กาฬสินธุ์!J373"")+IMPORTRANGE(""https://docs.google.com/spreadsheets/d/1SaMnqrwRGmFYNR0MhpWmHuL5niYUd5E7vDq8X7whAlI/edit?usp=share_li"&amp;"nk"",""ขอนแก่น!J373"")
+IMPORTRANGE(""https://docs.google.com/spreadsheets/d/1xQzEtGHhTTgxHh6YUkKY1P4dRyjVhS74dGswLfAASA4/edit?usp=share_link"",""ชัยภูมิ!J373"")+IMPORTRANGE(""https://docs.google.com/spreadsheets/d/1EXMBoBxU3OFbjT2TRpneM33qFjqDzrKmn9ydcfl"&amp;"fI0o/edit?usp=share_link"",""นครพนม!J373"")+IMPORTRANGE(""https://docs.google.com/spreadsheets/d/1bDQrolntRWtHumK8W-x-HXKntwxB9S3sF5aDeRS66Ko/edit?usp=share_link"",""นครราชสีมา!J373"")+IMPORTRANGE(""https://docs.google.com/spreadsheets/d/1_MzZ-2gVPiCW-d2V"&amp;"cafoCmFJQTSrZ6SQyFcMqRRQQ2w/edit?usp=share_link"",""บึงกาฬ!J373"")
+IMPORTRANGE(""https://docs.google.com/spreadsheets/d/1B3lPpzOuaNwVItLwLEZYl_qEblfcx7dRnbRkAw0l-pE/edit?usp=share_link"",""บุรีรัมย์!J373"")+IMPORTRANGE(""https://docs.google.com/spreadshe"&amp;"ets/d/19GOkiOqnzYbevLYWrMk4qFOXe3rX14BkSA8X-mq-a40/edit?usp=share_link"",""มหาสารคาม!J373"")+IMPORTRANGE(""https://docs.google.com/spreadsheets/d/1uMKqWwuNQ-TCKboGA3Bb1qXb5uj2-faACNUINCz8PN4/edit?usp=share_link"",""มุกดาหาร!J373"")+IMPORTRANGE(""https://d"&amp;"ocs.google.com/spreadsheets/d/1oKaccgDdQABndOzGr688Dbfxb_V3YcF67VqEPBtdzsc/edit?usp=share_link"",""ยโสธร!J373"")+IMPORTRANGE(""https://docs.google.com/spreadsheets/d/1BRgc8xKpxZ0PX-gauieMVkV_IOxKSotf0yW8MabGprQ/edit?usp=share_link"",""ร้อยเอ็ด!J373"")+IMP"&amp;"ORTRANGE(""https://docs.google.com/spreadsheets/d/1IdolZc-dfdgMwAm_KZxYJl1sUOcIgnbGQzbWOlddedo/edit?usp=share_link"",""เลย!J373"")+IMPORTRANGE(""https://docs.google.com/spreadsheets/d/1tZ0nmtGuIRCaGAMXHlQU8EpR9LOAJvyKfc4f7EFmE34/edit?usp=share_link"",""ศร"&amp;"ีสะเกษ!J373"")+IMPORTRANGE(""https://docs.google.com/spreadsheets/d/1QC8psz9w0f9IVE9Xuc2FT_btkaOzZbbUSgYObpBuetM/edit?usp=share_link"",""สกลนคร!J373"")+IMPORTRANGE(""https://docs.google.com/spreadsheets/d/1wPdvRbu02d33MYVlbsCnyTiZpefEBs9NNktAnT1HZvw/edit?"&amp;"usp=share_link"",""สุรินทร์!J373"")+IMPORTRANGE(""https://docs.google.com/spreadsheets/d/1GVExpf-Exi_2gmuqTYH28fseTB9MoKPXWcXCbSt_YrM/edit?usp=share_link"",""หนองคาย!J373"")+IMPORTRANGE(""https://docs.google.com/spreadsheets/d/16UeMz0UgOB5BZcoxP75eYGcLFtG"&amp;"YRn9GoesD4OX9m5U/edit?usp=share_link"",""หนองบัวลำภู!J373"")+IMPORTRANGE(""https://docs.google.com/spreadsheets/d/1uUP8Zo1-qaJLuIkRU0qlwLSE3DHkbdrrj2JGJiWBQZE/edit?usp=share_link"",""อำนาจเจริญ!J373"")+IMPORTRANGE(""https://docs.google.com/spreadsheets/d/"&amp;"1hb_taSOHanzRjqfzWPiFo8yiT83VV1L7vvUCLhOiHKc/edit?usp=share_link"",""อุดรธานี!J373"")+IMPORTRANGE(""https://docs.google.com/spreadsheets/d/17IOkEwkUd63EGNfyNDnM5de9YlZ7rwzTiW6-dokVjKI/edit?usp=share_link"",""อุบลราชธานี!J373"")
"),40262.79)</f>
        <v>40262.79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5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fb2B9NLcpJgjIieIJvenUTNPn0TimZDUi0OtYeiSQ_s/edit?usp=share_link"",""กาฬสินธุ์!I374"")+IMPORTRANGE(""https://docs.google.com/spreadsheets/d/1SaMnqrwRGmFYNR0MhpWmHuL5niYUd5E7vDq8X7whAlI/edit?usp=share_li"&amp;"nk"",""ขอนแก่น!I374"")
+IMPORTRANGE(""https://docs.google.com/spreadsheets/d/1xQzEtGHhTTgxHh6YUkKY1P4dRyjVhS74dGswLfAASA4/edit?usp=share_link"",""ชัยภูมิ!I374"")+IMPORTRANGE(""https://docs.google.com/spreadsheets/d/1EXMBoBxU3OFbjT2TRpneM33qFjqDzrKmn9ydcfl"&amp;"fI0o/edit?usp=share_link"",""นครพนม!I374"")+IMPORTRANGE(""https://docs.google.com/spreadsheets/d/1bDQrolntRWtHumK8W-x-HXKntwxB9S3sF5aDeRS66Ko/edit?usp=share_link"",""นครราชสีมา!I374"")+IMPORTRANGE(""https://docs.google.com/spreadsheets/d/1_MzZ-2gVPiCW-d2V"&amp;"cafoCmFJQTSrZ6SQyFcMqRRQQ2w/edit?usp=share_link"",""บึงกาฬ!I374"")
+IMPORTRANGE(""https://docs.google.com/spreadsheets/d/1B3lPpzOuaNwVItLwLEZYl_qEblfcx7dRnbRkAw0l-pE/edit?usp=share_link"",""บุรีรัมย์!I374"")+IMPORTRANGE(""https://docs.google.com/spreadshe"&amp;"ets/d/19GOkiOqnzYbevLYWrMk4qFOXe3rX14BkSA8X-mq-a40/edit?usp=share_link"",""มหาสารคาม!I374"")+IMPORTRANGE(""https://docs.google.com/spreadsheets/d/1uMKqWwuNQ-TCKboGA3Bb1qXb5uj2-faACNUINCz8PN4/edit?usp=share_link"",""มุกดาหาร!I374"")+IMPORTRANGE(""https://d"&amp;"ocs.google.com/spreadsheets/d/1oKaccgDdQABndOzGr688Dbfxb_V3YcF67VqEPBtdzsc/edit?usp=share_link"",""ยโสธร!I374"")+IMPORTRANGE(""https://docs.google.com/spreadsheets/d/1BRgc8xKpxZ0PX-gauieMVkV_IOxKSotf0yW8MabGprQ/edit?usp=share_link"",""ร้อยเอ็ด!I374"")+IMP"&amp;"ORTRANGE(""https://docs.google.com/spreadsheets/d/1IdolZc-dfdgMwAm_KZxYJl1sUOcIgnbGQzbWOlddedo/edit?usp=share_link"",""เลย!I374"")+IMPORTRANGE(""https://docs.google.com/spreadsheets/d/1tZ0nmtGuIRCaGAMXHlQU8EpR9LOAJvyKfc4f7EFmE34/edit?usp=share_link"",""ศร"&amp;"ีสะเกษ!I374"")+IMPORTRANGE(""https://docs.google.com/spreadsheets/d/1QC8psz9w0f9IVE9Xuc2FT_btkaOzZbbUSgYObpBuetM/edit?usp=share_link"",""สกลนคร!I374"")+IMPORTRANGE(""https://docs.google.com/spreadsheets/d/1wPdvRbu02d33MYVlbsCnyTiZpefEBs9NNktAnT1HZvw/edit?"&amp;"usp=share_link"",""สุรินทร์!I374"")+IMPORTRANGE(""https://docs.google.com/spreadsheets/d/1GVExpf-Exi_2gmuqTYH28fseTB9MoKPXWcXCbSt_YrM/edit?usp=share_link"",""หนองคาย!I374"")+IMPORTRANGE(""https://docs.google.com/spreadsheets/d/16UeMz0UgOB5BZcoxP75eYGcLFtG"&amp;"YRn9GoesD4OX9m5U/edit?usp=share_link"",""หนองบัวลำภู!I374"")+IMPORTRANGE(""https://docs.google.com/spreadsheets/d/1uUP8Zo1-qaJLuIkRU0qlwLSE3DHkbdrrj2JGJiWBQZE/edit?usp=share_link"",""อำนาจเจริญ!I374"")+IMPORTRANGE(""https://docs.google.com/spreadsheets/d/"&amp;"1hb_taSOHanzRjqfzWPiFo8yiT83VV1L7vvUCLhOiHKc/edit?usp=share_link"",""อุดรธานี!I374"")+IMPORTRANGE(""https://docs.google.com/spreadsheets/d/17IOkEwkUd63EGNfyNDnM5de9YlZ7rwzTiW6-dokVjKI/edit?usp=share_link"",""อุบลราชธานี!I374"")
"),20916)</f>
        <v>20916</v>
      </c>
      <c r="J374" s="491">
        <f ca="1">J381</f>
        <v>23477</v>
      </c>
      <c r="K374" s="492">
        <f t="shared" ca="1" si="190"/>
        <v>112.24421495505833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5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fb2B9NLcpJgjIieIJvenUTNPn0TimZDUi0OtYeiSQ_s/edit?usp=share_link"",""กาฬสินธุ์!J377"")+IMPORTRANGE(""https://docs.google.com/spreadsheets/d/1SaMnqrwRGmFYNR0MhpWmHuL5niYUd5E7vDq8X7whAlI/edit?usp=share_li"&amp;"nk"",""ขอนแก่น!J377"")
+IMPORTRANGE(""https://docs.google.com/spreadsheets/d/1xQzEtGHhTTgxHh6YUkKY1P4dRyjVhS74dGswLfAASA4/edit?usp=share_link"",""ชัยภูมิ!J377"")+IMPORTRANGE(""https://docs.google.com/spreadsheets/d/1EXMBoBxU3OFbjT2TRpneM33qFjqDzrKmn9ydcfl"&amp;"fI0o/edit?usp=share_link"",""นครพนม!J377"")+IMPORTRANGE(""https://docs.google.com/spreadsheets/d/1bDQrolntRWtHumK8W-x-HXKntwxB9S3sF5aDeRS66Ko/edit?usp=share_link"",""นครราชสีมา!J377"")+IMPORTRANGE(""https://docs.google.com/spreadsheets/d/1_MzZ-2gVPiCW-d2V"&amp;"cafoCmFJQTSrZ6SQyFcMqRRQQ2w/edit?usp=share_link"",""บึงกาฬ!J377"")
+IMPORTRANGE(""https://docs.google.com/spreadsheets/d/1B3lPpzOuaNwVItLwLEZYl_qEblfcx7dRnbRkAw0l-pE/edit?usp=share_link"",""บุรีรัมย์!J377"")+IMPORTRANGE(""https://docs.google.com/spreadshe"&amp;"ets/d/19GOkiOqnzYbevLYWrMk4qFOXe3rX14BkSA8X-mq-a40/edit?usp=share_link"",""มหาสารคาม!J377"")+IMPORTRANGE(""https://docs.google.com/spreadsheets/d/1uMKqWwuNQ-TCKboGA3Bb1qXb5uj2-faACNUINCz8PN4/edit?usp=share_link"",""มุกดาหาร!J377"")+IMPORTRANGE(""https://d"&amp;"ocs.google.com/spreadsheets/d/1oKaccgDdQABndOzGr688Dbfxb_V3YcF67VqEPBtdzsc/edit?usp=share_link"",""ยโสธร!J377"")+IMPORTRANGE(""https://docs.google.com/spreadsheets/d/1BRgc8xKpxZ0PX-gauieMVkV_IOxKSotf0yW8MabGprQ/edit?usp=share_link"",""ร้อยเอ็ด!J377"")+IMP"&amp;"ORTRANGE(""https://docs.google.com/spreadsheets/d/1IdolZc-dfdgMwAm_KZxYJl1sUOcIgnbGQzbWOlddedo/edit?usp=share_link"",""เลย!J377"")+IMPORTRANGE(""https://docs.google.com/spreadsheets/d/1tZ0nmtGuIRCaGAMXHlQU8EpR9LOAJvyKfc4f7EFmE34/edit?usp=share_link"",""ศร"&amp;"ีสะเกษ!J377"")+IMPORTRANGE(""https://docs.google.com/spreadsheets/d/1QC8psz9w0f9IVE9Xuc2FT_btkaOzZbbUSgYObpBuetM/edit?usp=share_link"",""สกลนคร!J377"")+IMPORTRANGE(""https://docs.google.com/spreadsheets/d/1wPdvRbu02d33MYVlbsCnyTiZpefEBs9NNktAnT1HZvw/edit?"&amp;"usp=share_link"",""สุรินทร์!J377"")+IMPORTRANGE(""https://docs.google.com/spreadsheets/d/1GVExpf-Exi_2gmuqTYH28fseTB9MoKPXWcXCbSt_YrM/edit?usp=share_link"",""หนองคาย!J377"")+IMPORTRANGE(""https://docs.google.com/spreadsheets/d/16UeMz0UgOB5BZcoxP75eYGcLFtG"&amp;"YRn9GoesD4OX9m5U/edit?usp=share_link"",""หนองบัวลำภู!J377"")+IMPORTRANGE(""https://docs.google.com/spreadsheets/d/1uUP8Zo1-qaJLuIkRU0qlwLSE3DHkbdrrj2JGJiWBQZE/edit?usp=share_link"",""อำนาจเจริญ!J377"")+IMPORTRANGE(""https://docs.google.com/spreadsheets/d/"&amp;"1hb_taSOHanzRjqfzWPiFo8yiT83VV1L7vvUCLhOiHKc/edit?usp=share_link"",""อุดรธานี!J377"")+IMPORTRANGE(""https://docs.google.com/spreadsheets/d/17IOkEwkUd63EGNfyNDnM5de9YlZ7rwzTiW6-dokVjKI/edit?usp=share_link"",""อุบลราชธานี!J377"")
"),11431)</f>
        <v>11431</v>
      </c>
      <c r="K377" s="498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fb2B9NLcpJgjIieIJvenUTNPn0TimZDUi0OtYeiSQ_s/edit?usp=share_link"",""กาฬสินธุ์!I378"")+IMPORTRANGE(""https://docs.google.com/spreadsheets/d/1SaMnqrwRGmFYNR0MhpWmHuL5niYUd5E7vDq8X7whAlI/edit?usp=share_li"&amp;"nk"",""ขอนแก่น!I378"")
+IMPORTRANGE(""https://docs.google.com/spreadsheets/d/1xQzEtGHhTTgxHh6YUkKY1P4dRyjVhS74dGswLfAASA4/edit?usp=share_link"",""ชัยภูมิ!I378"")+IMPORTRANGE(""https://docs.google.com/spreadsheets/d/1EXMBoBxU3OFbjT2TRpneM33qFjqDzrKmn9ydcfl"&amp;"fI0o/edit?usp=share_link"",""นครพนม!I378"")+IMPORTRANGE(""https://docs.google.com/spreadsheets/d/1bDQrolntRWtHumK8W-x-HXKntwxB9S3sF5aDeRS66Ko/edit?usp=share_link"",""นครราชสีมา!I378"")+IMPORTRANGE(""https://docs.google.com/spreadsheets/d/1_MzZ-2gVPiCW-d2V"&amp;"cafoCmFJQTSrZ6SQyFcMqRRQQ2w/edit?usp=share_link"",""บึงกาฬ!I378"")
+IMPORTRANGE(""https://docs.google.com/spreadsheets/d/1B3lPpzOuaNwVItLwLEZYl_qEblfcx7dRnbRkAw0l-pE/edit?usp=share_link"",""บุรีรัมย์!I378"")+IMPORTRANGE(""https://docs.google.com/spreadshe"&amp;"ets/d/19GOkiOqnzYbevLYWrMk4qFOXe3rX14BkSA8X-mq-a40/edit?usp=share_link"",""มหาสารคาม!I378"")+IMPORTRANGE(""https://docs.google.com/spreadsheets/d/1uMKqWwuNQ-TCKboGA3Bb1qXb5uj2-faACNUINCz8PN4/edit?usp=share_link"",""มุกดาหาร!I378"")+IMPORTRANGE(""https://d"&amp;"ocs.google.com/spreadsheets/d/1oKaccgDdQABndOzGr688Dbfxb_V3YcF67VqEPBtdzsc/edit?usp=share_link"",""ยโสธร!I378"")+IMPORTRANGE(""https://docs.google.com/spreadsheets/d/1BRgc8xKpxZ0PX-gauieMVkV_IOxKSotf0yW8MabGprQ/edit?usp=share_link"",""ร้อยเอ็ด!I378"")+IMP"&amp;"ORTRANGE(""https://docs.google.com/spreadsheets/d/1IdolZc-dfdgMwAm_KZxYJl1sUOcIgnbGQzbWOlddedo/edit?usp=share_link"",""เลย!I378"")+IMPORTRANGE(""https://docs.google.com/spreadsheets/d/1tZ0nmtGuIRCaGAMXHlQU8EpR9LOAJvyKfc4f7EFmE34/edit?usp=share_link"",""ศร"&amp;"ีสะเกษ!I378"")+IMPORTRANGE(""https://docs.google.com/spreadsheets/d/1QC8psz9w0f9IVE9Xuc2FT_btkaOzZbbUSgYObpBuetM/edit?usp=share_link"",""สกลนคร!I378"")+IMPORTRANGE(""https://docs.google.com/spreadsheets/d/1wPdvRbu02d33MYVlbsCnyTiZpefEBs9NNktAnT1HZvw/edit?"&amp;"usp=share_link"",""สุรินทร์!I378"")+IMPORTRANGE(""https://docs.google.com/spreadsheets/d/1GVExpf-Exi_2gmuqTYH28fseTB9MoKPXWcXCbSt_YrM/edit?usp=share_link"",""หนองคาย!I378"")+IMPORTRANGE(""https://docs.google.com/spreadsheets/d/16UeMz0UgOB5BZcoxP75eYGcLFtG"&amp;"YRn9GoesD4OX9m5U/edit?usp=share_link"",""หนองบัวลำภู!I378"")+IMPORTRANGE(""https://docs.google.com/spreadsheets/d/1uUP8Zo1-qaJLuIkRU0qlwLSE3DHkbdrrj2JGJiWBQZE/edit?usp=share_link"",""อำนาจเจริญ!I378"")+IMPORTRANGE(""https://docs.google.com/spreadsheets/d/"&amp;"1hb_taSOHanzRjqfzWPiFo8yiT83VV1L7vvUCLhOiHKc/edit?usp=share_link"",""อุดรธานี!I378"")+IMPORTRANGE(""https://docs.google.com/spreadsheets/d/17IOkEwkUd63EGNfyNDnM5de9YlZ7rwzTiW6-dokVjKI/edit?usp=share_link"",""อุบลราชธานี!I378"")
"),100700)</f>
        <v>100700</v>
      </c>
      <c r="J378" s="270">
        <f ca="1">IFERROR(__xludf.DUMMYFUNCTION("IMPORTRANGE(""https://docs.google.com/spreadsheets/d/1fb2B9NLcpJgjIieIJvenUTNPn0TimZDUi0OtYeiSQ_s/edit?usp=share_link"",""กาฬสินธุ์!J378"")+IMPORTRANGE(""https://docs.google.com/spreadsheets/d/1SaMnqrwRGmFYNR0MhpWmHuL5niYUd5E7vDq8X7whAlI/edit?usp=share_li"&amp;"nk"",""ขอนแก่น!J378"")
+IMPORTRANGE(""https://docs.google.com/spreadsheets/d/1xQzEtGHhTTgxHh6YUkKY1P4dRyjVhS74dGswLfAASA4/edit?usp=share_link"",""ชัยภูมิ!J378"")+IMPORTRANGE(""https://docs.google.com/spreadsheets/d/1EXMBoBxU3OFbjT2TRpneM33qFjqDzrKmn9ydcfl"&amp;"fI0o/edit?usp=share_link"",""นครพนม!J378"")+IMPORTRANGE(""https://docs.google.com/spreadsheets/d/1bDQrolntRWtHumK8W-x-HXKntwxB9S3sF5aDeRS66Ko/edit?usp=share_link"",""นครราชสีมา!J378"")+IMPORTRANGE(""https://docs.google.com/spreadsheets/d/1_MzZ-2gVPiCW-d2V"&amp;"cafoCmFJQTSrZ6SQyFcMqRRQQ2w/edit?usp=share_link"",""บึงกาฬ!J378"")
+IMPORTRANGE(""https://docs.google.com/spreadsheets/d/1B3lPpzOuaNwVItLwLEZYl_qEblfcx7dRnbRkAw0l-pE/edit?usp=share_link"",""บุรีรัมย์!J378"")+IMPORTRANGE(""https://docs.google.com/spreadshe"&amp;"ets/d/19GOkiOqnzYbevLYWrMk4qFOXe3rX14BkSA8X-mq-a40/edit?usp=share_link"",""มหาสารคาม!J378"")+IMPORTRANGE(""https://docs.google.com/spreadsheets/d/1uMKqWwuNQ-TCKboGA3Bb1qXb5uj2-faACNUINCz8PN4/edit?usp=share_link"",""มุกดาหาร!J378"")+IMPORTRANGE(""https://d"&amp;"ocs.google.com/spreadsheets/d/1oKaccgDdQABndOzGr688Dbfxb_V3YcF67VqEPBtdzsc/edit?usp=share_link"",""ยโสธร!J378"")+IMPORTRANGE(""https://docs.google.com/spreadsheets/d/1BRgc8xKpxZ0PX-gauieMVkV_IOxKSotf0yW8MabGprQ/edit?usp=share_link"",""ร้อยเอ็ด!J378"")+IMP"&amp;"ORTRANGE(""https://docs.google.com/spreadsheets/d/1IdolZc-dfdgMwAm_KZxYJl1sUOcIgnbGQzbWOlddedo/edit?usp=share_link"",""เลย!J378"")+IMPORTRANGE(""https://docs.google.com/spreadsheets/d/1tZ0nmtGuIRCaGAMXHlQU8EpR9LOAJvyKfc4f7EFmE34/edit?usp=share_link"",""ศร"&amp;"ีสะเกษ!J378"")+IMPORTRANGE(""https://docs.google.com/spreadsheets/d/1QC8psz9w0f9IVE9Xuc2FT_btkaOzZbbUSgYObpBuetM/edit?usp=share_link"",""สกลนคร!J378"")+IMPORTRANGE(""https://docs.google.com/spreadsheets/d/1wPdvRbu02d33MYVlbsCnyTiZpefEBs9NNktAnT1HZvw/edit?"&amp;"usp=share_link"",""สุรินทร์!J378"")+IMPORTRANGE(""https://docs.google.com/spreadsheets/d/1GVExpf-Exi_2gmuqTYH28fseTB9MoKPXWcXCbSt_YrM/edit?usp=share_link"",""หนองคาย!J378"")+IMPORTRANGE(""https://docs.google.com/spreadsheets/d/16UeMz0UgOB5BZcoxP75eYGcLFtG"&amp;"YRn9GoesD4OX9m5U/edit?usp=share_link"",""หนองบัวลำภู!J378"")+IMPORTRANGE(""https://docs.google.com/spreadsheets/d/1uUP8Zo1-qaJLuIkRU0qlwLSE3DHkbdrrj2JGJiWBQZE/edit?usp=share_link"",""อำนาจเจริญ!J378"")+IMPORTRANGE(""https://docs.google.com/spreadsheets/d/"&amp;"1hb_taSOHanzRjqfzWPiFo8yiT83VV1L7vvUCLhOiHKc/edit?usp=share_link"",""อุดรธานี!J378"")+IMPORTRANGE(""https://docs.google.com/spreadsheets/d/17IOkEwkUd63EGNfyNDnM5de9YlZ7rwzTiW6-dokVjKI/edit?usp=share_link"",""อุบลราชธานี!J378"")
"),98581.62)</f>
        <v>98581.62</v>
      </c>
      <c r="K378" s="498">
        <f t="shared" ca="1" si="191"/>
        <v>97.89634558093347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fb2B9NLcpJgjIieIJvenUTNPn0TimZDUi0OtYeiSQ_s/edit?usp=share_link"",""กาฬสินธุ์!I379"")+IMPORTRANGE(""https://docs.google.com/spreadsheets/d/1SaMnqrwRGmFYNR0MhpWmHuL5niYUd5E7vDq8X7whAlI/edit?usp=share_li"&amp;"nk"",""ขอนแก่น!I379"")
+IMPORTRANGE(""https://docs.google.com/spreadsheets/d/1xQzEtGHhTTgxHh6YUkKY1P4dRyjVhS74dGswLfAASA4/edit?usp=share_link"",""ชัยภูมิ!I379"")+IMPORTRANGE(""https://docs.google.com/spreadsheets/d/1EXMBoBxU3OFbjT2TRpneM33qFjqDzrKmn9ydcfl"&amp;"fI0o/edit?usp=share_link"",""นครพนม!I379"")+IMPORTRANGE(""https://docs.google.com/spreadsheets/d/1bDQrolntRWtHumK8W-x-HXKntwxB9S3sF5aDeRS66Ko/edit?usp=share_link"",""นครราชสีมา!I379"")+IMPORTRANGE(""https://docs.google.com/spreadsheets/d/1_MzZ-2gVPiCW-d2V"&amp;"cafoCmFJQTSrZ6SQyFcMqRRQQ2w/edit?usp=share_link"",""บึงกาฬ!I379"")
+IMPORTRANGE(""https://docs.google.com/spreadsheets/d/1B3lPpzOuaNwVItLwLEZYl_qEblfcx7dRnbRkAw0l-pE/edit?usp=share_link"",""บุรีรัมย์!I379"")+IMPORTRANGE(""https://docs.google.com/spreadshe"&amp;"ets/d/19GOkiOqnzYbevLYWrMk4qFOXe3rX14BkSA8X-mq-a40/edit?usp=share_link"",""มหาสารคาม!I379"")+IMPORTRANGE(""https://docs.google.com/spreadsheets/d/1uMKqWwuNQ-TCKboGA3Bb1qXb5uj2-faACNUINCz8PN4/edit?usp=share_link"",""มุกดาหาร!I379"")+IMPORTRANGE(""https://d"&amp;"ocs.google.com/spreadsheets/d/1oKaccgDdQABndOzGr688Dbfxb_V3YcF67VqEPBtdzsc/edit?usp=share_link"",""ยโสธร!I379"")+IMPORTRANGE(""https://docs.google.com/spreadsheets/d/1BRgc8xKpxZ0PX-gauieMVkV_IOxKSotf0yW8MabGprQ/edit?usp=share_link"",""ร้อยเอ็ด!I379"")+IMP"&amp;"ORTRANGE(""https://docs.google.com/spreadsheets/d/1IdolZc-dfdgMwAm_KZxYJl1sUOcIgnbGQzbWOlddedo/edit?usp=share_link"",""เลย!I379"")+IMPORTRANGE(""https://docs.google.com/spreadsheets/d/1tZ0nmtGuIRCaGAMXHlQU8EpR9LOAJvyKfc4f7EFmE34/edit?usp=share_link"",""ศร"&amp;"ีสะเกษ!I379"")+IMPORTRANGE(""https://docs.google.com/spreadsheets/d/1QC8psz9w0f9IVE9Xuc2FT_btkaOzZbbUSgYObpBuetM/edit?usp=share_link"",""สกลนคร!I379"")+IMPORTRANGE(""https://docs.google.com/spreadsheets/d/1wPdvRbu02d33MYVlbsCnyTiZpefEBs9NNktAnT1HZvw/edit?"&amp;"usp=share_link"",""สุรินทร์!I379"")+IMPORTRANGE(""https://docs.google.com/spreadsheets/d/1GVExpf-Exi_2gmuqTYH28fseTB9MoKPXWcXCbSt_YrM/edit?usp=share_link"",""หนองคาย!I379"")+IMPORTRANGE(""https://docs.google.com/spreadsheets/d/16UeMz0UgOB5BZcoxP75eYGcLFtG"&amp;"YRn9GoesD4OX9m5U/edit?usp=share_link"",""หนองบัวลำภู!I379"")+IMPORTRANGE(""https://docs.google.com/spreadsheets/d/1uUP8Zo1-qaJLuIkRU0qlwLSE3DHkbdrrj2JGJiWBQZE/edit?usp=share_link"",""อำนาจเจริญ!I379"")+IMPORTRANGE(""https://docs.google.com/spreadsheets/d/"&amp;"1hb_taSOHanzRjqfzWPiFo8yiT83VV1L7vvUCLhOiHKc/edit?usp=share_link"",""อุดรธานี!I379"")+IMPORTRANGE(""https://docs.google.com/spreadsheets/d/17IOkEwkUd63EGNfyNDnM5de9YlZ7rwzTiW6-dokVjKI/edit?usp=share_link"",""อุบลราชธานี!I379"")
"),20916)</f>
        <v>20916</v>
      </c>
      <c r="J379" s="270">
        <f ca="1">IFERROR(__xludf.DUMMYFUNCTION("IMPORTRANGE(""https://docs.google.com/spreadsheets/d/1fb2B9NLcpJgjIieIJvenUTNPn0TimZDUi0OtYeiSQ_s/edit?usp=share_link"",""กาฬสินธุ์!J379"")+IMPORTRANGE(""https://docs.google.com/spreadsheets/d/1SaMnqrwRGmFYNR0MhpWmHuL5niYUd5E7vDq8X7whAlI/edit?usp=share_li"&amp;"nk"",""ขอนแก่น!J379"")
+IMPORTRANGE(""https://docs.google.com/spreadsheets/d/1xQzEtGHhTTgxHh6YUkKY1P4dRyjVhS74dGswLfAASA4/edit?usp=share_link"",""ชัยภูมิ!J379"")+IMPORTRANGE(""https://docs.google.com/spreadsheets/d/1EXMBoBxU3OFbjT2TRpneM33qFjqDzrKmn9ydcfl"&amp;"fI0o/edit?usp=share_link"",""นครพนม!J379"")+IMPORTRANGE(""https://docs.google.com/spreadsheets/d/1bDQrolntRWtHumK8W-x-HXKntwxB9S3sF5aDeRS66Ko/edit?usp=share_link"",""นครราชสีมา!J379"")+IMPORTRANGE(""https://docs.google.com/spreadsheets/d/1_MzZ-2gVPiCW-d2V"&amp;"cafoCmFJQTSrZ6SQyFcMqRRQQ2w/edit?usp=share_link"",""บึงกาฬ!J379"")
+IMPORTRANGE(""https://docs.google.com/spreadsheets/d/1B3lPpzOuaNwVItLwLEZYl_qEblfcx7dRnbRkAw0l-pE/edit?usp=share_link"",""บุรีรัมย์!J379"")+IMPORTRANGE(""https://docs.google.com/spreadshe"&amp;"ets/d/19GOkiOqnzYbevLYWrMk4qFOXe3rX14BkSA8X-mq-a40/edit?usp=share_link"",""มหาสารคาม!J379"")+IMPORTRANGE(""https://docs.google.com/spreadsheets/d/1uMKqWwuNQ-TCKboGA3Bb1qXb5uj2-faACNUINCz8PN4/edit?usp=share_link"",""มุกดาหาร!J379"")+IMPORTRANGE(""https://d"&amp;"ocs.google.com/spreadsheets/d/1oKaccgDdQABndOzGr688Dbfxb_V3YcF67VqEPBtdzsc/edit?usp=share_link"",""ยโสธร!J379"")+IMPORTRANGE(""https://docs.google.com/spreadsheets/d/1BRgc8xKpxZ0PX-gauieMVkV_IOxKSotf0yW8MabGprQ/edit?usp=share_link"",""ร้อยเอ็ด!J379"")+IMP"&amp;"ORTRANGE(""https://docs.google.com/spreadsheets/d/1IdolZc-dfdgMwAm_KZxYJl1sUOcIgnbGQzbWOlddedo/edit?usp=share_link"",""เลย!J379"")+IMPORTRANGE(""https://docs.google.com/spreadsheets/d/1tZ0nmtGuIRCaGAMXHlQU8EpR9LOAJvyKfc4f7EFmE34/edit?usp=share_link"",""ศร"&amp;"ีสะเกษ!J379"")+IMPORTRANGE(""https://docs.google.com/spreadsheets/d/1QC8psz9w0f9IVE9Xuc2FT_btkaOzZbbUSgYObpBuetM/edit?usp=share_link"",""สกลนคร!J379"")+IMPORTRANGE(""https://docs.google.com/spreadsheets/d/1wPdvRbu02d33MYVlbsCnyTiZpefEBs9NNktAnT1HZvw/edit?"&amp;"usp=share_link"",""สุรินทร์!J379"")+IMPORTRANGE(""https://docs.google.com/spreadsheets/d/1GVExpf-Exi_2gmuqTYH28fseTB9MoKPXWcXCbSt_YrM/edit?usp=share_link"",""หนองคาย!J379"")+IMPORTRANGE(""https://docs.google.com/spreadsheets/d/16UeMz0UgOB5BZcoxP75eYGcLFtG"&amp;"YRn9GoesD4OX9m5U/edit?usp=share_link"",""หนองบัวลำภู!J379"")+IMPORTRANGE(""https://docs.google.com/spreadsheets/d/1uUP8Zo1-qaJLuIkRU0qlwLSE3DHkbdrrj2JGJiWBQZE/edit?usp=share_link"",""อำนาจเจริญ!J379"")+IMPORTRANGE(""https://docs.google.com/spreadsheets/d/"&amp;"1hb_taSOHanzRjqfzWPiFo8yiT83VV1L7vvUCLhOiHKc/edit?usp=share_link"",""อุดรธานี!J379"")+IMPORTRANGE(""https://docs.google.com/spreadsheets/d/17IOkEwkUd63EGNfyNDnM5de9YlZ7rwzTiW6-dokVjKI/edit?usp=share_link"",""อุบลราชธานี!J379"")
"),26605)</f>
        <v>26605</v>
      </c>
      <c r="K379" s="498">
        <f t="shared" ca="1" si="191"/>
        <v>127.19927328361064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fb2B9NLcpJgjIieIJvenUTNPn0TimZDUi0OtYeiSQ_s/edit?usp=share_link"",""กาฬสินธุ์!J380"")+IMPORTRANGE(""https://docs.google.com/spreadsheets/d/1SaMnqrwRGmFYNR0MhpWmHuL5niYUd5E7vDq8X7whAlI/edit?usp=share_li"&amp;"nk"",""ขอนแก่น!J380"")
+IMPORTRANGE(""https://docs.google.com/spreadsheets/d/1xQzEtGHhTTgxHh6YUkKY1P4dRyjVhS74dGswLfAASA4/edit?usp=share_link"",""ชัยภูมิ!J380"")+IMPORTRANGE(""https://docs.google.com/spreadsheets/d/1EXMBoBxU3OFbjT2TRpneM33qFjqDzrKmn9ydcfl"&amp;"fI0o/edit?usp=share_link"",""นครพนม!J380"")+IMPORTRANGE(""https://docs.google.com/spreadsheets/d/1bDQrolntRWtHumK8W-x-HXKntwxB9S3sF5aDeRS66Ko/edit?usp=share_link"",""นครราชสีมา!J380"")+IMPORTRANGE(""https://docs.google.com/spreadsheets/d/1_MzZ-2gVPiCW-d2V"&amp;"cafoCmFJQTSrZ6SQyFcMqRRQQ2w/edit?usp=share_link"",""บึงกาฬ!J380"")
+IMPORTRANGE(""https://docs.google.com/spreadsheets/d/1B3lPpzOuaNwVItLwLEZYl_qEblfcx7dRnbRkAw0l-pE/edit?usp=share_link"",""บุรีรัมย์!J380"")+IMPORTRANGE(""https://docs.google.com/spreadshe"&amp;"ets/d/19GOkiOqnzYbevLYWrMk4qFOXe3rX14BkSA8X-mq-a40/edit?usp=share_link"",""มหาสารคาม!J380"")+IMPORTRANGE(""https://docs.google.com/spreadsheets/d/1uMKqWwuNQ-TCKboGA3Bb1qXb5uj2-faACNUINCz8PN4/edit?usp=share_link"",""มุกดาหาร!J380"")+IMPORTRANGE(""https://d"&amp;"ocs.google.com/spreadsheets/d/1oKaccgDdQABndOzGr688Dbfxb_V3YcF67VqEPBtdzsc/edit?usp=share_link"",""ยโสธร!J380"")+IMPORTRANGE(""https://docs.google.com/spreadsheets/d/1BRgc8xKpxZ0PX-gauieMVkV_IOxKSotf0yW8MabGprQ/edit?usp=share_link"",""ร้อยเอ็ด!J380"")+IMP"&amp;"ORTRANGE(""https://docs.google.com/spreadsheets/d/1IdolZc-dfdgMwAm_KZxYJl1sUOcIgnbGQzbWOlddedo/edit?usp=share_link"",""เลย!J380"")+IMPORTRANGE(""https://docs.google.com/spreadsheets/d/1tZ0nmtGuIRCaGAMXHlQU8EpR9LOAJvyKfc4f7EFmE34/edit?usp=share_link"",""ศร"&amp;"ีสะเกษ!J380"")+IMPORTRANGE(""https://docs.google.com/spreadsheets/d/1QC8psz9w0f9IVE9Xuc2FT_btkaOzZbbUSgYObpBuetM/edit?usp=share_link"",""สกลนคร!J380"")+IMPORTRANGE(""https://docs.google.com/spreadsheets/d/1wPdvRbu02d33MYVlbsCnyTiZpefEBs9NNktAnT1HZvw/edit?"&amp;"usp=share_link"",""สุรินทร์!J380"")+IMPORTRANGE(""https://docs.google.com/spreadsheets/d/1GVExpf-Exi_2gmuqTYH28fseTB9MoKPXWcXCbSt_YrM/edit?usp=share_link"",""หนองคาย!J380"")+IMPORTRANGE(""https://docs.google.com/spreadsheets/d/16UeMz0UgOB5BZcoxP75eYGcLFtG"&amp;"YRn9GoesD4OX9m5U/edit?usp=share_link"",""หนองบัวลำภู!J380"")+IMPORTRANGE(""https://docs.google.com/spreadsheets/d/1uUP8Zo1-qaJLuIkRU0qlwLSE3DHkbdrrj2JGJiWBQZE/edit?usp=share_link"",""อำนาจเจริญ!J380"")+IMPORTRANGE(""https://docs.google.com/spreadsheets/d/"&amp;"1hb_taSOHanzRjqfzWPiFo8yiT83VV1L7vvUCLhOiHKc/edit?usp=share_link"",""อุดรธานี!J380"")+IMPORTRANGE(""https://docs.google.com/spreadsheets/d/17IOkEwkUd63EGNfyNDnM5de9YlZ7rwzTiW6-dokVjKI/edit?usp=share_link"",""อุบลราชธานี!J380"")
"),294542.23)</f>
        <v>294542.23</v>
      </c>
      <c r="K380" s="498">
        <f t="shared" si="191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fb2B9NLcpJgjIieIJvenUTNPn0TimZDUi0OtYeiSQ_s/edit?usp=share_link"",""กาฬสินธุ์!I381"")+IMPORTRANGE(""https://docs.google.com/spreadsheets/d/1SaMnqrwRGmFYNR0MhpWmHuL5niYUd5E7vDq8X7whAlI/edit?usp=share_li"&amp;"nk"",""ขอนแก่น!I381"")
+IMPORTRANGE(""https://docs.google.com/spreadsheets/d/1xQzEtGHhTTgxHh6YUkKY1P4dRyjVhS74dGswLfAASA4/edit?usp=share_link"",""ชัยภูมิ!I381"")+IMPORTRANGE(""https://docs.google.com/spreadsheets/d/1EXMBoBxU3OFbjT2TRpneM33qFjqDzrKmn9ydcfl"&amp;"fI0o/edit?usp=share_link"",""นครพนม!I381"")+IMPORTRANGE(""https://docs.google.com/spreadsheets/d/1bDQrolntRWtHumK8W-x-HXKntwxB9S3sF5aDeRS66Ko/edit?usp=share_link"",""นครราชสีมา!I381"")+IMPORTRANGE(""https://docs.google.com/spreadsheets/d/1_MzZ-2gVPiCW-d2V"&amp;"cafoCmFJQTSrZ6SQyFcMqRRQQ2w/edit?usp=share_link"",""บึงกาฬ!I381"")
+IMPORTRANGE(""https://docs.google.com/spreadsheets/d/1B3lPpzOuaNwVItLwLEZYl_qEblfcx7dRnbRkAw0l-pE/edit?usp=share_link"",""บุรีรัมย์!I381"")+IMPORTRANGE(""https://docs.google.com/spreadshe"&amp;"ets/d/19GOkiOqnzYbevLYWrMk4qFOXe3rX14BkSA8X-mq-a40/edit?usp=share_link"",""มหาสารคาม!I381"")+IMPORTRANGE(""https://docs.google.com/spreadsheets/d/1uMKqWwuNQ-TCKboGA3Bb1qXb5uj2-faACNUINCz8PN4/edit?usp=share_link"",""มุกดาหาร!I381"")+IMPORTRANGE(""https://d"&amp;"ocs.google.com/spreadsheets/d/1oKaccgDdQABndOzGr688Dbfxb_V3YcF67VqEPBtdzsc/edit?usp=share_link"",""ยโสธร!I381"")+IMPORTRANGE(""https://docs.google.com/spreadsheets/d/1BRgc8xKpxZ0PX-gauieMVkV_IOxKSotf0yW8MabGprQ/edit?usp=share_link"",""ร้อยเอ็ด!I381"")+IMP"&amp;"ORTRANGE(""https://docs.google.com/spreadsheets/d/1IdolZc-dfdgMwAm_KZxYJl1sUOcIgnbGQzbWOlddedo/edit?usp=share_link"",""เลย!I381"")+IMPORTRANGE(""https://docs.google.com/spreadsheets/d/1tZ0nmtGuIRCaGAMXHlQU8EpR9LOAJvyKfc4f7EFmE34/edit?usp=share_link"",""ศร"&amp;"ีสะเกษ!I381"")+IMPORTRANGE(""https://docs.google.com/spreadsheets/d/1QC8psz9w0f9IVE9Xuc2FT_btkaOzZbbUSgYObpBuetM/edit?usp=share_link"",""สกลนคร!I381"")+IMPORTRANGE(""https://docs.google.com/spreadsheets/d/1wPdvRbu02d33MYVlbsCnyTiZpefEBs9NNktAnT1HZvw/edit?"&amp;"usp=share_link"",""สุรินทร์!I381"")+IMPORTRANGE(""https://docs.google.com/spreadsheets/d/1GVExpf-Exi_2gmuqTYH28fseTB9MoKPXWcXCbSt_YrM/edit?usp=share_link"",""หนองคาย!I381"")+IMPORTRANGE(""https://docs.google.com/spreadsheets/d/16UeMz0UgOB5BZcoxP75eYGcLFtG"&amp;"YRn9GoesD4OX9m5U/edit?usp=share_link"",""หนองบัวลำภู!I381"")+IMPORTRANGE(""https://docs.google.com/spreadsheets/d/1uUP8Zo1-qaJLuIkRU0qlwLSE3DHkbdrrj2JGJiWBQZE/edit?usp=share_link"",""อำนาจเจริญ!I381"")+IMPORTRANGE(""https://docs.google.com/spreadsheets/d/"&amp;"1hb_taSOHanzRjqfzWPiFo8yiT83VV1L7vvUCLhOiHKc/edit?usp=share_link"",""อุดรธานี!I381"")+IMPORTRANGE(""https://docs.google.com/spreadsheets/d/17IOkEwkUd63EGNfyNDnM5de9YlZ7rwzTiW6-dokVjKI/edit?usp=share_link"",""อุบลราชธานี!I381"")
"),20916)</f>
        <v>20916</v>
      </c>
      <c r="J381" s="270">
        <f ca="1">IFERROR(__xludf.DUMMYFUNCTION("IMPORTRANGE(""https://docs.google.com/spreadsheets/d/1fb2B9NLcpJgjIieIJvenUTNPn0TimZDUi0OtYeiSQ_s/edit?usp=share_link"",""กาฬสินธุ์!J381"")+IMPORTRANGE(""https://docs.google.com/spreadsheets/d/1SaMnqrwRGmFYNR0MhpWmHuL5niYUd5E7vDq8X7whAlI/edit?usp=share_li"&amp;"nk"",""ขอนแก่น!J381"")
+IMPORTRANGE(""https://docs.google.com/spreadsheets/d/1xQzEtGHhTTgxHh6YUkKY1P4dRyjVhS74dGswLfAASA4/edit?usp=share_link"",""ชัยภูมิ!J381"")+IMPORTRANGE(""https://docs.google.com/spreadsheets/d/1EXMBoBxU3OFbjT2TRpneM33qFjqDzrKmn9ydcfl"&amp;"fI0o/edit?usp=share_link"",""นครพนม!J381"")+IMPORTRANGE(""https://docs.google.com/spreadsheets/d/1bDQrolntRWtHumK8W-x-HXKntwxB9S3sF5aDeRS66Ko/edit?usp=share_link"",""นครราชสีมา!J381"")+IMPORTRANGE(""https://docs.google.com/spreadsheets/d/1_MzZ-2gVPiCW-d2V"&amp;"cafoCmFJQTSrZ6SQyFcMqRRQQ2w/edit?usp=share_link"",""บึงกาฬ!J381"")
+IMPORTRANGE(""https://docs.google.com/spreadsheets/d/1B3lPpzOuaNwVItLwLEZYl_qEblfcx7dRnbRkAw0l-pE/edit?usp=share_link"",""บุรีรัมย์!J381"")+IMPORTRANGE(""https://docs.google.com/spreadshe"&amp;"ets/d/19GOkiOqnzYbevLYWrMk4qFOXe3rX14BkSA8X-mq-a40/edit?usp=share_link"",""มหาสารคาม!J381"")+IMPORTRANGE(""https://docs.google.com/spreadsheets/d/1uMKqWwuNQ-TCKboGA3Bb1qXb5uj2-faACNUINCz8PN4/edit?usp=share_link"",""มุกดาหาร!J381"")+IMPORTRANGE(""https://d"&amp;"ocs.google.com/spreadsheets/d/1oKaccgDdQABndOzGr688Dbfxb_V3YcF67VqEPBtdzsc/edit?usp=share_link"",""ยโสธร!J381"")+IMPORTRANGE(""https://docs.google.com/spreadsheets/d/1BRgc8xKpxZ0PX-gauieMVkV_IOxKSotf0yW8MabGprQ/edit?usp=share_link"",""ร้อยเอ็ด!J381"")+IMP"&amp;"ORTRANGE(""https://docs.google.com/spreadsheets/d/1IdolZc-dfdgMwAm_KZxYJl1sUOcIgnbGQzbWOlddedo/edit?usp=share_link"",""เลย!J381"")+IMPORTRANGE(""https://docs.google.com/spreadsheets/d/1tZ0nmtGuIRCaGAMXHlQU8EpR9LOAJvyKfc4f7EFmE34/edit?usp=share_link"",""ศร"&amp;"ีสะเกษ!J381"")+IMPORTRANGE(""https://docs.google.com/spreadsheets/d/1QC8psz9w0f9IVE9Xuc2FT_btkaOzZbbUSgYObpBuetM/edit?usp=share_link"",""สกลนคร!J381"")+IMPORTRANGE(""https://docs.google.com/spreadsheets/d/1wPdvRbu02d33MYVlbsCnyTiZpefEBs9NNktAnT1HZvw/edit?"&amp;"usp=share_link"",""สุรินทร์!J381"")+IMPORTRANGE(""https://docs.google.com/spreadsheets/d/1GVExpf-Exi_2gmuqTYH28fseTB9MoKPXWcXCbSt_YrM/edit?usp=share_link"",""หนองคาย!J381"")+IMPORTRANGE(""https://docs.google.com/spreadsheets/d/16UeMz0UgOB5BZcoxP75eYGcLFtG"&amp;"YRn9GoesD4OX9m5U/edit?usp=share_link"",""หนองบัวลำภู!J381"")+IMPORTRANGE(""https://docs.google.com/spreadsheets/d/1uUP8Zo1-qaJLuIkRU0qlwLSE3DHkbdrrj2JGJiWBQZE/edit?usp=share_link"",""อำนาจเจริญ!J381"")+IMPORTRANGE(""https://docs.google.com/spreadsheets/d/"&amp;"1hb_taSOHanzRjqfzWPiFo8yiT83VV1L7vvUCLhOiHKc/edit?usp=share_link"",""อุดรธานี!J381"")+IMPORTRANGE(""https://docs.google.com/spreadsheets/d/17IOkEwkUd63EGNfyNDnM5de9YlZ7rwzTiW6-dokVjKI/edit?usp=share_link"",""อุบลราชธานี!J381"")
"),23477)</f>
        <v>23477</v>
      </c>
      <c r="K381" s="498">
        <f t="shared" ca="1" si="191"/>
        <v>112.24421495505833</v>
      </c>
      <c r="L381" s="163"/>
      <c r="M381" s="163"/>
      <c r="N381" s="163"/>
      <c r="O381" s="163"/>
      <c r="P381" s="163"/>
    </row>
    <row r="382" spans="1:26" ht="18.75">
      <c r="A382" s="499" t="s">
        <v>169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fb2B9NLcpJgjIieIJvenUTNPn0TimZDUi0OtYeiSQ_s/edit?usp=share_link"",""กาฬสินธุ์!J382"")+IMPORTRANGE(""https://docs.google.com/spreadsheets/d/1SaMnqrwRGmFYNR0MhpWmHuL5niYUd5E7vDq8X7whAlI/edit?usp=share_li"&amp;"nk"",""ขอนแก่น!J382"")
+IMPORTRANGE(""https://docs.google.com/spreadsheets/d/1xQzEtGHhTTgxHh6YUkKY1P4dRyjVhS74dGswLfAASA4/edit?usp=share_link"",""ชัยภูมิ!J382"")+IMPORTRANGE(""https://docs.google.com/spreadsheets/d/1EXMBoBxU3OFbjT2TRpneM33qFjqDzrKmn9ydcfl"&amp;"fI0o/edit?usp=share_link"",""นครพนม!J382"")+IMPORTRANGE(""https://docs.google.com/spreadsheets/d/1bDQrolntRWtHumK8W-x-HXKntwxB9S3sF5aDeRS66Ko/edit?usp=share_link"",""นครราชสีมา!J382"")+IMPORTRANGE(""https://docs.google.com/spreadsheets/d/1_MzZ-2gVPiCW-d2V"&amp;"cafoCmFJQTSrZ6SQyFcMqRRQQ2w/edit?usp=share_link"",""บึงกาฬ!J382"")
+IMPORTRANGE(""https://docs.google.com/spreadsheets/d/1B3lPpzOuaNwVItLwLEZYl_qEblfcx7dRnbRkAw0l-pE/edit?usp=share_link"",""บุรีรัมย์!J382"")+IMPORTRANGE(""https://docs.google.com/spreadshe"&amp;"ets/d/19GOkiOqnzYbevLYWrMk4qFOXe3rX14BkSA8X-mq-a40/edit?usp=share_link"",""มหาสารคาม!J382"")+IMPORTRANGE(""https://docs.google.com/spreadsheets/d/1uMKqWwuNQ-TCKboGA3Bb1qXb5uj2-faACNUINCz8PN4/edit?usp=share_link"",""มุกดาหาร!J382"")+IMPORTRANGE(""https://d"&amp;"ocs.google.com/spreadsheets/d/1oKaccgDdQABndOzGr688Dbfxb_V3YcF67VqEPBtdzsc/edit?usp=share_link"",""ยโสธร!J382"")+IMPORTRANGE(""https://docs.google.com/spreadsheets/d/1BRgc8xKpxZ0PX-gauieMVkV_IOxKSotf0yW8MabGprQ/edit?usp=share_link"",""ร้อยเอ็ด!J382"")+IMP"&amp;"ORTRANGE(""https://docs.google.com/spreadsheets/d/1IdolZc-dfdgMwAm_KZxYJl1sUOcIgnbGQzbWOlddedo/edit?usp=share_link"",""เลย!J382"")+IMPORTRANGE(""https://docs.google.com/spreadsheets/d/1tZ0nmtGuIRCaGAMXHlQU8EpR9LOAJvyKfc4f7EFmE34/edit?usp=share_link"",""ศร"&amp;"ีสะเกษ!J382"")+IMPORTRANGE(""https://docs.google.com/spreadsheets/d/1QC8psz9w0f9IVE9Xuc2FT_btkaOzZbbUSgYObpBuetM/edit?usp=share_link"",""สกลนคร!J382"")+IMPORTRANGE(""https://docs.google.com/spreadsheets/d/1wPdvRbu02d33MYVlbsCnyTiZpefEBs9NNktAnT1HZvw/edit?"&amp;"usp=share_link"",""สุรินทร์!J382"")+IMPORTRANGE(""https://docs.google.com/spreadsheets/d/1GVExpf-Exi_2gmuqTYH28fseTB9MoKPXWcXCbSt_YrM/edit?usp=share_link"",""หนองคาย!J382"")+IMPORTRANGE(""https://docs.google.com/spreadsheets/d/16UeMz0UgOB5BZcoxP75eYGcLFtG"&amp;"YRn9GoesD4OX9m5U/edit?usp=share_link"",""หนองบัวลำภู!J382"")+IMPORTRANGE(""https://docs.google.com/spreadsheets/d/1uUP8Zo1-qaJLuIkRU0qlwLSE3DHkbdrrj2JGJiWBQZE/edit?usp=share_link"",""อำนาจเจริญ!J382"")+IMPORTRANGE(""https://docs.google.com/spreadsheets/d/"&amp;"1hb_taSOHanzRjqfzWPiFo8yiT83VV1L7vvUCLhOiHKc/edit?usp=share_link"",""อุดรธานี!J382"")+IMPORTRANGE(""https://docs.google.com/spreadsheets/d/17IOkEwkUd63EGNfyNDnM5de9YlZ7rwzTiW6-dokVjKI/edit?usp=share_link"",""อุบลราชธานี!J382"")
"),264692.84)</f>
        <v>264692.84000000003</v>
      </c>
      <c r="K382" s="498">
        <f t="shared" si="191"/>
        <v>0</v>
      </c>
      <c r="L382" s="163"/>
      <c r="M382" s="163"/>
      <c r="N382" s="163"/>
      <c r="O382" s="163"/>
      <c r="P382" s="163"/>
    </row>
    <row r="383" spans="1:26" ht="19.5">
      <c r="A383" s="500"/>
      <c r="B383" s="501"/>
      <c r="C383" s="291"/>
      <c r="D383" s="502" t="s">
        <v>170</v>
      </c>
      <c r="E383" s="291"/>
      <c r="F383" s="291"/>
      <c r="G383" s="503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453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4" t="s">
        <v>171</v>
      </c>
      <c r="F385" s="381"/>
      <c r="G385" s="382"/>
      <c r="H385" s="505" t="s">
        <v>35</v>
      </c>
      <c r="I385" s="506">
        <f ca="1">IFERROR(__xludf.DUMMYFUNCTION("IMPORTRANGE(""https://docs.google.com/spreadsheets/d/1fb2B9NLcpJgjIieIJvenUTNPn0TimZDUi0OtYeiSQ_s/edit?usp=share_link"",""กาฬสินธุ์!I385"")+IMPORTRANGE(""https://docs.google.com/spreadsheets/d/1SaMnqrwRGmFYNR0MhpWmHuL5niYUd5E7vDq8X7whAlI/edit?usp=share_li"&amp;"nk"",""ขอนแก่น!I385"")
+IMPORTRANGE(""https://docs.google.com/spreadsheets/d/1xQzEtGHhTTgxHh6YUkKY1P4dRyjVhS74dGswLfAASA4/edit?usp=share_link"",""ชัยภูมิ!I385"")+IMPORTRANGE(""https://docs.google.com/spreadsheets/d/1EXMBoBxU3OFbjT2TRpneM33qFjqDzrKmn9ydcfl"&amp;"fI0o/edit?usp=share_link"",""นครพนม!I385"")+IMPORTRANGE(""https://docs.google.com/spreadsheets/d/1bDQrolntRWtHumK8W-x-HXKntwxB9S3sF5aDeRS66Ko/edit?usp=share_link"",""นครราชสีมา!I385"")+IMPORTRANGE(""https://docs.google.com/spreadsheets/d/1_MzZ-2gVPiCW-d2V"&amp;"cafoCmFJQTSrZ6SQyFcMqRRQQ2w/edit?usp=share_link"",""บึงกาฬ!I385"")
+IMPORTRANGE(""https://docs.google.com/spreadsheets/d/1B3lPpzOuaNwVItLwLEZYl_qEblfcx7dRnbRkAw0l-pE/edit?usp=share_link"",""บุรีรัมย์!I385"")+IMPORTRANGE(""https://docs.google.com/spreadshe"&amp;"ets/d/19GOkiOqnzYbevLYWrMk4qFOXe3rX14BkSA8X-mq-a40/edit?usp=share_link"",""มหาสารคาม!I385"")+IMPORTRANGE(""https://docs.google.com/spreadsheets/d/1uMKqWwuNQ-TCKboGA3Bb1qXb5uj2-faACNUINCz8PN4/edit?usp=share_link"",""มุกดาหาร!I385"")+IMPORTRANGE(""https://d"&amp;"ocs.google.com/spreadsheets/d/1oKaccgDdQABndOzGr688Dbfxb_V3YcF67VqEPBtdzsc/edit?usp=share_link"",""ยโสธร!I385"")+IMPORTRANGE(""https://docs.google.com/spreadsheets/d/1BRgc8xKpxZ0PX-gauieMVkV_IOxKSotf0yW8MabGprQ/edit?usp=share_link"",""ร้อยเอ็ด!I385"")+IMP"&amp;"ORTRANGE(""https://docs.google.com/spreadsheets/d/1IdolZc-dfdgMwAm_KZxYJl1sUOcIgnbGQzbWOlddedo/edit?usp=share_link"",""เลย!I385"")+IMPORTRANGE(""https://docs.google.com/spreadsheets/d/1tZ0nmtGuIRCaGAMXHlQU8EpR9LOAJvyKfc4f7EFmE34/edit?usp=share_link"",""ศร"&amp;"ีสะเกษ!I385"")+IMPORTRANGE(""https://docs.google.com/spreadsheets/d/1QC8psz9w0f9IVE9Xuc2FT_btkaOzZbbUSgYObpBuetM/edit?usp=share_link"",""สกลนคร!I385"")+IMPORTRANGE(""https://docs.google.com/spreadsheets/d/1wPdvRbu02d33MYVlbsCnyTiZpefEBs9NNktAnT1HZvw/edit?"&amp;"usp=share_link"",""สุรินทร์!I385"")+IMPORTRANGE(""https://docs.google.com/spreadsheets/d/1GVExpf-Exi_2gmuqTYH28fseTB9MoKPXWcXCbSt_YrM/edit?usp=share_link"",""หนองคาย!I385"")+IMPORTRANGE(""https://docs.google.com/spreadsheets/d/16UeMz0UgOB5BZcoxP75eYGcLFtG"&amp;"YRn9GoesD4OX9m5U/edit?usp=share_link"",""หนองบัวลำภู!I385"")+IMPORTRANGE(""https://docs.google.com/spreadsheets/d/1uUP8Zo1-qaJLuIkRU0qlwLSE3DHkbdrrj2JGJiWBQZE/edit?usp=share_link"",""อำนาจเจริญ!I385"")+IMPORTRANGE(""https://docs.google.com/spreadsheets/d/"&amp;"1hb_taSOHanzRjqfzWPiFo8yiT83VV1L7vvUCLhOiHKc/edit?usp=share_link"",""อุดรธานี!I385"")+IMPORTRANGE(""https://docs.google.com/spreadsheets/d/17IOkEwkUd63EGNfyNDnM5de9YlZ7rwzTiW6-dokVjKI/edit?usp=share_link"",""อุบลราชธานี!I385"")
"),1606)</f>
        <v>1606</v>
      </c>
      <c r="J385" s="506">
        <f ca="1">IFERROR(__xludf.DUMMYFUNCTION("IMPORTRANGE(""https://docs.google.com/spreadsheets/d/1fb2B9NLcpJgjIieIJvenUTNPn0TimZDUi0OtYeiSQ_s/edit?usp=share_link"",""กาฬสินธุ์!J385"")+IMPORTRANGE(""https://docs.google.com/spreadsheets/d/1SaMnqrwRGmFYNR0MhpWmHuL5niYUd5E7vDq8X7whAlI/edit?usp=share_li"&amp;"nk"",""ขอนแก่น!J385"")
+IMPORTRANGE(""https://docs.google.com/spreadsheets/d/1xQzEtGHhTTgxHh6YUkKY1P4dRyjVhS74dGswLfAASA4/edit?usp=share_link"",""ชัยภูมิ!J385"")+IMPORTRANGE(""https://docs.google.com/spreadsheets/d/1EXMBoBxU3OFbjT2TRpneM33qFjqDzrKmn9ydcfl"&amp;"fI0o/edit?usp=share_link"",""นครพนม!J385"")+IMPORTRANGE(""https://docs.google.com/spreadsheets/d/1bDQrolntRWtHumK8W-x-HXKntwxB9S3sF5aDeRS66Ko/edit?usp=share_link"",""นครราชสีมา!J385"")+IMPORTRANGE(""https://docs.google.com/spreadsheets/d/1_MzZ-2gVPiCW-d2V"&amp;"cafoCmFJQTSrZ6SQyFcMqRRQQ2w/edit?usp=share_link"",""บึงกาฬ!J385"")
+IMPORTRANGE(""https://docs.google.com/spreadsheets/d/1B3lPpzOuaNwVItLwLEZYl_qEblfcx7dRnbRkAw0l-pE/edit?usp=share_link"",""บุรีรัมย์!J385"")+IMPORTRANGE(""https://docs.google.com/spreadshe"&amp;"ets/d/19GOkiOqnzYbevLYWrMk4qFOXe3rX14BkSA8X-mq-a40/edit?usp=share_link"",""มหาสารคาม!J385"")+IMPORTRANGE(""https://docs.google.com/spreadsheets/d/1uMKqWwuNQ-TCKboGA3Bb1qXb5uj2-faACNUINCz8PN4/edit?usp=share_link"",""มุกดาหาร!J385"")+IMPORTRANGE(""https://d"&amp;"ocs.google.com/spreadsheets/d/1oKaccgDdQABndOzGr688Dbfxb_V3YcF67VqEPBtdzsc/edit?usp=share_link"",""ยโสธร!J385"")+IMPORTRANGE(""https://docs.google.com/spreadsheets/d/1BRgc8xKpxZ0PX-gauieMVkV_IOxKSotf0yW8MabGprQ/edit?usp=share_link"",""ร้อยเอ็ด!J385"")+IMP"&amp;"ORTRANGE(""https://docs.google.com/spreadsheets/d/1IdolZc-dfdgMwAm_KZxYJl1sUOcIgnbGQzbWOlddedo/edit?usp=share_link"",""เลย!J385"")+IMPORTRANGE(""https://docs.google.com/spreadsheets/d/1tZ0nmtGuIRCaGAMXHlQU8EpR9LOAJvyKfc4f7EFmE34/edit?usp=share_link"",""ศร"&amp;"ีสะเกษ!J385"")+IMPORTRANGE(""https://docs.google.com/spreadsheets/d/1QC8psz9w0f9IVE9Xuc2FT_btkaOzZbbUSgYObpBuetM/edit?usp=share_link"",""สกลนคร!J385"")+IMPORTRANGE(""https://docs.google.com/spreadsheets/d/1wPdvRbu02d33MYVlbsCnyTiZpefEBs9NNktAnT1HZvw/edit?"&amp;"usp=share_link"",""สุรินทร์!J385"")+IMPORTRANGE(""https://docs.google.com/spreadsheets/d/1GVExpf-Exi_2gmuqTYH28fseTB9MoKPXWcXCbSt_YrM/edit?usp=share_link"",""หนองคาย!J385"")+IMPORTRANGE(""https://docs.google.com/spreadsheets/d/16UeMz0UgOB5BZcoxP75eYGcLFtG"&amp;"YRn9GoesD4OX9m5U/edit?usp=share_link"",""หนองบัวลำภู!J385"")+IMPORTRANGE(""https://docs.google.com/spreadsheets/d/1uUP8Zo1-qaJLuIkRU0qlwLSE3DHkbdrrj2JGJiWBQZE/edit?usp=share_link"",""อำนาจเจริญ!J385"")+IMPORTRANGE(""https://docs.google.com/spreadsheets/d/"&amp;"1hb_taSOHanzRjqfzWPiFo8yiT83VV1L7vvUCLhOiHKc/edit?usp=share_link"",""อุดรธานี!J385"")+IMPORTRANGE(""https://docs.google.com/spreadsheets/d/17IOkEwkUd63EGNfyNDnM5de9YlZ7rwzTiW6-dokVjKI/edit?usp=share_link"",""อุบลราชธานี!J385"")
"),953)</f>
        <v>953</v>
      </c>
      <c r="K385" s="507">
        <f ca="1">IF(I385&gt;0,J385*100/I385,0)</f>
        <v>59.339975093399751</v>
      </c>
      <c r="L385" s="385"/>
      <c r="M385" s="385"/>
      <c r="N385" s="385"/>
      <c r="O385" s="385"/>
      <c r="P385" s="385"/>
    </row>
    <row r="386" spans="1:26" ht="19.5" hidden="1">
      <c r="A386" s="508" t="s">
        <v>172</v>
      </c>
      <c r="B386" s="509"/>
      <c r="C386" s="509"/>
      <c r="D386" s="509"/>
      <c r="E386" s="510"/>
      <c r="F386" s="510"/>
      <c r="G386" s="511"/>
      <c r="H386" s="512"/>
      <c r="I386" s="513"/>
      <c r="J386" s="513"/>
      <c r="K386" s="514"/>
      <c r="L386" s="514"/>
      <c r="M386" s="514"/>
      <c r="N386" s="514"/>
      <c r="O386" s="514"/>
      <c r="P386" s="514"/>
    </row>
    <row r="387" spans="1:26" ht="19.5" hidden="1">
      <c r="A387" s="515" t="s">
        <v>173</v>
      </c>
      <c r="B387" s="516"/>
      <c r="C387" s="516"/>
      <c r="D387" s="517"/>
      <c r="E387" s="516"/>
      <c r="F387" s="516"/>
      <c r="G387" s="516"/>
      <c r="H387" s="518"/>
      <c r="I387" s="519"/>
      <c r="J387" s="519"/>
      <c r="K387" s="520"/>
      <c r="L387" s="520"/>
      <c r="M387" s="520"/>
      <c r="N387" s="520"/>
      <c r="O387" s="520"/>
      <c r="P387" s="520"/>
    </row>
    <row r="388" spans="1:26" ht="19.5" hidden="1">
      <c r="A388" s="521"/>
      <c r="B388" s="522" t="s">
        <v>174</v>
      </c>
      <c r="C388" s="523"/>
      <c r="D388" s="524"/>
      <c r="E388" s="524"/>
      <c r="F388" s="524"/>
      <c r="G388" s="525"/>
      <c r="H388" s="526" t="s">
        <v>66</v>
      </c>
      <c r="I388" s="527">
        <f t="shared" ref="I388:J388" ca="1" si="192">I400</f>
        <v>0</v>
      </c>
      <c r="J388" s="527">
        <f t="shared" ca="1" si="192"/>
        <v>0</v>
      </c>
      <c r="K388" s="528">
        <f ca="1">IF(I388&gt;0,J388*100/I388,0)</f>
        <v>0</v>
      </c>
      <c r="L388" s="529"/>
      <c r="M388" s="529"/>
      <c r="N388" s="529"/>
      <c r="O388" s="529"/>
      <c r="P388" s="529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0</v>
      </c>
      <c r="M389" s="155">
        <f t="shared" ca="1" si="193"/>
        <v>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0</v>
      </c>
      <c r="M391" s="45">
        <f t="shared" ca="1" si="197"/>
        <v>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fb2B9NLcpJgjIieIJvenUTNPn0TimZDUi0OtYeiSQ_s/edit?usp=share_link"",""กาฬสินธุ์!L394"")+IMPORTRANGE(""https://docs.google.com/spreadsheets/d/1SaMnqrwRGmFYNR0MhpWmHuL5niYUd5E7vDq8X7whAlI/edit?usp=share_li"&amp;"nk"",""ขอนแก่น!L394"")
+IMPORTRANGE(""https://docs.google.com/spreadsheets/d/1xQzEtGHhTTgxHh6YUkKY1P4dRyjVhS74dGswLfAASA4/edit?usp=share_link"",""ชัยภูมิ!L394"")+IMPORTRANGE(""https://docs.google.com/spreadsheets/d/1EXMBoBxU3OFbjT2TRpneM33qFjqDzrKmn9ydcfl"&amp;"fI0o/edit?usp=share_link"",""นครพนม!L394"")+IMPORTRANGE(""https://docs.google.com/spreadsheets/d/1bDQrolntRWtHumK8W-x-HXKntwxB9S3sF5aDeRS66Ko/edit?usp=share_link"",""นครราชสีมา!L394"")+IMPORTRANGE(""https://docs.google.com/spreadsheets/d/1_MzZ-2gVPiCW-d2V"&amp;"cafoCmFJQTSrZ6SQyFcMqRRQQ2w/edit?usp=share_link"",""บึงกาฬ!L394"")
+IMPORTRANGE(""https://docs.google.com/spreadsheets/d/1B3lPpzOuaNwVItLwLEZYl_qEblfcx7dRnbRkAw0l-pE/edit?usp=share_link"",""บุรีรัมย์!L394"")+IMPORTRANGE(""https://docs.google.com/spreadshe"&amp;"ets/d/19GOkiOqnzYbevLYWrMk4qFOXe3rX14BkSA8X-mq-a40/edit?usp=share_link"",""มหาสารคาม!L394"")+IMPORTRANGE(""https://docs.google.com/spreadsheets/d/1uMKqWwuNQ-TCKboGA3Bb1qXb5uj2-faACNUINCz8PN4/edit?usp=share_link"",""มุกดาหาร!L394"")+IMPORTRANGE(""https://d"&amp;"ocs.google.com/spreadsheets/d/1oKaccgDdQABndOzGr688Dbfxb_V3YcF67VqEPBtdzsc/edit?usp=share_link"",""ยโสธร!L394"")+IMPORTRANGE(""https://docs.google.com/spreadsheets/d/1BRgc8xKpxZ0PX-gauieMVkV_IOxKSotf0yW8MabGprQ/edit?usp=share_link"",""ร้อยเอ็ด!L394"")+IMP"&amp;"ORTRANGE(""https://docs.google.com/spreadsheets/d/1IdolZc-dfdgMwAm_KZxYJl1sUOcIgnbGQzbWOlddedo/edit?usp=share_link"",""เลย!L394"")+IMPORTRANGE(""https://docs.google.com/spreadsheets/d/1tZ0nmtGuIRCaGAMXHlQU8EpR9LOAJvyKfc4f7EFmE34/edit?usp=share_link"",""ศร"&amp;"ีสะเกษ!L394"")+IMPORTRANGE(""https://docs.google.com/spreadsheets/d/1QC8psz9w0f9IVE9Xuc2FT_btkaOzZbbUSgYObpBuetM/edit?usp=share_link"",""สกลนคร!L394"")+IMPORTRANGE(""https://docs.google.com/spreadsheets/d/1wPdvRbu02d33MYVlbsCnyTiZpefEBs9NNktAnT1HZvw/edit?"&amp;"usp=share_link"",""สุรินทร์!L394"")+IMPORTRANGE(""https://docs.google.com/spreadsheets/d/1GVExpf-Exi_2gmuqTYH28fseTB9MoKPXWcXCbSt_YrM/edit?usp=share_link"",""หนองคาย!L394"")+IMPORTRANGE(""https://docs.google.com/spreadsheets/d/16UeMz0UgOB5BZcoxP75eYGcLFtG"&amp;"YRn9GoesD4OX9m5U/edit?usp=share_link"",""หนองบัวลำภู!L394"")+IMPORTRANGE(""https://docs.google.com/spreadsheets/d/1uUP8Zo1-qaJLuIkRU0qlwLSE3DHkbdrrj2JGJiWBQZE/edit?usp=share_link"",""อำนาจเจริญ!L394"")+IMPORTRANGE(""https://docs.google.com/spreadsheets/d/"&amp;"1hb_taSOHanzRjqfzWPiFo8yiT83VV1L7vvUCLhOiHKc/edit?usp=share_link"",""อุดรธานี!L394"")+IMPORTRANGE(""https://docs.google.com/spreadsheets/d/17IOkEwkUd63EGNfyNDnM5de9YlZ7rwzTiW6-dokVjKI/edit?usp=share_link"",""อุบลราชธานี!L394"")
"),0)</f>
        <v>0</v>
      </c>
      <c r="M394" s="45">
        <f ca="1">IFERROR(__xludf.DUMMYFUNCTION("IMPORTRANGE(""https://docs.google.com/spreadsheets/d/1fb2B9NLcpJgjIieIJvenUTNPn0TimZDUi0OtYeiSQ_s/edit?usp=share_link"",""กาฬสินธุ์!M394"")+IMPORTRANGE(""https://docs.google.com/spreadsheets/d/1SaMnqrwRGmFYNR0MhpWmHuL5niYUd5E7vDq8X7whAlI/edit?usp=share_li"&amp;"nk"",""ขอนแก่น!M394"")
+IMPORTRANGE(""https://docs.google.com/spreadsheets/d/1xQzEtGHhTTgxHh6YUkKY1P4dRyjVhS74dGswLfAASA4/edit?usp=share_link"",""ชัยภูมิ!M394"")+IMPORTRANGE(""https://docs.google.com/spreadsheets/d/1EXMBoBxU3OFbjT2TRpneM33qFjqDzrKmn9ydcfl"&amp;"fI0o/edit?usp=share_link"",""นครพนม!M394"")+IMPORTRANGE(""https://docs.google.com/spreadsheets/d/1bDQrolntRWtHumK8W-x-HXKntwxB9S3sF5aDeRS66Ko/edit?usp=share_link"",""นครราชสีมา!M394"")+IMPORTRANGE(""https://docs.google.com/spreadsheets/d/1_MzZ-2gVPiCW-d2V"&amp;"cafoCmFJQTSrZ6SQyFcMqRRQQ2w/edit?usp=share_link"",""บึงกาฬ!M394"")
+IMPORTRANGE(""https://docs.google.com/spreadsheets/d/1B3lPpzOuaNwVItLwLEZYl_qEblfcx7dRnbRkAw0l-pE/edit?usp=share_link"",""บุรีรัมย์!M394"")+IMPORTRANGE(""https://docs.google.com/spreadshe"&amp;"ets/d/19GOkiOqnzYbevLYWrMk4qFOXe3rX14BkSA8X-mq-a40/edit?usp=share_link"",""มหาสารคาม!M394"")+IMPORTRANGE(""https://docs.google.com/spreadsheets/d/1uMKqWwuNQ-TCKboGA3Bb1qXb5uj2-faACNUINCz8PN4/edit?usp=share_link"",""มุกดาหาร!M394"")+IMPORTRANGE(""https://d"&amp;"ocs.google.com/spreadsheets/d/1oKaccgDdQABndOzGr688Dbfxb_V3YcF67VqEPBtdzsc/edit?usp=share_link"",""ยโสธร!M394"")+IMPORTRANGE(""https://docs.google.com/spreadsheets/d/1BRgc8xKpxZ0PX-gauieMVkV_IOxKSotf0yW8MabGprQ/edit?usp=share_link"",""ร้อยเอ็ด!M394"")+IMP"&amp;"ORTRANGE(""https://docs.google.com/spreadsheets/d/1IdolZc-dfdgMwAm_KZxYJl1sUOcIgnbGQzbWOlddedo/edit?usp=share_link"",""เลย!M394"")+IMPORTRANGE(""https://docs.google.com/spreadsheets/d/1tZ0nmtGuIRCaGAMXHlQU8EpR9LOAJvyKfc4f7EFmE34/edit?usp=share_link"",""ศร"&amp;"ีสะเกษ!M394"")+IMPORTRANGE(""https://docs.google.com/spreadsheets/d/1QC8psz9w0f9IVE9Xuc2FT_btkaOzZbbUSgYObpBuetM/edit?usp=share_link"",""สกลนคร!M394"")+IMPORTRANGE(""https://docs.google.com/spreadsheets/d/1wPdvRbu02d33MYVlbsCnyTiZpefEBs9NNktAnT1HZvw/edit?"&amp;"usp=share_link"",""สุรินทร์!M394"")+IMPORTRANGE(""https://docs.google.com/spreadsheets/d/1GVExpf-Exi_2gmuqTYH28fseTB9MoKPXWcXCbSt_YrM/edit?usp=share_link"",""หนองคาย!M394"")+IMPORTRANGE(""https://docs.google.com/spreadsheets/d/16UeMz0UgOB5BZcoxP75eYGcLFtG"&amp;"YRn9GoesD4OX9m5U/edit?usp=share_link"",""หนองบัวลำภู!M394"")+IMPORTRANGE(""https://docs.google.com/spreadsheets/d/1uUP8Zo1-qaJLuIkRU0qlwLSE3DHkbdrrj2JGJiWBQZE/edit?usp=share_link"",""อำนาจเจริญ!M394"")+IMPORTRANGE(""https://docs.google.com/spreadsheets/d/"&amp;"1hb_taSOHanzRjqfzWPiFo8yiT83VV1L7vvUCLhOiHKc/edit?usp=share_link"",""อุดรธานี!M394"")+IMPORTRANGE(""https://docs.google.com/spreadsheets/d/17IOkEwkUd63EGNfyNDnM5de9YlZ7rwzTiW6-dokVjKI/edit?usp=share_link"",""อุบลราชธานี!M394"")
"),0)</f>
        <v>0</v>
      </c>
      <c r="N394" s="45">
        <f ca="1">IFERROR(__xludf.DUMMYFUNCTION("IMPORTRANGE(""https://docs.google.com/spreadsheets/d/1fb2B9NLcpJgjIieIJvenUTNPn0TimZDUi0OtYeiSQ_s/edit?usp=share_link"",""กาฬสินธุ์!N394"")+IMPORTRANGE(""https://docs.google.com/spreadsheets/d/1SaMnqrwRGmFYNR0MhpWmHuL5niYUd5E7vDq8X7whAlI/edit?usp=share_li"&amp;"nk"",""ขอนแก่น!N394"")
+IMPORTRANGE(""https://docs.google.com/spreadsheets/d/1xQzEtGHhTTgxHh6YUkKY1P4dRyjVhS74dGswLfAASA4/edit?usp=share_link"",""ชัยภูมิ!N394"")+IMPORTRANGE(""https://docs.google.com/spreadsheets/d/1EXMBoBxU3OFbjT2TRpneM33qFjqDzrKmn9ydcfl"&amp;"fI0o/edit?usp=share_link"",""นครพนม!N394"")+IMPORTRANGE(""https://docs.google.com/spreadsheets/d/1bDQrolntRWtHumK8W-x-HXKntwxB9S3sF5aDeRS66Ko/edit?usp=share_link"",""นครราชสีมา!N394"")+IMPORTRANGE(""https://docs.google.com/spreadsheets/d/1_MzZ-2gVPiCW-d2V"&amp;"cafoCmFJQTSrZ6SQyFcMqRRQQ2w/edit?usp=share_link"",""บึงกาฬ!N394"")
+IMPORTRANGE(""https://docs.google.com/spreadsheets/d/1B3lPpzOuaNwVItLwLEZYl_qEblfcx7dRnbRkAw0l-pE/edit?usp=share_link"",""บุรีรัมย์!N394"")+IMPORTRANGE(""https://docs.google.com/spreadshe"&amp;"ets/d/19GOkiOqnzYbevLYWrMk4qFOXe3rX14BkSA8X-mq-a40/edit?usp=share_link"",""มหาสารคาม!N394"")+IMPORTRANGE(""https://docs.google.com/spreadsheets/d/1uMKqWwuNQ-TCKboGA3Bb1qXb5uj2-faACNUINCz8PN4/edit?usp=share_link"",""มุกดาหาร!N394"")+IMPORTRANGE(""https://d"&amp;"ocs.google.com/spreadsheets/d/1oKaccgDdQABndOzGr688Dbfxb_V3YcF67VqEPBtdzsc/edit?usp=share_link"",""ยโสธร!N394"")+IMPORTRANGE(""https://docs.google.com/spreadsheets/d/1BRgc8xKpxZ0PX-gauieMVkV_IOxKSotf0yW8MabGprQ/edit?usp=share_link"",""ร้อยเอ็ด!N394"")+IMP"&amp;"ORTRANGE(""https://docs.google.com/spreadsheets/d/1IdolZc-dfdgMwAm_KZxYJl1sUOcIgnbGQzbWOlddedo/edit?usp=share_link"",""เลย!N394"")+IMPORTRANGE(""https://docs.google.com/spreadsheets/d/1tZ0nmtGuIRCaGAMXHlQU8EpR9LOAJvyKfc4f7EFmE34/edit?usp=share_link"",""ศร"&amp;"ีสะเกษ!N394"")+IMPORTRANGE(""https://docs.google.com/spreadsheets/d/1QC8psz9w0f9IVE9Xuc2FT_btkaOzZbbUSgYObpBuetM/edit?usp=share_link"",""สกลนคร!N394"")+IMPORTRANGE(""https://docs.google.com/spreadsheets/d/1wPdvRbu02d33MYVlbsCnyTiZpefEBs9NNktAnT1HZvw/edit?"&amp;"usp=share_link"",""สุรินทร์!N394"")+IMPORTRANGE(""https://docs.google.com/spreadsheets/d/1GVExpf-Exi_2gmuqTYH28fseTB9MoKPXWcXCbSt_YrM/edit?usp=share_link"",""หนองคาย!N394"")+IMPORTRANGE(""https://docs.google.com/spreadsheets/d/16UeMz0UgOB5BZcoxP75eYGcLFtG"&amp;"YRn9GoesD4OX9m5U/edit?usp=share_link"",""หนองบัวลำภู!N394"")+IMPORTRANGE(""https://docs.google.com/spreadsheets/d/1uUP8Zo1-qaJLuIkRU0qlwLSE3DHkbdrrj2JGJiWBQZE/edit?usp=share_link"",""อำนาจเจริญ!N394"")+IMPORTRANGE(""https://docs.google.com/spreadsheets/d/"&amp;"1hb_taSOHanzRjqfzWPiFo8yiT83VV1L7vvUCLhOiHKc/edit?usp=share_link"",""อุดรธานี!N394"")+IMPORTRANGE(""https://docs.google.com/spreadsheets/d/17IOkEwkUd63EGNfyNDnM5de9YlZ7rwzTiW6-dokVjKI/edit?usp=share_link"",""อุบลราชธานี!N394"")
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0</v>
      </c>
      <c r="M395" s="38">
        <f t="shared" ca="1" si="199"/>
        <v>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fb2B9NLcpJgjIieIJvenUTNPn0TimZDUi0OtYeiSQ_s/edit?usp=share_link"",""กาฬสินธุ์!L397"")+IMPORTRANGE(""https://docs.google.com/spreadsheets/d/1SaMnqrwRGmFYNR0MhpWmHuL5niYUd5E7vDq8X7whAlI/edit?usp=share_li"&amp;"nk"",""ขอนแก่น!L397"")
+IMPORTRANGE(""https://docs.google.com/spreadsheets/d/1xQzEtGHhTTgxHh6YUkKY1P4dRyjVhS74dGswLfAASA4/edit?usp=share_link"",""ชัยภูมิ!L397"")+IMPORTRANGE(""https://docs.google.com/spreadsheets/d/1EXMBoBxU3OFbjT2TRpneM33qFjqDzrKmn9ydcfl"&amp;"fI0o/edit?usp=share_link"",""นครพนม!L397"")+IMPORTRANGE(""https://docs.google.com/spreadsheets/d/1bDQrolntRWtHumK8W-x-HXKntwxB9S3sF5aDeRS66Ko/edit?usp=share_link"",""นครราชสีมา!L397"")+IMPORTRANGE(""https://docs.google.com/spreadsheets/d/1_MzZ-2gVPiCW-d2V"&amp;"cafoCmFJQTSrZ6SQyFcMqRRQQ2w/edit?usp=share_link"",""บึงกาฬ!L397"")
+IMPORTRANGE(""https://docs.google.com/spreadsheets/d/1B3lPpzOuaNwVItLwLEZYl_qEblfcx7dRnbRkAw0l-pE/edit?usp=share_link"",""บุรีรัมย์!L397"")+IMPORTRANGE(""https://docs.google.com/spreadshe"&amp;"ets/d/19GOkiOqnzYbevLYWrMk4qFOXe3rX14BkSA8X-mq-a40/edit?usp=share_link"",""มหาสารคาม!L397"")+IMPORTRANGE(""https://docs.google.com/spreadsheets/d/1uMKqWwuNQ-TCKboGA3Bb1qXb5uj2-faACNUINCz8PN4/edit?usp=share_link"",""มุกดาหาร!L397"")+IMPORTRANGE(""https://d"&amp;"ocs.google.com/spreadsheets/d/1oKaccgDdQABndOzGr688Dbfxb_V3YcF67VqEPBtdzsc/edit?usp=share_link"",""ยโสธร!L397"")+IMPORTRANGE(""https://docs.google.com/spreadsheets/d/1BRgc8xKpxZ0PX-gauieMVkV_IOxKSotf0yW8MabGprQ/edit?usp=share_link"",""ร้อยเอ็ด!L397"")+IMP"&amp;"ORTRANGE(""https://docs.google.com/spreadsheets/d/1IdolZc-dfdgMwAm_KZxYJl1sUOcIgnbGQzbWOlddedo/edit?usp=share_link"",""เลย!L397"")+IMPORTRANGE(""https://docs.google.com/spreadsheets/d/1tZ0nmtGuIRCaGAMXHlQU8EpR9LOAJvyKfc4f7EFmE34/edit?usp=share_link"",""ศร"&amp;"ีสะเกษ!L397"")+IMPORTRANGE(""https://docs.google.com/spreadsheets/d/1QC8psz9w0f9IVE9Xuc2FT_btkaOzZbbUSgYObpBuetM/edit?usp=share_link"",""สกลนคร!L397"")+IMPORTRANGE(""https://docs.google.com/spreadsheets/d/1wPdvRbu02d33MYVlbsCnyTiZpefEBs9NNktAnT1HZvw/edit?"&amp;"usp=share_link"",""สุรินทร์!L397"")+IMPORTRANGE(""https://docs.google.com/spreadsheets/d/1GVExpf-Exi_2gmuqTYH28fseTB9MoKPXWcXCbSt_YrM/edit?usp=share_link"",""หนองคาย!L397"")+IMPORTRANGE(""https://docs.google.com/spreadsheets/d/16UeMz0UgOB5BZcoxP75eYGcLFtG"&amp;"YRn9GoesD4OX9m5U/edit?usp=share_link"",""หนองบัวลำภู!L397"")+IMPORTRANGE(""https://docs.google.com/spreadsheets/d/1uUP8Zo1-qaJLuIkRU0qlwLSE3DHkbdrrj2JGJiWBQZE/edit?usp=share_link"",""อำนาจเจริญ!L397"")+IMPORTRANGE(""https://docs.google.com/spreadsheets/d/"&amp;"1hb_taSOHanzRjqfzWPiFo8yiT83VV1L7vvUCLhOiHKc/edit?usp=share_link"",""อุดรธานี!L397"")+IMPORTRANGE(""https://docs.google.com/spreadsheets/d/17IOkEwkUd63EGNfyNDnM5de9YlZ7rwzTiW6-dokVjKI/edit?usp=share_link"",""อุบลราชธานี!L397"")
"),0)</f>
        <v>0</v>
      </c>
      <c r="M397" s="45">
        <f ca="1">IFERROR(__xludf.DUMMYFUNCTION("IMPORTRANGE(""https://docs.google.com/spreadsheets/d/1fb2B9NLcpJgjIieIJvenUTNPn0TimZDUi0OtYeiSQ_s/edit?usp=share_link"",""กาฬสินธุ์!M397"")+IMPORTRANGE(""https://docs.google.com/spreadsheets/d/1SaMnqrwRGmFYNR0MhpWmHuL5niYUd5E7vDq8X7whAlI/edit?usp=share_li"&amp;"nk"",""ขอนแก่น!M397"")
+IMPORTRANGE(""https://docs.google.com/spreadsheets/d/1xQzEtGHhTTgxHh6YUkKY1P4dRyjVhS74dGswLfAASA4/edit?usp=share_link"",""ชัยภูมิ!M397"")+IMPORTRANGE(""https://docs.google.com/spreadsheets/d/1EXMBoBxU3OFbjT2TRpneM33qFjqDzrKmn9ydcfl"&amp;"fI0o/edit?usp=share_link"",""นครพนม!M397"")+IMPORTRANGE(""https://docs.google.com/spreadsheets/d/1bDQrolntRWtHumK8W-x-HXKntwxB9S3sF5aDeRS66Ko/edit?usp=share_link"",""นครราชสีมา!M397"")+IMPORTRANGE(""https://docs.google.com/spreadsheets/d/1_MzZ-2gVPiCW-d2V"&amp;"cafoCmFJQTSrZ6SQyFcMqRRQQ2w/edit?usp=share_link"",""บึงกาฬ!M397"")
+IMPORTRANGE(""https://docs.google.com/spreadsheets/d/1B3lPpzOuaNwVItLwLEZYl_qEblfcx7dRnbRkAw0l-pE/edit?usp=share_link"",""บุรีรัมย์!M397"")+IMPORTRANGE(""https://docs.google.com/spreadshe"&amp;"ets/d/19GOkiOqnzYbevLYWrMk4qFOXe3rX14BkSA8X-mq-a40/edit?usp=share_link"",""มหาสารคาม!M397"")+IMPORTRANGE(""https://docs.google.com/spreadsheets/d/1uMKqWwuNQ-TCKboGA3Bb1qXb5uj2-faACNUINCz8PN4/edit?usp=share_link"",""มุกดาหาร!M397"")+IMPORTRANGE(""https://d"&amp;"ocs.google.com/spreadsheets/d/1oKaccgDdQABndOzGr688Dbfxb_V3YcF67VqEPBtdzsc/edit?usp=share_link"",""ยโสธร!M397"")+IMPORTRANGE(""https://docs.google.com/spreadsheets/d/1BRgc8xKpxZ0PX-gauieMVkV_IOxKSotf0yW8MabGprQ/edit?usp=share_link"",""ร้อยเอ็ด!M397"")+IMP"&amp;"ORTRANGE(""https://docs.google.com/spreadsheets/d/1IdolZc-dfdgMwAm_KZxYJl1sUOcIgnbGQzbWOlddedo/edit?usp=share_link"",""เลย!M397"")+IMPORTRANGE(""https://docs.google.com/spreadsheets/d/1tZ0nmtGuIRCaGAMXHlQU8EpR9LOAJvyKfc4f7EFmE34/edit?usp=share_link"",""ศร"&amp;"ีสะเกษ!M397"")+IMPORTRANGE(""https://docs.google.com/spreadsheets/d/1QC8psz9w0f9IVE9Xuc2FT_btkaOzZbbUSgYObpBuetM/edit?usp=share_link"",""สกลนคร!M397"")+IMPORTRANGE(""https://docs.google.com/spreadsheets/d/1wPdvRbu02d33MYVlbsCnyTiZpefEBs9NNktAnT1HZvw/edit?"&amp;"usp=share_link"",""สุรินทร์!M397"")+IMPORTRANGE(""https://docs.google.com/spreadsheets/d/1GVExpf-Exi_2gmuqTYH28fseTB9MoKPXWcXCbSt_YrM/edit?usp=share_link"",""หนองคาย!M397"")+IMPORTRANGE(""https://docs.google.com/spreadsheets/d/16UeMz0UgOB5BZcoxP75eYGcLFtG"&amp;"YRn9GoesD4OX9m5U/edit?usp=share_link"",""หนองบัวลำภู!M397"")+IMPORTRANGE(""https://docs.google.com/spreadsheets/d/1uUP8Zo1-qaJLuIkRU0qlwLSE3DHkbdrrj2JGJiWBQZE/edit?usp=share_link"",""อำนาจเจริญ!M397"")+IMPORTRANGE(""https://docs.google.com/spreadsheets/d/"&amp;"1hb_taSOHanzRjqfzWPiFo8yiT83VV1L7vvUCLhOiHKc/edit?usp=share_link"",""อุดรธานี!M397"")+IMPORTRANGE(""https://docs.google.com/spreadsheets/d/17IOkEwkUd63EGNfyNDnM5de9YlZ7rwzTiW6-dokVjKI/edit?usp=share_link"",""อุบลราชธานี!M397"")
"),0)</f>
        <v>0</v>
      </c>
      <c r="N397" s="45">
        <f ca="1">IFERROR(__xludf.DUMMYFUNCTION("IMPORTRANGE(""https://docs.google.com/spreadsheets/d/1fb2B9NLcpJgjIieIJvenUTNPn0TimZDUi0OtYeiSQ_s/edit?usp=share_link"",""กาฬสินธุ์!N397"")+IMPORTRANGE(""https://docs.google.com/spreadsheets/d/1SaMnqrwRGmFYNR0MhpWmHuL5niYUd5E7vDq8X7whAlI/edit?usp=share_li"&amp;"nk"",""ขอนแก่น!N397"")
+IMPORTRANGE(""https://docs.google.com/spreadsheets/d/1xQzEtGHhTTgxHh6YUkKY1P4dRyjVhS74dGswLfAASA4/edit?usp=share_link"",""ชัยภูมิ!N397"")+IMPORTRANGE(""https://docs.google.com/spreadsheets/d/1EXMBoBxU3OFbjT2TRpneM33qFjqDzrKmn9ydcfl"&amp;"fI0o/edit?usp=share_link"",""นครพนม!N397"")+IMPORTRANGE(""https://docs.google.com/spreadsheets/d/1bDQrolntRWtHumK8W-x-HXKntwxB9S3sF5aDeRS66Ko/edit?usp=share_link"",""นครราชสีมา!N397"")+IMPORTRANGE(""https://docs.google.com/spreadsheets/d/1_MzZ-2gVPiCW-d2V"&amp;"cafoCmFJQTSrZ6SQyFcMqRRQQ2w/edit?usp=share_link"",""บึงกาฬ!N397"")
+IMPORTRANGE(""https://docs.google.com/spreadsheets/d/1B3lPpzOuaNwVItLwLEZYl_qEblfcx7dRnbRkAw0l-pE/edit?usp=share_link"",""บุรีรัมย์!N397"")+IMPORTRANGE(""https://docs.google.com/spreadshe"&amp;"ets/d/19GOkiOqnzYbevLYWrMk4qFOXe3rX14BkSA8X-mq-a40/edit?usp=share_link"",""มหาสารคาม!N397"")+IMPORTRANGE(""https://docs.google.com/spreadsheets/d/1uMKqWwuNQ-TCKboGA3Bb1qXb5uj2-faACNUINCz8PN4/edit?usp=share_link"",""มุกดาหาร!N397"")+IMPORTRANGE(""https://d"&amp;"ocs.google.com/spreadsheets/d/1oKaccgDdQABndOzGr688Dbfxb_V3YcF67VqEPBtdzsc/edit?usp=share_link"",""ยโสธร!N397"")+IMPORTRANGE(""https://docs.google.com/spreadsheets/d/1BRgc8xKpxZ0PX-gauieMVkV_IOxKSotf0yW8MabGprQ/edit?usp=share_link"",""ร้อยเอ็ด!N397"")+IMP"&amp;"ORTRANGE(""https://docs.google.com/spreadsheets/d/1IdolZc-dfdgMwAm_KZxYJl1sUOcIgnbGQzbWOlddedo/edit?usp=share_link"",""เลย!N397"")+IMPORTRANGE(""https://docs.google.com/spreadsheets/d/1tZ0nmtGuIRCaGAMXHlQU8EpR9LOAJvyKfc4f7EFmE34/edit?usp=share_link"",""ศร"&amp;"ีสะเกษ!N397"")+IMPORTRANGE(""https://docs.google.com/spreadsheets/d/1QC8psz9w0f9IVE9Xuc2FT_btkaOzZbbUSgYObpBuetM/edit?usp=share_link"",""สกลนคร!N397"")+IMPORTRANGE(""https://docs.google.com/spreadsheets/d/1wPdvRbu02d33MYVlbsCnyTiZpefEBs9NNktAnT1HZvw/edit?"&amp;"usp=share_link"",""สุรินทร์!N397"")+IMPORTRANGE(""https://docs.google.com/spreadsheets/d/1GVExpf-Exi_2gmuqTYH28fseTB9MoKPXWcXCbSt_YrM/edit?usp=share_link"",""หนองคาย!N397"")+IMPORTRANGE(""https://docs.google.com/spreadsheets/d/16UeMz0UgOB5BZcoxP75eYGcLFtG"&amp;"YRn9GoesD4OX9m5U/edit?usp=share_link"",""หนองบัวลำภู!N397"")+IMPORTRANGE(""https://docs.google.com/spreadsheets/d/1uUP8Zo1-qaJLuIkRU0qlwLSE3DHkbdrrj2JGJiWBQZE/edit?usp=share_link"",""อำนาจเจริญ!N397"")+IMPORTRANGE(""https://docs.google.com/spreadsheets/d/"&amp;"1hb_taSOHanzRjqfzWPiFo8yiT83VV1L7vvUCLhOiHKc/edit?usp=share_link"",""อุดรธานี!N397"")+IMPORTRANGE(""https://docs.google.com/spreadsheets/d/17IOkEwkUd63EGNfyNDnM5de9YlZ7rwzTiW6-dokVjKI/edit?usp=share_link"",""อุบลราชธานี!N397"")
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530"/>
      <c r="B399" s="148"/>
      <c r="C399" s="531"/>
      <c r="D399" s="532" t="s">
        <v>175</v>
      </c>
      <c r="E399" s="415"/>
      <c r="F399" s="148"/>
      <c r="G399" s="151"/>
      <c r="H399" s="533" t="s">
        <v>9</v>
      </c>
      <c r="I399" s="270">
        <f ca="1">IFERROR(__xludf.DUMMYFUNCTION("IMPORTRANGE(""https://docs.google.com/spreadsheets/d/1fb2B9NLcpJgjIieIJvenUTNPn0TimZDUi0OtYeiSQ_s/edit?usp=share_link"",""กาฬสินธุ์!I399"")+IMPORTRANGE(""https://docs.google.com/spreadsheets/d/1SaMnqrwRGmFYNR0MhpWmHuL5niYUd5E7vDq8X7whAlI/edit?usp=share_li"&amp;"nk"",""ขอนแก่น!I399"")
+IMPORTRANGE(""https://docs.google.com/spreadsheets/d/1xQzEtGHhTTgxHh6YUkKY1P4dRyjVhS74dGswLfAASA4/edit?usp=share_link"",""ชัยภูมิ!I399"")+IMPORTRANGE(""https://docs.google.com/spreadsheets/d/1EXMBoBxU3OFbjT2TRpneM33qFjqDzrKmn9ydcfl"&amp;"fI0o/edit?usp=share_link"",""นครพนม!I399"")+IMPORTRANGE(""https://docs.google.com/spreadsheets/d/1bDQrolntRWtHumK8W-x-HXKntwxB9S3sF5aDeRS66Ko/edit?usp=share_link"",""นครราชสีมา!I399"")+IMPORTRANGE(""https://docs.google.com/spreadsheets/d/1_MzZ-2gVPiCW-d2V"&amp;"cafoCmFJQTSrZ6SQyFcMqRRQQ2w/edit?usp=share_link"",""บึงกาฬ!I399"")
+IMPORTRANGE(""https://docs.google.com/spreadsheets/d/1B3lPpzOuaNwVItLwLEZYl_qEblfcx7dRnbRkAw0l-pE/edit?usp=share_link"",""บุรีรัมย์!I399"")+IMPORTRANGE(""https://docs.google.com/spreadshe"&amp;"ets/d/19GOkiOqnzYbevLYWrMk4qFOXe3rX14BkSA8X-mq-a40/edit?usp=share_link"",""มหาสารคาม!I399"")+IMPORTRANGE(""https://docs.google.com/spreadsheets/d/1uMKqWwuNQ-TCKboGA3Bb1qXb5uj2-faACNUINCz8PN4/edit?usp=share_link"",""มุกดาหาร!I399"")+IMPORTRANGE(""https://d"&amp;"ocs.google.com/spreadsheets/d/1oKaccgDdQABndOzGr688Dbfxb_V3YcF67VqEPBtdzsc/edit?usp=share_link"",""ยโสธร!I399"")+IMPORTRANGE(""https://docs.google.com/spreadsheets/d/1BRgc8xKpxZ0PX-gauieMVkV_IOxKSotf0yW8MabGprQ/edit?usp=share_link"",""ร้อยเอ็ด!I399"")+IMP"&amp;"ORTRANGE(""https://docs.google.com/spreadsheets/d/1IdolZc-dfdgMwAm_KZxYJl1sUOcIgnbGQzbWOlddedo/edit?usp=share_link"",""เลย!I399"")+IMPORTRANGE(""https://docs.google.com/spreadsheets/d/1tZ0nmtGuIRCaGAMXHlQU8EpR9LOAJvyKfc4f7EFmE34/edit?usp=share_link"",""ศร"&amp;"ีสะเกษ!I399"")+IMPORTRANGE(""https://docs.google.com/spreadsheets/d/1QC8psz9w0f9IVE9Xuc2FT_btkaOzZbbUSgYObpBuetM/edit?usp=share_link"",""สกลนคร!I399"")+IMPORTRANGE(""https://docs.google.com/spreadsheets/d/1wPdvRbu02d33MYVlbsCnyTiZpefEBs9NNktAnT1HZvw/edit?"&amp;"usp=share_link"",""สุรินทร์!I399"")+IMPORTRANGE(""https://docs.google.com/spreadsheets/d/1GVExpf-Exi_2gmuqTYH28fseTB9MoKPXWcXCbSt_YrM/edit?usp=share_link"",""หนองคาย!I399"")+IMPORTRANGE(""https://docs.google.com/spreadsheets/d/16UeMz0UgOB5BZcoxP75eYGcLFtG"&amp;"YRn9GoesD4OX9m5U/edit?usp=share_link"",""หนองบัวลำภู!I399"")+IMPORTRANGE(""https://docs.google.com/spreadsheets/d/1uUP8Zo1-qaJLuIkRU0qlwLSE3DHkbdrrj2JGJiWBQZE/edit?usp=share_link"",""อำนาจเจริญ!I399"")+IMPORTRANGE(""https://docs.google.com/spreadsheets/d/"&amp;"1hb_taSOHanzRjqfzWPiFo8yiT83VV1L7vvUCLhOiHKc/edit?usp=share_link"",""อุดรธานี!I399"")+IMPORTRANGE(""https://docs.google.com/spreadsheets/d/17IOkEwkUd63EGNfyNDnM5de9YlZ7rwzTiW6-dokVjKI/edit?usp=share_link"",""อุบลราชธานี!I399"")
"),0)</f>
        <v>0</v>
      </c>
      <c r="J399" s="183">
        <f ca="1">IFERROR(__xludf.DUMMYFUNCTION("IMPORTRANGE(""https://docs.google.com/spreadsheets/d/1fb2B9NLcpJgjIieIJvenUTNPn0TimZDUi0OtYeiSQ_s/edit?usp=share_link"",""กาฬสินธุ์!J399"")+IMPORTRANGE(""https://docs.google.com/spreadsheets/d/1SaMnqrwRGmFYNR0MhpWmHuL5niYUd5E7vDq8X7whAlI/edit?usp=share_li"&amp;"nk"",""ขอนแก่น!J399"")
+IMPORTRANGE(""https://docs.google.com/spreadsheets/d/1xQzEtGHhTTgxHh6YUkKY1P4dRyjVhS74dGswLfAASA4/edit?usp=share_link"",""ชัยภูมิ!J399"")+IMPORTRANGE(""https://docs.google.com/spreadsheets/d/1EXMBoBxU3OFbjT2TRpneM33qFjqDzrKmn9ydcfl"&amp;"fI0o/edit?usp=share_link"",""นครพนม!J399"")+IMPORTRANGE(""https://docs.google.com/spreadsheets/d/1bDQrolntRWtHumK8W-x-HXKntwxB9S3sF5aDeRS66Ko/edit?usp=share_link"",""นครราชสีมา!J399"")+IMPORTRANGE(""https://docs.google.com/spreadsheets/d/1_MzZ-2gVPiCW-d2V"&amp;"cafoCmFJQTSrZ6SQyFcMqRRQQ2w/edit?usp=share_link"",""บึงกาฬ!J399"")
+IMPORTRANGE(""https://docs.google.com/spreadsheets/d/1B3lPpzOuaNwVItLwLEZYl_qEblfcx7dRnbRkAw0l-pE/edit?usp=share_link"",""บุรีรัมย์!J399"")+IMPORTRANGE(""https://docs.google.com/spreadshe"&amp;"ets/d/19GOkiOqnzYbevLYWrMk4qFOXe3rX14BkSA8X-mq-a40/edit?usp=share_link"",""มหาสารคาม!J399"")+IMPORTRANGE(""https://docs.google.com/spreadsheets/d/1uMKqWwuNQ-TCKboGA3Bb1qXb5uj2-faACNUINCz8PN4/edit?usp=share_link"",""มุกดาหาร!J399"")+IMPORTRANGE(""https://d"&amp;"ocs.google.com/spreadsheets/d/1oKaccgDdQABndOzGr688Dbfxb_V3YcF67VqEPBtdzsc/edit?usp=share_link"",""ยโสธร!J399"")+IMPORTRANGE(""https://docs.google.com/spreadsheets/d/1BRgc8xKpxZ0PX-gauieMVkV_IOxKSotf0yW8MabGprQ/edit?usp=share_link"",""ร้อยเอ็ด!J399"")+IMP"&amp;"ORTRANGE(""https://docs.google.com/spreadsheets/d/1IdolZc-dfdgMwAm_KZxYJl1sUOcIgnbGQzbWOlddedo/edit?usp=share_link"",""เลย!J399"")+IMPORTRANGE(""https://docs.google.com/spreadsheets/d/1tZ0nmtGuIRCaGAMXHlQU8EpR9LOAJvyKfc4f7EFmE34/edit?usp=share_link"",""ศร"&amp;"ีสะเกษ!J399"")+IMPORTRANGE(""https://docs.google.com/spreadsheets/d/1QC8psz9w0f9IVE9Xuc2FT_btkaOzZbbUSgYObpBuetM/edit?usp=share_link"",""สกลนคร!J399"")+IMPORTRANGE(""https://docs.google.com/spreadsheets/d/1wPdvRbu02d33MYVlbsCnyTiZpefEBs9NNktAnT1HZvw/edit?"&amp;"usp=share_link"",""สุรินทร์!J399"")+IMPORTRANGE(""https://docs.google.com/spreadsheets/d/1GVExpf-Exi_2gmuqTYH28fseTB9MoKPXWcXCbSt_YrM/edit?usp=share_link"",""หนองคาย!J399"")+IMPORTRANGE(""https://docs.google.com/spreadsheets/d/16UeMz0UgOB5BZcoxP75eYGcLFtG"&amp;"YRn9GoesD4OX9m5U/edit?usp=share_link"",""หนองบัวลำภู!J399"")+IMPORTRANGE(""https://docs.google.com/spreadsheets/d/1uUP8Zo1-qaJLuIkRU0qlwLSE3DHkbdrrj2JGJiWBQZE/edit?usp=share_link"",""อำนาจเจริญ!J399"")+IMPORTRANGE(""https://docs.google.com/spreadsheets/d/"&amp;"1hb_taSOHanzRjqfzWPiFo8yiT83VV1L7vvUCLhOiHKc/edit?usp=share_link"",""อุดรธานี!J399"")+IMPORTRANGE(""https://docs.google.com/spreadsheets/d/17IOkEwkUd63EGNfyNDnM5de9YlZ7rwzTiW6-dokVjKI/edit?usp=share_link"",""อุบลราชธานี!J399"")
"),0)</f>
        <v>0</v>
      </c>
      <c r="K399" s="38">
        <f t="shared" ref="K399:K401" ca="1" si="200">IF(I399&gt;0,J399*100/I399,0)</f>
        <v>0</v>
      </c>
      <c r="L399" s="534"/>
      <c r="M399" s="534"/>
      <c r="N399" s="534"/>
      <c r="O399" s="534"/>
      <c r="P399" s="534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fb2B9NLcpJgjIieIJvenUTNPn0TimZDUi0OtYeiSQ_s/edit?usp=share_link"",""กาฬสินธุ์!I400"")+IMPORTRANGE(""https://docs.google.com/spreadsheets/d/1SaMnqrwRGmFYNR0MhpWmHuL5niYUd5E7vDq8X7whAlI/edit?usp=share_li"&amp;"nk"",""ขอนแก่น!I400"")
+IMPORTRANGE(""https://docs.google.com/spreadsheets/d/1xQzEtGHhTTgxHh6YUkKY1P4dRyjVhS74dGswLfAASA4/edit?usp=share_link"",""ชัยภูมิ!I400"")+IMPORTRANGE(""https://docs.google.com/spreadsheets/d/1EXMBoBxU3OFbjT2TRpneM33qFjqDzrKmn9ydcfl"&amp;"fI0o/edit?usp=share_link"",""นครพนม!I400"")+IMPORTRANGE(""https://docs.google.com/spreadsheets/d/1bDQrolntRWtHumK8W-x-HXKntwxB9S3sF5aDeRS66Ko/edit?usp=share_link"",""นครราชสีมา!I400"")+IMPORTRANGE(""https://docs.google.com/spreadsheets/d/1_MzZ-2gVPiCW-d2V"&amp;"cafoCmFJQTSrZ6SQyFcMqRRQQ2w/edit?usp=share_link"",""บึงกาฬ!I400"")
+IMPORTRANGE(""https://docs.google.com/spreadsheets/d/1B3lPpzOuaNwVItLwLEZYl_qEblfcx7dRnbRkAw0l-pE/edit?usp=share_link"",""บุรีรัมย์!I400"")+IMPORTRANGE(""https://docs.google.com/spreadshe"&amp;"ets/d/19GOkiOqnzYbevLYWrMk4qFOXe3rX14BkSA8X-mq-a40/edit?usp=share_link"",""มหาสารคาม!I400"")+IMPORTRANGE(""https://docs.google.com/spreadsheets/d/1uMKqWwuNQ-TCKboGA3Bb1qXb5uj2-faACNUINCz8PN4/edit?usp=share_link"",""มุกดาหาร!I400"")+IMPORTRANGE(""https://d"&amp;"ocs.google.com/spreadsheets/d/1oKaccgDdQABndOzGr688Dbfxb_V3YcF67VqEPBtdzsc/edit?usp=share_link"",""ยโสธร!I400"")+IMPORTRANGE(""https://docs.google.com/spreadsheets/d/1BRgc8xKpxZ0PX-gauieMVkV_IOxKSotf0yW8MabGprQ/edit?usp=share_link"",""ร้อยเอ็ด!I400"")+IMP"&amp;"ORTRANGE(""https://docs.google.com/spreadsheets/d/1IdolZc-dfdgMwAm_KZxYJl1sUOcIgnbGQzbWOlddedo/edit?usp=share_link"",""เลย!I400"")+IMPORTRANGE(""https://docs.google.com/spreadsheets/d/1tZ0nmtGuIRCaGAMXHlQU8EpR9LOAJvyKfc4f7EFmE34/edit?usp=share_link"",""ศร"&amp;"ีสะเกษ!I400"")+IMPORTRANGE(""https://docs.google.com/spreadsheets/d/1QC8psz9w0f9IVE9Xuc2FT_btkaOzZbbUSgYObpBuetM/edit?usp=share_link"",""สกลนคร!I400"")+IMPORTRANGE(""https://docs.google.com/spreadsheets/d/1wPdvRbu02d33MYVlbsCnyTiZpefEBs9NNktAnT1HZvw/edit?"&amp;"usp=share_link"",""สุรินทร์!I400"")+IMPORTRANGE(""https://docs.google.com/spreadsheets/d/1GVExpf-Exi_2gmuqTYH28fseTB9MoKPXWcXCbSt_YrM/edit?usp=share_link"",""หนองคาย!I400"")+IMPORTRANGE(""https://docs.google.com/spreadsheets/d/16UeMz0UgOB5BZcoxP75eYGcLFtG"&amp;"YRn9GoesD4OX9m5U/edit?usp=share_link"",""หนองบัวลำภู!I400"")+IMPORTRANGE(""https://docs.google.com/spreadsheets/d/1uUP8Zo1-qaJLuIkRU0qlwLSE3DHkbdrrj2JGJiWBQZE/edit?usp=share_link"",""อำนาจเจริญ!I400"")+IMPORTRANGE(""https://docs.google.com/spreadsheets/d/"&amp;"1hb_taSOHanzRjqfzWPiFo8yiT83VV1L7vvUCLhOiHKc/edit?usp=share_link"",""อุดรธานี!I400"")+IMPORTRANGE(""https://docs.google.com/spreadsheets/d/17IOkEwkUd63EGNfyNDnM5de9YlZ7rwzTiW6-dokVjKI/edit?usp=share_link"",""อุบลราชธานี!I400"")
"),0)</f>
        <v>0</v>
      </c>
      <c r="J400" s="183">
        <f ca="1">IFERROR(__xludf.DUMMYFUNCTION("IMPORTRANGE(""https://docs.google.com/spreadsheets/d/1fb2B9NLcpJgjIieIJvenUTNPn0TimZDUi0OtYeiSQ_s/edit?usp=share_link"",""กาฬสินธุ์!J400"")+IMPORTRANGE(""https://docs.google.com/spreadsheets/d/1SaMnqrwRGmFYNR0MhpWmHuL5niYUd5E7vDq8X7whAlI/edit?usp=share_li"&amp;"nk"",""ขอนแก่น!J400"")
+IMPORTRANGE(""https://docs.google.com/spreadsheets/d/1xQzEtGHhTTgxHh6YUkKY1P4dRyjVhS74dGswLfAASA4/edit?usp=share_link"",""ชัยภูมิ!J400"")+IMPORTRANGE(""https://docs.google.com/spreadsheets/d/1EXMBoBxU3OFbjT2TRpneM33qFjqDzrKmn9ydcfl"&amp;"fI0o/edit?usp=share_link"",""นครพนม!J400"")+IMPORTRANGE(""https://docs.google.com/spreadsheets/d/1bDQrolntRWtHumK8W-x-HXKntwxB9S3sF5aDeRS66Ko/edit?usp=share_link"",""นครราชสีมา!J400"")+IMPORTRANGE(""https://docs.google.com/spreadsheets/d/1_MzZ-2gVPiCW-d2V"&amp;"cafoCmFJQTSrZ6SQyFcMqRRQQ2w/edit?usp=share_link"",""บึงกาฬ!J400"")
+IMPORTRANGE(""https://docs.google.com/spreadsheets/d/1B3lPpzOuaNwVItLwLEZYl_qEblfcx7dRnbRkAw0l-pE/edit?usp=share_link"",""บุรีรัมย์!J400"")+IMPORTRANGE(""https://docs.google.com/spreadshe"&amp;"ets/d/19GOkiOqnzYbevLYWrMk4qFOXe3rX14BkSA8X-mq-a40/edit?usp=share_link"",""มหาสารคาม!J400"")+IMPORTRANGE(""https://docs.google.com/spreadsheets/d/1uMKqWwuNQ-TCKboGA3Bb1qXb5uj2-faACNUINCz8PN4/edit?usp=share_link"",""มุกดาหาร!J400"")+IMPORTRANGE(""https://d"&amp;"ocs.google.com/spreadsheets/d/1oKaccgDdQABndOzGr688Dbfxb_V3YcF67VqEPBtdzsc/edit?usp=share_link"",""ยโสธร!J400"")+IMPORTRANGE(""https://docs.google.com/spreadsheets/d/1BRgc8xKpxZ0PX-gauieMVkV_IOxKSotf0yW8MabGprQ/edit?usp=share_link"",""ร้อยเอ็ด!J400"")+IMP"&amp;"ORTRANGE(""https://docs.google.com/spreadsheets/d/1IdolZc-dfdgMwAm_KZxYJl1sUOcIgnbGQzbWOlddedo/edit?usp=share_link"",""เลย!J400"")+IMPORTRANGE(""https://docs.google.com/spreadsheets/d/1tZ0nmtGuIRCaGAMXHlQU8EpR9LOAJvyKfc4f7EFmE34/edit?usp=share_link"",""ศร"&amp;"ีสะเกษ!J400"")+IMPORTRANGE(""https://docs.google.com/spreadsheets/d/1QC8psz9w0f9IVE9Xuc2FT_btkaOzZbbUSgYObpBuetM/edit?usp=share_link"",""สกลนคร!J400"")+IMPORTRANGE(""https://docs.google.com/spreadsheets/d/1wPdvRbu02d33MYVlbsCnyTiZpefEBs9NNktAnT1HZvw/edit?"&amp;"usp=share_link"",""สุรินทร์!J400"")+IMPORTRANGE(""https://docs.google.com/spreadsheets/d/1GVExpf-Exi_2gmuqTYH28fseTB9MoKPXWcXCbSt_YrM/edit?usp=share_link"",""หนองคาย!J400"")+IMPORTRANGE(""https://docs.google.com/spreadsheets/d/16UeMz0UgOB5BZcoxP75eYGcLFtG"&amp;"YRn9GoesD4OX9m5U/edit?usp=share_link"",""หนองบัวลำภู!J400"")+IMPORTRANGE(""https://docs.google.com/spreadsheets/d/1uUP8Zo1-qaJLuIkRU0qlwLSE3DHkbdrrj2JGJiWBQZE/edit?usp=share_link"",""อำนาจเจริญ!J400"")+IMPORTRANGE(""https://docs.google.com/spreadsheets/d/"&amp;"1hb_taSOHanzRjqfzWPiFo8yiT83VV1L7vvUCLhOiHKc/edit?usp=share_link"",""อุดรธานี!J400"")+IMPORTRANGE(""https://docs.google.com/spreadsheets/d/17IOkEwkUd63EGNfyNDnM5de9YlZ7rwzTiW6-dokVjKI/edit?usp=share_link"",""อุบลราชธานี!J400"")
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19.5" hidden="1">
      <c r="A401" s="521"/>
      <c r="B401" s="522" t="s">
        <v>177</v>
      </c>
      <c r="C401" s="523"/>
      <c r="D401" s="524"/>
      <c r="E401" s="524"/>
      <c r="F401" s="524"/>
      <c r="G401" s="525"/>
      <c r="H401" s="526" t="s">
        <v>66</v>
      </c>
      <c r="I401" s="527">
        <f t="shared" ref="I401:J401" ca="1" si="201">I412</f>
        <v>0</v>
      </c>
      <c r="J401" s="527">
        <f t="shared" ca="1" si="201"/>
        <v>0</v>
      </c>
      <c r="K401" s="528">
        <f t="shared" ca="1" si="200"/>
        <v>0</v>
      </c>
      <c r="L401" s="529"/>
      <c r="M401" s="529"/>
      <c r="N401" s="529"/>
      <c r="O401" s="529"/>
      <c r="P401" s="529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0</v>
      </c>
      <c r="M402" s="155">
        <f t="shared" ca="1" si="202"/>
        <v>0</v>
      </c>
      <c r="N402" s="155">
        <f t="shared" ca="1" si="202"/>
        <v>0</v>
      </c>
      <c r="O402" s="155">
        <f t="shared" ref="O402:O410" ca="1" si="203">IF(L402&gt;0,N402*100/L402,0)</f>
        <v>0</v>
      </c>
      <c r="P402" s="155">
        <f t="shared" ref="P402:P410" ca="1" si="204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0</v>
      </c>
      <c r="M404" s="45">
        <f t="shared" ca="1" si="206"/>
        <v>0</v>
      </c>
      <c r="N404" s="45">
        <f t="shared" ca="1" si="206"/>
        <v>0</v>
      </c>
      <c r="O404" s="45">
        <f t="shared" ca="1" si="203"/>
        <v>0</v>
      </c>
      <c r="P404" s="45">
        <f t="shared" ca="1" si="204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fb2B9NLcpJgjIieIJvenUTNPn0TimZDUi0OtYeiSQ_s/edit?usp=share_link"",""กาฬสินธุ์!L407"")+IMPORTRANGE(""https://docs.google.com/spreadsheets/d/1SaMnqrwRGmFYNR0MhpWmHuL5niYUd5E7vDq8X7whAlI/edit?usp=share_li"&amp;"nk"",""ขอนแก่น!L407"")
+IMPORTRANGE(""https://docs.google.com/spreadsheets/d/1xQzEtGHhTTgxHh6YUkKY1P4dRyjVhS74dGswLfAASA4/edit?usp=share_link"",""ชัยภูมิ!L407"")+IMPORTRANGE(""https://docs.google.com/spreadsheets/d/1EXMBoBxU3OFbjT2TRpneM33qFjqDzrKmn9ydcfl"&amp;"fI0o/edit?usp=share_link"",""นครพนม!L407"")+IMPORTRANGE(""https://docs.google.com/spreadsheets/d/1bDQrolntRWtHumK8W-x-HXKntwxB9S3sF5aDeRS66Ko/edit?usp=share_link"",""นครราชสีมา!L407"")+IMPORTRANGE(""https://docs.google.com/spreadsheets/d/1_MzZ-2gVPiCW-d2V"&amp;"cafoCmFJQTSrZ6SQyFcMqRRQQ2w/edit?usp=share_link"",""บึงกาฬ!L407"")
+IMPORTRANGE(""https://docs.google.com/spreadsheets/d/1B3lPpzOuaNwVItLwLEZYl_qEblfcx7dRnbRkAw0l-pE/edit?usp=share_link"",""บุรีรัมย์!L407"")+IMPORTRANGE(""https://docs.google.com/spreadshe"&amp;"ets/d/19GOkiOqnzYbevLYWrMk4qFOXe3rX14BkSA8X-mq-a40/edit?usp=share_link"",""มหาสารคาม!L407"")+IMPORTRANGE(""https://docs.google.com/spreadsheets/d/1uMKqWwuNQ-TCKboGA3Bb1qXb5uj2-faACNUINCz8PN4/edit?usp=share_link"",""มุกดาหาร!L407"")+IMPORTRANGE(""https://d"&amp;"ocs.google.com/spreadsheets/d/1oKaccgDdQABndOzGr688Dbfxb_V3YcF67VqEPBtdzsc/edit?usp=share_link"",""ยโสธร!L407"")+IMPORTRANGE(""https://docs.google.com/spreadsheets/d/1BRgc8xKpxZ0PX-gauieMVkV_IOxKSotf0yW8MabGprQ/edit?usp=share_link"",""ร้อยเอ็ด!L407"")+IMP"&amp;"ORTRANGE(""https://docs.google.com/spreadsheets/d/1IdolZc-dfdgMwAm_KZxYJl1sUOcIgnbGQzbWOlddedo/edit?usp=share_link"",""เลย!L407"")+IMPORTRANGE(""https://docs.google.com/spreadsheets/d/1tZ0nmtGuIRCaGAMXHlQU8EpR9LOAJvyKfc4f7EFmE34/edit?usp=share_link"",""ศร"&amp;"ีสะเกษ!L407"")+IMPORTRANGE(""https://docs.google.com/spreadsheets/d/1QC8psz9w0f9IVE9Xuc2FT_btkaOzZbbUSgYObpBuetM/edit?usp=share_link"",""สกลนคร!L407"")+IMPORTRANGE(""https://docs.google.com/spreadsheets/d/1wPdvRbu02d33MYVlbsCnyTiZpefEBs9NNktAnT1HZvw/edit?"&amp;"usp=share_link"",""สุรินทร์!L407"")+IMPORTRANGE(""https://docs.google.com/spreadsheets/d/1GVExpf-Exi_2gmuqTYH28fseTB9MoKPXWcXCbSt_YrM/edit?usp=share_link"",""หนองคาย!L407"")+IMPORTRANGE(""https://docs.google.com/spreadsheets/d/16UeMz0UgOB5BZcoxP75eYGcLFtG"&amp;"YRn9GoesD4OX9m5U/edit?usp=share_link"",""หนองบัวลำภู!L407"")+IMPORTRANGE(""https://docs.google.com/spreadsheets/d/1uUP8Zo1-qaJLuIkRU0qlwLSE3DHkbdrrj2JGJiWBQZE/edit?usp=share_link"",""อำนาจเจริญ!L407"")+IMPORTRANGE(""https://docs.google.com/spreadsheets/d/"&amp;"1hb_taSOHanzRjqfzWPiFo8yiT83VV1L7vvUCLhOiHKc/edit?usp=share_link"",""อุดรธานี!L407"")+IMPORTRANGE(""https://docs.google.com/spreadsheets/d/17IOkEwkUd63EGNfyNDnM5de9YlZ7rwzTiW6-dokVjKI/edit?usp=share_link"",""อุบลราชธานี!L407"")
"),0)</f>
        <v>0</v>
      </c>
      <c r="M407" s="45">
        <f ca="1">IFERROR(__xludf.DUMMYFUNCTION("IMPORTRANGE(""https://docs.google.com/spreadsheets/d/1fb2B9NLcpJgjIieIJvenUTNPn0TimZDUi0OtYeiSQ_s/edit?usp=share_link"",""กาฬสินธุ์!M407"")+IMPORTRANGE(""https://docs.google.com/spreadsheets/d/1SaMnqrwRGmFYNR0MhpWmHuL5niYUd5E7vDq8X7whAlI/edit?usp=share_li"&amp;"nk"",""ขอนแก่น!M407"")
+IMPORTRANGE(""https://docs.google.com/spreadsheets/d/1xQzEtGHhTTgxHh6YUkKY1P4dRyjVhS74dGswLfAASA4/edit?usp=share_link"",""ชัยภูมิ!M407"")+IMPORTRANGE(""https://docs.google.com/spreadsheets/d/1EXMBoBxU3OFbjT2TRpneM33qFjqDzrKmn9ydcfl"&amp;"fI0o/edit?usp=share_link"",""นครพนม!M407"")+IMPORTRANGE(""https://docs.google.com/spreadsheets/d/1bDQrolntRWtHumK8W-x-HXKntwxB9S3sF5aDeRS66Ko/edit?usp=share_link"",""นครราชสีมา!M407"")+IMPORTRANGE(""https://docs.google.com/spreadsheets/d/1_MzZ-2gVPiCW-d2V"&amp;"cafoCmFJQTSrZ6SQyFcMqRRQQ2w/edit?usp=share_link"",""บึงกาฬ!M407"")
+IMPORTRANGE(""https://docs.google.com/spreadsheets/d/1B3lPpzOuaNwVItLwLEZYl_qEblfcx7dRnbRkAw0l-pE/edit?usp=share_link"",""บุรีรัมย์!M407"")+IMPORTRANGE(""https://docs.google.com/spreadshe"&amp;"ets/d/19GOkiOqnzYbevLYWrMk4qFOXe3rX14BkSA8X-mq-a40/edit?usp=share_link"",""มหาสารคาม!M407"")+IMPORTRANGE(""https://docs.google.com/spreadsheets/d/1uMKqWwuNQ-TCKboGA3Bb1qXb5uj2-faACNUINCz8PN4/edit?usp=share_link"",""มุกดาหาร!M407"")+IMPORTRANGE(""https://d"&amp;"ocs.google.com/spreadsheets/d/1oKaccgDdQABndOzGr688Dbfxb_V3YcF67VqEPBtdzsc/edit?usp=share_link"",""ยโสธร!M407"")+IMPORTRANGE(""https://docs.google.com/spreadsheets/d/1BRgc8xKpxZ0PX-gauieMVkV_IOxKSotf0yW8MabGprQ/edit?usp=share_link"",""ร้อยเอ็ด!M407"")+IMP"&amp;"ORTRANGE(""https://docs.google.com/spreadsheets/d/1IdolZc-dfdgMwAm_KZxYJl1sUOcIgnbGQzbWOlddedo/edit?usp=share_link"",""เลย!M407"")+IMPORTRANGE(""https://docs.google.com/spreadsheets/d/1tZ0nmtGuIRCaGAMXHlQU8EpR9LOAJvyKfc4f7EFmE34/edit?usp=share_link"",""ศร"&amp;"ีสะเกษ!M407"")+IMPORTRANGE(""https://docs.google.com/spreadsheets/d/1QC8psz9w0f9IVE9Xuc2FT_btkaOzZbbUSgYObpBuetM/edit?usp=share_link"",""สกลนคร!M407"")+IMPORTRANGE(""https://docs.google.com/spreadsheets/d/1wPdvRbu02d33MYVlbsCnyTiZpefEBs9NNktAnT1HZvw/edit?"&amp;"usp=share_link"",""สุรินทร์!M407"")+IMPORTRANGE(""https://docs.google.com/spreadsheets/d/1GVExpf-Exi_2gmuqTYH28fseTB9MoKPXWcXCbSt_YrM/edit?usp=share_link"",""หนองคาย!M407"")+IMPORTRANGE(""https://docs.google.com/spreadsheets/d/16UeMz0UgOB5BZcoxP75eYGcLFtG"&amp;"YRn9GoesD4OX9m5U/edit?usp=share_link"",""หนองบัวลำภู!M407"")+IMPORTRANGE(""https://docs.google.com/spreadsheets/d/1uUP8Zo1-qaJLuIkRU0qlwLSE3DHkbdrrj2JGJiWBQZE/edit?usp=share_link"",""อำนาจเจริญ!M407"")+IMPORTRANGE(""https://docs.google.com/spreadsheets/d/"&amp;"1hb_taSOHanzRjqfzWPiFo8yiT83VV1L7vvUCLhOiHKc/edit?usp=share_link"",""อุดรธานี!M407"")+IMPORTRANGE(""https://docs.google.com/spreadsheets/d/17IOkEwkUd63EGNfyNDnM5de9YlZ7rwzTiW6-dokVjKI/edit?usp=share_link"",""อุบลราชธานี!M407"")
"),0)</f>
        <v>0</v>
      </c>
      <c r="N407" s="45">
        <f ca="1">IFERROR(__xludf.DUMMYFUNCTION("IMPORTRANGE(""https://docs.google.com/spreadsheets/d/1fb2B9NLcpJgjIieIJvenUTNPn0TimZDUi0OtYeiSQ_s/edit?usp=share_link"",""กาฬสินธุ์!N407"")+IMPORTRANGE(""https://docs.google.com/spreadsheets/d/1SaMnqrwRGmFYNR0MhpWmHuL5niYUd5E7vDq8X7whAlI/edit?usp=share_li"&amp;"nk"",""ขอนแก่น!N407"")
+IMPORTRANGE(""https://docs.google.com/spreadsheets/d/1xQzEtGHhTTgxHh6YUkKY1P4dRyjVhS74dGswLfAASA4/edit?usp=share_link"",""ชัยภูมิ!N407"")+IMPORTRANGE(""https://docs.google.com/spreadsheets/d/1EXMBoBxU3OFbjT2TRpneM33qFjqDzrKmn9ydcfl"&amp;"fI0o/edit?usp=share_link"",""นครพนม!N407"")+IMPORTRANGE(""https://docs.google.com/spreadsheets/d/1bDQrolntRWtHumK8W-x-HXKntwxB9S3sF5aDeRS66Ko/edit?usp=share_link"",""นครราชสีมา!N407"")+IMPORTRANGE(""https://docs.google.com/spreadsheets/d/1_MzZ-2gVPiCW-d2V"&amp;"cafoCmFJQTSrZ6SQyFcMqRRQQ2w/edit?usp=share_link"",""บึงกาฬ!N407"")
+IMPORTRANGE(""https://docs.google.com/spreadsheets/d/1B3lPpzOuaNwVItLwLEZYl_qEblfcx7dRnbRkAw0l-pE/edit?usp=share_link"",""บุรีรัมย์!N407"")+IMPORTRANGE(""https://docs.google.com/spreadshe"&amp;"ets/d/19GOkiOqnzYbevLYWrMk4qFOXe3rX14BkSA8X-mq-a40/edit?usp=share_link"",""มหาสารคาม!N407"")+IMPORTRANGE(""https://docs.google.com/spreadsheets/d/1uMKqWwuNQ-TCKboGA3Bb1qXb5uj2-faACNUINCz8PN4/edit?usp=share_link"",""มุกดาหาร!N407"")+IMPORTRANGE(""https://d"&amp;"ocs.google.com/spreadsheets/d/1oKaccgDdQABndOzGr688Dbfxb_V3YcF67VqEPBtdzsc/edit?usp=share_link"",""ยโสธร!N407"")+IMPORTRANGE(""https://docs.google.com/spreadsheets/d/1BRgc8xKpxZ0PX-gauieMVkV_IOxKSotf0yW8MabGprQ/edit?usp=share_link"",""ร้อยเอ็ด!N407"")+IMP"&amp;"ORTRANGE(""https://docs.google.com/spreadsheets/d/1IdolZc-dfdgMwAm_KZxYJl1sUOcIgnbGQzbWOlddedo/edit?usp=share_link"",""เลย!N407"")+IMPORTRANGE(""https://docs.google.com/spreadsheets/d/1tZ0nmtGuIRCaGAMXHlQU8EpR9LOAJvyKfc4f7EFmE34/edit?usp=share_link"",""ศร"&amp;"ีสะเกษ!N407"")+IMPORTRANGE(""https://docs.google.com/spreadsheets/d/1QC8psz9w0f9IVE9Xuc2FT_btkaOzZbbUSgYObpBuetM/edit?usp=share_link"",""สกลนคร!N407"")+IMPORTRANGE(""https://docs.google.com/spreadsheets/d/1wPdvRbu02d33MYVlbsCnyTiZpefEBs9NNktAnT1HZvw/edit?"&amp;"usp=share_link"",""สุรินทร์!N407"")+IMPORTRANGE(""https://docs.google.com/spreadsheets/d/1GVExpf-Exi_2gmuqTYH28fseTB9MoKPXWcXCbSt_YrM/edit?usp=share_link"",""หนองคาย!N407"")+IMPORTRANGE(""https://docs.google.com/spreadsheets/d/16UeMz0UgOB5BZcoxP75eYGcLFtG"&amp;"YRn9GoesD4OX9m5U/edit?usp=share_link"",""หนองบัวลำภู!N407"")+IMPORTRANGE(""https://docs.google.com/spreadsheets/d/1uUP8Zo1-qaJLuIkRU0qlwLSE3DHkbdrrj2JGJiWBQZE/edit?usp=share_link"",""อำนาจเจริญ!N407"")+IMPORTRANGE(""https://docs.google.com/spreadsheets/d/"&amp;"1hb_taSOHanzRjqfzWPiFo8yiT83VV1L7vvUCLhOiHKc/edit?usp=share_link"",""อุดรธานี!N407"")+IMPORTRANGE(""https://docs.google.com/spreadsheets/d/17IOkEwkUd63EGNfyNDnM5de9YlZ7rwzTiW6-dokVjKI/edit?usp=share_link"",""อุบลราชธานี!N407"")
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0</v>
      </c>
      <c r="M408" s="38">
        <f t="shared" ca="1" si="208"/>
        <v>0</v>
      </c>
      <c r="N408" s="38">
        <f t="shared" ca="1" si="208"/>
        <v>0</v>
      </c>
      <c r="O408" s="38">
        <f t="shared" ca="1" si="203"/>
        <v>0</v>
      </c>
      <c r="P408" s="38">
        <f t="shared" ca="1" si="204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fb2B9NLcpJgjIieIJvenUTNPn0TimZDUi0OtYeiSQ_s/edit?usp=share_link"",""กาฬสินธุ์!L410"")+IMPORTRANGE(""https://docs.google.com/spreadsheets/d/1SaMnqrwRGmFYNR0MhpWmHuL5niYUd5E7vDq8X7whAlI/edit?usp=share_li"&amp;"nk"",""ขอนแก่น!L410"")
+IMPORTRANGE(""https://docs.google.com/spreadsheets/d/1xQzEtGHhTTgxHh6YUkKY1P4dRyjVhS74dGswLfAASA4/edit?usp=share_link"",""ชัยภูมิ!L410"")+IMPORTRANGE(""https://docs.google.com/spreadsheets/d/1EXMBoBxU3OFbjT2TRpneM33qFjqDzrKmn9ydcfl"&amp;"fI0o/edit?usp=share_link"",""นครพนม!L410"")+IMPORTRANGE(""https://docs.google.com/spreadsheets/d/1bDQrolntRWtHumK8W-x-HXKntwxB9S3sF5aDeRS66Ko/edit?usp=share_link"",""นครราชสีมา!L410"")+IMPORTRANGE(""https://docs.google.com/spreadsheets/d/1_MzZ-2gVPiCW-d2V"&amp;"cafoCmFJQTSrZ6SQyFcMqRRQQ2w/edit?usp=share_link"",""บึงกาฬ!L410"")
+IMPORTRANGE(""https://docs.google.com/spreadsheets/d/1B3lPpzOuaNwVItLwLEZYl_qEblfcx7dRnbRkAw0l-pE/edit?usp=share_link"",""บุรีรัมย์!L410"")+IMPORTRANGE(""https://docs.google.com/spreadshe"&amp;"ets/d/19GOkiOqnzYbevLYWrMk4qFOXe3rX14BkSA8X-mq-a40/edit?usp=share_link"",""มหาสารคาม!L410"")+IMPORTRANGE(""https://docs.google.com/spreadsheets/d/1uMKqWwuNQ-TCKboGA3Bb1qXb5uj2-faACNUINCz8PN4/edit?usp=share_link"",""มุกดาหาร!L410"")+IMPORTRANGE(""https://d"&amp;"ocs.google.com/spreadsheets/d/1oKaccgDdQABndOzGr688Dbfxb_V3YcF67VqEPBtdzsc/edit?usp=share_link"",""ยโสธร!L410"")+IMPORTRANGE(""https://docs.google.com/spreadsheets/d/1BRgc8xKpxZ0PX-gauieMVkV_IOxKSotf0yW8MabGprQ/edit?usp=share_link"",""ร้อยเอ็ด!L410"")+IMP"&amp;"ORTRANGE(""https://docs.google.com/spreadsheets/d/1IdolZc-dfdgMwAm_KZxYJl1sUOcIgnbGQzbWOlddedo/edit?usp=share_link"",""เลย!L410"")+IMPORTRANGE(""https://docs.google.com/spreadsheets/d/1tZ0nmtGuIRCaGAMXHlQU8EpR9LOAJvyKfc4f7EFmE34/edit?usp=share_link"",""ศร"&amp;"ีสะเกษ!L410"")+IMPORTRANGE(""https://docs.google.com/spreadsheets/d/1QC8psz9w0f9IVE9Xuc2FT_btkaOzZbbUSgYObpBuetM/edit?usp=share_link"",""สกลนคร!L410"")+IMPORTRANGE(""https://docs.google.com/spreadsheets/d/1wPdvRbu02d33MYVlbsCnyTiZpefEBs9NNktAnT1HZvw/edit?"&amp;"usp=share_link"",""สุรินทร์!L410"")+IMPORTRANGE(""https://docs.google.com/spreadsheets/d/1GVExpf-Exi_2gmuqTYH28fseTB9MoKPXWcXCbSt_YrM/edit?usp=share_link"",""หนองคาย!L410"")+IMPORTRANGE(""https://docs.google.com/spreadsheets/d/16UeMz0UgOB5BZcoxP75eYGcLFtG"&amp;"YRn9GoesD4OX9m5U/edit?usp=share_link"",""หนองบัวลำภู!L410"")+IMPORTRANGE(""https://docs.google.com/spreadsheets/d/1uUP8Zo1-qaJLuIkRU0qlwLSE3DHkbdrrj2JGJiWBQZE/edit?usp=share_link"",""อำนาจเจริญ!L410"")+IMPORTRANGE(""https://docs.google.com/spreadsheets/d/"&amp;"1hb_taSOHanzRjqfzWPiFo8yiT83VV1L7vvUCLhOiHKc/edit?usp=share_link"",""อุดรธานี!L410"")+IMPORTRANGE(""https://docs.google.com/spreadsheets/d/17IOkEwkUd63EGNfyNDnM5de9YlZ7rwzTiW6-dokVjKI/edit?usp=share_link"",""อุบลราชธานี!L410"")
"),0)</f>
        <v>0</v>
      </c>
      <c r="M410" s="45">
        <f ca="1">IFERROR(__xludf.DUMMYFUNCTION("IMPORTRANGE(""https://docs.google.com/spreadsheets/d/1fb2B9NLcpJgjIieIJvenUTNPn0TimZDUi0OtYeiSQ_s/edit?usp=share_link"",""กาฬสินธุ์!M410"")+IMPORTRANGE(""https://docs.google.com/spreadsheets/d/1SaMnqrwRGmFYNR0MhpWmHuL5niYUd5E7vDq8X7whAlI/edit?usp=share_li"&amp;"nk"",""ขอนแก่น!M410"")
+IMPORTRANGE(""https://docs.google.com/spreadsheets/d/1xQzEtGHhTTgxHh6YUkKY1P4dRyjVhS74dGswLfAASA4/edit?usp=share_link"",""ชัยภูมิ!M410"")+IMPORTRANGE(""https://docs.google.com/spreadsheets/d/1EXMBoBxU3OFbjT2TRpneM33qFjqDzrKmn9ydcfl"&amp;"fI0o/edit?usp=share_link"",""นครพนม!M410"")+IMPORTRANGE(""https://docs.google.com/spreadsheets/d/1bDQrolntRWtHumK8W-x-HXKntwxB9S3sF5aDeRS66Ko/edit?usp=share_link"",""นครราชสีมา!M410"")+IMPORTRANGE(""https://docs.google.com/spreadsheets/d/1_MzZ-2gVPiCW-d2V"&amp;"cafoCmFJQTSrZ6SQyFcMqRRQQ2w/edit?usp=share_link"",""บึงกาฬ!M410"")
+IMPORTRANGE(""https://docs.google.com/spreadsheets/d/1B3lPpzOuaNwVItLwLEZYl_qEblfcx7dRnbRkAw0l-pE/edit?usp=share_link"",""บุรีรัมย์!M410"")+IMPORTRANGE(""https://docs.google.com/spreadshe"&amp;"ets/d/19GOkiOqnzYbevLYWrMk4qFOXe3rX14BkSA8X-mq-a40/edit?usp=share_link"",""มหาสารคาม!M410"")+IMPORTRANGE(""https://docs.google.com/spreadsheets/d/1uMKqWwuNQ-TCKboGA3Bb1qXb5uj2-faACNUINCz8PN4/edit?usp=share_link"",""มุกดาหาร!M410"")+IMPORTRANGE(""https://d"&amp;"ocs.google.com/spreadsheets/d/1oKaccgDdQABndOzGr688Dbfxb_V3YcF67VqEPBtdzsc/edit?usp=share_link"",""ยโสธร!M410"")+IMPORTRANGE(""https://docs.google.com/spreadsheets/d/1BRgc8xKpxZ0PX-gauieMVkV_IOxKSotf0yW8MabGprQ/edit?usp=share_link"",""ร้อยเอ็ด!M410"")+IMP"&amp;"ORTRANGE(""https://docs.google.com/spreadsheets/d/1IdolZc-dfdgMwAm_KZxYJl1sUOcIgnbGQzbWOlddedo/edit?usp=share_link"",""เลย!M410"")+IMPORTRANGE(""https://docs.google.com/spreadsheets/d/1tZ0nmtGuIRCaGAMXHlQU8EpR9LOAJvyKfc4f7EFmE34/edit?usp=share_link"",""ศร"&amp;"ีสะเกษ!M410"")+IMPORTRANGE(""https://docs.google.com/spreadsheets/d/1QC8psz9w0f9IVE9Xuc2FT_btkaOzZbbUSgYObpBuetM/edit?usp=share_link"",""สกลนคร!M410"")+IMPORTRANGE(""https://docs.google.com/spreadsheets/d/1wPdvRbu02d33MYVlbsCnyTiZpefEBs9NNktAnT1HZvw/edit?"&amp;"usp=share_link"",""สุรินทร์!M410"")+IMPORTRANGE(""https://docs.google.com/spreadsheets/d/1GVExpf-Exi_2gmuqTYH28fseTB9MoKPXWcXCbSt_YrM/edit?usp=share_link"",""หนองคาย!M410"")+IMPORTRANGE(""https://docs.google.com/spreadsheets/d/16UeMz0UgOB5BZcoxP75eYGcLFtG"&amp;"YRn9GoesD4OX9m5U/edit?usp=share_link"",""หนองบัวลำภู!M410"")+IMPORTRANGE(""https://docs.google.com/spreadsheets/d/1uUP8Zo1-qaJLuIkRU0qlwLSE3DHkbdrrj2JGJiWBQZE/edit?usp=share_link"",""อำนาจเจริญ!M410"")+IMPORTRANGE(""https://docs.google.com/spreadsheets/d/"&amp;"1hb_taSOHanzRjqfzWPiFo8yiT83VV1L7vvUCLhOiHKc/edit?usp=share_link"",""อุดรธานี!M410"")+IMPORTRANGE(""https://docs.google.com/spreadsheets/d/17IOkEwkUd63EGNfyNDnM5de9YlZ7rwzTiW6-dokVjKI/edit?usp=share_link"",""อุบลราชธานี!M410"")
"),0)</f>
        <v>0</v>
      </c>
      <c r="N410" s="45">
        <f ca="1">IFERROR(__xludf.DUMMYFUNCTION("IMPORTRANGE(""https://docs.google.com/spreadsheets/d/1fb2B9NLcpJgjIieIJvenUTNPn0TimZDUi0OtYeiSQ_s/edit?usp=share_link"",""กาฬสินธุ์!N410"")+IMPORTRANGE(""https://docs.google.com/spreadsheets/d/1SaMnqrwRGmFYNR0MhpWmHuL5niYUd5E7vDq8X7whAlI/edit?usp=share_li"&amp;"nk"",""ขอนแก่น!N410"")
+IMPORTRANGE(""https://docs.google.com/spreadsheets/d/1xQzEtGHhTTgxHh6YUkKY1P4dRyjVhS74dGswLfAASA4/edit?usp=share_link"",""ชัยภูมิ!N410"")+IMPORTRANGE(""https://docs.google.com/spreadsheets/d/1EXMBoBxU3OFbjT2TRpneM33qFjqDzrKmn9ydcfl"&amp;"fI0o/edit?usp=share_link"",""นครพนม!N410"")+IMPORTRANGE(""https://docs.google.com/spreadsheets/d/1bDQrolntRWtHumK8W-x-HXKntwxB9S3sF5aDeRS66Ko/edit?usp=share_link"",""นครราชสีมา!N410"")+IMPORTRANGE(""https://docs.google.com/spreadsheets/d/1_MzZ-2gVPiCW-d2V"&amp;"cafoCmFJQTSrZ6SQyFcMqRRQQ2w/edit?usp=share_link"",""บึงกาฬ!N410"")
+IMPORTRANGE(""https://docs.google.com/spreadsheets/d/1B3lPpzOuaNwVItLwLEZYl_qEblfcx7dRnbRkAw0l-pE/edit?usp=share_link"",""บุรีรัมย์!N410"")+IMPORTRANGE(""https://docs.google.com/spreadshe"&amp;"ets/d/19GOkiOqnzYbevLYWrMk4qFOXe3rX14BkSA8X-mq-a40/edit?usp=share_link"",""มหาสารคาม!N410"")+IMPORTRANGE(""https://docs.google.com/spreadsheets/d/1uMKqWwuNQ-TCKboGA3Bb1qXb5uj2-faACNUINCz8PN4/edit?usp=share_link"",""มุกดาหาร!N410"")+IMPORTRANGE(""https://d"&amp;"ocs.google.com/spreadsheets/d/1oKaccgDdQABndOzGr688Dbfxb_V3YcF67VqEPBtdzsc/edit?usp=share_link"",""ยโสธร!N410"")+IMPORTRANGE(""https://docs.google.com/spreadsheets/d/1BRgc8xKpxZ0PX-gauieMVkV_IOxKSotf0yW8MabGprQ/edit?usp=share_link"",""ร้อยเอ็ด!N410"")+IMP"&amp;"ORTRANGE(""https://docs.google.com/spreadsheets/d/1IdolZc-dfdgMwAm_KZxYJl1sUOcIgnbGQzbWOlddedo/edit?usp=share_link"",""เลย!N410"")+IMPORTRANGE(""https://docs.google.com/spreadsheets/d/1tZ0nmtGuIRCaGAMXHlQU8EpR9LOAJvyKfc4f7EFmE34/edit?usp=share_link"",""ศร"&amp;"ีสะเกษ!N410"")+IMPORTRANGE(""https://docs.google.com/spreadsheets/d/1QC8psz9w0f9IVE9Xuc2FT_btkaOzZbbUSgYObpBuetM/edit?usp=share_link"",""สกลนคร!N410"")+IMPORTRANGE(""https://docs.google.com/spreadsheets/d/1wPdvRbu02d33MYVlbsCnyTiZpefEBs9NNktAnT1HZvw/edit?"&amp;"usp=share_link"",""สุรินทร์!N410"")+IMPORTRANGE(""https://docs.google.com/spreadsheets/d/1GVExpf-Exi_2gmuqTYH28fseTB9MoKPXWcXCbSt_YrM/edit?usp=share_link"",""หนองคาย!N410"")+IMPORTRANGE(""https://docs.google.com/spreadsheets/d/16UeMz0UgOB5BZcoxP75eYGcLFtG"&amp;"YRn9GoesD4OX9m5U/edit?usp=share_link"",""หนองบัวลำภู!N410"")+IMPORTRANGE(""https://docs.google.com/spreadsheets/d/1uUP8Zo1-qaJLuIkRU0qlwLSE3DHkbdrrj2JGJiWBQZE/edit?usp=share_link"",""อำนาจเจริญ!N410"")+IMPORTRANGE(""https://docs.google.com/spreadsheets/d/"&amp;"1hb_taSOHanzRjqfzWPiFo8yiT83VV1L7vvUCLhOiHKc/edit?usp=share_link"",""อุดรธานี!N410"")+IMPORTRANGE(""https://docs.google.com/spreadsheets/d/17IOkEwkUd63EGNfyNDnM5de9YlZ7rwzTiW6-dokVjKI/edit?usp=share_link"",""อุบลราชธานี!N410"")
"),0)</f>
        <v>0</v>
      </c>
      <c r="O410" s="45">
        <f t="shared" ca="1" si="203"/>
        <v>0</v>
      </c>
      <c r="P410" s="45">
        <f t="shared" ca="1" si="204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535" t="s">
        <v>38</v>
      </c>
      <c r="E411" s="536"/>
      <c r="F411" s="536"/>
      <c r="G411" s="537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178</v>
      </c>
      <c r="E412" s="178"/>
      <c r="F412" s="178"/>
      <c r="G412" s="179"/>
      <c r="H412" s="538" t="s">
        <v>66</v>
      </c>
      <c r="I412" s="270">
        <f ca="1">IFERROR(__xludf.DUMMYFUNCTION("IMPORTRANGE(""https://docs.google.com/spreadsheets/d/1fb2B9NLcpJgjIieIJvenUTNPn0TimZDUi0OtYeiSQ_s/edit?usp=share_link"",""กาฬสินธุ์!I412"")+IMPORTRANGE(""https://docs.google.com/spreadsheets/d/1SaMnqrwRGmFYNR0MhpWmHuL5niYUd5E7vDq8X7whAlI/edit?usp=share_li"&amp;"nk"",""ขอนแก่น!I412"")
+IMPORTRANGE(""https://docs.google.com/spreadsheets/d/1xQzEtGHhTTgxHh6YUkKY1P4dRyjVhS74dGswLfAASA4/edit?usp=share_link"",""ชัยภูมิ!I412"")+IMPORTRANGE(""https://docs.google.com/spreadsheets/d/1EXMBoBxU3OFbjT2TRpneM33qFjqDzrKmn9ydcfl"&amp;"fI0o/edit?usp=share_link"",""นครพนม!I412"")+IMPORTRANGE(""https://docs.google.com/spreadsheets/d/1bDQrolntRWtHumK8W-x-HXKntwxB9S3sF5aDeRS66Ko/edit?usp=share_link"",""นครราชสีมา!I412"")+IMPORTRANGE(""https://docs.google.com/spreadsheets/d/1_MzZ-2gVPiCW-d2V"&amp;"cafoCmFJQTSrZ6SQyFcMqRRQQ2w/edit?usp=share_link"",""บึงกาฬ!I412"")
+IMPORTRANGE(""https://docs.google.com/spreadsheets/d/1B3lPpzOuaNwVItLwLEZYl_qEblfcx7dRnbRkAw0l-pE/edit?usp=share_link"",""บุรีรัมย์!I412"")+IMPORTRANGE(""https://docs.google.com/spreadshe"&amp;"ets/d/19GOkiOqnzYbevLYWrMk4qFOXe3rX14BkSA8X-mq-a40/edit?usp=share_link"",""มหาสารคาม!I412"")+IMPORTRANGE(""https://docs.google.com/spreadsheets/d/1uMKqWwuNQ-TCKboGA3Bb1qXb5uj2-faACNUINCz8PN4/edit?usp=share_link"",""มุกดาหาร!I412"")+IMPORTRANGE(""https://d"&amp;"ocs.google.com/spreadsheets/d/1oKaccgDdQABndOzGr688Dbfxb_V3YcF67VqEPBtdzsc/edit?usp=share_link"",""ยโสธร!I412"")+IMPORTRANGE(""https://docs.google.com/spreadsheets/d/1BRgc8xKpxZ0PX-gauieMVkV_IOxKSotf0yW8MabGprQ/edit?usp=share_link"",""ร้อยเอ็ด!I412"")+IMP"&amp;"ORTRANGE(""https://docs.google.com/spreadsheets/d/1IdolZc-dfdgMwAm_KZxYJl1sUOcIgnbGQzbWOlddedo/edit?usp=share_link"",""เลย!I412"")+IMPORTRANGE(""https://docs.google.com/spreadsheets/d/1tZ0nmtGuIRCaGAMXHlQU8EpR9LOAJvyKfc4f7EFmE34/edit?usp=share_link"",""ศร"&amp;"ีสะเกษ!I412"")+IMPORTRANGE(""https://docs.google.com/spreadsheets/d/1QC8psz9w0f9IVE9Xuc2FT_btkaOzZbbUSgYObpBuetM/edit?usp=share_link"",""สกลนคร!I412"")+IMPORTRANGE(""https://docs.google.com/spreadsheets/d/1wPdvRbu02d33MYVlbsCnyTiZpefEBs9NNktAnT1HZvw/edit?"&amp;"usp=share_link"",""สุรินทร์!I412"")+IMPORTRANGE(""https://docs.google.com/spreadsheets/d/1GVExpf-Exi_2gmuqTYH28fseTB9MoKPXWcXCbSt_YrM/edit?usp=share_link"",""หนองคาย!I412"")+IMPORTRANGE(""https://docs.google.com/spreadsheets/d/16UeMz0UgOB5BZcoxP75eYGcLFtG"&amp;"YRn9GoesD4OX9m5U/edit?usp=share_link"",""หนองบัวลำภู!I412"")+IMPORTRANGE(""https://docs.google.com/spreadsheets/d/1uUP8Zo1-qaJLuIkRU0qlwLSE3DHkbdrrj2JGJiWBQZE/edit?usp=share_link"",""อำนาจเจริญ!I412"")+IMPORTRANGE(""https://docs.google.com/spreadsheets/d/"&amp;"1hb_taSOHanzRjqfzWPiFo8yiT83VV1L7vvUCLhOiHKc/edit?usp=share_link"",""อุดรธานี!I412"")+IMPORTRANGE(""https://docs.google.com/spreadsheets/d/17IOkEwkUd63EGNfyNDnM5de9YlZ7rwzTiW6-dokVjKI/edit?usp=share_link"",""อุบลราชธานี!I412"")
"),0)</f>
        <v>0</v>
      </c>
      <c r="J412" s="183">
        <f ca="1">IFERROR(__xludf.DUMMYFUNCTION("IMPORTRANGE(""https://docs.google.com/spreadsheets/d/1fb2B9NLcpJgjIieIJvenUTNPn0TimZDUi0OtYeiSQ_s/edit?usp=share_link"",""กาฬสินธุ์!J412"")+IMPORTRANGE(""https://docs.google.com/spreadsheets/d/1SaMnqrwRGmFYNR0MhpWmHuL5niYUd5E7vDq8X7whAlI/edit?usp=share_li"&amp;"nk"",""ขอนแก่น!J412"")
+IMPORTRANGE(""https://docs.google.com/spreadsheets/d/1xQzEtGHhTTgxHh6YUkKY1P4dRyjVhS74dGswLfAASA4/edit?usp=share_link"",""ชัยภูมิ!J412"")+IMPORTRANGE(""https://docs.google.com/spreadsheets/d/1EXMBoBxU3OFbjT2TRpneM33qFjqDzrKmn9ydcfl"&amp;"fI0o/edit?usp=share_link"",""นครพนม!J412"")+IMPORTRANGE(""https://docs.google.com/spreadsheets/d/1bDQrolntRWtHumK8W-x-HXKntwxB9S3sF5aDeRS66Ko/edit?usp=share_link"",""นครราชสีมา!J412"")+IMPORTRANGE(""https://docs.google.com/spreadsheets/d/1_MzZ-2gVPiCW-d2V"&amp;"cafoCmFJQTSrZ6SQyFcMqRRQQ2w/edit?usp=share_link"",""บึงกาฬ!J412"")
+IMPORTRANGE(""https://docs.google.com/spreadsheets/d/1B3lPpzOuaNwVItLwLEZYl_qEblfcx7dRnbRkAw0l-pE/edit?usp=share_link"",""บุรีรัมย์!J412"")+IMPORTRANGE(""https://docs.google.com/spreadshe"&amp;"ets/d/19GOkiOqnzYbevLYWrMk4qFOXe3rX14BkSA8X-mq-a40/edit?usp=share_link"",""มหาสารคาม!J412"")+IMPORTRANGE(""https://docs.google.com/spreadsheets/d/1uMKqWwuNQ-TCKboGA3Bb1qXb5uj2-faACNUINCz8PN4/edit?usp=share_link"",""มุกดาหาร!J412"")+IMPORTRANGE(""https://d"&amp;"ocs.google.com/spreadsheets/d/1oKaccgDdQABndOzGr688Dbfxb_V3YcF67VqEPBtdzsc/edit?usp=share_link"",""ยโสธร!J412"")+IMPORTRANGE(""https://docs.google.com/spreadsheets/d/1BRgc8xKpxZ0PX-gauieMVkV_IOxKSotf0yW8MabGprQ/edit?usp=share_link"",""ร้อยเอ็ด!J412"")+IMP"&amp;"ORTRANGE(""https://docs.google.com/spreadsheets/d/1IdolZc-dfdgMwAm_KZxYJl1sUOcIgnbGQzbWOlddedo/edit?usp=share_link"",""เลย!J412"")+IMPORTRANGE(""https://docs.google.com/spreadsheets/d/1tZ0nmtGuIRCaGAMXHlQU8EpR9LOAJvyKfc4f7EFmE34/edit?usp=share_link"",""ศร"&amp;"ีสะเกษ!J412"")+IMPORTRANGE(""https://docs.google.com/spreadsheets/d/1QC8psz9w0f9IVE9Xuc2FT_btkaOzZbbUSgYObpBuetM/edit?usp=share_link"",""สกลนคร!J412"")+IMPORTRANGE(""https://docs.google.com/spreadsheets/d/1wPdvRbu02d33MYVlbsCnyTiZpefEBs9NNktAnT1HZvw/edit?"&amp;"usp=share_link"",""สุรินทร์!J412"")+IMPORTRANGE(""https://docs.google.com/spreadsheets/d/1GVExpf-Exi_2gmuqTYH28fseTB9MoKPXWcXCbSt_YrM/edit?usp=share_link"",""หนองคาย!J412"")+IMPORTRANGE(""https://docs.google.com/spreadsheets/d/16UeMz0UgOB5BZcoxP75eYGcLFtG"&amp;"YRn9GoesD4OX9m5U/edit?usp=share_link"",""หนองบัวลำภู!J412"")+IMPORTRANGE(""https://docs.google.com/spreadsheets/d/1uUP8Zo1-qaJLuIkRU0qlwLSE3DHkbdrrj2JGJiWBQZE/edit?usp=share_link"",""อำนาจเจริญ!J412"")+IMPORTRANGE(""https://docs.google.com/spreadsheets/d/"&amp;"1hb_taSOHanzRjqfzWPiFo8yiT83VV1L7vvUCLhOiHKc/edit?usp=share_link"",""อุดรธานี!J412"")+IMPORTRANGE(""https://docs.google.com/spreadsheets/d/17IOkEwkUd63EGNfyNDnM5de9YlZ7rwzTiW6-dokVjKI/edit?usp=share_link"",""อุบลราชธานี!J412"")
"),0)</f>
        <v>0</v>
      </c>
      <c r="K412" s="38">
        <f t="shared" ref="K412:K413" ca="1" si="209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39"/>
      <c r="B413" s="540"/>
      <c r="C413" s="540"/>
      <c r="D413" s="541" t="s">
        <v>179</v>
      </c>
      <c r="E413" s="540"/>
      <c r="F413" s="540"/>
      <c r="G413" s="542"/>
      <c r="H413" s="543" t="s">
        <v>180</v>
      </c>
      <c r="I413" s="544">
        <f ca="1">IFERROR(__xludf.DUMMYFUNCTION("IMPORTRANGE(""https://docs.google.com/spreadsheets/d/1fb2B9NLcpJgjIieIJvenUTNPn0TimZDUi0OtYeiSQ_s/edit?usp=share_link"",""กาฬสินธุ์!I413"")+IMPORTRANGE(""https://docs.google.com/spreadsheets/d/1SaMnqrwRGmFYNR0MhpWmHuL5niYUd5E7vDq8X7whAlI/edit?usp=share_li"&amp;"nk"",""ขอนแก่น!I413"")
+IMPORTRANGE(""https://docs.google.com/spreadsheets/d/1xQzEtGHhTTgxHh6YUkKY1P4dRyjVhS74dGswLfAASA4/edit?usp=share_link"",""ชัยภูมิ!I413"")+IMPORTRANGE(""https://docs.google.com/spreadsheets/d/1EXMBoBxU3OFbjT2TRpneM33qFjqDzrKmn9ydcfl"&amp;"fI0o/edit?usp=share_link"",""นครพนม!I413"")+IMPORTRANGE(""https://docs.google.com/spreadsheets/d/1bDQrolntRWtHumK8W-x-HXKntwxB9S3sF5aDeRS66Ko/edit?usp=share_link"",""นครราชสีมา!I413"")+IMPORTRANGE(""https://docs.google.com/spreadsheets/d/1_MzZ-2gVPiCW-d2V"&amp;"cafoCmFJQTSrZ6SQyFcMqRRQQ2w/edit?usp=share_link"",""บึงกาฬ!I413"")
+IMPORTRANGE(""https://docs.google.com/spreadsheets/d/1B3lPpzOuaNwVItLwLEZYl_qEblfcx7dRnbRkAw0l-pE/edit?usp=share_link"",""บุรีรัมย์!I413"")+IMPORTRANGE(""https://docs.google.com/spreadshe"&amp;"ets/d/19GOkiOqnzYbevLYWrMk4qFOXe3rX14BkSA8X-mq-a40/edit?usp=share_link"",""มหาสารคาม!I413"")+IMPORTRANGE(""https://docs.google.com/spreadsheets/d/1uMKqWwuNQ-TCKboGA3Bb1qXb5uj2-faACNUINCz8PN4/edit?usp=share_link"",""มุกดาหาร!I413"")+IMPORTRANGE(""https://d"&amp;"ocs.google.com/spreadsheets/d/1oKaccgDdQABndOzGr688Dbfxb_V3YcF67VqEPBtdzsc/edit?usp=share_link"",""ยโสธร!I413"")+IMPORTRANGE(""https://docs.google.com/spreadsheets/d/1BRgc8xKpxZ0PX-gauieMVkV_IOxKSotf0yW8MabGprQ/edit?usp=share_link"",""ร้อยเอ็ด!I413"")+IMP"&amp;"ORTRANGE(""https://docs.google.com/spreadsheets/d/1IdolZc-dfdgMwAm_KZxYJl1sUOcIgnbGQzbWOlddedo/edit?usp=share_link"",""เลย!I413"")+IMPORTRANGE(""https://docs.google.com/spreadsheets/d/1tZ0nmtGuIRCaGAMXHlQU8EpR9LOAJvyKfc4f7EFmE34/edit?usp=share_link"",""ศร"&amp;"ีสะเกษ!I413"")+IMPORTRANGE(""https://docs.google.com/spreadsheets/d/1QC8psz9w0f9IVE9Xuc2FT_btkaOzZbbUSgYObpBuetM/edit?usp=share_link"",""สกลนคร!I413"")+IMPORTRANGE(""https://docs.google.com/spreadsheets/d/1wPdvRbu02d33MYVlbsCnyTiZpefEBs9NNktAnT1HZvw/edit?"&amp;"usp=share_link"",""สุรินทร์!I413"")+IMPORTRANGE(""https://docs.google.com/spreadsheets/d/1GVExpf-Exi_2gmuqTYH28fseTB9MoKPXWcXCbSt_YrM/edit?usp=share_link"",""หนองคาย!I413"")+IMPORTRANGE(""https://docs.google.com/spreadsheets/d/16UeMz0UgOB5BZcoxP75eYGcLFtG"&amp;"YRn9GoesD4OX9m5U/edit?usp=share_link"",""หนองบัวลำภู!I413"")+IMPORTRANGE(""https://docs.google.com/spreadsheets/d/1uUP8Zo1-qaJLuIkRU0qlwLSE3DHkbdrrj2JGJiWBQZE/edit?usp=share_link"",""อำนาจเจริญ!I413"")+IMPORTRANGE(""https://docs.google.com/spreadsheets/d/"&amp;"1hb_taSOHanzRjqfzWPiFo8yiT83VV1L7vvUCLhOiHKc/edit?usp=share_link"",""อุดรธานี!I413"")+IMPORTRANGE(""https://docs.google.com/spreadsheets/d/17IOkEwkUd63EGNfyNDnM5de9YlZ7rwzTiW6-dokVjKI/edit?usp=share_link"",""อุบลราชธานี!I413"")
"),0)</f>
        <v>0</v>
      </c>
      <c r="J413" s="545">
        <f ca="1">IFERROR(__xludf.DUMMYFUNCTION("IMPORTRANGE(""https://docs.google.com/spreadsheets/d/1fb2B9NLcpJgjIieIJvenUTNPn0TimZDUi0OtYeiSQ_s/edit?usp=share_link"",""กาฬสินธุ์!J413"")+IMPORTRANGE(""https://docs.google.com/spreadsheets/d/1SaMnqrwRGmFYNR0MhpWmHuL5niYUd5E7vDq8X7whAlI/edit?usp=share_li"&amp;"nk"",""ขอนแก่น!J413"")
+IMPORTRANGE(""https://docs.google.com/spreadsheets/d/1xQzEtGHhTTgxHh6YUkKY1P4dRyjVhS74dGswLfAASA4/edit?usp=share_link"",""ชัยภูมิ!J413"")+IMPORTRANGE(""https://docs.google.com/spreadsheets/d/1EXMBoBxU3OFbjT2TRpneM33qFjqDzrKmn9ydcfl"&amp;"fI0o/edit?usp=share_link"",""นครพนม!J413"")+IMPORTRANGE(""https://docs.google.com/spreadsheets/d/1bDQrolntRWtHumK8W-x-HXKntwxB9S3sF5aDeRS66Ko/edit?usp=share_link"",""นครราชสีมา!J413"")+IMPORTRANGE(""https://docs.google.com/spreadsheets/d/1_MzZ-2gVPiCW-d2V"&amp;"cafoCmFJQTSrZ6SQyFcMqRRQQ2w/edit?usp=share_link"",""บึงกาฬ!J413"")
+IMPORTRANGE(""https://docs.google.com/spreadsheets/d/1B3lPpzOuaNwVItLwLEZYl_qEblfcx7dRnbRkAw0l-pE/edit?usp=share_link"",""บุรีรัมย์!J413"")+IMPORTRANGE(""https://docs.google.com/spreadshe"&amp;"ets/d/19GOkiOqnzYbevLYWrMk4qFOXe3rX14BkSA8X-mq-a40/edit?usp=share_link"",""มหาสารคาม!J413"")+IMPORTRANGE(""https://docs.google.com/spreadsheets/d/1uMKqWwuNQ-TCKboGA3Bb1qXb5uj2-faACNUINCz8PN4/edit?usp=share_link"",""มุกดาหาร!J413"")+IMPORTRANGE(""https://d"&amp;"ocs.google.com/spreadsheets/d/1oKaccgDdQABndOzGr688Dbfxb_V3YcF67VqEPBtdzsc/edit?usp=share_link"",""ยโสธร!J413"")+IMPORTRANGE(""https://docs.google.com/spreadsheets/d/1BRgc8xKpxZ0PX-gauieMVkV_IOxKSotf0yW8MabGprQ/edit?usp=share_link"",""ร้อยเอ็ด!J413"")+IMP"&amp;"ORTRANGE(""https://docs.google.com/spreadsheets/d/1IdolZc-dfdgMwAm_KZxYJl1sUOcIgnbGQzbWOlddedo/edit?usp=share_link"",""เลย!J413"")+IMPORTRANGE(""https://docs.google.com/spreadsheets/d/1tZ0nmtGuIRCaGAMXHlQU8EpR9LOAJvyKfc4f7EFmE34/edit?usp=share_link"",""ศร"&amp;"ีสะเกษ!J413"")+IMPORTRANGE(""https://docs.google.com/spreadsheets/d/1QC8psz9w0f9IVE9Xuc2FT_btkaOzZbbUSgYObpBuetM/edit?usp=share_link"",""สกลนคร!J413"")+IMPORTRANGE(""https://docs.google.com/spreadsheets/d/1wPdvRbu02d33MYVlbsCnyTiZpefEBs9NNktAnT1HZvw/edit?"&amp;"usp=share_link"",""สุรินทร์!J413"")+IMPORTRANGE(""https://docs.google.com/spreadsheets/d/1GVExpf-Exi_2gmuqTYH28fseTB9MoKPXWcXCbSt_YrM/edit?usp=share_link"",""หนองคาย!J413"")+IMPORTRANGE(""https://docs.google.com/spreadsheets/d/16UeMz0UgOB5BZcoxP75eYGcLFtG"&amp;"YRn9GoesD4OX9m5U/edit?usp=share_link"",""หนองบัวลำภู!J413"")+IMPORTRANGE(""https://docs.google.com/spreadsheets/d/1uUP8Zo1-qaJLuIkRU0qlwLSE3DHkbdrrj2JGJiWBQZE/edit?usp=share_link"",""อำนาจเจริญ!J413"")+IMPORTRANGE(""https://docs.google.com/spreadsheets/d/"&amp;"1hb_taSOHanzRjqfzWPiFo8yiT83VV1L7vvUCLhOiHKc/edit?usp=share_link"",""อุดรธานี!J413"")+IMPORTRANGE(""https://docs.google.com/spreadsheets/d/17IOkEwkUd63EGNfyNDnM5de9YlZ7rwzTiW6-dokVjKI/edit?usp=share_link"",""อุบลราชธานี!J413"")
"),0)</f>
        <v>0</v>
      </c>
      <c r="K413" s="546">
        <f t="shared" ca="1" si="209"/>
        <v>0</v>
      </c>
      <c r="L413" s="547"/>
      <c r="M413" s="547"/>
      <c r="N413" s="547"/>
      <c r="O413" s="547"/>
      <c r="P413" s="547"/>
    </row>
    <row r="414" spans="1:26" ht="19.5">
      <c r="A414" s="548" t="s">
        <v>181</v>
      </c>
      <c r="B414" s="549"/>
      <c r="C414" s="549"/>
      <c r="D414" s="549"/>
      <c r="E414" s="549"/>
      <c r="F414" s="549"/>
      <c r="G414" s="550"/>
      <c r="H414" s="551"/>
      <c r="I414" s="552"/>
      <c r="J414" s="552"/>
      <c r="K414" s="553"/>
      <c r="L414" s="554">
        <f t="shared" ref="L414:N414" ca="1" si="210">L419+L444+L467+L502+L523+L544+L629+L655+L685+L737+L754+L770+L786+L805</f>
        <v>53452473</v>
      </c>
      <c r="M414" s="554">
        <f t="shared" ca="1" si="210"/>
        <v>50577538.429999992</v>
      </c>
      <c r="N414" s="554">
        <f t="shared" ca="1" si="210"/>
        <v>49327539.029999994</v>
      </c>
      <c r="O414" s="554">
        <f ca="1">IF(L414&gt;0,N414*100/L414,0)</f>
        <v>92.282987599095719</v>
      </c>
      <c r="P414" s="554">
        <f ca="1">IF(M414&gt;0,N414*100/M414,0)</f>
        <v>97.528548365931215</v>
      </c>
    </row>
    <row r="415" spans="1:26" ht="19.5">
      <c r="A415" s="555" t="s">
        <v>182</v>
      </c>
      <c r="B415" s="556"/>
      <c r="C415" s="556"/>
      <c r="D415" s="556"/>
      <c r="E415" s="556"/>
      <c r="F415" s="556"/>
      <c r="G415" s="556"/>
      <c r="H415" s="557"/>
      <c r="I415" s="558"/>
      <c r="J415" s="558"/>
      <c r="K415" s="559"/>
      <c r="L415" s="560"/>
      <c r="M415" s="560"/>
      <c r="N415" s="560"/>
      <c r="O415" s="560"/>
      <c r="P415" s="560"/>
    </row>
    <row r="416" spans="1:26" ht="19.5">
      <c r="A416" s="555" t="s">
        <v>183</v>
      </c>
      <c r="B416" s="556"/>
      <c r="C416" s="556"/>
      <c r="D416" s="556"/>
      <c r="E416" s="556"/>
      <c r="F416" s="556"/>
      <c r="G416" s="561"/>
      <c r="H416" s="562"/>
      <c r="I416" s="563"/>
      <c r="J416" s="563"/>
      <c r="K416" s="560"/>
      <c r="L416" s="560"/>
      <c r="M416" s="560"/>
      <c r="N416" s="560"/>
      <c r="O416" s="560"/>
      <c r="P416" s="560"/>
    </row>
    <row r="417" spans="1:26" ht="39">
      <c r="A417" s="564">
        <v>1</v>
      </c>
      <c r="B417" s="565" t="s">
        <v>184</v>
      </c>
      <c r="C417" s="566"/>
      <c r="D417" s="567"/>
      <c r="E417" s="567"/>
      <c r="F417" s="567"/>
      <c r="G417" s="568"/>
      <c r="H417" s="569" t="s">
        <v>35</v>
      </c>
      <c r="I417" s="570">
        <f t="shared" ref="I417:J417" ca="1" si="211">I433</f>
        <v>535</v>
      </c>
      <c r="J417" s="570">
        <f t="shared" ca="1" si="211"/>
        <v>535</v>
      </c>
      <c r="K417" s="571">
        <f t="shared" ref="K417:K418" ca="1" si="212">IF(I417&gt;0,J417*100/I417,0)</f>
        <v>100</v>
      </c>
      <c r="L417" s="572"/>
      <c r="M417" s="572"/>
      <c r="N417" s="572"/>
      <c r="O417" s="572"/>
      <c r="P417" s="572"/>
    </row>
    <row r="418" spans="1:26" ht="19.5">
      <c r="A418" s="573"/>
      <c r="B418" s="564"/>
      <c r="C418" s="566"/>
      <c r="D418" s="567"/>
      <c r="E418" s="567"/>
      <c r="F418" s="567"/>
      <c r="G418" s="568"/>
      <c r="H418" s="569" t="s">
        <v>49</v>
      </c>
      <c r="I418" s="570">
        <f t="shared" ref="I418:J418" ca="1" si="213">I434</f>
        <v>22</v>
      </c>
      <c r="J418" s="570">
        <f t="shared" ca="1" si="213"/>
        <v>22</v>
      </c>
      <c r="K418" s="571">
        <f t="shared" ca="1" si="212"/>
        <v>100</v>
      </c>
      <c r="L418" s="572"/>
      <c r="M418" s="572"/>
      <c r="N418" s="572"/>
      <c r="O418" s="572"/>
      <c r="P418" s="572"/>
    </row>
    <row r="419" spans="1:26" ht="19.5">
      <c r="A419" s="147"/>
      <c r="B419" s="148"/>
      <c r="C419" s="148" t="s">
        <v>16</v>
      </c>
      <c r="D419" s="861" t="s">
        <v>17</v>
      </c>
      <c r="E419" s="862"/>
      <c r="F419" s="862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1928580</v>
      </c>
      <c r="M419" s="155">
        <f t="shared" ca="1" si="214"/>
        <v>2067746</v>
      </c>
      <c r="N419" s="155">
        <f t="shared" ca="1" si="214"/>
        <v>2067746</v>
      </c>
      <c r="O419" s="155">
        <f t="shared" ref="O419:O424" ca="1" si="215">IF(L419&gt;0,N419*100/L419,0)</f>
        <v>107.2159827437804</v>
      </c>
      <c r="P419" s="155">
        <f t="shared" ref="P419:P424" ca="1" si="21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1928580</v>
      </c>
      <c r="M421" s="45">
        <f t="shared" ca="1" si="218"/>
        <v>2067746</v>
      </c>
      <c r="N421" s="45">
        <f t="shared" ca="1" si="218"/>
        <v>2067746</v>
      </c>
      <c r="O421" s="45">
        <f t="shared" ca="1" si="215"/>
        <v>107.2159827437804</v>
      </c>
      <c r="P421" s="45">
        <f t="shared" ca="1" si="21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1928580</v>
      </c>
      <c r="M422" s="38">
        <f t="shared" ca="1" si="219"/>
        <v>2067746</v>
      </c>
      <c r="N422" s="38">
        <f t="shared" ca="1" si="219"/>
        <v>2067746</v>
      </c>
      <c r="O422" s="38">
        <f t="shared" ca="1" si="215"/>
        <v>107.2159827437804</v>
      </c>
      <c r="P422" s="38">
        <f t="shared" ca="1" si="21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fb2B9NLcpJgjIieIJvenUTNPn0TimZDUi0OtYeiSQ_s/edit?usp=share_link"",""กาฬสินธุ์!L424"")+IMPORTRANGE(""https://docs.google.com/spreadsheets/d/1SaMnqrwRGmFYNR0MhpWmHuL5niYUd5E7vDq8X7whAlI/edit?usp=share_li"&amp;"nk"",""ขอนแก่น!L424"")
+IMPORTRANGE(""https://docs.google.com/spreadsheets/d/1xQzEtGHhTTgxHh6YUkKY1P4dRyjVhS74dGswLfAASA4/edit?usp=share_link"",""ชัยภูมิ!L424"")+IMPORTRANGE(""https://docs.google.com/spreadsheets/d/1EXMBoBxU3OFbjT2TRpneM33qFjqDzrKmn9ydcfl"&amp;"fI0o/edit?usp=share_link"",""นครพนม!L424"")+IMPORTRANGE(""https://docs.google.com/spreadsheets/d/1bDQrolntRWtHumK8W-x-HXKntwxB9S3sF5aDeRS66Ko/edit?usp=share_link"",""นครราชสีมา!L424"")+IMPORTRANGE(""https://docs.google.com/spreadsheets/d/1_MzZ-2gVPiCW-d2V"&amp;"cafoCmFJQTSrZ6SQyFcMqRRQQ2w/edit?usp=share_link"",""บึงกาฬ!L424"")
+IMPORTRANGE(""https://docs.google.com/spreadsheets/d/1B3lPpzOuaNwVItLwLEZYl_qEblfcx7dRnbRkAw0l-pE/edit?usp=share_link"",""บุรีรัมย์!L424"")+IMPORTRANGE(""https://docs.google.com/spreadshe"&amp;"ets/d/19GOkiOqnzYbevLYWrMk4qFOXe3rX14BkSA8X-mq-a40/edit?usp=share_link"",""มหาสารคาม!L424"")+IMPORTRANGE(""https://docs.google.com/spreadsheets/d/1uMKqWwuNQ-TCKboGA3Bb1qXb5uj2-faACNUINCz8PN4/edit?usp=share_link"",""มุกดาหาร!L424"")+IMPORTRANGE(""https://d"&amp;"ocs.google.com/spreadsheets/d/1oKaccgDdQABndOzGr688Dbfxb_V3YcF67VqEPBtdzsc/edit?usp=share_link"",""ยโสธร!L424"")+IMPORTRANGE(""https://docs.google.com/spreadsheets/d/1BRgc8xKpxZ0PX-gauieMVkV_IOxKSotf0yW8MabGprQ/edit?usp=share_link"",""ร้อยเอ็ด!L424"")+IMP"&amp;"ORTRANGE(""https://docs.google.com/spreadsheets/d/1IdolZc-dfdgMwAm_KZxYJl1sUOcIgnbGQzbWOlddedo/edit?usp=share_link"",""เลย!L424"")+IMPORTRANGE(""https://docs.google.com/spreadsheets/d/1tZ0nmtGuIRCaGAMXHlQU8EpR9LOAJvyKfc4f7EFmE34/edit?usp=share_link"",""ศร"&amp;"ีสะเกษ!L424"")+IMPORTRANGE(""https://docs.google.com/spreadsheets/d/1QC8psz9w0f9IVE9Xuc2FT_btkaOzZbbUSgYObpBuetM/edit?usp=share_link"",""สกลนคร!L424"")+IMPORTRANGE(""https://docs.google.com/spreadsheets/d/1wPdvRbu02d33MYVlbsCnyTiZpefEBs9NNktAnT1HZvw/edit?"&amp;"usp=share_link"",""สุรินทร์!L424"")+IMPORTRANGE(""https://docs.google.com/spreadsheets/d/1GVExpf-Exi_2gmuqTYH28fseTB9MoKPXWcXCbSt_YrM/edit?usp=share_link"",""หนองคาย!L424"")+IMPORTRANGE(""https://docs.google.com/spreadsheets/d/16UeMz0UgOB5BZcoxP75eYGcLFtG"&amp;"YRn9GoesD4OX9m5U/edit?usp=share_link"",""หนองบัวลำภู!L424"")+IMPORTRANGE(""https://docs.google.com/spreadsheets/d/1uUP8Zo1-qaJLuIkRU0qlwLSE3DHkbdrrj2JGJiWBQZE/edit?usp=share_link"",""อำนาจเจริญ!L424"")+IMPORTRANGE(""https://docs.google.com/spreadsheets/d/"&amp;"1hb_taSOHanzRjqfzWPiFo8yiT83VV1L7vvUCLhOiHKc/edit?usp=share_link"",""อุดรธานี!L424"")+IMPORTRANGE(""https://docs.google.com/spreadsheets/d/17IOkEwkUd63EGNfyNDnM5de9YlZ7rwzTiW6-dokVjKI/edit?usp=share_link"",""อุบลราชธานี!L424"")
"),1928580)</f>
        <v>1928580</v>
      </c>
      <c r="M424" s="93">
        <f ca="1">IFERROR(__xludf.DUMMYFUNCTION("IMPORTRANGE(""https://docs.google.com/spreadsheets/d/1fb2B9NLcpJgjIieIJvenUTNPn0TimZDUi0OtYeiSQ_s/edit?usp=share_link"",""กาฬสินธุ์!M424"")+IMPORTRANGE(""https://docs.google.com/spreadsheets/d/1SaMnqrwRGmFYNR0MhpWmHuL5niYUd5E7vDq8X7whAlI/edit?usp=share_li"&amp;"nk"",""ขอนแก่น!M424"")
+IMPORTRANGE(""https://docs.google.com/spreadsheets/d/1xQzEtGHhTTgxHh6YUkKY1P4dRyjVhS74dGswLfAASA4/edit?usp=share_link"",""ชัยภูมิ!M424"")+IMPORTRANGE(""https://docs.google.com/spreadsheets/d/1EXMBoBxU3OFbjT2TRpneM33qFjqDzrKmn9ydcfl"&amp;"fI0o/edit?usp=share_link"",""นครพนม!M424"")+IMPORTRANGE(""https://docs.google.com/spreadsheets/d/1bDQrolntRWtHumK8W-x-HXKntwxB9S3sF5aDeRS66Ko/edit?usp=share_link"",""นครราชสีมา!M424"")+IMPORTRANGE(""https://docs.google.com/spreadsheets/d/1_MzZ-2gVPiCW-d2V"&amp;"cafoCmFJQTSrZ6SQyFcMqRRQQ2w/edit?usp=share_link"",""บึงกาฬ!M424"")
+IMPORTRANGE(""https://docs.google.com/spreadsheets/d/1B3lPpzOuaNwVItLwLEZYl_qEblfcx7dRnbRkAw0l-pE/edit?usp=share_link"",""บุรีรัมย์!M424"")+IMPORTRANGE(""https://docs.google.com/spreadshe"&amp;"ets/d/19GOkiOqnzYbevLYWrMk4qFOXe3rX14BkSA8X-mq-a40/edit?usp=share_link"",""มหาสารคาม!M424"")+IMPORTRANGE(""https://docs.google.com/spreadsheets/d/1uMKqWwuNQ-TCKboGA3Bb1qXb5uj2-faACNUINCz8PN4/edit?usp=share_link"",""มุกดาหาร!M424"")+IMPORTRANGE(""https://d"&amp;"ocs.google.com/spreadsheets/d/1oKaccgDdQABndOzGr688Dbfxb_V3YcF67VqEPBtdzsc/edit?usp=share_link"",""ยโสธร!M424"")+IMPORTRANGE(""https://docs.google.com/spreadsheets/d/1BRgc8xKpxZ0PX-gauieMVkV_IOxKSotf0yW8MabGprQ/edit?usp=share_link"",""ร้อยเอ็ด!M424"")+IMP"&amp;"ORTRANGE(""https://docs.google.com/spreadsheets/d/1IdolZc-dfdgMwAm_KZxYJl1sUOcIgnbGQzbWOlddedo/edit?usp=share_link"",""เลย!M424"")+IMPORTRANGE(""https://docs.google.com/spreadsheets/d/1tZ0nmtGuIRCaGAMXHlQU8EpR9LOAJvyKfc4f7EFmE34/edit?usp=share_link"",""ศร"&amp;"ีสะเกษ!M424"")+IMPORTRANGE(""https://docs.google.com/spreadsheets/d/1QC8psz9w0f9IVE9Xuc2FT_btkaOzZbbUSgYObpBuetM/edit?usp=share_link"",""สกลนคร!M424"")+IMPORTRANGE(""https://docs.google.com/spreadsheets/d/1wPdvRbu02d33MYVlbsCnyTiZpefEBs9NNktAnT1HZvw/edit?"&amp;"usp=share_link"",""สุรินทร์!M424"")+IMPORTRANGE(""https://docs.google.com/spreadsheets/d/1GVExpf-Exi_2gmuqTYH28fseTB9MoKPXWcXCbSt_YrM/edit?usp=share_link"",""หนองคาย!M424"")+IMPORTRANGE(""https://docs.google.com/spreadsheets/d/16UeMz0UgOB5BZcoxP75eYGcLFtG"&amp;"YRn9GoesD4OX9m5U/edit?usp=share_link"",""หนองบัวลำภู!M424"")+IMPORTRANGE(""https://docs.google.com/spreadsheets/d/1uUP8Zo1-qaJLuIkRU0qlwLSE3DHkbdrrj2JGJiWBQZE/edit?usp=share_link"",""อำนาจเจริญ!M424"")+IMPORTRANGE(""https://docs.google.com/spreadsheets/d/"&amp;"1hb_taSOHanzRjqfzWPiFo8yiT83VV1L7vvUCLhOiHKc/edit?usp=share_link"",""อุดรธานี!M424"")+IMPORTRANGE(""https://docs.google.com/spreadsheets/d/17IOkEwkUd63EGNfyNDnM5de9YlZ7rwzTiW6-dokVjKI/edit?usp=share_link"",""อุบลราชธานี!M424"")
"),2067746)</f>
        <v>2067746</v>
      </c>
      <c r="N424" s="45">
        <f ca="1">N425+N426+N427+N428</f>
        <v>2067746</v>
      </c>
      <c r="O424" s="45">
        <f t="shared" ca="1" si="215"/>
        <v>107.2159827437804</v>
      </c>
      <c r="P424" s="45">
        <f t="shared" ca="1" si="21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4"/>
      <c r="B425" s="575"/>
      <c r="C425" s="576"/>
      <c r="D425" s="576"/>
      <c r="E425" s="576"/>
      <c r="F425" s="577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fb2B9NLcpJgjIieIJvenUTNPn0TimZDUi0OtYeiSQ_s/edit?usp=share_link"",""กาฬสินธุ์!N425"")+IMPORTRANGE(""https://docs.google.com/spreadsheets/d/1SaMnqrwRGmFYNR0MhpWmHuL5niYUd5E7vDq8X7whAlI/edit?usp=share_li"&amp;"nk"",""ขอนแก่น!N425"")
+IMPORTRANGE(""https://docs.google.com/spreadsheets/d/1xQzEtGHhTTgxHh6YUkKY1P4dRyjVhS74dGswLfAASA4/edit?usp=share_link"",""ชัยภูมิ!N425"")+IMPORTRANGE(""https://docs.google.com/spreadsheets/d/1EXMBoBxU3OFbjT2TRpneM33qFjqDzrKmn9ydcfl"&amp;"fI0o/edit?usp=share_link"",""นครพนม!N425"")+IMPORTRANGE(""https://docs.google.com/spreadsheets/d/1bDQrolntRWtHumK8W-x-HXKntwxB9S3sF5aDeRS66Ko/edit?usp=share_link"",""นครราชสีมา!N425"")+IMPORTRANGE(""https://docs.google.com/spreadsheets/d/1_MzZ-2gVPiCW-d2V"&amp;"cafoCmFJQTSrZ6SQyFcMqRRQQ2w/edit?usp=share_link"",""บึงกาฬ!N425"")
+IMPORTRANGE(""https://docs.google.com/spreadsheets/d/1B3lPpzOuaNwVItLwLEZYl_qEblfcx7dRnbRkAw0l-pE/edit?usp=share_link"",""บุรีรัมย์!N425"")+IMPORTRANGE(""https://docs.google.com/spreadshe"&amp;"ets/d/19GOkiOqnzYbevLYWrMk4qFOXe3rX14BkSA8X-mq-a40/edit?usp=share_link"",""มหาสารคาม!N425"")+IMPORTRANGE(""https://docs.google.com/spreadsheets/d/1uMKqWwuNQ-TCKboGA3Bb1qXb5uj2-faACNUINCz8PN4/edit?usp=share_link"",""มุกดาหาร!N425"")+IMPORTRANGE(""https://d"&amp;"ocs.google.com/spreadsheets/d/1oKaccgDdQABndOzGr688Dbfxb_V3YcF67VqEPBtdzsc/edit?usp=share_link"",""ยโสธร!N425"")+IMPORTRANGE(""https://docs.google.com/spreadsheets/d/1BRgc8xKpxZ0PX-gauieMVkV_IOxKSotf0yW8MabGprQ/edit?usp=share_link"",""ร้อยเอ็ด!N425"")+IMP"&amp;"ORTRANGE(""https://docs.google.com/spreadsheets/d/1IdolZc-dfdgMwAm_KZxYJl1sUOcIgnbGQzbWOlddedo/edit?usp=share_link"",""เลย!N425"")+IMPORTRANGE(""https://docs.google.com/spreadsheets/d/1tZ0nmtGuIRCaGAMXHlQU8EpR9LOAJvyKfc4f7EFmE34/edit?usp=share_link"",""ศร"&amp;"ีสะเกษ!N425"")+IMPORTRANGE(""https://docs.google.com/spreadsheets/d/1QC8psz9w0f9IVE9Xuc2FT_btkaOzZbbUSgYObpBuetM/edit?usp=share_link"",""สกลนคร!N425"")+IMPORTRANGE(""https://docs.google.com/spreadsheets/d/1wPdvRbu02d33MYVlbsCnyTiZpefEBs9NNktAnT1HZvw/edit?"&amp;"usp=share_link"",""สุรินทร์!N425"")+IMPORTRANGE(""https://docs.google.com/spreadsheets/d/1GVExpf-Exi_2gmuqTYH28fseTB9MoKPXWcXCbSt_YrM/edit?usp=share_link"",""หนองคาย!N425"")+IMPORTRANGE(""https://docs.google.com/spreadsheets/d/16UeMz0UgOB5BZcoxP75eYGcLFtG"&amp;"YRn9GoesD4OX9m5U/edit?usp=share_link"",""หนองบัวลำภู!N425"")+IMPORTRANGE(""https://docs.google.com/spreadsheets/d/1uUP8Zo1-qaJLuIkRU0qlwLSE3DHkbdrrj2JGJiWBQZE/edit?usp=share_link"",""อำนาจเจริญ!N425"")+IMPORTRANGE(""https://docs.google.com/spreadsheets/d/"&amp;"1hb_taSOHanzRjqfzWPiFo8yiT83VV1L7vvUCLhOiHKc/edit?usp=share_link"",""อุดรธานี!N425"")+IMPORTRANGE(""https://docs.google.com/spreadsheets/d/17IOkEwkUd63EGNfyNDnM5de9YlZ7rwzTiW6-dokVjKI/edit?usp=share_link"",""อุบลราชธานี!N425"")
"),1209435)</f>
        <v>1209435</v>
      </c>
      <c r="O425" s="38"/>
      <c r="P425" s="3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</row>
    <row r="426" spans="1:26" ht="18.75">
      <c r="A426" s="574"/>
      <c r="B426" s="575"/>
      <c r="C426" s="576"/>
      <c r="D426" s="576"/>
      <c r="E426" s="576"/>
      <c r="F426" s="577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fb2B9NLcpJgjIieIJvenUTNPn0TimZDUi0OtYeiSQ_s/edit?usp=share_link"",""กาฬสินธุ์!N426"")+IMPORTRANGE(""https://docs.google.com/spreadsheets/d/1SaMnqrwRGmFYNR0MhpWmHuL5niYUd5E7vDq8X7whAlI/edit?usp=share_li"&amp;"nk"",""ขอนแก่น!N426"")
+IMPORTRANGE(""https://docs.google.com/spreadsheets/d/1xQzEtGHhTTgxHh6YUkKY1P4dRyjVhS74dGswLfAASA4/edit?usp=share_link"",""ชัยภูมิ!N426"")+IMPORTRANGE(""https://docs.google.com/spreadsheets/d/1EXMBoBxU3OFbjT2TRpneM33qFjqDzrKmn9ydcfl"&amp;"fI0o/edit?usp=share_link"",""นครพนม!N426"")+IMPORTRANGE(""https://docs.google.com/spreadsheets/d/1bDQrolntRWtHumK8W-x-HXKntwxB9S3sF5aDeRS66Ko/edit?usp=share_link"",""นครราชสีมา!N426"")+IMPORTRANGE(""https://docs.google.com/spreadsheets/d/1_MzZ-2gVPiCW-d2V"&amp;"cafoCmFJQTSrZ6SQyFcMqRRQQ2w/edit?usp=share_link"",""บึงกาฬ!N426"")
+IMPORTRANGE(""https://docs.google.com/spreadsheets/d/1B3lPpzOuaNwVItLwLEZYl_qEblfcx7dRnbRkAw0l-pE/edit?usp=share_link"",""บุรีรัมย์!N426"")+IMPORTRANGE(""https://docs.google.com/spreadshe"&amp;"ets/d/19GOkiOqnzYbevLYWrMk4qFOXe3rX14BkSA8X-mq-a40/edit?usp=share_link"",""มหาสารคาม!N426"")+IMPORTRANGE(""https://docs.google.com/spreadsheets/d/1uMKqWwuNQ-TCKboGA3Bb1qXb5uj2-faACNUINCz8PN4/edit?usp=share_link"",""มุกดาหาร!N426"")+IMPORTRANGE(""https://d"&amp;"ocs.google.com/spreadsheets/d/1oKaccgDdQABndOzGr688Dbfxb_V3YcF67VqEPBtdzsc/edit?usp=share_link"",""ยโสธร!N426"")+IMPORTRANGE(""https://docs.google.com/spreadsheets/d/1BRgc8xKpxZ0PX-gauieMVkV_IOxKSotf0yW8MabGprQ/edit?usp=share_link"",""ร้อยเอ็ด!N426"")+IMP"&amp;"ORTRANGE(""https://docs.google.com/spreadsheets/d/1IdolZc-dfdgMwAm_KZxYJl1sUOcIgnbGQzbWOlddedo/edit?usp=share_link"",""เลย!N426"")+IMPORTRANGE(""https://docs.google.com/spreadsheets/d/1tZ0nmtGuIRCaGAMXHlQU8EpR9LOAJvyKfc4f7EFmE34/edit?usp=share_link"",""ศร"&amp;"ีสะเกษ!N426"")+IMPORTRANGE(""https://docs.google.com/spreadsheets/d/1QC8psz9w0f9IVE9Xuc2FT_btkaOzZbbUSgYObpBuetM/edit?usp=share_link"",""สกลนคร!N426"")+IMPORTRANGE(""https://docs.google.com/spreadsheets/d/1wPdvRbu02d33MYVlbsCnyTiZpefEBs9NNktAnT1HZvw/edit?"&amp;"usp=share_link"",""สุรินทร์!N426"")+IMPORTRANGE(""https://docs.google.com/spreadsheets/d/1GVExpf-Exi_2gmuqTYH28fseTB9MoKPXWcXCbSt_YrM/edit?usp=share_link"",""หนองคาย!N426"")+IMPORTRANGE(""https://docs.google.com/spreadsheets/d/16UeMz0UgOB5BZcoxP75eYGcLFtG"&amp;"YRn9GoesD4OX9m5U/edit?usp=share_link"",""หนองบัวลำภู!N426"")+IMPORTRANGE(""https://docs.google.com/spreadsheets/d/1uUP8Zo1-qaJLuIkRU0qlwLSE3DHkbdrrj2JGJiWBQZE/edit?usp=share_link"",""อำนาจเจริญ!N426"")+IMPORTRANGE(""https://docs.google.com/spreadsheets/d/"&amp;"1hb_taSOHanzRjqfzWPiFo8yiT83VV1L7vvUCLhOiHKc/edit?usp=share_link"",""อุดรธานี!N426"")+IMPORTRANGE(""https://docs.google.com/spreadsheets/d/17IOkEwkUd63EGNfyNDnM5de9YlZ7rwzTiW6-dokVjKI/edit?usp=share_link"",""อุบลราชธานี!N426"")
"),0)</f>
        <v>0</v>
      </c>
      <c r="O426" s="38"/>
      <c r="P426" s="3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</row>
    <row r="427" spans="1:26" ht="18.75">
      <c r="A427" s="574"/>
      <c r="B427" s="575"/>
      <c r="C427" s="576"/>
      <c r="D427" s="576"/>
      <c r="E427" s="576"/>
      <c r="F427" s="577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fb2B9NLcpJgjIieIJvenUTNPn0TimZDUi0OtYeiSQ_s/edit?usp=share_link"",""กาฬสินธุ์!N427"")+IMPORTRANGE(""https://docs.google.com/spreadsheets/d/1SaMnqrwRGmFYNR0MhpWmHuL5niYUd5E7vDq8X7whAlI/edit?usp=share_li"&amp;"nk"",""ขอนแก่น!N427"")
+IMPORTRANGE(""https://docs.google.com/spreadsheets/d/1xQzEtGHhTTgxHh6YUkKY1P4dRyjVhS74dGswLfAASA4/edit?usp=share_link"",""ชัยภูมิ!N427"")+IMPORTRANGE(""https://docs.google.com/spreadsheets/d/1EXMBoBxU3OFbjT2TRpneM33qFjqDzrKmn9ydcfl"&amp;"fI0o/edit?usp=share_link"",""นครพนม!N427"")+IMPORTRANGE(""https://docs.google.com/spreadsheets/d/1bDQrolntRWtHumK8W-x-HXKntwxB9S3sF5aDeRS66Ko/edit?usp=share_link"",""นครราชสีมา!N427"")+IMPORTRANGE(""https://docs.google.com/spreadsheets/d/1_MzZ-2gVPiCW-d2V"&amp;"cafoCmFJQTSrZ6SQyFcMqRRQQ2w/edit?usp=share_link"",""บึงกาฬ!N427"")
+IMPORTRANGE(""https://docs.google.com/spreadsheets/d/1B3lPpzOuaNwVItLwLEZYl_qEblfcx7dRnbRkAw0l-pE/edit?usp=share_link"",""บุรีรัมย์!N427"")+IMPORTRANGE(""https://docs.google.com/spreadshe"&amp;"ets/d/19GOkiOqnzYbevLYWrMk4qFOXe3rX14BkSA8X-mq-a40/edit?usp=share_link"",""มหาสารคาม!N427"")+IMPORTRANGE(""https://docs.google.com/spreadsheets/d/1uMKqWwuNQ-TCKboGA3Bb1qXb5uj2-faACNUINCz8PN4/edit?usp=share_link"",""มุกดาหาร!N427"")+IMPORTRANGE(""https://d"&amp;"ocs.google.com/spreadsheets/d/1oKaccgDdQABndOzGr688Dbfxb_V3YcF67VqEPBtdzsc/edit?usp=share_link"",""ยโสธร!N427"")+IMPORTRANGE(""https://docs.google.com/spreadsheets/d/1BRgc8xKpxZ0PX-gauieMVkV_IOxKSotf0yW8MabGprQ/edit?usp=share_link"",""ร้อยเอ็ด!N427"")+IMP"&amp;"ORTRANGE(""https://docs.google.com/spreadsheets/d/1IdolZc-dfdgMwAm_KZxYJl1sUOcIgnbGQzbWOlddedo/edit?usp=share_link"",""เลย!N427"")+IMPORTRANGE(""https://docs.google.com/spreadsheets/d/1tZ0nmtGuIRCaGAMXHlQU8EpR9LOAJvyKfc4f7EFmE34/edit?usp=share_link"",""ศร"&amp;"ีสะเกษ!N427"")+IMPORTRANGE(""https://docs.google.com/spreadsheets/d/1QC8psz9w0f9IVE9Xuc2FT_btkaOzZbbUSgYObpBuetM/edit?usp=share_link"",""สกลนคร!N427"")+IMPORTRANGE(""https://docs.google.com/spreadsheets/d/1wPdvRbu02d33MYVlbsCnyTiZpefEBs9NNktAnT1HZvw/edit?"&amp;"usp=share_link"",""สุรินทร์!N427"")+IMPORTRANGE(""https://docs.google.com/spreadsheets/d/1GVExpf-Exi_2gmuqTYH28fseTB9MoKPXWcXCbSt_YrM/edit?usp=share_link"",""หนองคาย!N427"")+IMPORTRANGE(""https://docs.google.com/spreadsheets/d/16UeMz0UgOB5BZcoxP75eYGcLFtG"&amp;"YRn9GoesD4OX9m5U/edit?usp=share_link"",""หนองบัวลำภู!N427"")+IMPORTRANGE(""https://docs.google.com/spreadsheets/d/1uUP8Zo1-qaJLuIkRU0qlwLSE3DHkbdrrj2JGJiWBQZE/edit?usp=share_link"",""อำนาจเจริญ!N427"")+IMPORTRANGE(""https://docs.google.com/spreadsheets/d/"&amp;"1hb_taSOHanzRjqfzWPiFo8yiT83VV1L7vvUCLhOiHKc/edit?usp=share_link"",""อุดรธานี!N427"")+IMPORTRANGE(""https://docs.google.com/spreadsheets/d/17IOkEwkUd63EGNfyNDnM5de9YlZ7rwzTiW6-dokVjKI/edit?usp=share_link"",""อุบลราชธานี!N427"")
"),0)</f>
        <v>0</v>
      </c>
      <c r="O427" s="38"/>
      <c r="P427" s="3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</row>
    <row r="428" spans="1:26" ht="18.75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fb2B9NLcpJgjIieIJvenUTNPn0TimZDUi0OtYeiSQ_s/edit?usp=share_link"",""กาฬสินธุ์!N428"")+IMPORTRANGE(""https://docs.google.com/spreadsheets/d/1SaMnqrwRGmFYNR0MhpWmHuL5niYUd5E7vDq8X7whAlI/edit?usp=share_li"&amp;"nk"",""ขอนแก่น!N428"")
+IMPORTRANGE(""https://docs.google.com/spreadsheets/d/1xQzEtGHhTTgxHh6YUkKY1P4dRyjVhS74dGswLfAASA4/edit?usp=share_link"",""ชัยภูมิ!N428"")+IMPORTRANGE(""https://docs.google.com/spreadsheets/d/1EXMBoBxU3OFbjT2TRpneM33qFjqDzrKmn9ydcfl"&amp;"fI0o/edit?usp=share_link"",""นครพนม!N428"")+IMPORTRANGE(""https://docs.google.com/spreadsheets/d/1bDQrolntRWtHumK8W-x-HXKntwxB9S3sF5aDeRS66Ko/edit?usp=share_link"",""นครราชสีมา!N428"")+IMPORTRANGE(""https://docs.google.com/spreadsheets/d/1_MzZ-2gVPiCW-d2V"&amp;"cafoCmFJQTSrZ6SQyFcMqRRQQ2w/edit?usp=share_link"",""บึงกาฬ!N428"")
+IMPORTRANGE(""https://docs.google.com/spreadsheets/d/1B3lPpzOuaNwVItLwLEZYl_qEblfcx7dRnbRkAw0l-pE/edit?usp=share_link"",""บุรีรัมย์!N428"")+IMPORTRANGE(""https://docs.google.com/spreadshe"&amp;"ets/d/19GOkiOqnzYbevLYWrMk4qFOXe3rX14BkSA8X-mq-a40/edit?usp=share_link"",""มหาสารคาม!N428"")+IMPORTRANGE(""https://docs.google.com/spreadsheets/d/1uMKqWwuNQ-TCKboGA3Bb1qXb5uj2-faACNUINCz8PN4/edit?usp=share_link"",""มุกดาหาร!N428"")+IMPORTRANGE(""https://d"&amp;"ocs.google.com/spreadsheets/d/1oKaccgDdQABndOzGr688Dbfxb_V3YcF67VqEPBtdzsc/edit?usp=share_link"",""ยโสธร!N428"")+IMPORTRANGE(""https://docs.google.com/spreadsheets/d/1BRgc8xKpxZ0PX-gauieMVkV_IOxKSotf0yW8MabGprQ/edit?usp=share_link"",""ร้อยเอ็ด!N428"")+IMP"&amp;"ORTRANGE(""https://docs.google.com/spreadsheets/d/1IdolZc-dfdgMwAm_KZxYJl1sUOcIgnbGQzbWOlddedo/edit?usp=share_link"",""เลย!N428"")+IMPORTRANGE(""https://docs.google.com/spreadsheets/d/1tZ0nmtGuIRCaGAMXHlQU8EpR9LOAJvyKfc4f7EFmE34/edit?usp=share_link"",""ศร"&amp;"ีสะเกษ!N428"")+IMPORTRANGE(""https://docs.google.com/spreadsheets/d/1QC8psz9w0f9IVE9Xuc2FT_btkaOzZbbUSgYObpBuetM/edit?usp=share_link"",""สกลนคร!N428"")+IMPORTRANGE(""https://docs.google.com/spreadsheets/d/1wPdvRbu02d33MYVlbsCnyTiZpefEBs9NNktAnT1HZvw/edit?"&amp;"usp=share_link"",""สุรินทร์!N428"")+IMPORTRANGE(""https://docs.google.com/spreadsheets/d/1GVExpf-Exi_2gmuqTYH28fseTB9MoKPXWcXCbSt_YrM/edit?usp=share_link"",""หนองคาย!N428"")+IMPORTRANGE(""https://docs.google.com/spreadsheets/d/16UeMz0UgOB5BZcoxP75eYGcLFtG"&amp;"YRn9GoesD4OX9m5U/edit?usp=share_link"",""หนองบัวลำภู!N428"")+IMPORTRANGE(""https://docs.google.com/spreadsheets/d/1uUP8Zo1-qaJLuIkRU0qlwLSE3DHkbdrrj2JGJiWBQZE/edit?usp=share_link"",""อำนาจเจริญ!N428"")+IMPORTRANGE(""https://docs.google.com/spreadsheets/d/"&amp;"1hb_taSOHanzRjqfzWPiFo8yiT83VV1L7vvUCLhOiHKc/edit?usp=share_link"",""อุดรธานี!N428"")+IMPORTRANGE(""https://docs.google.com/spreadsheets/d/17IOkEwkUd63EGNfyNDnM5de9YlZ7rwzTiW6-dokVjKI/edit?usp=share_link"",""อุบลราชธานี!N428"")
"),858311)</f>
        <v>858311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fb2B9NLcpJgjIieIJvenUTNPn0TimZDUi0OtYeiSQ_s/edit?usp=share_link"",""กาฬสินธุ์!L431"")+IMPORTRANGE(""https://docs.google.com/spreadsheets/d/1SaMnqrwRGmFYNR0MhpWmHuL5niYUd5E7vDq8X7whAlI/edit?usp=share_li"&amp;"nk"",""ขอนแก่น!L431"")
+IMPORTRANGE(""https://docs.google.com/spreadsheets/d/1xQzEtGHhTTgxHh6YUkKY1P4dRyjVhS74dGswLfAASA4/edit?usp=share_link"",""ชัยภูมิ!L431"")+IMPORTRANGE(""https://docs.google.com/spreadsheets/d/1EXMBoBxU3OFbjT2TRpneM33qFjqDzrKmn9ydcfl"&amp;"fI0o/edit?usp=share_link"",""นครพนม!L431"")+IMPORTRANGE(""https://docs.google.com/spreadsheets/d/1bDQrolntRWtHumK8W-x-HXKntwxB9S3sF5aDeRS66Ko/edit?usp=share_link"",""นครราชสีมา!L431"")+IMPORTRANGE(""https://docs.google.com/spreadsheets/d/1_MzZ-2gVPiCW-d2V"&amp;"cafoCmFJQTSrZ6SQyFcMqRRQQ2w/edit?usp=share_link"",""บึงกาฬ!L431"")
+IMPORTRANGE(""https://docs.google.com/spreadsheets/d/1B3lPpzOuaNwVItLwLEZYl_qEblfcx7dRnbRkAw0l-pE/edit?usp=share_link"",""บุรีรัมย์!L431"")+IMPORTRANGE(""https://docs.google.com/spreadshe"&amp;"ets/d/19GOkiOqnzYbevLYWrMk4qFOXe3rX14BkSA8X-mq-a40/edit?usp=share_link"",""มหาสารคาม!L431"")+IMPORTRANGE(""https://docs.google.com/spreadsheets/d/1uMKqWwuNQ-TCKboGA3Bb1qXb5uj2-faACNUINCz8PN4/edit?usp=share_link"",""มุกดาหาร!L431"")+IMPORTRANGE(""https://d"&amp;"ocs.google.com/spreadsheets/d/1oKaccgDdQABndOzGr688Dbfxb_V3YcF67VqEPBtdzsc/edit?usp=share_link"",""ยโสธร!L431"")+IMPORTRANGE(""https://docs.google.com/spreadsheets/d/1BRgc8xKpxZ0PX-gauieMVkV_IOxKSotf0yW8MabGprQ/edit?usp=share_link"",""ร้อยเอ็ด!L431"")+IMP"&amp;"ORTRANGE(""https://docs.google.com/spreadsheets/d/1IdolZc-dfdgMwAm_KZxYJl1sUOcIgnbGQzbWOlddedo/edit?usp=share_link"",""เลย!L431"")+IMPORTRANGE(""https://docs.google.com/spreadsheets/d/1tZ0nmtGuIRCaGAMXHlQU8EpR9LOAJvyKfc4f7EFmE34/edit?usp=share_link"",""ศร"&amp;"ีสะเกษ!L431"")+IMPORTRANGE(""https://docs.google.com/spreadsheets/d/1QC8psz9w0f9IVE9Xuc2FT_btkaOzZbbUSgYObpBuetM/edit?usp=share_link"",""สกลนคร!L431"")+IMPORTRANGE(""https://docs.google.com/spreadsheets/d/1wPdvRbu02d33MYVlbsCnyTiZpefEBs9NNktAnT1HZvw/edit?"&amp;"usp=share_link"",""สุรินทร์!L431"")+IMPORTRANGE(""https://docs.google.com/spreadsheets/d/1GVExpf-Exi_2gmuqTYH28fseTB9MoKPXWcXCbSt_YrM/edit?usp=share_link"",""หนองคาย!L431"")+IMPORTRANGE(""https://docs.google.com/spreadsheets/d/16UeMz0UgOB5BZcoxP75eYGcLFtG"&amp;"YRn9GoesD4OX9m5U/edit?usp=share_link"",""หนองบัวลำภู!L431"")+IMPORTRANGE(""https://docs.google.com/spreadsheets/d/1uUP8Zo1-qaJLuIkRU0qlwLSE3DHkbdrrj2JGJiWBQZE/edit?usp=share_link"",""อำนาจเจริญ!L431"")+IMPORTRANGE(""https://docs.google.com/spreadsheets/d/"&amp;"1hb_taSOHanzRjqfzWPiFo8yiT83VV1L7vvUCLhOiHKc/edit?usp=share_link"",""อุดรธานี!L431"")+IMPORTRANGE(""https://docs.google.com/spreadsheets/d/17IOkEwkUd63EGNfyNDnM5de9YlZ7rwzTiW6-dokVjKI/edit?usp=share_link"",""อุบลราชธานี!L431"")
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579" t="s">
        <v>38</v>
      </c>
      <c r="E432" s="580"/>
      <c r="F432" s="580"/>
      <c r="G432" s="581"/>
      <c r="H432" s="582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535</v>
      </c>
      <c r="J433" s="194">
        <f ca="1">IFERROR(__xludf.DUMMYFUNCTION("IMPORTRANGE(""https://docs.google.com/spreadsheets/d/1fb2B9NLcpJgjIieIJvenUTNPn0TimZDUi0OtYeiSQ_s/edit?usp=share_link"",""กาฬสินธุ์!J433"")+IMPORTRANGE(""https://docs.google.com/spreadsheets/d/1SaMnqrwRGmFYNR0MhpWmHuL5niYUd5E7vDq8X7whAlI/edit?usp=share_li"&amp;"nk"",""ขอนแก่น!J433"")
+IMPORTRANGE(""https://docs.google.com/spreadsheets/d/1xQzEtGHhTTgxHh6YUkKY1P4dRyjVhS74dGswLfAASA4/edit?usp=share_link"",""ชัยภูมิ!J433"")+IMPORTRANGE(""https://docs.google.com/spreadsheets/d/1EXMBoBxU3OFbjT2TRpneM33qFjqDzrKmn9ydcfl"&amp;"fI0o/edit?usp=share_link"",""นครพนม!J433"")+IMPORTRANGE(""https://docs.google.com/spreadsheets/d/1bDQrolntRWtHumK8W-x-HXKntwxB9S3sF5aDeRS66Ko/edit?usp=share_link"",""นครราชสีมา!J433"")+IMPORTRANGE(""https://docs.google.com/spreadsheets/d/1_MzZ-2gVPiCW-d2V"&amp;"cafoCmFJQTSrZ6SQyFcMqRRQQ2w/edit?usp=share_link"",""บึงกาฬ!J433"")
+IMPORTRANGE(""https://docs.google.com/spreadsheets/d/1B3lPpzOuaNwVItLwLEZYl_qEblfcx7dRnbRkAw0l-pE/edit?usp=share_link"",""บุรีรัมย์!J433"")+IMPORTRANGE(""https://docs.google.com/spreadshe"&amp;"ets/d/19GOkiOqnzYbevLYWrMk4qFOXe3rX14BkSA8X-mq-a40/edit?usp=share_link"",""มหาสารคาม!J433"")+IMPORTRANGE(""https://docs.google.com/spreadsheets/d/1uMKqWwuNQ-TCKboGA3Bb1qXb5uj2-faACNUINCz8PN4/edit?usp=share_link"",""มุกดาหาร!J433"")+IMPORTRANGE(""https://d"&amp;"ocs.google.com/spreadsheets/d/1oKaccgDdQABndOzGr688Dbfxb_V3YcF67VqEPBtdzsc/edit?usp=share_link"",""ยโสธร!J433"")+IMPORTRANGE(""https://docs.google.com/spreadsheets/d/1BRgc8xKpxZ0PX-gauieMVkV_IOxKSotf0yW8MabGprQ/edit?usp=share_link"",""ร้อยเอ็ด!J433"")+IMP"&amp;"ORTRANGE(""https://docs.google.com/spreadsheets/d/1IdolZc-dfdgMwAm_KZxYJl1sUOcIgnbGQzbWOlddedo/edit?usp=share_link"",""เลย!J433"")+IMPORTRANGE(""https://docs.google.com/spreadsheets/d/1tZ0nmtGuIRCaGAMXHlQU8EpR9LOAJvyKfc4f7EFmE34/edit?usp=share_link"",""ศร"&amp;"ีสะเกษ!J433"")+IMPORTRANGE(""https://docs.google.com/spreadsheets/d/1QC8psz9w0f9IVE9Xuc2FT_btkaOzZbbUSgYObpBuetM/edit?usp=share_link"",""สกลนคร!J433"")+IMPORTRANGE(""https://docs.google.com/spreadsheets/d/1wPdvRbu02d33MYVlbsCnyTiZpefEBs9NNktAnT1HZvw/edit?"&amp;"usp=share_link"",""สุรินทร์!J433"")+IMPORTRANGE(""https://docs.google.com/spreadsheets/d/1GVExpf-Exi_2gmuqTYH28fseTB9MoKPXWcXCbSt_YrM/edit?usp=share_link"",""หนองคาย!J433"")+IMPORTRANGE(""https://docs.google.com/spreadsheets/d/16UeMz0UgOB5BZcoxP75eYGcLFtG"&amp;"YRn9GoesD4OX9m5U/edit?usp=share_link"",""หนองบัวลำภู!J433"")+IMPORTRANGE(""https://docs.google.com/spreadsheets/d/1uUP8Zo1-qaJLuIkRU0qlwLSE3DHkbdrrj2JGJiWBQZE/edit?usp=share_link"",""อำนาจเจริญ!J433"")+IMPORTRANGE(""https://docs.google.com/spreadsheets/d/"&amp;"1hb_taSOHanzRjqfzWPiFo8yiT83VV1L7vvUCLhOiHKc/edit?usp=share_link"",""อุดรธานี!J433"")+IMPORTRANGE(""https://docs.google.com/spreadsheets/d/17IOkEwkUd63EGNfyNDnM5de9YlZ7rwzTiW6-dokVjKI/edit?usp=share_link"",""อุบลราชธานี!J433"")
"),535)</f>
        <v>535</v>
      </c>
      <c r="K433" s="195">
        <f t="shared" ref="K433:K435" ca="1" si="223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4">I438+I440</f>
        <v>22</v>
      </c>
      <c r="J434" s="194">
        <f t="shared" ca="1" si="224"/>
        <v>22</v>
      </c>
      <c r="K434" s="195">
        <f t="shared" ca="1" si="223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83">
        <f ca="1">IFERROR(__xludf.DUMMYFUNCTION("IMPORTRANGE(""https://docs.google.com/spreadsheets/d/1fb2B9NLcpJgjIieIJvenUTNPn0TimZDUi0OtYeiSQ_s/edit?usp=share_link"",""กาฬสินธุ์!I435"")+IMPORTRANGE(""https://docs.google.com/spreadsheets/d/1SaMnqrwRGmFYNR0MhpWmHuL5niYUd5E7vDq8X7whAlI/edit?usp=share_li"&amp;"nk"",""ขอนแก่น!I435"")
+IMPORTRANGE(""https://docs.google.com/spreadsheets/d/1xQzEtGHhTTgxHh6YUkKY1P4dRyjVhS74dGswLfAASA4/edit?usp=share_link"",""ชัยภูมิ!I435"")+IMPORTRANGE(""https://docs.google.com/spreadsheets/d/1EXMBoBxU3OFbjT2TRpneM33qFjqDzrKmn9ydcfl"&amp;"fI0o/edit?usp=share_link"",""นครพนม!I435"")+IMPORTRANGE(""https://docs.google.com/spreadsheets/d/1bDQrolntRWtHumK8W-x-HXKntwxB9S3sF5aDeRS66Ko/edit?usp=share_link"",""นครราชสีมา!I435"")+IMPORTRANGE(""https://docs.google.com/spreadsheets/d/1_MzZ-2gVPiCW-d2V"&amp;"cafoCmFJQTSrZ6SQyFcMqRRQQ2w/edit?usp=share_link"",""บึงกาฬ!I435"")
+IMPORTRANGE(""https://docs.google.com/spreadsheets/d/1B3lPpzOuaNwVItLwLEZYl_qEblfcx7dRnbRkAw0l-pE/edit?usp=share_link"",""บุรีรัมย์!I435"")+IMPORTRANGE(""https://docs.google.com/spreadshe"&amp;"ets/d/19GOkiOqnzYbevLYWrMk4qFOXe3rX14BkSA8X-mq-a40/edit?usp=share_link"",""มหาสารคาม!I435"")+IMPORTRANGE(""https://docs.google.com/spreadsheets/d/1uMKqWwuNQ-TCKboGA3Bb1qXb5uj2-faACNUINCz8PN4/edit?usp=share_link"",""มุกดาหาร!I435"")+IMPORTRANGE(""https://d"&amp;"ocs.google.com/spreadsheets/d/1oKaccgDdQABndOzGr688Dbfxb_V3YcF67VqEPBtdzsc/edit?usp=share_link"",""ยโสธร!I435"")+IMPORTRANGE(""https://docs.google.com/spreadsheets/d/1BRgc8xKpxZ0PX-gauieMVkV_IOxKSotf0yW8MabGprQ/edit?usp=share_link"",""ร้อยเอ็ด!I435"")+IMP"&amp;"ORTRANGE(""https://docs.google.com/spreadsheets/d/1IdolZc-dfdgMwAm_KZxYJl1sUOcIgnbGQzbWOlddedo/edit?usp=share_link"",""เลย!I435"")+IMPORTRANGE(""https://docs.google.com/spreadsheets/d/1tZ0nmtGuIRCaGAMXHlQU8EpR9LOAJvyKfc4f7EFmE34/edit?usp=share_link"",""ศร"&amp;"ีสะเกษ!I435"")+IMPORTRANGE(""https://docs.google.com/spreadsheets/d/1QC8psz9w0f9IVE9Xuc2FT_btkaOzZbbUSgYObpBuetM/edit?usp=share_link"",""สกลนคร!I435"")+IMPORTRANGE(""https://docs.google.com/spreadsheets/d/1wPdvRbu02d33MYVlbsCnyTiZpefEBs9NNktAnT1HZvw/edit?"&amp;"usp=share_link"",""สุรินทร์!I435"")+IMPORTRANGE(""https://docs.google.com/spreadsheets/d/1GVExpf-Exi_2gmuqTYH28fseTB9MoKPXWcXCbSt_YrM/edit?usp=share_link"",""หนองคาย!I435"")+IMPORTRANGE(""https://docs.google.com/spreadsheets/d/16UeMz0UgOB5BZcoxP75eYGcLFtG"&amp;"YRn9GoesD4OX9m5U/edit?usp=share_link"",""หนองบัวลำภู!I435"")+IMPORTRANGE(""https://docs.google.com/spreadsheets/d/1uUP8Zo1-qaJLuIkRU0qlwLSE3DHkbdrrj2JGJiWBQZE/edit?usp=share_link"",""อำนาจเจริญ!I435"")+IMPORTRANGE(""https://docs.google.com/spreadsheets/d/"&amp;"1hb_taSOHanzRjqfzWPiFo8yiT83VV1L7vvUCLhOiHKc/edit?usp=share_link"",""อุดรธานี!I435"")+IMPORTRANGE(""https://docs.google.com/spreadsheets/d/17IOkEwkUd63EGNfyNDnM5de9YlZ7rwzTiW6-dokVjKI/edit?usp=share_link"",""อุบลราชธานี!I435"")
"),535)</f>
        <v>535</v>
      </c>
      <c r="J435" s="584">
        <f ca="1">IFERROR(__xludf.DUMMYFUNCTION("IMPORTRANGE(""https://docs.google.com/spreadsheets/d/1fb2B9NLcpJgjIieIJvenUTNPn0TimZDUi0OtYeiSQ_s/edit?usp=share_link"",""กาฬสินธุ์!J435"")+IMPORTRANGE(""https://docs.google.com/spreadsheets/d/1SaMnqrwRGmFYNR0MhpWmHuL5niYUd5E7vDq8X7whAlI/edit?usp=share_li"&amp;"nk"",""ขอนแก่น!J435"")
+IMPORTRANGE(""https://docs.google.com/spreadsheets/d/1xQzEtGHhTTgxHh6YUkKY1P4dRyjVhS74dGswLfAASA4/edit?usp=share_link"",""ชัยภูมิ!J435"")+IMPORTRANGE(""https://docs.google.com/spreadsheets/d/1EXMBoBxU3OFbjT2TRpneM33qFjqDzrKmn9ydcfl"&amp;"fI0o/edit?usp=share_link"",""นครพนม!J435"")+IMPORTRANGE(""https://docs.google.com/spreadsheets/d/1bDQrolntRWtHumK8W-x-HXKntwxB9S3sF5aDeRS66Ko/edit?usp=share_link"",""นครราชสีมา!J435"")+IMPORTRANGE(""https://docs.google.com/spreadsheets/d/1_MzZ-2gVPiCW-d2V"&amp;"cafoCmFJQTSrZ6SQyFcMqRRQQ2w/edit?usp=share_link"",""บึงกาฬ!J435"")
+IMPORTRANGE(""https://docs.google.com/spreadsheets/d/1B3lPpzOuaNwVItLwLEZYl_qEblfcx7dRnbRkAw0l-pE/edit?usp=share_link"",""บุรีรัมย์!J435"")+IMPORTRANGE(""https://docs.google.com/spreadshe"&amp;"ets/d/19GOkiOqnzYbevLYWrMk4qFOXe3rX14BkSA8X-mq-a40/edit?usp=share_link"",""มหาสารคาม!J435"")+IMPORTRANGE(""https://docs.google.com/spreadsheets/d/1uMKqWwuNQ-TCKboGA3Bb1qXb5uj2-faACNUINCz8PN4/edit?usp=share_link"",""มุกดาหาร!J435"")+IMPORTRANGE(""https://d"&amp;"ocs.google.com/spreadsheets/d/1oKaccgDdQABndOzGr688Dbfxb_V3YcF67VqEPBtdzsc/edit?usp=share_link"",""ยโสธร!J435"")+IMPORTRANGE(""https://docs.google.com/spreadsheets/d/1BRgc8xKpxZ0PX-gauieMVkV_IOxKSotf0yW8MabGprQ/edit?usp=share_link"",""ร้อยเอ็ด!J435"")+IMP"&amp;"ORTRANGE(""https://docs.google.com/spreadsheets/d/1IdolZc-dfdgMwAm_KZxYJl1sUOcIgnbGQzbWOlddedo/edit?usp=share_link"",""เลย!J435"")+IMPORTRANGE(""https://docs.google.com/spreadsheets/d/1tZ0nmtGuIRCaGAMXHlQU8EpR9LOAJvyKfc4f7EFmE34/edit?usp=share_link"",""ศร"&amp;"ีสะเกษ!J435"")+IMPORTRANGE(""https://docs.google.com/spreadsheets/d/1QC8psz9w0f9IVE9Xuc2FT_btkaOzZbbUSgYObpBuetM/edit?usp=share_link"",""สกลนคร!J435"")+IMPORTRANGE(""https://docs.google.com/spreadsheets/d/1wPdvRbu02d33MYVlbsCnyTiZpefEBs9NNktAnT1HZvw/edit?"&amp;"usp=share_link"",""สุรินทร์!J435"")+IMPORTRANGE(""https://docs.google.com/spreadsheets/d/1GVExpf-Exi_2gmuqTYH28fseTB9MoKPXWcXCbSt_YrM/edit?usp=share_link"",""หนองคาย!J435"")+IMPORTRANGE(""https://docs.google.com/spreadsheets/d/16UeMz0UgOB5BZcoxP75eYGcLFtG"&amp;"YRn9GoesD4OX9m5U/edit?usp=share_link"",""หนองบัวลำภู!J435"")+IMPORTRANGE(""https://docs.google.com/spreadsheets/d/1uUP8Zo1-qaJLuIkRU0qlwLSE3DHkbdrrj2JGJiWBQZE/edit?usp=share_link"",""อำนาจเจริญ!J435"")+IMPORTRANGE(""https://docs.google.com/spreadsheets/d/"&amp;"1hb_taSOHanzRjqfzWPiFo8yiT83VV1L7vvUCLhOiHKc/edit?usp=share_link"",""อุดรธานี!J435"")+IMPORTRANGE(""https://docs.google.com/spreadsheets/d/17IOkEwkUd63EGNfyNDnM5de9YlZ7rwzTiW6-dokVjKI/edit?usp=share_link"",""อุบลราชธานี!J435"")
"),535)</f>
        <v>535</v>
      </c>
      <c r="K435" s="498">
        <f t="shared" ca="1" si="223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83">
        <f ca="1">IFERROR(__xludf.DUMMYFUNCTION("IMPORTRANGE(""https://docs.google.com/spreadsheets/d/1fb2B9NLcpJgjIieIJvenUTNPn0TimZDUi0OtYeiSQ_s/edit?usp=share_link"",""กาฬสินธุ์!I437"")+IMPORTRANGE(""https://docs.google.com/spreadsheets/d/1SaMnqrwRGmFYNR0MhpWmHuL5niYUd5E7vDq8X7whAlI/edit?usp=share_li"&amp;"nk"",""ขอนแก่น!I437"")
+IMPORTRANGE(""https://docs.google.com/spreadsheets/d/1xQzEtGHhTTgxHh6YUkKY1P4dRyjVhS74dGswLfAASA4/edit?usp=share_link"",""ชัยภูมิ!I437"")+IMPORTRANGE(""https://docs.google.com/spreadsheets/d/1EXMBoBxU3OFbjT2TRpneM33qFjqDzrKmn9ydcfl"&amp;"fI0o/edit?usp=share_link"",""นครพนม!I437"")+IMPORTRANGE(""https://docs.google.com/spreadsheets/d/1bDQrolntRWtHumK8W-x-HXKntwxB9S3sF5aDeRS66Ko/edit?usp=share_link"",""นครราชสีมา!I437"")+IMPORTRANGE(""https://docs.google.com/spreadsheets/d/1_MzZ-2gVPiCW-d2V"&amp;"cafoCmFJQTSrZ6SQyFcMqRRQQ2w/edit?usp=share_link"",""บึงกาฬ!I437"")
+IMPORTRANGE(""https://docs.google.com/spreadsheets/d/1B3lPpzOuaNwVItLwLEZYl_qEblfcx7dRnbRkAw0l-pE/edit?usp=share_link"",""บุรีรัมย์!I437"")+IMPORTRANGE(""https://docs.google.com/spreadshe"&amp;"ets/d/19GOkiOqnzYbevLYWrMk4qFOXe3rX14BkSA8X-mq-a40/edit?usp=share_link"",""มหาสารคาม!I437"")+IMPORTRANGE(""https://docs.google.com/spreadsheets/d/1uMKqWwuNQ-TCKboGA3Bb1qXb5uj2-faACNUINCz8PN4/edit?usp=share_link"",""มุกดาหาร!I437"")+IMPORTRANGE(""https://d"&amp;"ocs.google.com/spreadsheets/d/1oKaccgDdQABndOzGr688Dbfxb_V3YcF67VqEPBtdzsc/edit?usp=share_link"",""ยโสธร!I437"")+IMPORTRANGE(""https://docs.google.com/spreadsheets/d/1BRgc8xKpxZ0PX-gauieMVkV_IOxKSotf0yW8MabGprQ/edit?usp=share_link"",""ร้อยเอ็ด!I437"")+IMP"&amp;"ORTRANGE(""https://docs.google.com/spreadsheets/d/1IdolZc-dfdgMwAm_KZxYJl1sUOcIgnbGQzbWOlddedo/edit?usp=share_link"",""เลย!I437"")+IMPORTRANGE(""https://docs.google.com/spreadsheets/d/1tZ0nmtGuIRCaGAMXHlQU8EpR9LOAJvyKfc4f7EFmE34/edit?usp=share_link"",""ศร"&amp;"ีสะเกษ!I437"")+IMPORTRANGE(""https://docs.google.com/spreadsheets/d/1QC8psz9w0f9IVE9Xuc2FT_btkaOzZbbUSgYObpBuetM/edit?usp=share_link"",""สกลนคร!I437"")+IMPORTRANGE(""https://docs.google.com/spreadsheets/d/1wPdvRbu02d33MYVlbsCnyTiZpefEBs9NNktAnT1HZvw/edit?"&amp;"usp=share_link"",""สุรินทร์!I437"")+IMPORTRANGE(""https://docs.google.com/spreadsheets/d/1GVExpf-Exi_2gmuqTYH28fseTB9MoKPXWcXCbSt_YrM/edit?usp=share_link"",""หนองคาย!I437"")+IMPORTRANGE(""https://docs.google.com/spreadsheets/d/16UeMz0UgOB5BZcoxP75eYGcLFtG"&amp;"YRn9GoesD4OX9m5U/edit?usp=share_link"",""หนองบัวลำภู!I437"")+IMPORTRANGE(""https://docs.google.com/spreadsheets/d/1uUP8Zo1-qaJLuIkRU0qlwLSE3DHkbdrrj2JGJiWBQZE/edit?usp=share_link"",""อำนาจเจริญ!I437"")+IMPORTRANGE(""https://docs.google.com/spreadsheets/d/"&amp;"1hb_taSOHanzRjqfzWPiFo8yiT83VV1L7vvUCLhOiHKc/edit?usp=share_link"",""อุดรธานี!I437"")+IMPORTRANGE(""https://docs.google.com/spreadsheets/d/17IOkEwkUd63EGNfyNDnM5de9YlZ7rwzTiW6-dokVjKI/edit?usp=share_link"",""อุบลราชธานี!I437"")
"),80)</f>
        <v>80</v>
      </c>
      <c r="J437" s="584">
        <f ca="1">IFERROR(__xludf.DUMMYFUNCTION("IMPORTRANGE(""https://docs.google.com/spreadsheets/d/1fb2B9NLcpJgjIieIJvenUTNPn0TimZDUi0OtYeiSQ_s/edit?usp=share_link"",""กาฬสินธุ์!J437"")+IMPORTRANGE(""https://docs.google.com/spreadsheets/d/1SaMnqrwRGmFYNR0MhpWmHuL5niYUd5E7vDq8X7whAlI/edit?usp=share_li"&amp;"nk"",""ขอนแก่น!J437"")
+IMPORTRANGE(""https://docs.google.com/spreadsheets/d/1xQzEtGHhTTgxHh6YUkKY1P4dRyjVhS74dGswLfAASA4/edit?usp=share_link"",""ชัยภูมิ!J437"")+IMPORTRANGE(""https://docs.google.com/spreadsheets/d/1EXMBoBxU3OFbjT2TRpneM33qFjqDzrKmn9ydcfl"&amp;"fI0o/edit?usp=share_link"",""นครพนม!J437"")+IMPORTRANGE(""https://docs.google.com/spreadsheets/d/1bDQrolntRWtHumK8W-x-HXKntwxB9S3sF5aDeRS66Ko/edit?usp=share_link"",""นครราชสีมา!J437"")+IMPORTRANGE(""https://docs.google.com/spreadsheets/d/1_MzZ-2gVPiCW-d2V"&amp;"cafoCmFJQTSrZ6SQyFcMqRRQQ2w/edit?usp=share_link"",""บึงกาฬ!J437"")
+IMPORTRANGE(""https://docs.google.com/spreadsheets/d/1B3lPpzOuaNwVItLwLEZYl_qEblfcx7dRnbRkAw0l-pE/edit?usp=share_link"",""บุรีรัมย์!J437"")+IMPORTRANGE(""https://docs.google.com/spreadshe"&amp;"ets/d/19GOkiOqnzYbevLYWrMk4qFOXe3rX14BkSA8X-mq-a40/edit?usp=share_link"",""มหาสารคาม!J437"")+IMPORTRANGE(""https://docs.google.com/spreadsheets/d/1uMKqWwuNQ-TCKboGA3Bb1qXb5uj2-faACNUINCz8PN4/edit?usp=share_link"",""มุกดาหาร!J437"")+IMPORTRANGE(""https://d"&amp;"ocs.google.com/spreadsheets/d/1oKaccgDdQABndOzGr688Dbfxb_V3YcF67VqEPBtdzsc/edit?usp=share_link"",""ยโสธร!J437"")+IMPORTRANGE(""https://docs.google.com/spreadsheets/d/1BRgc8xKpxZ0PX-gauieMVkV_IOxKSotf0yW8MabGprQ/edit?usp=share_link"",""ร้อยเอ็ด!J437"")+IMP"&amp;"ORTRANGE(""https://docs.google.com/spreadsheets/d/1IdolZc-dfdgMwAm_KZxYJl1sUOcIgnbGQzbWOlddedo/edit?usp=share_link"",""เลย!J437"")+IMPORTRANGE(""https://docs.google.com/spreadsheets/d/1tZ0nmtGuIRCaGAMXHlQU8EpR9LOAJvyKfc4f7EFmE34/edit?usp=share_link"",""ศร"&amp;"ีสะเกษ!J437"")+IMPORTRANGE(""https://docs.google.com/spreadsheets/d/1QC8psz9w0f9IVE9Xuc2FT_btkaOzZbbUSgYObpBuetM/edit?usp=share_link"",""สกลนคร!J437"")+IMPORTRANGE(""https://docs.google.com/spreadsheets/d/1wPdvRbu02d33MYVlbsCnyTiZpefEBs9NNktAnT1HZvw/edit?"&amp;"usp=share_link"",""สุรินทร์!J437"")+IMPORTRANGE(""https://docs.google.com/spreadsheets/d/1GVExpf-Exi_2gmuqTYH28fseTB9MoKPXWcXCbSt_YrM/edit?usp=share_link"",""หนองคาย!J437"")+IMPORTRANGE(""https://docs.google.com/spreadsheets/d/16UeMz0UgOB5BZcoxP75eYGcLFtG"&amp;"YRn9GoesD4OX9m5U/edit?usp=share_link"",""หนองบัวลำภู!J437"")+IMPORTRANGE(""https://docs.google.com/spreadsheets/d/1uUP8Zo1-qaJLuIkRU0qlwLSE3DHkbdrrj2JGJiWBQZE/edit?usp=share_link"",""อำนาจเจริญ!J437"")+IMPORTRANGE(""https://docs.google.com/spreadsheets/d/"&amp;"1hb_taSOHanzRjqfzWPiFo8yiT83VV1L7vvUCLhOiHKc/edit?usp=share_link"",""อุดรธานี!J437"")+IMPORTRANGE(""https://docs.google.com/spreadsheets/d/17IOkEwkUd63EGNfyNDnM5de9YlZ7rwzTiW6-dokVjKI/edit?usp=share_link"",""อุบลราชธานี!J437"")
"),95)</f>
        <v>95</v>
      </c>
      <c r="K437" s="498">
        <f t="shared" ref="K437:K443" ca="1" si="225">IF(I437&gt;0,J437*100/I437,0)</f>
        <v>118.75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fb2B9NLcpJgjIieIJvenUTNPn0TimZDUi0OtYeiSQ_s/edit?usp=share_link"",""กาฬสินธุ์!I438"")+IMPORTRANGE(""https://docs.google.com/spreadsheets/d/1SaMnqrwRGmFYNR0MhpWmHuL5niYUd5E7vDq8X7whAlI/edit?usp=share_li"&amp;"nk"",""ขอนแก่น!I438"")
+IMPORTRANGE(""https://docs.google.com/spreadsheets/d/1xQzEtGHhTTgxHh6YUkKY1P4dRyjVhS74dGswLfAASA4/edit?usp=share_link"",""ชัยภูมิ!I438"")+IMPORTRANGE(""https://docs.google.com/spreadsheets/d/1EXMBoBxU3OFbjT2TRpneM33qFjqDzrKmn9ydcfl"&amp;"fI0o/edit?usp=share_link"",""นครพนม!I438"")+IMPORTRANGE(""https://docs.google.com/spreadsheets/d/1bDQrolntRWtHumK8W-x-HXKntwxB9S3sF5aDeRS66Ko/edit?usp=share_link"",""นครราชสีมา!I438"")+IMPORTRANGE(""https://docs.google.com/spreadsheets/d/1_MzZ-2gVPiCW-d2V"&amp;"cafoCmFJQTSrZ6SQyFcMqRRQQ2w/edit?usp=share_link"",""บึงกาฬ!I438"")
+IMPORTRANGE(""https://docs.google.com/spreadsheets/d/1B3lPpzOuaNwVItLwLEZYl_qEblfcx7dRnbRkAw0l-pE/edit?usp=share_link"",""บุรีรัมย์!I438"")+IMPORTRANGE(""https://docs.google.com/spreadshe"&amp;"ets/d/19GOkiOqnzYbevLYWrMk4qFOXe3rX14BkSA8X-mq-a40/edit?usp=share_link"",""มหาสารคาม!I438"")+IMPORTRANGE(""https://docs.google.com/spreadsheets/d/1uMKqWwuNQ-TCKboGA3Bb1qXb5uj2-faACNUINCz8PN4/edit?usp=share_link"",""มุกดาหาร!I438"")+IMPORTRANGE(""https://d"&amp;"ocs.google.com/spreadsheets/d/1oKaccgDdQABndOzGr688Dbfxb_V3YcF67VqEPBtdzsc/edit?usp=share_link"",""ยโสธร!I438"")+IMPORTRANGE(""https://docs.google.com/spreadsheets/d/1BRgc8xKpxZ0PX-gauieMVkV_IOxKSotf0yW8MabGprQ/edit?usp=share_link"",""ร้อยเอ็ด!I438"")+IMP"&amp;"ORTRANGE(""https://docs.google.com/spreadsheets/d/1IdolZc-dfdgMwAm_KZxYJl1sUOcIgnbGQzbWOlddedo/edit?usp=share_link"",""เลย!I438"")+IMPORTRANGE(""https://docs.google.com/spreadsheets/d/1tZ0nmtGuIRCaGAMXHlQU8EpR9LOAJvyKfc4f7EFmE34/edit?usp=share_link"",""ศร"&amp;"ีสะเกษ!I438"")+IMPORTRANGE(""https://docs.google.com/spreadsheets/d/1QC8psz9w0f9IVE9Xuc2FT_btkaOzZbbUSgYObpBuetM/edit?usp=share_link"",""สกลนคร!I438"")+IMPORTRANGE(""https://docs.google.com/spreadsheets/d/1wPdvRbu02d33MYVlbsCnyTiZpefEBs9NNktAnT1HZvw/edit?"&amp;"usp=share_link"",""สุรินทร์!I438"")+IMPORTRANGE(""https://docs.google.com/spreadsheets/d/1GVExpf-Exi_2gmuqTYH28fseTB9MoKPXWcXCbSt_YrM/edit?usp=share_link"",""หนองคาย!I438"")+IMPORTRANGE(""https://docs.google.com/spreadsheets/d/16UeMz0UgOB5BZcoxP75eYGcLFtG"&amp;"YRn9GoesD4OX9m5U/edit?usp=share_link"",""หนองบัวลำภู!I438"")+IMPORTRANGE(""https://docs.google.com/spreadsheets/d/1uUP8Zo1-qaJLuIkRU0qlwLSE3DHkbdrrj2JGJiWBQZE/edit?usp=share_link"",""อำนาจเจริญ!I438"")+IMPORTRANGE(""https://docs.google.com/spreadsheets/d/"&amp;"1hb_taSOHanzRjqfzWPiFo8yiT83VV1L7vvUCLhOiHKc/edit?usp=share_link"",""อุดรธานี!I438"")+IMPORTRANGE(""https://docs.google.com/spreadsheets/d/17IOkEwkUd63EGNfyNDnM5de9YlZ7rwzTiW6-dokVjKI/edit?usp=share_link"",""อุบลราชธานี!I438"")
"),2)</f>
        <v>2</v>
      </c>
      <c r="J438" s="183">
        <f ca="1">IFERROR(__xludf.DUMMYFUNCTION("IMPORTRANGE(""https://docs.google.com/spreadsheets/d/1fb2B9NLcpJgjIieIJvenUTNPn0TimZDUi0OtYeiSQ_s/edit?usp=share_link"",""กาฬสินธุ์!J438"")+IMPORTRANGE(""https://docs.google.com/spreadsheets/d/1SaMnqrwRGmFYNR0MhpWmHuL5niYUd5E7vDq8X7whAlI/edit?usp=share_li"&amp;"nk"",""ขอนแก่น!J438"")
+IMPORTRANGE(""https://docs.google.com/spreadsheets/d/1xQzEtGHhTTgxHh6YUkKY1P4dRyjVhS74dGswLfAASA4/edit?usp=share_link"",""ชัยภูมิ!J438"")+IMPORTRANGE(""https://docs.google.com/spreadsheets/d/1EXMBoBxU3OFbjT2TRpneM33qFjqDzrKmn9ydcfl"&amp;"fI0o/edit?usp=share_link"",""นครพนม!J438"")+IMPORTRANGE(""https://docs.google.com/spreadsheets/d/1bDQrolntRWtHumK8W-x-HXKntwxB9S3sF5aDeRS66Ko/edit?usp=share_link"",""นครราชสีมา!J438"")+IMPORTRANGE(""https://docs.google.com/spreadsheets/d/1_MzZ-2gVPiCW-d2V"&amp;"cafoCmFJQTSrZ6SQyFcMqRRQQ2w/edit?usp=share_link"",""บึงกาฬ!J438"")
+IMPORTRANGE(""https://docs.google.com/spreadsheets/d/1B3lPpzOuaNwVItLwLEZYl_qEblfcx7dRnbRkAw0l-pE/edit?usp=share_link"",""บุรีรัมย์!J438"")+IMPORTRANGE(""https://docs.google.com/spreadshe"&amp;"ets/d/19GOkiOqnzYbevLYWrMk4qFOXe3rX14BkSA8X-mq-a40/edit?usp=share_link"",""มหาสารคาม!J438"")+IMPORTRANGE(""https://docs.google.com/spreadsheets/d/1uMKqWwuNQ-TCKboGA3Bb1qXb5uj2-faACNUINCz8PN4/edit?usp=share_link"",""มุกดาหาร!J438"")+IMPORTRANGE(""https://d"&amp;"ocs.google.com/spreadsheets/d/1oKaccgDdQABndOzGr688Dbfxb_V3YcF67VqEPBtdzsc/edit?usp=share_link"",""ยโสธร!J438"")+IMPORTRANGE(""https://docs.google.com/spreadsheets/d/1BRgc8xKpxZ0PX-gauieMVkV_IOxKSotf0yW8MabGprQ/edit?usp=share_link"",""ร้อยเอ็ด!J438"")+IMP"&amp;"ORTRANGE(""https://docs.google.com/spreadsheets/d/1IdolZc-dfdgMwAm_KZxYJl1sUOcIgnbGQzbWOlddedo/edit?usp=share_link"",""เลย!J438"")+IMPORTRANGE(""https://docs.google.com/spreadsheets/d/1tZ0nmtGuIRCaGAMXHlQU8EpR9LOAJvyKfc4f7EFmE34/edit?usp=share_link"",""ศร"&amp;"ีสะเกษ!J438"")+IMPORTRANGE(""https://docs.google.com/spreadsheets/d/1QC8psz9w0f9IVE9Xuc2FT_btkaOzZbbUSgYObpBuetM/edit?usp=share_link"",""สกลนคร!J438"")+IMPORTRANGE(""https://docs.google.com/spreadsheets/d/1wPdvRbu02d33MYVlbsCnyTiZpefEBs9NNktAnT1HZvw/edit?"&amp;"usp=share_link"",""สุรินทร์!J438"")+IMPORTRANGE(""https://docs.google.com/spreadsheets/d/1GVExpf-Exi_2gmuqTYH28fseTB9MoKPXWcXCbSt_YrM/edit?usp=share_link"",""หนองคาย!J438"")+IMPORTRANGE(""https://docs.google.com/spreadsheets/d/16UeMz0UgOB5BZcoxP75eYGcLFtG"&amp;"YRn9GoesD4OX9m5U/edit?usp=share_link"",""หนองบัวลำภู!J438"")+IMPORTRANGE(""https://docs.google.com/spreadsheets/d/1uUP8Zo1-qaJLuIkRU0qlwLSE3DHkbdrrj2JGJiWBQZE/edit?usp=share_link"",""อำนาจเจริญ!J438"")+IMPORTRANGE(""https://docs.google.com/spreadsheets/d/"&amp;"1hb_taSOHanzRjqfzWPiFo8yiT83VV1L7vvUCLhOiHKc/edit?usp=share_link"",""อุดรธานี!J438"")+IMPORTRANGE(""https://docs.google.com/spreadsheets/d/17IOkEwkUd63EGNfyNDnM5de9YlZ7rwzTiW6-dokVjKI/edit?usp=share_link"",""อุบลราชธานี!J438"")
"),2)</f>
        <v>2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83">
        <f ca="1">IFERROR(__xludf.DUMMYFUNCTION("IMPORTRANGE(""https://docs.google.com/spreadsheets/d/1fb2B9NLcpJgjIieIJvenUTNPn0TimZDUi0OtYeiSQ_s/edit?usp=share_link"",""กาฬสินธุ์!I439"")+IMPORTRANGE(""https://docs.google.com/spreadsheets/d/1SaMnqrwRGmFYNR0MhpWmHuL5niYUd5E7vDq8X7whAlI/edit?usp=share_li"&amp;"nk"",""ขอนแก่น!I439"")
+IMPORTRANGE(""https://docs.google.com/spreadsheets/d/1xQzEtGHhTTgxHh6YUkKY1P4dRyjVhS74dGswLfAASA4/edit?usp=share_link"",""ชัยภูมิ!I439"")+IMPORTRANGE(""https://docs.google.com/spreadsheets/d/1EXMBoBxU3OFbjT2TRpneM33qFjqDzrKmn9ydcfl"&amp;"fI0o/edit?usp=share_link"",""นครพนม!I439"")+IMPORTRANGE(""https://docs.google.com/spreadsheets/d/1bDQrolntRWtHumK8W-x-HXKntwxB9S3sF5aDeRS66Ko/edit?usp=share_link"",""นครราชสีมา!I439"")+IMPORTRANGE(""https://docs.google.com/spreadsheets/d/1_MzZ-2gVPiCW-d2V"&amp;"cafoCmFJQTSrZ6SQyFcMqRRQQ2w/edit?usp=share_link"",""บึงกาฬ!I439"")
+IMPORTRANGE(""https://docs.google.com/spreadsheets/d/1B3lPpzOuaNwVItLwLEZYl_qEblfcx7dRnbRkAw0l-pE/edit?usp=share_link"",""บุรีรัมย์!I439"")+IMPORTRANGE(""https://docs.google.com/spreadshe"&amp;"ets/d/19GOkiOqnzYbevLYWrMk4qFOXe3rX14BkSA8X-mq-a40/edit?usp=share_link"",""มหาสารคาม!I439"")+IMPORTRANGE(""https://docs.google.com/spreadsheets/d/1uMKqWwuNQ-TCKboGA3Bb1qXb5uj2-faACNUINCz8PN4/edit?usp=share_link"",""มุกดาหาร!I439"")+IMPORTRANGE(""https://d"&amp;"ocs.google.com/spreadsheets/d/1oKaccgDdQABndOzGr688Dbfxb_V3YcF67VqEPBtdzsc/edit?usp=share_link"",""ยโสธร!I439"")+IMPORTRANGE(""https://docs.google.com/spreadsheets/d/1BRgc8xKpxZ0PX-gauieMVkV_IOxKSotf0yW8MabGprQ/edit?usp=share_link"",""ร้อยเอ็ด!I439"")+IMP"&amp;"ORTRANGE(""https://docs.google.com/spreadsheets/d/1IdolZc-dfdgMwAm_KZxYJl1sUOcIgnbGQzbWOlddedo/edit?usp=share_link"",""เลย!I439"")+IMPORTRANGE(""https://docs.google.com/spreadsheets/d/1tZ0nmtGuIRCaGAMXHlQU8EpR9LOAJvyKfc4f7EFmE34/edit?usp=share_link"",""ศร"&amp;"ีสะเกษ!I439"")+IMPORTRANGE(""https://docs.google.com/spreadsheets/d/1QC8psz9w0f9IVE9Xuc2FT_btkaOzZbbUSgYObpBuetM/edit?usp=share_link"",""สกลนคร!I439"")+IMPORTRANGE(""https://docs.google.com/spreadsheets/d/1wPdvRbu02d33MYVlbsCnyTiZpefEBs9NNktAnT1HZvw/edit?"&amp;"usp=share_link"",""สุรินทร์!I439"")+IMPORTRANGE(""https://docs.google.com/spreadsheets/d/1GVExpf-Exi_2gmuqTYH28fseTB9MoKPXWcXCbSt_YrM/edit?usp=share_link"",""หนองคาย!I439"")+IMPORTRANGE(""https://docs.google.com/spreadsheets/d/16UeMz0UgOB5BZcoxP75eYGcLFtG"&amp;"YRn9GoesD4OX9m5U/edit?usp=share_link"",""หนองบัวลำภู!I439"")+IMPORTRANGE(""https://docs.google.com/spreadsheets/d/1uUP8Zo1-qaJLuIkRU0qlwLSE3DHkbdrrj2JGJiWBQZE/edit?usp=share_link"",""อำนาจเจริญ!I439"")+IMPORTRANGE(""https://docs.google.com/spreadsheets/d/"&amp;"1hb_taSOHanzRjqfzWPiFo8yiT83VV1L7vvUCLhOiHKc/edit?usp=share_link"",""อุดรธานี!I439"")+IMPORTRANGE(""https://docs.google.com/spreadsheets/d/17IOkEwkUd63EGNfyNDnM5de9YlZ7rwzTiW6-dokVjKI/edit?usp=share_link"",""อุบลราชธานี!I439"")
"),455)</f>
        <v>455</v>
      </c>
      <c r="J439" s="584">
        <f ca="1">IFERROR(__xludf.DUMMYFUNCTION("IMPORTRANGE(""https://docs.google.com/spreadsheets/d/1fb2B9NLcpJgjIieIJvenUTNPn0TimZDUi0OtYeiSQ_s/edit?usp=share_link"",""กาฬสินธุ์!J439"")+IMPORTRANGE(""https://docs.google.com/spreadsheets/d/1SaMnqrwRGmFYNR0MhpWmHuL5niYUd5E7vDq8X7whAlI/edit?usp=share_li"&amp;"nk"",""ขอนแก่น!J439"")
+IMPORTRANGE(""https://docs.google.com/spreadsheets/d/1xQzEtGHhTTgxHh6YUkKY1P4dRyjVhS74dGswLfAASA4/edit?usp=share_link"",""ชัยภูมิ!J439"")+IMPORTRANGE(""https://docs.google.com/spreadsheets/d/1EXMBoBxU3OFbjT2TRpneM33qFjqDzrKmn9ydcfl"&amp;"fI0o/edit?usp=share_link"",""นครพนม!J439"")+IMPORTRANGE(""https://docs.google.com/spreadsheets/d/1bDQrolntRWtHumK8W-x-HXKntwxB9S3sF5aDeRS66Ko/edit?usp=share_link"",""นครราชสีมา!J439"")+IMPORTRANGE(""https://docs.google.com/spreadsheets/d/1_MzZ-2gVPiCW-d2V"&amp;"cafoCmFJQTSrZ6SQyFcMqRRQQ2w/edit?usp=share_link"",""บึงกาฬ!J439"")
+IMPORTRANGE(""https://docs.google.com/spreadsheets/d/1B3lPpzOuaNwVItLwLEZYl_qEblfcx7dRnbRkAw0l-pE/edit?usp=share_link"",""บุรีรัมย์!J439"")+IMPORTRANGE(""https://docs.google.com/spreadshe"&amp;"ets/d/19GOkiOqnzYbevLYWrMk4qFOXe3rX14BkSA8X-mq-a40/edit?usp=share_link"",""มหาสารคาม!J439"")+IMPORTRANGE(""https://docs.google.com/spreadsheets/d/1uMKqWwuNQ-TCKboGA3Bb1qXb5uj2-faACNUINCz8PN4/edit?usp=share_link"",""มุกดาหาร!J439"")+IMPORTRANGE(""https://d"&amp;"ocs.google.com/spreadsheets/d/1oKaccgDdQABndOzGr688Dbfxb_V3YcF67VqEPBtdzsc/edit?usp=share_link"",""ยโสธร!J439"")+IMPORTRANGE(""https://docs.google.com/spreadsheets/d/1BRgc8xKpxZ0PX-gauieMVkV_IOxKSotf0yW8MabGprQ/edit?usp=share_link"",""ร้อยเอ็ด!J439"")+IMP"&amp;"ORTRANGE(""https://docs.google.com/spreadsheets/d/1IdolZc-dfdgMwAm_KZxYJl1sUOcIgnbGQzbWOlddedo/edit?usp=share_link"",""เลย!J439"")+IMPORTRANGE(""https://docs.google.com/spreadsheets/d/1tZ0nmtGuIRCaGAMXHlQU8EpR9LOAJvyKfc4f7EFmE34/edit?usp=share_link"",""ศร"&amp;"ีสะเกษ!J439"")+IMPORTRANGE(""https://docs.google.com/spreadsheets/d/1QC8psz9w0f9IVE9Xuc2FT_btkaOzZbbUSgYObpBuetM/edit?usp=share_link"",""สกลนคร!J439"")+IMPORTRANGE(""https://docs.google.com/spreadsheets/d/1wPdvRbu02d33MYVlbsCnyTiZpefEBs9NNktAnT1HZvw/edit?"&amp;"usp=share_link"",""สุรินทร์!J439"")+IMPORTRANGE(""https://docs.google.com/spreadsheets/d/1GVExpf-Exi_2gmuqTYH28fseTB9MoKPXWcXCbSt_YrM/edit?usp=share_link"",""หนองคาย!J439"")+IMPORTRANGE(""https://docs.google.com/spreadsheets/d/16UeMz0UgOB5BZcoxP75eYGcLFtG"&amp;"YRn9GoesD4OX9m5U/edit?usp=share_link"",""หนองบัวลำภู!J439"")+IMPORTRANGE(""https://docs.google.com/spreadsheets/d/1uUP8Zo1-qaJLuIkRU0qlwLSE3DHkbdrrj2JGJiWBQZE/edit?usp=share_link"",""อำนาจเจริญ!J439"")+IMPORTRANGE(""https://docs.google.com/spreadsheets/d/"&amp;"1hb_taSOHanzRjqfzWPiFo8yiT83VV1L7vvUCLhOiHKc/edit?usp=share_link"",""อุดรธานี!J439"")+IMPORTRANGE(""https://docs.google.com/spreadsheets/d/17IOkEwkUd63EGNfyNDnM5de9YlZ7rwzTiW6-dokVjKI/edit?usp=share_link"",""อุบลราชธานี!J439"")
"),455)</f>
        <v>455</v>
      </c>
      <c r="K439" s="498">
        <f t="shared" ca="1" si="225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fb2B9NLcpJgjIieIJvenUTNPn0TimZDUi0OtYeiSQ_s/edit?usp=share_link"",""กาฬสินธุ์!I440"")+IMPORTRANGE(""https://docs.google.com/spreadsheets/d/1SaMnqrwRGmFYNR0MhpWmHuL5niYUd5E7vDq8X7whAlI/edit?usp=share_li"&amp;"nk"",""ขอนแก่น!I440"")
+IMPORTRANGE(""https://docs.google.com/spreadsheets/d/1xQzEtGHhTTgxHh6YUkKY1P4dRyjVhS74dGswLfAASA4/edit?usp=share_link"",""ชัยภูมิ!I440"")+IMPORTRANGE(""https://docs.google.com/spreadsheets/d/1EXMBoBxU3OFbjT2TRpneM33qFjqDzrKmn9ydcfl"&amp;"fI0o/edit?usp=share_link"",""นครพนม!I440"")+IMPORTRANGE(""https://docs.google.com/spreadsheets/d/1bDQrolntRWtHumK8W-x-HXKntwxB9S3sF5aDeRS66Ko/edit?usp=share_link"",""นครราชสีมา!I440"")+IMPORTRANGE(""https://docs.google.com/spreadsheets/d/1_MzZ-2gVPiCW-d2V"&amp;"cafoCmFJQTSrZ6SQyFcMqRRQQ2w/edit?usp=share_link"",""บึงกาฬ!I440"")
+IMPORTRANGE(""https://docs.google.com/spreadsheets/d/1B3lPpzOuaNwVItLwLEZYl_qEblfcx7dRnbRkAw0l-pE/edit?usp=share_link"",""บุรีรัมย์!I440"")+IMPORTRANGE(""https://docs.google.com/spreadshe"&amp;"ets/d/19GOkiOqnzYbevLYWrMk4qFOXe3rX14BkSA8X-mq-a40/edit?usp=share_link"",""มหาสารคาม!I440"")+IMPORTRANGE(""https://docs.google.com/spreadsheets/d/1uMKqWwuNQ-TCKboGA3Bb1qXb5uj2-faACNUINCz8PN4/edit?usp=share_link"",""มุกดาหาร!I440"")+IMPORTRANGE(""https://d"&amp;"ocs.google.com/spreadsheets/d/1oKaccgDdQABndOzGr688Dbfxb_V3YcF67VqEPBtdzsc/edit?usp=share_link"",""ยโสธร!I440"")+IMPORTRANGE(""https://docs.google.com/spreadsheets/d/1BRgc8xKpxZ0PX-gauieMVkV_IOxKSotf0yW8MabGprQ/edit?usp=share_link"",""ร้อยเอ็ด!I440"")+IMP"&amp;"ORTRANGE(""https://docs.google.com/spreadsheets/d/1IdolZc-dfdgMwAm_KZxYJl1sUOcIgnbGQzbWOlddedo/edit?usp=share_link"",""เลย!I440"")+IMPORTRANGE(""https://docs.google.com/spreadsheets/d/1tZ0nmtGuIRCaGAMXHlQU8EpR9LOAJvyKfc4f7EFmE34/edit?usp=share_link"",""ศร"&amp;"ีสะเกษ!I440"")+IMPORTRANGE(""https://docs.google.com/spreadsheets/d/1QC8psz9w0f9IVE9Xuc2FT_btkaOzZbbUSgYObpBuetM/edit?usp=share_link"",""สกลนคร!I440"")+IMPORTRANGE(""https://docs.google.com/spreadsheets/d/1wPdvRbu02d33MYVlbsCnyTiZpefEBs9NNktAnT1HZvw/edit?"&amp;"usp=share_link"",""สุรินทร์!I440"")+IMPORTRANGE(""https://docs.google.com/spreadsheets/d/1GVExpf-Exi_2gmuqTYH28fseTB9MoKPXWcXCbSt_YrM/edit?usp=share_link"",""หนองคาย!I440"")+IMPORTRANGE(""https://docs.google.com/spreadsheets/d/16UeMz0UgOB5BZcoxP75eYGcLFtG"&amp;"YRn9GoesD4OX9m5U/edit?usp=share_link"",""หนองบัวลำภู!I440"")+IMPORTRANGE(""https://docs.google.com/spreadsheets/d/1uUP8Zo1-qaJLuIkRU0qlwLSE3DHkbdrrj2JGJiWBQZE/edit?usp=share_link"",""อำนาจเจริญ!I440"")+IMPORTRANGE(""https://docs.google.com/spreadsheets/d/"&amp;"1hb_taSOHanzRjqfzWPiFo8yiT83VV1L7vvUCLhOiHKc/edit?usp=share_link"",""อุดรธานี!I440"")+IMPORTRANGE(""https://docs.google.com/spreadsheets/d/17IOkEwkUd63EGNfyNDnM5de9YlZ7rwzTiW6-dokVjKI/edit?usp=share_link"",""อุบลราชธานี!I440"")
"),20)</f>
        <v>20</v>
      </c>
      <c r="J440" s="183">
        <f ca="1">IFERROR(__xludf.DUMMYFUNCTION("IMPORTRANGE(""https://docs.google.com/spreadsheets/d/1fb2B9NLcpJgjIieIJvenUTNPn0TimZDUi0OtYeiSQ_s/edit?usp=share_link"",""กาฬสินธุ์!J440"")+IMPORTRANGE(""https://docs.google.com/spreadsheets/d/1SaMnqrwRGmFYNR0MhpWmHuL5niYUd5E7vDq8X7whAlI/edit?usp=share_li"&amp;"nk"",""ขอนแก่น!J440"")
+IMPORTRANGE(""https://docs.google.com/spreadsheets/d/1xQzEtGHhTTgxHh6YUkKY1P4dRyjVhS74dGswLfAASA4/edit?usp=share_link"",""ชัยภูมิ!J440"")+IMPORTRANGE(""https://docs.google.com/spreadsheets/d/1EXMBoBxU3OFbjT2TRpneM33qFjqDzrKmn9ydcfl"&amp;"fI0o/edit?usp=share_link"",""นครพนม!J440"")+IMPORTRANGE(""https://docs.google.com/spreadsheets/d/1bDQrolntRWtHumK8W-x-HXKntwxB9S3sF5aDeRS66Ko/edit?usp=share_link"",""นครราชสีมา!J440"")+IMPORTRANGE(""https://docs.google.com/spreadsheets/d/1_MzZ-2gVPiCW-d2V"&amp;"cafoCmFJQTSrZ6SQyFcMqRRQQ2w/edit?usp=share_link"",""บึงกาฬ!J440"")
+IMPORTRANGE(""https://docs.google.com/spreadsheets/d/1B3lPpzOuaNwVItLwLEZYl_qEblfcx7dRnbRkAw0l-pE/edit?usp=share_link"",""บุรีรัมย์!J440"")+IMPORTRANGE(""https://docs.google.com/spreadshe"&amp;"ets/d/19GOkiOqnzYbevLYWrMk4qFOXe3rX14BkSA8X-mq-a40/edit?usp=share_link"",""มหาสารคาม!J440"")+IMPORTRANGE(""https://docs.google.com/spreadsheets/d/1uMKqWwuNQ-TCKboGA3Bb1qXb5uj2-faACNUINCz8PN4/edit?usp=share_link"",""มุกดาหาร!J440"")+IMPORTRANGE(""https://d"&amp;"ocs.google.com/spreadsheets/d/1oKaccgDdQABndOzGr688Dbfxb_V3YcF67VqEPBtdzsc/edit?usp=share_link"",""ยโสธร!J440"")+IMPORTRANGE(""https://docs.google.com/spreadsheets/d/1BRgc8xKpxZ0PX-gauieMVkV_IOxKSotf0yW8MabGprQ/edit?usp=share_link"",""ร้อยเอ็ด!J440"")+IMP"&amp;"ORTRANGE(""https://docs.google.com/spreadsheets/d/1IdolZc-dfdgMwAm_KZxYJl1sUOcIgnbGQzbWOlddedo/edit?usp=share_link"",""เลย!J440"")+IMPORTRANGE(""https://docs.google.com/spreadsheets/d/1tZ0nmtGuIRCaGAMXHlQU8EpR9LOAJvyKfc4f7EFmE34/edit?usp=share_link"",""ศร"&amp;"ีสะเกษ!J440"")+IMPORTRANGE(""https://docs.google.com/spreadsheets/d/1QC8psz9w0f9IVE9Xuc2FT_btkaOzZbbUSgYObpBuetM/edit?usp=share_link"",""สกลนคร!J440"")+IMPORTRANGE(""https://docs.google.com/spreadsheets/d/1wPdvRbu02d33MYVlbsCnyTiZpefEBs9NNktAnT1HZvw/edit?"&amp;"usp=share_link"",""สุรินทร์!J440"")+IMPORTRANGE(""https://docs.google.com/spreadsheets/d/1GVExpf-Exi_2gmuqTYH28fseTB9MoKPXWcXCbSt_YrM/edit?usp=share_link"",""หนองคาย!J440"")+IMPORTRANGE(""https://docs.google.com/spreadsheets/d/16UeMz0UgOB5BZcoxP75eYGcLFtG"&amp;"YRn9GoesD4OX9m5U/edit?usp=share_link"",""หนองบัวลำภู!J440"")+IMPORTRANGE(""https://docs.google.com/spreadsheets/d/1uUP8Zo1-qaJLuIkRU0qlwLSE3DHkbdrrj2JGJiWBQZE/edit?usp=share_link"",""อำนาจเจริญ!J440"")+IMPORTRANGE(""https://docs.google.com/spreadsheets/d/"&amp;"1hb_taSOHanzRjqfzWPiFo8yiT83VV1L7vvUCLhOiHKc/edit?usp=share_link"",""อุดรธานี!J440"")+IMPORTRANGE(""https://docs.google.com/spreadsheets/d/17IOkEwkUd63EGNfyNDnM5de9YlZ7rwzTiW6-dokVjKI/edit?usp=share_link"",""อุบลราชธานี!J440"")
"),20)</f>
        <v>20</v>
      </c>
      <c r="K440" s="38">
        <f t="shared" ca="1" si="225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fb2B9NLcpJgjIieIJvenUTNPn0TimZDUi0OtYeiSQ_s/edit?usp=share_link"",""กาฬสินธุ์!I441"")+IMPORTRANGE(""https://docs.google.com/spreadsheets/d/1SaMnqrwRGmFYNR0MhpWmHuL5niYUd5E7vDq8X7whAlI/edit?usp=share_li"&amp;"nk"",""ขอนแก่น!I441"")
+IMPORTRANGE(""https://docs.google.com/spreadsheets/d/1xQzEtGHhTTgxHh6YUkKY1P4dRyjVhS74dGswLfAASA4/edit?usp=share_link"",""ชัยภูมิ!I441"")+IMPORTRANGE(""https://docs.google.com/spreadsheets/d/1EXMBoBxU3OFbjT2TRpneM33qFjqDzrKmn9ydcfl"&amp;"fI0o/edit?usp=share_link"",""นครพนม!I441"")+IMPORTRANGE(""https://docs.google.com/spreadsheets/d/1bDQrolntRWtHumK8W-x-HXKntwxB9S3sF5aDeRS66Ko/edit?usp=share_link"",""นครราชสีมา!I441"")+IMPORTRANGE(""https://docs.google.com/spreadsheets/d/1_MzZ-2gVPiCW-d2V"&amp;"cafoCmFJQTSrZ6SQyFcMqRRQQ2w/edit?usp=share_link"",""บึงกาฬ!I441"")
+IMPORTRANGE(""https://docs.google.com/spreadsheets/d/1B3lPpzOuaNwVItLwLEZYl_qEblfcx7dRnbRkAw0l-pE/edit?usp=share_link"",""บุรีรัมย์!I441"")+IMPORTRANGE(""https://docs.google.com/spreadshe"&amp;"ets/d/19GOkiOqnzYbevLYWrMk4qFOXe3rX14BkSA8X-mq-a40/edit?usp=share_link"",""มหาสารคาม!I441"")+IMPORTRANGE(""https://docs.google.com/spreadsheets/d/1uMKqWwuNQ-TCKboGA3Bb1qXb5uj2-faACNUINCz8PN4/edit?usp=share_link"",""มุกดาหาร!I441"")+IMPORTRANGE(""https://d"&amp;"ocs.google.com/spreadsheets/d/1oKaccgDdQABndOzGr688Dbfxb_V3YcF67VqEPBtdzsc/edit?usp=share_link"",""ยโสธร!I441"")+IMPORTRANGE(""https://docs.google.com/spreadsheets/d/1BRgc8xKpxZ0PX-gauieMVkV_IOxKSotf0yW8MabGprQ/edit?usp=share_link"",""ร้อยเอ็ด!I441"")+IMP"&amp;"ORTRANGE(""https://docs.google.com/spreadsheets/d/1IdolZc-dfdgMwAm_KZxYJl1sUOcIgnbGQzbWOlddedo/edit?usp=share_link"",""เลย!I441"")+IMPORTRANGE(""https://docs.google.com/spreadsheets/d/1tZ0nmtGuIRCaGAMXHlQU8EpR9LOAJvyKfc4f7EFmE34/edit?usp=share_link"",""ศร"&amp;"ีสะเกษ!I441"")+IMPORTRANGE(""https://docs.google.com/spreadsheets/d/1QC8psz9w0f9IVE9Xuc2FT_btkaOzZbbUSgYObpBuetM/edit?usp=share_link"",""สกลนคร!I441"")+IMPORTRANGE(""https://docs.google.com/spreadsheets/d/1wPdvRbu02d33MYVlbsCnyTiZpefEBs9NNktAnT1HZvw/edit?"&amp;"usp=share_link"",""สุรินทร์!I441"")+IMPORTRANGE(""https://docs.google.com/spreadsheets/d/1GVExpf-Exi_2gmuqTYH28fseTB9MoKPXWcXCbSt_YrM/edit?usp=share_link"",""หนองคาย!I441"")+IMPORTRANGE(""https://docs.google.com/spreadsheets/d/16UeMz0UgOB5BZcoxP75eYGcLFtG"&amp;"YRn9GoesD4OX9m5U/edit?usp=share_link"",""หนองบัวลำภู!I441"")+IMPORTRANGE(""https://docs.google.com/spreadsheets/d/1uUP8Zo1-qaJLuIkRU0qlwLSE3DHkbdrrj2JGJiWBQZE/edit?usp=share_link"",""อำนาจเจริญ!I441"")+IMPORTRANGE(""https://docs.google.com/spreadsheets/d/"&amp;"1hb_taSOHanzRjqfzWPiFo8yiT83VV1L7vvUCLhOiHKc/edit?usp=share_link"",""อุดรธานี!I441"")+IMPORTRANGE(""https://docs.google.com/spreadsheets/d/17IOkEwkUd63EGNfyNDnM5de9YlZ7rwzTiW6-dokVjKI/edit?usp=share_link"",""อุบลราชธานี!I441"")
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5">
        <v>2</v>
      </c>
      <c r="B442" s="586" t="s">
        <v>200</v>
      </c>
      <c r="C442" s="587"/>
      <c r="D442" s="587"/>
      <c r="E442" s="587"/>
      <c r="F442" s="587"/>
      <c r="G442" s="588"/>
      <c r="H442" s="589" t="s">
        <v>35</v>
      </c>
      <c r="I442" s="590">
        <f t="shared" ref="I442:J442" ca="1" si="226">I460</f>
        <v>1355</v>
      </c>
      <c r="J442" s="590">
        <f t="shared" ca="1" si="226"/>
        <v>1355</v>
      </c>
      <c r="K442" s="591">
        <f t="shared" ca="1" si="225"/>
        <v>100</v>
      </c>
      <c r="L442" s="592"/>
      <c r="M442" s="592"/>
      <c r="N442" s="592"/>
      <c r="O442" s="592"/>
      <c r="P442" s="592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</row>
    <row r="443" spans="1:26" ht="19.5">
      <c r="A443" s="593"/>
      <c r="B443" s="594"/>
      <c r="C443" s="595"/>
      <c r="D443" s="595"/>
      <c r="E443" s="595"/>
      <c r="F443" s="595"/>
      <c r="G443" s="596"/>
      <c r="H443" s="569" t="s">
        <v>46</v>
      </c>
      <c r="I443" s="570">
        <f t="shared" ref="I443:J443" ca="1" si="227">I462</f>
        <v>4780</v>
      </c>
      <c r="J443" s="570">
        <f t="shared" ca="1" si="227"/>
        <v>4780</v>
      </c>
      <c r="K443" s="571">
        <f t="shared" ca="1" si="225"/>
        <v>100</v>
      </c>
      <c r="L443" s="572"/>
      <c r="M443" s="572"/>
      <c r="N443" s="572"/>
      <c r="O443" s="572"/>
      <c r="P443" s="572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</row>
    <row r="444" spans="1:26" ht="19.5">
      <c r="A444" s="597"/>
      <c r="B444" s="576"/>
      <c r="C444" s="576" t="s">
        <v>16</v>
      </c>
      <c r="D444" s="863" t="s">
        <v>17</v>
      </c>
      <c r="E444" s="857"/>
      <c r="F444" s="857"/>
      <c r="G444" s="189"/>
      <c r="H444" s="598" t="s">
        <v>12</v>
      </c>
      <c r="I444" s="37"/>
      <c r="J444" s="37"/>
      <c r="K444" s="38"/>
      <c r="L444" s="195">
        <f t="shared" ref="L444:N444" ca="1" si="228">L445+L446</f>
        <v>9706580</v>
      </c>
      <c r="M444" s="195">
        <f t="shared" ca="1" si="228"/>
        <v>9889282.7699999996</v>
      </c>
      <c r="N444" s="195">
        <f t="shared" ca="1" si="228"/>
        <v>9889282.7699999996</v>
      </c>
      <c r="O444" s="195">
        <f t="shared" ref="O444:O449" ca="1" si="229">IF(L444&gt;0,N444*100/L444,0)</f>
        <v>101.88225688141446</v>
      </c>
      <c r="P444" s="195">
        <f t="shared" ref="P444:P449" ca="1" si="230">IF(M444&gt;0,N444*100/M444,0)</f>
        <v>100</v>
      </c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</row>
    <row r="445" spans="1:26" ht="18.75" hidden="1">
      <c r="A445" s="599"/>
      <c r="B445" s="600"/>
      <c r="C445" s="600"/>
      <c r="D445" s="601"/>
      <c r="E445" s="602" t="s">
        <v>185</v>
      </c>
      <c r="F445" s="600"/>
      <c r="G445" s="603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604"/>
      <c r="R445" s="604"/>
      <c r="S445" s="604"/>
      <c r="T445" s="604"/>
      <c r="U445" s="604"/>
      <c r="V445" s="604"/>
      <c r="W445" s="604"/>
      <c r="X445" s="604"/>
      <c r="Y445" s="604"/>
      <c r="Z445" s="604"/>
    </row>
    <row r="446" spans="1:26" ht="18.75" hidden="1">
      <c r="A446" s="599"/>
      <c r="B446" s="605"/>
      <c r="C446" s="600"/>
      <c r="D446" s="601"/>
      <c r="E446" s="602" t="s">
        <v>186</v>
      </c>
      <c r="F446" s="600"/>
      <c r="G446" s="603"/>
      <c r="H446" s="165" t="s">
        <v>12</v>
      </c>
      <c r="I446" s="44"/>
      <c r="J446" s="44"/>
      <c r="K446" s="45"/>
      <c r="L446" s="45">
        <f t="shared" ref="L446:N446" ca="1" si="232">L449+L456</f>
        <v>9706580</v>
      </c>
      <c r="M446" s="45">
        <f t="shared" ca="1" si="232"/>
        <v>9889282.7699999996</v>
      </c>
      <c r="N446" s="45">
        <f t="shared" ca="1" si="232"/>
        <v>9889282.7699999996</v>
      </c>
      <c r="O446" s="45">
        <f t="shared" ca="1" si="229"/>
        <v>101.88225688141446</v>
      </c>
      <c r="P446" s="45">
        <f t="shared" ca="1" si="230"/>
        <v>100</v>
      </c>
      <c r="Q446" s="604"/>
      <c r="R446" s="604"/>
      <c r="S446" s="604"/>
      <c r="T446" s="604"/>
      <c r="U446" s="604"/>
      <c r="V446" s="604"/>
      <c r="W446" s="604"/>
      <c r="X446" s="604"/>
      <c r="Y446" s="604"/>
      <c r="Z446" s="604"/>
    </row>
    <row r="447" spans="1:26" ht="18.75">
      <c r="A447" s="597"/>
      <c r="B447" s="575"/>
      <c r="C447" s="576"/>
      <c r="D447" s="606" t="s">
        <v>20</v>
      </c>
      <c r="E447" s="576"/>
      <c r="F447" s="576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9706580</v>
      </c>
      <c r="M447" s="38">
        <f t="shared" ca="1" si="233"/>
        <v>9889282.7699999996</v>
      </c>
      <c r="N447" s="38">
        <f t="shared" ca="1" si="233"/>
        <v>9889282.7699999996</v>
      </c>
      <c r="O447" s="38">
        <f t="shared" ca="1" si="229"/>
        <v>101.88225688141446</v>
      </c>
      <c r="P447" s="38">
        <f t="shared" ca="1" si="230"/>
        <v>100</v>
      </c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</row>
    <row r="448" spans="1:26" ht="18.75" hidden="1">
      <c r="A448" s="599"/>
      <c r="B448" s="605"/>
      <c r="C448" s="600"/>
      <c r="D448" s="601"/>
      <c r="E448" s="602" t="s">
        <v>185</v>
      </c>
      <c r="F448" s="600"/>
      <c r="G448" s="603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</row>
    <row r="449" spans="1:26" ht="18.75" hidden="1">
      <c r="A449" s="599"/>
      <c r="B449" s="605"/>
      <c r="C449" s="600"/>
      <c r="D449" s="601"/>
      <c r="E449" s="602" t="s">
        <v>186</v>
      </c>
      <c r="F449" s="600"/>
      <c r="G449" s="603"/>
      <c r="H449" s="165" t="s">
        <v>12</v>
      </c>
      <c r="I449" s="44"/>
      <c r="J449" s="44"/>
      <c r="K449" s="45"/>
      <c r="L449" s="45">
        <f ca="1">IFERROR(__xludf.DUMMYFUNCTION("IMPORTRANGE(""https://docs.google.com/spreadsheets/d/1fb2B9NLcpJgjIieIJvenUTNPn0TimZDUi0OtYeiSQ_s/edit?usp=share_link"",""กาฬสินธุ์!L449"")+IMPORTRANGE(""https://docs.google.com/spreadsheets/d/1SaMnqrwRGmFYNR0MhpWmHuL5niYUd5E7vDq8X7whAlI/edit?usp=share_li"&amp;"nk"",""ขอนแก่น!L449"")
+IMPORTRANGE(""https://docs.google.com/spreadsheets/d/1xQzEtGHhTTgxHh6YUkKY1P4dRyjVhS74dGswLfAASA4/edit?usp=share_link"",""ชัยภูมิ!L449"")+IMPORTRANGE(""https://docs.google.com/spreadsheets/d/1EXMBoBxU3OFbjT2TRpneM33qFjqDzrKmn9ydcfl"&amp;"fI0o/edit?usp=share_link"",""นครพนม!L449"")+IMPORTRANGE(""https://docs.google.com/spreadsheets/d/1bDQrolntRWtHumK8W-x-HXKntwxB9S3sF5aDeRS66Ko/edit?usp=share_link"",""นครราชสีมา!L449"")+IMPORTRANGE(""https://docs.google.com/spreadsheets/d/1_MzZ-2gVPiCW-d2V"&amp;"cafoCmFJQTSrZ6SQyFcMqRRQQ2w/edit?usp=share_link"",""บึงกาฬ!L449"")
+IMPORTRANGE(""https://docs.google.com/spreadsheets/d/1B3lPpzOuaNwVItLwLEZYl_qEblfcx7dRnbRkAw0l-pE/edit?usp=share_link"",""บุรีรัมย์!L449"")+IMPORTRANGE(""https://docs.google.com/spreadshe"&amp;"ets/d/19GOkiOqnzYbevLYWrMk4qFOXe3rX14BkSA8X-mq-a40/edit?usp=share_link"",""มหาสารคาม!L449"")+IMPORTRANGE(""https://docs.google.com/spreadsheets/d/1uMKqWwuNQ-TCKboGA3Bb1qXb5uj2-faACNUINCz8PN4/edit?usp=share_link"",""มุกดาหาร!L449"")+IMPORTRANGE(""https://d"&amp;"ocs.google.com/spreadsheets/d/1oKaccgDdQABndOzGr688Dbfxb_V3YcF67VqEPBtdzsc/edit?usp=share_link"",""ยโสธร!L449"")+IMPORTRANGE(""https://docs.google.com/spreadsheets/d/1BRgc8xKpxZ0PX-gauieMVkV_IOxKSotf0yW8MabGprQ/edit?usp=share_link"",""ร้อยเอ็ด!L449"")+IMP"&amp;"ORTRANGE(""https://docs.google.com/spreadsheets/d/1IdolZc-dfdgMwAm_KZxYJl1sUOcIgnbGQzbWOlddedo/edit?usp=share_link"",""เลย!L449"")+IMPORTRANGE(""https://docs.google.com/spreadsheets/d/1tZ0nmtGuIRCaGAMXHlQU8EpR9LOAJvyKfc4f7EFmE34/edit?usp=share_link"",""ศร"&amp;"ีสะเกษ!L449"")+IMPORTRANGE(""https://docs.google.com/spreadsheets/d/1QC8psz9w0f9IVE9Xuc2FT_btkaOzZbbUSgYObpBuetM/edit?usp=share_link"",""สกลนคร!L449"")+IMPORTRANGE(""https://docs.google.com/spreadsheets/d/1wPdvRbu02d33MYVlbsCnyTiZpefEBs9NNktAnT1HZvw/edit?"&amp;"usp=share_link"",""สุรินทร์!L449"")+IMPORTRANGE(""https://docs.google.com/spreadsheets/d/1GVExpf-Exi_2gmuqTYH28fseTB9MoKPXWcXCbSt_YrM/edit?usp=share_link"",""หนองคาย!L449"")+IMPORTRANGE(""https://docs.google.com/spreadsheets/d/16UeMz0UgOB5BZcoxP75eYGcLFtG"&amp;"YRn9GoesD4OX9m5U/edit?usp=share_link"",""หนองบัวลำภู!L449"")+IMPORTRANGE(""https://docs.google.com/spreadsheets/d/1uUP8Zo1-qaJLuIkRU0qlwLSE3DHkbdrrj2JGJiWBQZE/edit?usp=share_link"",""อำนาจเจริญ!L449"")+IMPORTRANGE(""https://docs.google.com/spreadsheets/d/"&amp;"1hb_taSOHanzRjqfzWPiFo8yiT83VV1L7vvUCLhOiHKc/edit?usp=share_link"",""อุดรธานี!L449"")+IMPORTRANGE(""https://docs.google.com/spreadsheets/d/17IOkEwkUd63EGNfyNDnM5de9YlZ7rwzTiW6-dokVjKI/edit?usp=share_link"",""อุบลราชธานี!L449"")
"),9706580)</f>
        <v>9706580</v>
      </c>
      <c r="M449" s="93">
        <f ca="1">IFERROR(__xludf.DUMMYFUNCTION("IMPORTRANGE(""https://docs.google.com/spreadsheets/d/1fb2B9NLcpJgjIieIJvenUTNPn0TimZDUi0OtYeiSQ_s/edit?usp=share_link"",""กาฬสินธุ์!M449"")+IMPORTRANGE(""https://docs.google.com/spreadsheets/d/1SaMnqrwRGmFYNR0MhpWmHuL5niYUd5E7vDq8X7whAlI/edit?usp=share_li"&amp;"nk"",""ขอนแก่น!M449"")
+IMPORTRANGE(""https://docs.google.com/spreadsheets/d/1xQzEtGHhTTgxHh6YUkKY1P4dRyjVhS74dGswLfAASA4/edit?usp=share_link"",""ชัยภูมิ!M449"")+IMPORTRANGE(""https://docs.google.com/spreadsheets/d/1EXMBoBxU3OFbjT2TRpneM33qFjqDzrKmn9ydcfl"&amp;"fI0o/edit?usp=share_link"",""นครพนม!M449"")+IMPORTRANGE(""https://docs.google.com/spreadsheets/d/1bDQrolntRWtHumK8W-x-HXKntwxB9S3sF5aDeRS66Ko/edit?usp=share_link"",""นครราชสีมา!M449"")+IMPORTRANGE(""https://docs.google.com/spreadsheets/d/1_MzZ-2gVPiCW-d2V"&amp;"cafoCmFJQTSrZ6SQyFcMqRRQQ2w/edit?usp=share_link"",""บึงกาฬ!M449"")
+IMPORTRANGE(""https://docs.google.com/spreadsheets/d/1B3lPpzOuaNwVItLwLEZYl_qEblfcx7dRnbRkAw0l-pE/edit?usp=share_link"",""บุรีรัมย์!M449"")+IMPORTRANGE(""https://docs.google.com/spreadshe"&amp;"ets/d/19GOkiOqnzYbevLYWrMk4qFOXe3rX14BkSA8X-mq-a40/edit?usp=share_link"",""มหาสารคาม!M449"")+IMPORTRANGE(""https://docs.google.com/spreadsheets/d/1uMKqWwuNQ-TCKboGA3Bb1qXb5uj2-faACNUINCz8PN4/edit?usp=share_link"",""มุกดาหาร!M449"")+IMPORTRANGE(""https://d"&amp;"ocs.google.com/spreadsheets/d/1oKaccgDdQABndOzGr688Dbfxb_V3YcF67VqEPBtdzsc/edit?usp=share_link"",""ยโสธร!M449"")+IMPORTRANGE(""https://docs.google.com/spreadsheets/d/1BRgc8xKpxZ0PX-gauieMVkV_IOxKSotf0yW8MabGprQ/edit?usp=share_link"",""ร้อยเอ็ด!M449"")+IMP"&amp;"ORTRANGE(""https://docs.google.com/spreadsheets/d/1IdolZc-dfdgMwAm_KZxYJl1sUOcIgnbGQzbWOlddedo/edit?usp=share_link"",""เลย!M449"")+IMPORTRANGE(""https://docs.google.com/spreadsheets/d/1tZ0nmtGuIRCaGAMXHlQU8EpR9LOAJvyKfc4f7EFmE34/edit?usp=share_link"",""ศร"&amp;"ีสะเกษ!M449"")+IMPORTRANGE(""https://docs.google.com/spreadsheets/d/1QC8psz9w0f9IVE9Xuc2FT_btkaOzZbbUSgYObpBuetM/edit?usp=share_link"",""สกลนคร!M449"")+IMPORTRANGE(""https://docs.google.com/spreadsheets/d/1wPdvRbu02d33MYVlbsCnyTiZpefEBs9NNktAnT1HZvw/edit?"&amp;"usp=share_link"",""สุรินทร์!M449"")+IMPORTRANGE(""https://docs.google.com/spreadsheets/d/1GVExpf-Exi_2gmuqTYH28fseTB9MoKPXWcXCbSt_YrM/edit?usp=share_link"",""หนองคาย!M449"")+IMPORTRANGE(""https://docs.google.com/spreadsheets/d/16UeMz0UgOB5BZcoxP75eYGcLFtG"&amp;"YRn9GoesD4OX9m5U/edit?usp=share_link"",""หนองบัวลำภู!M449"")+IMPORTRANGE(""https://docs.google.com/spreadsheets/d/1uUP8Zo1-qaJLuIkRU0qlwLSE3DHkbdrrj2JGJiWBQZE/edit?usp=share_link"",""อำนาจเจริญ!M449"")+IMPORTRANGE(""https://docs.google.com/spreadsheets/d/"&amp;"1hb_taSOHanzRjqfzWPiFo8yiT83VV1L7vvUCLhOiHKc/edit?usp=share_link"",""อุดรธานี!M449"")+IMPORTRANGE(""https://docs.google.com/spreadsheets/d/17IOkEwkUd63EGNfyNDnM5de9YlZ7rwzTiW6-dokVjKI/edit?usp=share_link"",""อุบลราชธานี!M449"")
"),9889282.77)</f>
        <v>9889282.7699999996</v>
      </c>
      <c r="N449" s="45">
        <f ca="1">N450+N451+N452+N453</f>
        <v>9889282.7699999996</v>
      </c>
      <c r="O449" s="45">
        <f t="shared" ca="1" si="229"/>
        <v>101.88225688141446</v>
      </c>
      <c r="P449" s="45">
        <f t="shared" ca="1" si="230"/>
        <v>100</v>
      </c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</row>
    <row r="450" spans="1:26" ht="18.75">
      <c r="A450" s="574"/>
      <c r="B450" s="575"/>
      <c r="C450" s="576"/>
      <c r="D450" s="576"/>
      <c r="E450" s="576"/>
      <c r="F450" s="577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fb2B9NLcpJgjIieIJvenUTNPn0TimZDUi0OtYeiSQ_s/edit?usp=share_link"",""กาฬสินธุ์!N450"")+IMPORTRANGE(""https://docs.google.com/spreadsheets/d/1SaMnqrwRGmFYNR0MhpWmHuL5niYUd5E7vDq8X7whAlI/edit?usp=share_li"&amp;"nk"",""ขอนแก่น!N450"")
+IMPORTRANGE(""https://docs.google.com/spreadsheets/d/1xQzEtGHhTTgxHh6YUkKY1P4dRyjVhS74dGswLfAASA4/edit?usp=share_link"",""ชัยภูมิ!N450"")+IMPORTRANGE(""https://docs.google.com/spreadsheets/d/1EXMBoBxU3OFbjT2TRpneM33qFjqDzrKmn9ydcfl"&amp;"fI0o/edit?usp=share_link"",""นครพนม!N450"")+IMPORTRANGE(""https://docs.google.com/spreadsheets/d/1bDQrolntRWtHumK8W-x-HXKntwxB9S3sF5aDeRS66Ko/edit?usp=share_link"",""นครราชสีมา!N450"")+IMPORTRANGE(""https://docs.google.com/spreadsheets/d/1_MzZ-2gVPiCW-d2V"&amp;"cafoCmFJQTSrZ6SQyFcMqRRQQ2w/edit?usp=share_link"",""บึงกาฬ!N450"")
+IMPORTRANGE(""https://docs.google.com/spreadsheets/d/1B3lPpzOuaNwVItLwLEZYl_qEblfcx7dRnbRkAw0l-pE/edit?usp=share_link"",""บุรีรัมย์!N450"")+IMPORTRANGE(""https://docs.google.com/spreadshe"&amp;"ets/d/19GOkiOqnzYbevLYWrMk4qFOXe3rX14BkSA8X-mq-a40/edit?usp=share_link"",""มหาสารคาม!N450"")+IMPORTRANGE(""https://docs.google.com/spreadsheets/d/1uMKqWwuNQ-TCKboGA3Bb1qXb5uj2-faACNUINCz8PN4/edit?usp=share_link"",""มุกดาหาร!N450"")+IMPORTRANGE(""https://d"&amp;"ocs.google.com/spreadsheets/d/1oKaccgDdQABndOzGr688Dbfxb_V3YcF67VqEPBtdzsc/edit?usp=share_link"",""ยโสธร!N450"")+IMPORTRANGE(""https://docs.google.com/spreadsheets/d/1BRgc8xKpxZ0PX-gauieMVkV_IOxKSotf0yW8MabGprQ/edit?usp=share_link"",""ร้อยเอ็ด!N450"")+IMP"&amp;"ORTRANGE(""https://docs.google.com/spreadsheets/d/1IdolZc-dfdgMwAm_KZxYJl1sUOcIgnbGQzbWOlddedo/edit?usp=share_link"",""เลย!N450"")+IMPORTRANGE(""https://docs.google.com/spreadsheets/d/1tZ0nmtGuIRCaGAMXHlQU8EpR9LOAJvyKfc4f7EFmE34/edit?usp=share_link"",""ศร"&amp;"ีสะเกษ!N450"")+IMPORTRANGE(""https://docs.google.com/spreadsheets/d/1QC8psz9w0f9IVE9Xuc2FT_btkaOzZbbUSgYObpBuetM/edit?usp=share_link"",""สกลนคร!N450"")+IMPORTRANGE(""https://docs.google.com/spreadsheets/d/1wPdvRbu02d33MYVlbsCnyTiZpefEBs9NNktAnT1HZvw/edit?"&amp;"usp=share_link"",""สุรินทร์!N450"")+IMPORTRANGE(""https://docs.google.com/spreadsheets/d/1GVExpf-Exi_2gmuqTYH28fseTB9MoKPXWcXCbSt_YrM/edit?usp=share_link"",""หนองคาย!N450"")+IMPORTRANGE(""https://docs.google.com/spreadsheets/d/16UeMz0UgOB5BZcoxP75eYGcLFtG"&amp;"YRn9GoesD4OX9m5U/edit?usp=share_link"",""หนองบัวลำภู!N450"")+IMPORTRANGE(""https://docs.google.com/spreadsheets/d/1uUP8Zo1-qaJLuIkRU0qlwLSE3DHkbdrrj2JGJiWBQZE/edit?usp=share_link"",""อำนาจเจริญ!N450"")+IMPORTRANGE(""https://docs.google.com/spreadsheets/d/"&amp;"1hb_taSOHanzRjqfzWPiFo8yiT83VV1L7vvUCLhOiHKc/edit?usp=share_link"",""อุดรธานี!N450"")+IMPORTRANGE(""https://docs.google.com/spreadsheets/d/17IOkEwkUd63EGNfyNDnM5de9YlZ7rwzTiW6-dokVjKI/edit?usp=share_link"",""อุบลราชธานี!N450"")
"),2038785)</f>
        <v>2038785</v>
      </c>
      <c r="O450" s="38"/>
      <c r="P450" s="3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</row>
    <row r="451" spans="1:26" ht="18.75">
      <c r="A451" s="574"/>
      <c r="B451" s="575"/>
      <c r="C451" s="576"/>
      <c r="D451" s="576"/>
      <c r="E451" s="576"/>
      <c r="F451" s="577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fb2B9NLcpJgjIieIJvenUTNPn0TimZDUi0OtYeiSQ_s/edit?usp=share_link"",""กาฬสินธุ์!N451"")+IMPORTRANGE(""https://docs.google.com/spreadsheets/d/1SaMnqrwRGmFYNR0MhpWmHuL5niYUd5E7vDq8X7whAlI/edit?usp=share_li"&amp;"nk"",""ขอนแก่น!N451"")
+IMPORTRANGE(""https://docs.google.com/spreadsheets/d/1xQzEtGHhTTgxHh6YUkKY1P4dRyjVhS74dGswLfAASA4/edit?usp=share_link"",""ชัยภูมิ!N451"")+IMPORTRANGE(""https://docs.google.com/spreadsheets/d/1EXMBoBxU3OFbjT2TRpneM33qFjqDzrKmn9ydcfl"&amp;"fI0o/edit?usp=share_link"",""นครพนม!N451"")+IMPORTRANGE(""https://docs.google.com/spreadsheets/d/1bDQrolntRWtHumK8W-x-HXKntwxB9S3sF5aDeRS66Ko/edit?usp=share_link"",""นครราชสีมา!N451"")+IMPORTRANGE(""https://docs.google.com/spreadsheets/d/1_MzZ-2gVPiCW-d2V"&amp;"cafoCmFJQTSrZ6SQyFcMqRRQQ2w/edit?usp=share_link"",""บึงกาฬ!N451"")
+IMPORTRANGE(""https://docs.google.com/spreadsheets/d/1B3lPpzOuaNwVItLwLEZYl_qEblfcx7dRnbRkAw0l-pE/edit?usp=share_link"",""บุรีรัมย์!N451"")+IMPORTRANGE(""https://docs.google.com/spreadshe"&amp;"ets/d/19GOkiOqnzYbevLYWrMk4qFOXe3rX14BkSA8X-mq-a40/edit?usp=share_link"",""มหาสารคาม!N451"")+IMPORTRANGE(""https://docs.google.com/spreadsheets/d/1uMKqWwuNQ-TCKboGA3Bb1qXb5uj2-faACNUINCz8PN4/edit?usp=share_link"",""มุกดาหาร!N451"")+IMPORTRANGE(""https://d"&amp;"ocs.google.com/spreadsheets/d/1oKaccgDdQABndOzGr688Dbfxb_V3YcF67VqEPBtdzsc/edit?usp=share_link"",""ยโสธร!N451"")+IMPORTRANGE(""https://docs.google.com/spreadsheets/d/1BRgc8xKpxZ0PX-gauieMVkV_IOxKSotf0yW8MabGprQ/edit?usp=share_link"",""ร้อยเอ็ด!N451"")+IMP"&amp;"ORTRANGE(""https://docs.google.com/spreadsheets/d/1IdolZc-dfdgMwAm_KZxYJl1sUOcIgnbGQzbWOlddedo/edit?usp=share_link"",""เลย!N451"")+IMPORTRANGE(""https://docs.google.com/spreadsheets/d/1tZ0nmtGuIRCaGAMXHlQU8EpR9LOAJvyKfc4f7EFmE34/edit?usp=share_link"",""ศร"&amp;"ีสะเกษ!N451"")+IMPORTRANGE(""https://docs.google.com/spreadsheets/d/1QC8psz9w0f9IVE9Xuc2FT_btkaOzZbbUSgYObpBuetM/edit?usp=share_link"",""สกลนคร!N451"")+IMPORTRANGE(""https://docs.google.com/spreadsheets/d/1wPdvRbu02d33MYVlbsCnyTiZpefEBs9NNktAnT1HZvw/edit?"&amp;"usp=share_link"",""สุรินทร์!N451"")+IMPORTRANGE(""https://docs.google.com/spreadsheets/d/1GVExpf-Exi_2gmuqTYH28fseTB9MoKPXWcXCbSt_YrM/edit?usp=share_link"",""หนองคาย!N451"")+IMPORTRANGE(""https://docs.google.com/spreadsheets/d/16UeMz0UgOB5BZcoxP75eYGcLFtG"&amp;"YRn9GoesD4OX9m5U/edit?usp=share_link"",""หนองบัวลำภู!N451"")+IMPORTRANGE(""https://docs.google.com/spreadsheets/d/1uUP8Zo1-qaJLuIkRU0qlwLSE3DHkbdrrj2JGJiWBQZE/edit?usp=share_link"",""อำนาจเจริญ!N451"")+IMPORTRANGE(""https://docs.google.com/spreadsheets/d/"&amp;"1hb_taSOHanzRjqfzWPiFo8yiT83VV1L7vvUCLhOiHKc/edit?usp=share_link"",""อุดรธานี!N451"")+IMPORTRANGE(""https://docs.google.com/spreadsheets/d/17IOkEwkUd63EGNfyNDnM5de9YlZ7rwzTiW6-dokVjKI/edit?usp=share_link"",""อุบลราชธานี!N451"")
"),4285048)</f>
        <v>4285048</v>
      </c>
      <c r="O451" s="38"/>
      <c r="P451" s="3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</row>
    <row r="452" spans="1:26" ht="18.75">
      <c r="A452" s="574"/>
      <c r="B452" s="575"/>
      <c r="C452" s="575"/>
      <c r="D452" s="575"/>
      <c r="E452" s="575"/>
      <c r="F452" s="577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fb2B9NLcpJgjIieIJvenUTNPn0TimZDUi0OtYeiSQ_s/edit?usp=share_link"",""กาฬสินธุ์!N452"")+IMPORTRANGE(""https://docs.google.com/spreadsheets/d/1SaMnqrwRGmFYNR0MhpWmHuL5niYUd5E7vDq8X7whAlI/edit?usp=share_li"&amp;"nk"",""ขอนแก่น!N452"")
+IMPORTRANGE(""https://docs.google.com/spreadsheets/d/1xQzEtGHhTTgxHh6YUkKY1P4dRyjVhS74dGswLfAASA4/edit?usp=share_link"",""ชัยภูมิ!N452"")+IMPORTRANGE(""https://docs.google.com/spreadsheets/d/1EXMBoBxU3OFbjT2TRpneM33qFjqDzrKmn9ydcfl"&amp;"fI0o/edit?usp=share_link"",""นครพนม!N452"")+IMPORTRANGE(""https://docs.google.com/spreadsheets/d/1bDQrolntRWtHumK8W-x-HXKntwxB9S3sF5aDeRS66Ko/edit?usp=share_link"",""นครราชสีมา!N452"")+IMPORTRANGE(""https://docs.google.com/spreadsheets/d/1_MzZ-2gVPiCW-d2V"&amp;"cafoCmFJQTSrZ6SQyFcMqRRQQ2w/edit?usp=share_link"",""บึงกาฬ!N452"")
+IMPORTRANGE(""https://docs.google.com/spreadsheets/d/1B3lPpzOuaNwVItLwLEZYl_qEblfcx7dRnbRkAw0l-pE/edit?usp=share_link"",""บุรีรัมย์!N452"")+IMPORTRANGE(""https://docs.google.com/spreadshe"&amp;"ets/d/19GOkiOqnzYbevLYWrMk4qFOXe3rX14BkSA8X-mq-a40/edit?usp=share_link"",""มหาสารคาม!N452"")+IMPORTRANGE(""https://docs.google.com/spreadsheets/d/1uMKqWwuNQ-TCKboGA3Bb1qXb5uj2-faACNUINCz8PN4/edit?usp=share_link"",""มุกดาหาร!N452"")+IMPORTRANGE(""https://d"&amp;"ocs.google.com/spreadsheets/d/1oKaccgDdQABndOzGr688Dbfxb_V3YcF67VqEPBtdzsc/edit?usp=share_link"",""ยโสธร!N452"")+IMPORTRANGE(""https://docs.google.com/spreadsheets/d/1BRgc8xKpxZ0PX-gauieMVkV_IOxKSotf0yW8MabGprQ/edit?usp=share_link"",""ร้อยเอ็ด!N452"")+IMP"&amp;"ORTRANGE(""https://docs.google.com/spreadsheets/d/1IdolZc-dfdgMwAm_KZxYJl1sUOcIgnbGQzbWOlddedo/edit?usp=share_link"",""เลย!N452"")+IMPORTRANGE(""https://docs.google.com/spreadsheets/d/1tZ0nmtGuIRCaGAMXHlQU8EpR9LOAJvyKfc4f7EFmE34/edit?usp=share_link"",""ศร"&amp;"ีสะเกษ!N452"")+IMPORTRANGE(""https://docs.google.com/spreadsheets/d/1QC8psz9w0f9IVE9Xuc2FT_btkaOzZbbUSgYObpBuetM/edit?usp=share_link"",""สกลนคร!N452"")+IMPORTRANGE(""https://docs.google.com/spreadsheets/d/1wPdvRbu02d33MYVlbsCnyTiZpefEBs9NNktAnT1HZvw/edit?"&amp;"usp=share_link"",""สุรินทร์!N452"")+IMPORTRANGE(""https://docs.google.com/spreadsheets/d/1GVExpf-Exi_2gmuqTYH28fseTB9MoKPXWcXCbSt_YrM/edit?usp=share_link"",""หนองคาย!N452"")+IMPORTRANGE(""https://docs.google.com/spreadsheets/d/16UeMz0UgOB5BZcoxP75eYGcLFtG"&amp;"YRn9GoesD4OX9m5U/edit?usp=share_link"",""หนองบัวลำภู!N452"")+IMPORTRANGE(""https://docs.google.com/spreadsheets/d/1uUP8Zo1-qaJLuIkRU0qlwLSE3DHkbdrrj2JGJiWBQZE/edit?usp=share_link"",""อำนาจเจริญ!N452"")+IMPORTRANGE(""https://docs.google.com/spreadsheets/d/"&amp;"1hb_taSOHanzRjqfzWPiFo8yiT83VV1L7vvUCLhOiHKc/edit?usp=share_link"",""อุดรธานี!N452"")+IMPORTRANGE(""https://docs.google.com/spreadsheets/d/17IOkEwkUd63EGNfyNDnM5de9YlZ7rwzTiW6-dokVjKI/edit?usp=share_link"",""อุบลราชธานี!N452"")
"),2271866.27)</f>
        <v>2271866.27</v>
      </c>
      <c r="O452" s="38"/>
      <c r="P452" s="3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</row>
    <row r="453" spans="1:26" ht="18.75">
      <c r="A453" s="574"/>
      <c r="B453" s="575"/>
      <c r="C453" s="575"/>
      <c r="D453" s="575"/>
      <c r="E453" s="575"/>
      <c r="F453" s="577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fb2B9NLcpJgjIieIJvenUTNPn0TimZDUi0OtYeiSQ_s/edit?usp=share_link"",""กาฬสินธุ์!N453"")+IMPORTRANGE(""https://docs.google.com/spreadsheets/d/1SaMnqrwRGmFYNR0MhpWmHuL5niYUd5E7vDq8X7whAlI/edit?usp=share_li"&amp;"nk"",""ขอนแก่น!N453"")
+IMPORTRANGE(""https://docs.google.com/spreadsheets/d/1xQzEtGHhTTgxHh6YUkKY1P4dRyjVhS74dGswLfAASA4/edit?usp=share_link"",""ชัยภูมิ!N453"")+IMPORTRANGE(""https://docs.google.com/spreadsheets/d/1EXMBoBxU3OFbjT2TRpneM33qFjqDzrKmn9ydcfl"&amp;"fI0o/edit?usp=share_link"",""นครพนม!N453"")+IMPORTRANGE(""https://docs.google.com/spreadsheets/d/1bDQrolntRWtHumK8W-x-HXKntwxB9S3sF5aDeRS66Ko/edit?usp=share_link"",""นครราชสีมา!N453"")+IMPORTRANGE(""https://docs.google.com/spreadsheets/d/1_MzZ-2gVPiCW-d2V"&amp;"cafoCmFJQTSrZ6SQyFcMqRRQQ2w/edit?usp=share_link"",""บึงกาฬ!N453"")
+IMPORTRANGE(""https://docs.google.com/spreadsheets/d/1B3lPpzOuaNwVItLwLEZYl_qEblfcx7dRnbRkAw0l-pE/edit?usp=share_link"",""บุรีรัมย์!N453"")+IMPORTRANGE(""https://docs.google.com/spreadshe"&amp;"ets/d/19GOkiOqnzYbevLYWrMk4qFOXe3rX14BkSA8X-mq-a40/edit?usp=share_link"",""มหาสารคาม!N453"")+IMPORTRANGE(""https://docs.google.com/spreadsheets/d/1uMKqWwuNQ-TCKboGA3Bb1qXb5uj2-faACNUINCz8PN4/edit?usp=share_link"",""มุกดาหาร!N453"")+IMPORTRANGE(""https://d"&amp;"ocs.google.com/spreadsheets/d/1oKaccgDdQABndOzGr688Dbfxb_V3YcF67VqEPBtdzsc/edit?usp=share_link"",""ยโสธร!N453"")+IMPORTRANGE(""https://docs.google.com/spreadsheets/d/1BRgc8xKpxZ0PX-gauieMVkV_IOxKSotf0yW8MabGprQ/edit?usp=share_link"",""ร้อยเอ็ด!N453"")+IMP"&amp;"ORTRANGE(""https://docs.google.com/spreadsheets/d/1IdolZc-dfdgMwAm_KZxYJl1sUOcIgnbGQzbWOlddedo/edit?usp=share_link"",""เลย!N453"")+IMPORTRANGE(""https://docs.google.com/spreadsheets/d/1tZ0nmtGuIRCaGAMXHlQU8EpR9LOAJvyKfc4f7EFmE34/edit?usp=share_link"",""ศร"&amp;"ีสะเกษ!N453"")+IMPORTRANGE(""https://docs.google.com/spreadsheets/d/1QC8psz9w0f9IVE9Xuc2FT_btkaOzZbbUSgYObpBuetM/edit?usp=share_link"",""สกลนคร!N453"")+IMPORTRANGE(""https://docs.google.com/spreadsheets/d/1wPdvRbu02d33MYVlbsCnyTiZpefEBs9NNktAnT1HZvw/edit?"&amp;"usp=share_link"",""สุรินทร์!N453"")+IMPORTRANGE(""https://docs.google.com/spreadsheets/d/1GVExpf-Exi_2gmuqTYH28fseTB9MoKPXWcXCbSt_YrM/edit?usp=share_link"",""หนองคาย!N453"")+IMPORTRANGE(""https://docs.google.com/spreadsheets/d/16UeMz0UgOB5BZcoxP75eYGcLFtG"&amp;"YRn9GoesD4OX9m5U/edit?usp=share_link"",""หนองบัวลำภู!N453"")+IMPORTRANGE(""https://docs.google.com/spreadsheets/d/1uUP8Zo1-qaJLuIkRU0qlwLSE3DHkbdrrj2JGJiWBQZE/edit?usp=share_link"",""อำนาจเจริญ!N453"")+IMPORTRANGE(""https://docs.google.com/spreadsheets/d/"&amp;"1hb_taSOHanzRjqfzWPiFo8yiT83VV1L7vvUCLhOiHKc/edit?usp=share_link"",""อุดรธานี!N453"")+IMPORTRANGE(""https://docs.google.com/spreadsheets/d/17IOkEwkUd63EGNfyNDnM5de9YlZ7rwzTiW6-dokVjKI/edit?usp=share_link"",""อุบลราชธานี!N453"")
"),1293583.5)</f>
        <v>1293583.5</v>
      </c>
      <c r="O453" s="38"/>
      <c r="P453" s="3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</row>
    <row r="454" spans="1:26" ht="18.75">
      <c r="A454" s="597"/>
      <c r="B454" s="575"/>
      <c r="C454" s="575"/>
      <c r="D454" s="606" t="s">
        <v>21</v>
      </c>
      <c r="E454" s="575"/>
      <c r="F454" s="576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</row>
    <row r="455" spans="1:26" ht="18.75" hidden="1">
      <c r="A455" s="599"/>
      <c r="B455" s="605"/>
      <c r="C455" s="605"/>
      <c r="D455" s="605"/>
      <c r="E455" s="607" t="s">
        <v>18</v>
      </c>
      <c r="F455" s="600"/>
      <c r="G455" s="603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604"/>
      <c r="R455" s="604"/>
      <c r="S455" s="604"/>
      <c r="T455" s="604"/>
      <c r="U455" s="604"/>
      <c r="V455" s="604"/>
      <c r="W455" s="604"/>
      <c r="X455" s="604"/>
      <c r="Y455" s="604"/>
      <c r="Z455" s="604"/>
    </row>
    <row r="456" spans="1:26" ht="18.75" hidden="1">
      <c r="A456" s="599"/>
      <c r="B456" s="605"/>
      <c r="C456" s="605"/>
      <c r="D456" s="605"/>
      <c r="E456" s="607" t="s">
        <v>19</v>
      </c>
      <c r="F456" s="600"/>
      <c r="G456" s="603"/>
      <c r="H456" s="169" t="s">
        <v>12</v>
      </c>
      <c r="I456" s="166"/>
      <c r="J456" s="166"/>
      <c r="K456" s="167"/>
      <c r="L456" s="45">
        <f ca="1">IFERROR(__xludf.DUMMYFUNCTION("IMPORTRANGE(""https://docs.google.com/spreadsheets/d/1fb2B9NLcpJgjIieIJvenUTNPn0TimZDUi0OtYeiSQ_s/edit?usp=share_link"",""กาฬสินธุ์!L456"")+IMPORTRANGE(""https://docs.google.com/spreadsheets/d/1SaMnqrwRGmFYNR0MhpWmHuL5niYUd5E7vDq8X7whAlI/edit?usp=share_li"&amp;"nk"",""ขอนแก่น!L456"")
+IMPORTRANGE(""https://docs.google.com/spreadsheets/d/1xQzEtGHhTTgxHh6YUkKY1P4dRyjVhS74dGswLfAASA4/edit?usp=share_link"",""ชัยภูมิ!L456"")+IMPORTRANGE(""https://docs.google.com/spreadsheets/d/1EXMBoBxU3OFbjT2TRpneM33qFjqDzrKmn9ydcfl"&amp;"fI0o/edit?usp=share_link"",""นครพนม!L456"")+IMPORTRANGE(""https://docs.google.com/spreadsheets/d/1bDQrolntRWtHumK8W-x-HXKntwxB9S3sF5aDeRS66Ko/edit?usp=share_link"",""นครราชสีมา!L456"")+IMPORTRANGE(""https://docs.google.com/spreadsheets/d/1_MzZ-2gVPiCW-d2V"&amp;"cafoCmFJQTSrZ6SQyFcMqRRQQ2w/edit?usp=share_link"",""บึงกาฬ!L456"")
+IMPORTRANGE(""https://docs.google.com/spreadsheets/d/1B3lPpzOuaNwVItLwLEZYl_qEblfcx7dRnbRkAw0l-pE/edit?usp=share_link"",""บุรีรัมย์!L456"")+IMPORTRANGE(""https://docs.google.com/spreadshe"&amp;"ets/d/19GOkiOqnzYbevLYWrMk4qFOXe3rX14BkSA8X-mq-a40/edit?usp=share_link"",""มหาสารคาม!L456"")+IMPORTRANGE(""https://docs.google.com/spreadsheets/d/1uMKqWwuNQ-TCKboGA3Bb1qXb5uj2-faACNUINCz8PN4/edit?usp=share_link"",""มุกดาหาร!L456"")+IMPORTRANGE(""https://d"&amp;"ocs.google.com/spreadsheets/d/1oKaccgDdQABndOzGr688Dbfxb_V3YcF67VqEPBtdzsc/edit?usp=share_link"",""ยโสธร!L456"")+IMPORTRANGE(""https://docs.google.com/spreadsheets/d/1BRgc8xKpxZ0PX-gauieMVkV_IOxKSotf0yW8MabGprQ/edit?usp=share_link"",""ร้อยเอ็ด!L456"")+IMP"&amp;"ORTRANGE(""https://docs.google.com/spreadsheets/d/1IdolZc-dfdgMwAm_KZxYJl1sUOcIgnbGQzbWOlddedo/edit?usp=share_link"",""เลย!L456"")+IMPORTRANGE(""https://docs.google.com/spreadsheets/d/1tZ0nmtGuIRCaGAMXHlQU8EpR9LOAJvyKfc4f7EFmE34/edit?usp=share_link"",""ศร"&amp;"ีสะเกษ!L456"")+IMPORTRANGE(""https://docs.google.com/spreadsheets/d/1QC8psz9w0f9IVE9Xuc2FT_btkaOzZbbUSgYObpBuetM/edit?usp=share_link"",""สกลนคร!L456"")+IMPORTRANGE(""https://docs.google.com/spreadsheets/d/1wPdvRbu02d33MYVlbsCnyTiZpefEBs9NNktAnT1HZvw/edit?"&amp;"usp=share_link"",""สุรินทร์!L456"")+IMPORTRANGE(""https://docs.google.com/spreadsheets/d/1GVExpf-Exi_2gmuqTYH28fseTB9MoKPXWcXCbSt_YrM/edit?usp=share_link"",""หนองคาย!L456"")+IMPORTRANGE(""https://docs.google.com/spreadsheets/d/16UeMz0UgOB5BZcoxP75eYGcLFtG"&amp;"YRn9GoesD4OX9m5U/edit?usp=share_link"",""หนองบัวลำภู!L456"")+IMPORTRANGE(""https://docs.google.com/spreadsheets/d/1uUP8Zo1-qaJLuIkRU0qlwLSE3DHkbdrrj2JGJiWBQZE/edit?usp=share_link"",""อำนาจเจริญ!L456"")+IMPORTRANGE(""https://docs.google.com/spreadsheets/d/"&amp;"1hb_taSOHanzRjqfzWPiFo8yiT83VV1L7vvUCLhOiHKc/edit?usp=share_link"",""อุดรธานี!L456"")+IMPORTRANGE(""https://docs.google.com/spreadsheets/d/17IOkEwkUd63EGNfyNDnM5de9YlZ7rwzTiW6-dokVjKI/edit?usp=share_link"",""อุบลราชธานี!L456"")
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604"/>
      <c r="R456" s="604"/>
      <c r="S456" s="604"/>
      <c r="T456" s="604"/>
      <c r="U456" s="604"/>
      <c r="V456" s="604"/>
      <c r="W456" s="604"/>
      <c r="X456" s="604"/>
      <c r="Y456" s="604"/>
      <c r="Z456" s="604"/>
    </row>
    <row r="457" spans="1:26" ht="19.5">
      <c r="A457" s="608"/>
      <c r="B457" s="609"/>
      <c r="C457" s="575" t="s">
        <v>16</v>
      </c>
      <c r="D457" s="610" t="s">
        <v>38</v>
      </c>
      <c r="E457" s="611"/>
      <c r="F457" s="612"/>
      <c r="G457" s="613"/>
      <c r="H457" s="175"/>
      <c r="I457" s="37"/>
      <c r="J457" s="37"/>
      <c r="K457" s="38"/>
      <c r="L457" s="38"/>
      <c r="M457" s="38"/>
      <c r="N457" s="38"/>
      <c r="O457" s="38"/>
      <c r="P457" s="3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</row>
    <row r="458" spans="1:26" ht="18.75" hidden="1">
      <c r="A458" s="614"/>
      <c r="B458" s="615"/>
      <c r="C458" s="615"/>
      <c r="D458" s="616" t="s">
        <v>201</v>
      </c>
      <c r="E458" s="615"/>
      <c r="F458" s="601"/>
      <c r="G458" s="366"/>
      <c r="H458" s="370" t="s">
        <v>35</v>
      </c>
      <c r="I458" s="617">
        <v>0</v>
      </c>
      <c r="J458" s="617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604"/>
      <c r="R458" s="604"/>
      <c r="S458" s="604"/>
      <c r="T458" s="604"/>
      <c r="U458" s="604"/>
      <c r="V458" s="604"/>
      <c r="W458" s="604"/>
      <c r="X458" s="604"/>
      <c r="Y458" s="604"/>
      <c r="Z458" s="604"/>
    </row>
    <row r="459" spans="1:26" ht="18.75" hidden="1">
      <c r="A459" s="614"/>
      <c r="B459" s="615"/>
      <c r="C459" s="615"/>
      <c r="D459" s="616" t="s">
        <v>202</v>
      </c>
      <c r="E459" s="615"/>
      <c r="F459" s="601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604"/>
      <c r="R459" s="604"/>
      <c r="S459" s="604"/>
      <c r="T459" s="604"/>
      <c r="U459" s="604"/>
      <c r="V459" s="604"/>
      <c r="W459" s="604"/>
      <c r="X459" s="604"/>
      <c r="Y459" s="604"/>
      <c r="Z459" s="604"/>
    </row>
    <row r="460" spans="1:26" ht="18.75">
      <c r="A460" s="608"/>
      <c r="B460" s="609"/>
      <c r="C460" s="609"/>
      <c r="D460" s="618" t="s">
        <v>203</v>
      </c>
      <c r="E460" s="609"/>
      <c r="F460" s="619"/>
      <c r="G460" s="175"/>
      <c r="H460" s="182" t="s">
        <v>35</v>
      </c>
      <c r="I460" s="37">
        <f ca="1">IFERROR(__xludf.DUMMYFUNCTION("IMPORTRANGE(""https://docs.google.com/spreadsheets/d/1fb2B9NLcpJgjIieIJvenUTNPn0TimZDUi0OtYeiSQ_s/edit?usp=share_link"",""กาฬสินธุ์!I460"")+IMPORTRANGE(""https://docs.google.com/spreadsheets/d/1SaMnqrwRGmFYNR0MhpWmHuL5niYUd5E7vDq8X7whAlI/edit?usp=share_li"&amp;"nk"",""ขอนแก่น!I460"")
+IMPORTRANGE(""https://docs.google.com/spreadsheets/d/1xQzEtGHhTTgxHh6YUkKY1P4dRyjVhS74dGswLfAASA4/edit?usp=share_link"",""ชัยภูมิ!I460"")+IMPORTRANGE(""https://docs.google.com/spreadsheets/d/1EXMBoBxU3OFbjT2TRpneM33qFjqDzrKmn9ydcfl"&amp;"fI0o/edit?usp=share_link"",""นครพนม!I460"")+IMPORTRANGE(""https://docs.google.com/spreadsheets/d/1bDQrolntRWtHumK8W-x-HXKntwxB9S3sF5aDeRS66Ko/edit?usp=share_link"",""นครราชสีมา!I460"")+IMPORTRANGE(""https://docs.google.com/spreadsheets/d/1_MzZ-2gVPiCW-d2V"&amp;"cafoCmFJQTSrZ6SQyFcMqRRQQ2w/edit?usp=share_link"",""บึงกาฬ!I460"")
+IMPORTRANGE(""https://docs.google.com/spreadsheets/d/1B3lPpzOuaNwVItLwLEZYl_qEblfcx7dRnbRkAw0l-pE/edit?usp=share_link"",""บุรีรัมย์!I460"")+IMPORTRANGE(""https://docs.google.com/spreadshe"&amp;"ets/d/19GOkiOqnzYbevLYWrMk4qFOXe3rX14BkSA8X-mq-a40/edit?usp=share_link"",""มหาสารคาม!I460"")+IMPORTRANGE(""https://docs.google.com/spreadsheets/d/1uMKqWwuNQ-TCKboGA3Bb1qXb5uj2-faACNUINCz8PN4/edit?usp=share_link"",""มุกดาหาร!I460"")+IMPORTRANGE(""https://d"&amp;"ocs.google.com/spreadsheets/d/1oKaccgDdQABndOzGr688Dbfxb_V3YcF67VqEPBtdzsc/edit?usp=share_link"",""ยโสธร!I460"")+IMPORTRANGE(""https://docs.google.com/spreadsheets/d/1BRgc8xKpxZ0PX-gauieMVkV_IOxKSotf0yW8MabGprQ/edit?usp=share_link"",""ร้อยเอ็ด!I460"")+IMP"&amp;"ORTRANGE(""https://docs.google.com/spreadsheets/d/1IdolZc-dfdgMwAm_KZxYJl1sUOcIgnbGQzbWOlddedo/edit?usp=share_link"",""เลย!I460"")+IMPORTRANGE(""https://docs.google.com/spreadsheets/d/1tZ0nmtGuIRCaGAMXHlQU8EpR9LOAJvyKfc4f7EFmE34/edit?usp=share_link"",""ศร"&amp;"ีสะเกษ!I460"")+IMPORTRANGE(""https://docs.google.com/spreadsheets/d/1QC8psz9w0f9IVE9Xuc2FT_btkaOzZbbUSgYObpBuetM/edit?usp=share_link"",""สกลนคร!I460"")+IMPORTRANGE(""https://docs.google.com/spreadsheets/d/1wPdvRbu02d33MYVlbsCnyTiZpefEBs9NNktAnT1HZvw/edit?"&amp;"usp=share_link"",""สุรินทร์!I460"")+IMPORTRANGE(""https://docs.google.com/spreadsheets/d/1GVExpf-Exi_2gmuqTYH28fseTB9MoKPXWcXCbSt_YrM/edit?usp=share_link"",""หนองคาย!I460"")+IMPORTRANGE(""https://docs.google.com/spreadsheets/d/16UeMz0UgOB5BZcoxP75eYGcLFtG"&amp;"YRn9GoesD4OX9m5U/edit?usp=share_link"",""หนองบัวลำภู!I460"")+IMPORTRANGE(""https://docs.google.com/spreadsheets/d/1uUP8Zo1-qaJLuIkRU0qlwLSE3DHkbdrrj2JGJiWBQZE/edit?usp=share_link"",""อำนาจเจริญ!I460"")+IMPORTRANGE(""https://docs.google.com/spreadsheets/d/"&amp;"1hb_taSOHanzRjqfzWPiFo8yiT83VV1L7vvUCLhOiHKc/edit?usp=share_link"",""อุดรธานี!I460"")+IMPORTRANGE(""https://docs.google.com/spreadsheets/d/17IOkEwkUd63EGNfyNDnM5de9YlZ7rwzTiW6-dokVjKI/edit?usp=share_link"",""อุบลราชธานี!I460"")
"),1355)</f>
        <v>1355</v>
      </c>
      <c r="J460" s="183">
        <f ca="1">IFERROR(__xludf.DUMMYFUNCTION("IMPORTRANGE(""https://docs.google.com/spreadsheets/d/1fb2B9NLcpJgjIieIJvenUTNPn0TimZDUi0OtYeiSQ_s/edit?usp=share_link"",""กาฬสินธุ์!J460"")+IMPORTRANGE(""https://docs.google.com/spreadsheets/d/1SaMnqrwRGmFYNR0MhpWmHuL5niYUd5E7vDq8X7whAlI/edit?usp=share_li"&amp;"nk"",""ขอนแก่น!J460"")
+IMPORTRANGE(""https://docs.google.com/spreadsheets/d/1xQzEtGHhTTgxHh6YUkKY1P4dRyjVhS74dGswLfAASA4/edit?usp=share_link"",""ชัยภูมิ!J460"")+IMPORTRANGE(""https://docs.google.com/spreadsheets/d/1EXMBoBxU3OFbjT2TRpneM33qFjqDzrKmn9ydcfl"&amp;"fI0o/edit?usp=share_link"",""นครพนม!J460"")+IMPORTRANGE(""https://docs.google.com/spreadsheets/d/1bDQrolntRWtHumK8W-x-HXKntwxB9S3sF5aDeRS66Ko/edit?usp=share_link"",""นครราชสีมา!J460"")+IMPORTRANGE(""https://docs.google.com/spreadsheets/d/1_MzZ-2gVPiCW-d2V"&amp;"cafoCmFJQTSrZ6SQyFcMqRRQQ2w/edit?usp=share_link"",""บึงกาฬ!J460"")
+IMPORTRANGE(""https://docs.google.com/spreadsheets/d/1B3lPpzOuaNwVItLwLEZYl_qEblfcx7dRnbRkAw0l-pE/edit?usp=share_link"",""บุรีรัมย์!J460"")+IMPORTRANGE(""https://docs.google.com/spreadshe"&amp;"ets/d/19GOkiOqnzYbevLYWrMk4qFOXe3rX14BkSA8X-mq-a40/edit?usp=share_link"",""มหาสารคาม!J460"")+IMPORTRANGE(""https://docs.google.com/spreadsheets/d/1uMKqWwuNQ-TCKboGA3Bb1qXb5uj2-faACNUINCz8PN4/edit?usp=share_link"",""มุกดาหาร!J460"")+IMPORTRANGE(""https://d"&amp;"ocs.google.com/spreadsheets/d/1oKaccgDdQABndOzGr688Dbfxb_V3YcF67VqEPBtdzsc/edit?usp=share_link"",""ยโสธร!J460"")+IMPORTRANGE(""https://docs.google.com/spreadsheets/d/1BRgc8xKpxZ0PX-gauieMVkV_IOxKSotf0yW8MabGprQ/edit?usp=share_link"",""ร้อยเอ็ด!J460"")+IMP"&amp;"ORTRANGE(""https://docs.google.com/spreadsheets/d/1IdolZc-dfdgMwAm_KZxYJl1sUOcIgnbGQzbWOlddedo/edit?usp=share_link"",""เลย!J460"")+IMPORTRANGE(""https://docs.google.com/spreadsheets/d/1tZ0nmtGuIRCaGAMXHlQU8EpR9LOAJvyKfc4f7EFmE34/edit?usp=share_link"",""ศร"&amp;"ีสะเกษ!J460"")+IMPORTRANGE(""https://docs.google.com/spreadsheets/d/1QC8psz9w0f9IVE9Xuc2FT_btkaOzZbbUSgYObpBuetM/edit?usp=share_link"",""สกลนคร!J460"")+IMPORTRANGE(""https://docs.google.com/spreadsheets/d/1wPdvRbu02d33MYVlbsCnyTiZpefEBs9NNktAnT1HZvw/edit?"&amp;"usp=share_link"",""สุรินทร์!J460"")+IMPORTRANGE(""https://docs.google.com/spreadsheets/d/1GVExpf-Exi_2gmuqTYH28fseTB9MoKPXWcXCbSt_YrM/edit?usp=share_link"",""หนองคาย!J460"")+IMPORTRANGE(""https://docs.google.com/spreadsheets/d/16UeMz0UgOB5BZcoxP75eYGcLFtG"&amp;"YRn9GoesD4OX9m5U/edit?usp=share_link"",""หนองบัวลำภู!J460"")+IMPORTRANGE(""https://docs.google.com/spreadsheets/d/1uUP8Zo1-qaJLuIkRU0qlwLSE3DHkbdrrj2JGJiWBQZE/edit?usp=share_link"",""อำนาจเจริญ!J460"")+IMPORTRANGE(""https://docs.google.com/spreadsheets/d/"&amp;"1hb_taSOHanzRjqfzWPiFo8yiT83VV1L7vvUCLhOiHKc/edit?usp=share_link"",""อุดรธานี!J460"")+IMPORTRANGE(""https://docs.google.com/spreadsheets/d/17IOkEwkUd63EGNfyNDnM5de9YlZ7rwzTiW6-dokVjKI/edit?usp=share_link"",""อุบลราชธานี!J460"")
"),1355)</f>
        <v>1355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</row>
    <row r="461" spans="1:26" ht="18.75">
      <c r="A461" s="608"/>
      <c r="B461" s="609"/>
      <c r="C461" s="609"/>
      <c r="D461" s="618" t="s">
        <v>204</v>
      </c>
      <c r="E461" s="619"/>
      <c r="F461" s="619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</row>
    <row r="462" spans="1:26" ht="18.75">
      <c r="A462" s="608"/>
      <c r="B462" s="609"/>
      <c r="C462" s="609"/>
      <c r="D462" s="618" t="s">
        <v>205</v>
      </c>
      <c r="E462" s="619"/>
      <c r="F462" s="619"/>
      <c r="G462" s="175"/>
      <c r="H462" s="182" t="s">
        <v>46</v>
      </c>
      <c r="I462" s="37">
        <f ca="1">IFERROR(__xludf.DUMMYFUNCTION("IMPORTRANGE(""https://docs.google.com/spreadsheets/d/1fb2B9NLcpJgjIieIJvenUTNPn0TimZDUi0OtYeiSQ_s/edit?usp=share_link"",""กาฬสินธุ์!I462"")+IMPORTRANGE(""https://docs.google.com/spreadsheets/d/1SaMnqrwRGmFYNR0MhpWmHuL5niYUd5E7vDq8X7whAlI/edit?usp=share_li"&amp;"nk"",""ขอนแก่น!I462"")
+IMPORTRANGE(""https://docs.google.com/spreadsheets/d/1xQzEtGHhTTgxHh6YUkKY1P4dRyjVhS74dGswLfAASA4/edit?usp=share_link"",""ชัยภูมิ!I462"")+IMPORTRANGE(""https://docs.google.com/spreadsheets/d/1EXMBoBxU3OFbjT2TRpneM33qFjqDzrKmn9ydcfl"&amp;"fI0o/edit?usp=share_link"",""นครพนม!I462"")+IMPORTRANGE(""https://docs.google.com/spreadsheets/d/1bDQrolntRWtHumK8W-x-HXKntwxB9S3sF5aDeRS66Ko/edit?usp=share_link"",""นครราชสีมา!I462"")+IMPORTRANGE(""https://docs.google.com/spreadsheets/d/1_MzZ-2gVPiCW-d2V"&amp;"cafoCmFJQTSrZ6SQyFcMqRRQQ2w/edit?usp=share_link"",""บึงกาฬ!I462"")
+IMPORTRANGE(""https://docs.google.com/spreadsheets/d/1B3lPpzOuaNwVItLwLEZYl_qEblfcx7dRnbRkAw0l-pE/edit?usp=share_link"",""บุรีรัมย์!I462"")+IMPORTRANGE(""https://docs.google.com/spreadshe"&amp;"ets/d/19GOkiOqnzYbevLYWrMk4qFOXe3rX14BkSA8X-mq-a40/edit?usp=share_link"",""มหาสารคาม!I462"")+IMPORTRANGE(""https://docs.google.com/spreadsheets/d/1uMKqWwuNQ-TCKboGA3Bb1qXb5uj2-faACNUINCz8PN4/edit?usp=share_link"",""มุกดาหาร!I462"")+IMPORTRANGE(""https://d"&amp;"ocs.google.com/spreadsheets/d/1oKaccgDdQABndOzGr688Dbfxb_V3YcF67VqEPBtdzsc/edit?usp=share_link"",""ยโสธร!I462"")+IMPORTRANGE(""https://docs.google.com/spreadsheets/d/1BRgc8xKpxZ0PX-gauieMVkV_IOxKSotf0yW8MabGprQ/edit?usp=share_link"",""ร้อยเอ็ด!I462"")+IMP"&amp;"ORTRANGE(""https://docs.google.com/spreadsheets/d/1IdolZc-dfdgMwAm_KZxYJl1sUOcIgnbGQzbWOlddedo/edit?usp=share_link"",""เลย!I462"")+IMPORTRANGE(""https://docs.google.com/spreadsheets/d/1tZ0nmtGuIRCaGAMXHlQU8EpR9LOAJvyKfc4f7EFmE34/edit?usp=share_link"",""ศร"&amp;"ีสะเกษ!I462"")+IMPORTRANGE(""https://docs.google.com/spreadsheets/d/1QC8psz9w0f9IVE9Xuc2FT_btkaOzZbbUSgYObpBuetM/edit?usp=share_link"",""สกลนคร!I462"")+IMPORTRANGE(""https://docs.google.com/spreadsheets/d/1wPdvRbu02d33MYVlbsCnyTiZpefEBs9NNktAnT1HZvw/edit?"&amp;"usp=share_link"",""สุรินทร์!I462"")+IMPORTRANGE(""https://docs.google.com/spreadsheets/d/1GVExpf-Exi_2gmuqTYH28fseTB9MoKPXWcXCbSt_YrM/edit?usp=share_link"",""หนองคาย!I462"")+IMPORTRANGE(""https://docs.google.com/spreadsheets/d/16UeMz0UgOB5BZcoxP75eYGcLFtG"&amp;"YRn9GoesD4OX9m5U/edit?usp=share_link"",""หนองบัวลำภู!I462"")+IMPORTRANGE(""https://docs.google.com/spreadsheets/d/1uUP8Zo1-qaJLuIkRU0qlwLSE3DHkbdrrj2JGJiWBQZE/edit?usp=share_link"",""อำนาจเจริญ!I462"")+IMPORTRANGE(""https://docs.google.com/spreadsheets/d/"&amp;"1hb_taSOHanzRjqfzWPiFo8yiT83VV1L7vvUCLhOiHKc/edit?usp=share_link"",""อุดรธานี!I462"")+IMPORTRANGE(""https://docs.google.com/spreadsheets/d/17IOkEwkUd63EGNfyNDnM5de9YlZ7rwzTiW6-dokVjKI/edit?usp=share_link"",""อุบลราชธานี!I462"")
"),4780)</f>
        <v>4780</v>
      </c>
      <c r="J462" s="183">
        <f ca="1">IFERROR(__xludf.DUMMYFUNCTION("IMPORTRANGE(""https://docs.google.com/spreadsheets/d/1fb2B9NLcpJgjIieIJvenUTNPn0TimZDUi0OtYeiSQ_s/edit?usp=share_link"",""กาฬสินธุ์!J462"")+IMPORTRANGE(""https://docs.google.com/spreadsheets/d/1SaMnqrwRGmFYNR0MhpWmHuL5niYUd5E7vDq8X7whAlI/edit?usp=share_li"&amp;"nk"",""ขอนแก่น!J462"")
+IMPORTRANGE(""https://docs.google.com/spreadsheets/d/1xQzEtGHhTTgxHh6YUkKY1P4dRyjVhS74dGswLfAASA4/edit?usp=share_link"",""ชัยภูมิ!J462"")+IMPORTRANGE(""https://docs.google.com/spreadsheets/d/1EXMBoBxU3OFbjT2TRpneM33qFjqDzrKmn9ydcfl"&amp;"fI0o/edit?usp=share_link"",""นครพนม!J462"")+IMPORTRANGE(""https://docs.google.com/spreadsheets/d/1bDQrolntRWtHumK8W-x-HXKntwxB9S3sF5aDeRS66Ko/edit?usp=share_link"",""นครราชสีมา!J462"")+IMPORTRANGE(""https://docs.google.com/spreadsheets/d/1_MzZ-2gVPiCW-d2V"&amp;"cafoCmFJQTSrZ6SQyFcMqRRQQ2w/edit?usp=share_link"",""บึงกาฬ!J462"")
+IMPORTRANGE(""https://docs.google.com/spreadsheets/d/1B3lPpzOuaNwVItLwLEZYl_qEblfcx7dRnbRkAw0l-pE/edit?usp=share_link"",""บุรีรัมย์!J462"")+IMPORTRANGE(""https://docs.google.com/spreadshe"&amp;"ets/d/19GOkiOqnzYbevLYWrMk4qFOXe3rX14BkSA8X-mq-a40/edit?usp=share_link"",""มหาสารคาม!J462"")+IMPORTRANGE(""https://docs.google.com/spreadsheets/d/1uMKqWwuNQ-TCKboGA3Bb1qXb5uj2-faACNUINCz8PN4/edit?usp=share_link"",""มุกดาหาร!J462"")+IMPORTRANGE(""https://d"&amp;"ocs.google.com/spreadsheets/d/1oKaccgDdQABndOzGr688Dbfxb_V3YcF67VqEPBtdzsc/edit?usp=share_link"",""ยโสธร!J462"")+IMPORTRANGE(""https://docs.google.com/spreadsheets/d/1BRgc8xKpxZ0PX-gauieMVkV_IOxKSotf0yW8MabGprQ/edit?usp=share_link"",""ร้อยเอ็ด!J462"")+IMP"&amp;"ORTRANGE(""https://docs.google.com/spreadsheets/d/1IdolZc-dfdgMwAm_KZxYJl1sUOcIgnbGQzbWOlddedo/edit?usp=share_link"",""เลย!J462"")+IMPORTRANGE(""https://docs.google.com/spreadsheets/d/1tZ0nmtGuIRCaGAMXHlQU8EpR9LOAJvyKfc4f7EFmE34/edit?usp=share_link"",""ศร"&amp;"ีสะเกษ!J462"")+IMPORTRANGE(""https://docs.google.com/spreadsheets/d/1QC8psz9w0f9IVE9Xuc2FT_btkaOzZbbUSgYObpBuetM/edit?usp=share_link"",""สกลนคร!J462"")+IMPORTRANGE(""https://docs.google.com/spreadsheets/d/1wPdvRbu02d33MYVlbsCnyTiZpefEBs9NNktAnT1HZvw/edit?"&amp;"usp=share_link"",""สุรินทร์!J462"")+IMPORTRANGE(""https://docs.google.com/spreadsheets/d/1GVExpf-Exi_2gmuqTYH28fseTB9MoKPXWcXCbSt_YrM/edit?usp=share_link"",""หนองคาย!J462"")+IMPORTRANGE(""https://docs.google.com/spreadsheets/d/16UeMz0UgOB5BZcoxP75eYGcLFtG"&amp;"YRn9GoesD4OX9m5U/edit?usp=share_link"",""หนองบัวลำภู!J462"")+IMPORTRANGE(""https://docs.google.com/spreadsheets/d/1uUP8Zo1-qaJLuIkRU0qlwLSE3DHkbdrrj2JGJiWBQZE/edit?usp=share_link"",""อำนาจเจริญ!J462"")+IMPORTRANGE(""https://docs.google.com/spreadsheets/d/"&amp;"1hb_taSOHanzRjqfzWPiFo8yiT83VV1L7vvUCLhOiHKc/edit?usp=share_link"",""อุดรธานี!J462"")+IMPORTRANGE(""https://docs.google.com/spreadsheets/d/17IOkEwkUd63EGNfyNDnM5de9YlZ7rwzTiW6-dokVjKI/edit?usp=share_link"",""อุบลราชธานี!J462"")
"),4780)</f>
        <v>4780</v>
      </c>
      <c r="K462" s="38">
        <f t="shared" ref="K462:K466" ca="1" si="237">IF(I462&gt;0,J462*100/I462,0)</f>
        <v>100</v>
      </c>
      <c r="L462" s="38"/>
      <c r="M462" s="38"/>
      <c r="N462" s="38"/>
      <c r="O462" s="38"/>
      <c r="P462" s="3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</row>
    <row r="463" spans="1:26" ht="18.75">
      <c r="A463" s="608"/>
      <c r="B463" s="609"/>
      <c r="C463" s="609"/>
      <c r="D463" s="618" t="s">
        <v>59</v>
      </c>
      <c r="E463" s="619"/>
      <c r="F463" s="576"/>
      <c r="G463" s="189"/>
      <c r="H463" s="182" t="s">
        <v>46</v>
      </c>
      <c r="I463" s="270">
        <f ca="1">IFERROR(__xludf.DUMMYFUNCTION("IMPORTRANGE(""https://docs.google.com/spreadsheets/d/1fb2B9NLcpJgjIieIJvenUTNPn0TimZDUi0OtYeiSQ_s/edit?usp=share_link"",""กาฬสินธุ์!I463"")+IMPORTRANGE(""https://docs.google.com/spreadsheets/d/1SaMnqrwRGmFYNR0MhpWmHuL5niYUd5E7vDq8X7whAlI/edit?usp=share_li"&amp;"nk"",""ขอนแก่น!I463"")
+IMPORTRANGE(""https://docs.google.com/spreadsheets/d/1xQzEtGHhTTgxHh6YUkKY1P4dRyjVhS74dGswLfAASA4/edit?usp=share_link"",""ชัยภูมิ!I463"")+IMPORTRANGE(""https://docs.google.com/spreadsheets/d/1EXMBoBxU3OFbjT2TRpneM33qFjqDzrKmn9ydcfl"&amp;"fI0o/edit?usp=share_link"",""นครพนม!I463"")+IMPORTRANGE(""https://docs.google.com/spreadsheets/d/1bDQrolntRWtHumK8W-x-HXKntwxB9S3sF5aDeRS66Ko/edit?usp=share_link"",""นครราชสีมา!I463"")+IMPORTRANGE(""https://docs.google.com/spreadsheets/d/1_MzZ-2gVPiCW-d2V"&amp;"cafoCmFJQTSrZ6SQyFcMqRRQQ2w/edit?usp=share_link"",""บึงกาฬ!I463"")
+IMPORTRANGE(""https://docs.google.com/spreadsheets/d/1B3lPpzOuaNwVItLwLEZYl_qEblfcx7dRnbRkAw0l-pE/edit?usp=share_link"",""บุรีรัมย์!I463"")+IMPORTRANGE(""https://docs.google.com/spreadshe"&amp;"ets/d/19GOkiOqnzYbevLYWrMk4qFOXe3rX14BkSA8X-mq-a40/edit?usp=share_link"",""มหาสารคาม!I463"")+IMPORTRANGE(""https://docs.google.com/spreadsheets/d/1uMKqWwuNQ-TCKboGA3Bb1qXb5uj2-faACNUINCz8PN4/edit?usp=share_link"",""มุกดาหาร!I463"")+IMPORTRANGE(""https://d"&amp;"ocs.google.com/spreadsheets/d/1oKaccgDdQABndOzGr688Dbfxb_V3YcF67VqEPBtdzsc/edit?usp=share_link"",""ยโสธร!I463"")+IMPORTRANGE(""https://docs.google.com/spreadsheets/d/1BRgc8xKpxZ0PX-gauieMVkV_IOxKSotf0yW8MabGprQ/edit?usp=share_link"",""ร้อยเอ็ด!I463"")+IMP"&amp;"ORTRANGE(""https://docs.google.com/spreadsheets/d/1IdolZc-dfdgMwAm_KZxYJl1sUOcIgnbGQzbWOlddedo/edit?usp=share_link"",""เลย!I463"")+IMPORTRANGE(""https://docs.google.com/spreadsheets/d/1tZ0nmtGuIRCaGAMXHlQU8EpR9LOAJvyKfc4f7EFmE34/edit?usp=share_link"",""ศร"&amp;"ีสะเกษ!I463"")+IMPORTRANGE(""https://docs.google.com/spreadsheets/d/1QC8psz9w0f9IVE9Xuc2FT_btkaOzZbbUSgYObpBuetM/edit?usp=share_link"",""สกลนคร!I463"")+IMPORTRANGE(""https://docs.google.com/spreadsheets/d/1wPdvRbu02d33MYVlbsCnyTiZpefEBs9NNktAnT1HZvw/edit?"&amp;"usp=share_link"",""สุรินทร์!I463"")+IMPORTRANGE(""https://docs.google.com/spreadsheets/d/1GVExpf-Exi_2gmuqTYH28fseTB9MoKPXWcXCbSt_YrM/edit?usp=share_link"",""หนองคาย!I463"")+IMPORTRANGE(""https://docs.google.com/spreadsheets/d/16UeMz0UgOB5BZcoxP75eYGcLFtG"&amp;"YRn9GoesD4OX9m5U/edit?usp=share_link"",""หนองบัวลำภู!I463"")+IMPORTRANGE(""https://docs.google.com/spreadsheets/d/1uUP8Zo1-qaJLuIkRU0qlwLSE3DHkbdrrj2JGJiWBQZE/edit?usp=share_link"",""อำนาจเจริญ!I463"")+IMPORTRANGE(""https://docs.google.com/spreadsheets/d/"&amp;"1hb_taSOHanzRjqfzWPiFo8yiT83VV1L7vvUCLhOiHKc/edit?usp=share_link"",""อุดรธานี!I463"")+IMPORTRANGE(""https://docs.google.com/spreadsheets/d/17IOkEwkUd63EGNfyNDnM5de9YlZ7rwzTiW6-dokVjKI/edit?usp=share_link"",""อุบลราชธานี!I463"")
"),4780)</f>
        <v>4780</v>
      </c>
      <c r="J463" s="183">
        <f ca="1">IFERROR(__xludf.DUMMYFUNCTION("IMPORTRANGE(""https://docs.google.com/spreadsheets/d/1fb2B9NLcpJgjIieIJvenUTNPn0TimZDUi0OtYeiSQ_s/edit?usp=share_link"",""กาฬสินธุ์!J463"")+IMPORTRANGE(""https://docs.google.com/spreadsheets/d/1SaMnqrwRGmFYNR0MhpWmHuL5niYUd5E7vDq8X7whAlI/edit?usp=share_li"&amp;"nk"",""ขอนแก่น!J463"")
+IMPORTRANGE(""https://docs.google.com/spreadsheets/d/1xQzEtGHhTTgxHh6YUkKY1P4dRyjVhS74dGswLfAASA4/edit?usp=share_link"",""ชัยภูมิ!J463"")+IMPORTRANGE(""https://docs.google.com/spreadsheets/d/1EXMBoBxU3OFbjT2TRpneM33qFjqDzrKmn9ydcfl"&amp;"fI0o/edit?usp=share_link"",""นครพนม!J463"")+IMPORTRANGE(""https://docs.google.com/spreadsheets/d/1bDQrolntRWtHumK8W-x-HXKntwxB9S3sF5aDeRS66Ko/edit?usp=share_link"",""นครราชสีมา!J463"")+IMPORTRANGE(""https://docs.google.com/spreadsheets/d/1_MzZ-2gVPiCW-d2V"&amp;"cafoCmFJQTSrZ6SQyFcMqRRQQ2w/edit?usp=share_link"",""บึงกาฬ!J463"")
+IMPORTRANGE(""https://docs.google.com/spreadsheets/d/1B3lPpzOuaNwVItLwLEZYl_qEblfcx7dRnbRkAw0l-pE/edit?usp=share_link"",""บุรีรัมย์!J463"")+IMPORTRANGE(""https://docs.google.com/spreadshe"&amp;"ets/d/19GOkiOqnzYbevLYWrMk4qFOXe3rX14BkSA8X-mq-a40/edit?usp=share_link"",""มหาสารคาม!J463"")+IMPORTRANGE(""https://docs.google.com/spreadsheets/d/1uMKqWwuNQ-TCKboGA3Bb1qXb5uj2-faACNUINCz8PN4/edit?usp=share_link"",""มุกดาหาร!J463"")+IMPORTRANGE(""https://d"&amp;"ocs.google.com/spreadsheets/d/1oKaccgDdQABndOzGr688Dbfxb_V3YcF67VqEPBtdzsc/edit?usp=share_link"",""ยโสธร!J463"")+IMPORTRANGE(""https://docs.google.com/spreadsheets/d/1BRgc8xKpxZ0PX-gauieMVkV_IOxKSotf0yW8MabGprQ/edit?usp=share_link"",""ร้อยเอ็ด!J463"")+IMP"&amp;"ORTRANGE(""https://docs.google.com/spreadsheets/d/1IdolZc-dfdgMwAm_KZxYJl1sUOcIgnbGQzbWOlddedo/edit?usp=share_link"",""เลย!J463"")+IMPORTRANGE(""https://docs.google.com/spreadsheets/d/1tZ0nmtGuIRCaGAMXHlQU8EpR9LOAJvyKfc4f7EFmE34/edit?usp=share_link"",""ศร"&amp;"ีสะเกษ!J463"")+IMPORTRANGE(""https://docs.google.com/spreadsheets/d/1QC8psz9w0f9IVE9Xuc2FT_btkaOzZbbUSgYObpBuetM/edit?usp=share_link"",""สกลนคร!J463"")+IMPORTRANGE(""https://docs.google.com/spreadsheets/d/1wPdvRbu02d33MYVlbsCnyTiZpefEBs9NNktAnT1HZvw/edit?"&amp;"usp=share_link"",""สุรินทร์!J463"")+IMPORTRANGE(""https://docs.google.com/spreadsheets/d/1GVExpf-Exi_2gmuqTYH28fseTB9MoKPXWcXCbSt_YrM/edit?usp=share_link"",""หนองคาย!J463"")+IMPORTRANGE(""https://docs.google.com/spreadsheets/d/16UeMz0UgOB5BZcoxP75eYGcLFtG"&amp;"YRn9GoesD4OX9m5U/edit?usp=share_link"",""หนองบัวลำภู!J463"")+IMPORTRANGE(""https://docs.google.com/spreadsheets/d/1uUP8Zo1-qaJLuIkRU0qlwLSE3DHkbdrrj2JGJiWBQZE/edit?usp=share_link"",""อำนาจเจริญ!J463"")+IMPORTRANGE(""https://docs.google.com/spreadsheets/d/"&amp;"1hb_taSOHanzRjqfzWPiFo8yiT83VV1L7vvUCLhOiHKc/edit?usp=share_link"",""อุดรธานี!J463"")+IMPORTRANGE(""https://docs.google.com/spreadsheets/d/17IOkEwkUd63EGNfyNDnM5de9YlZ7rwzTiW6-dokVjKI/edit?usp=share_link"",""อุบลราชธานี!J463"")
"),4780)</f>
        <v>4780</v>
      </c>
      <c r="K463" s="38">
        <f t="shared" ca="1" si="237"/>
        <v>100</v>
      </c>
      <c r="L463" s="38"/>
      <c r="M463" s="38"/>
      <c r="N463" s="38"/>
      <c r="O463" s="38"/>
      <c r="P463" s="3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</row>
    <row r="464" spans="1:26" ht="19.5">
      <c r="A464" s="608"/>
      <c r="B464" s="609"/>
      <c r="C464" s="609"/>
      <c r="D464" s="609"/>
      <c r="E464" s="619"/>
      <c r="F464" s="619"/>
      <c r="G464" s="620"/>
      <c r="H464" s="182" t="s">
        <v>35</v>
      </c>
      <c r="I464" s="270">
        <f ca="1">IFERROR(__xludf.DUMMYFUNCTION("IMPORTRANGE(""https://docs.google.com/spreadsheets/d/1fb2B9NLcpJgjIieIJvenUTNPn0TimZDUi0OtYeiSQ_s/edit?usp=share_link"",""กาฬสินธุ์!I464"")+IMPORTRANGE(""https://docs.google.com/spreadsheets/d/1SaMnqrwRGmFYNR0MhpWmHuL5niYUd5E7vDq8X7whAlI/edit?usp=share_li"&amp;"nk"",""ขอนแก่น!I464"")
+IMPORTRANGE(""https://docs.google.com/spreadsheets/d/1xQzEtGHhTTgxHh6YUkKY1P4dRyjVhS74dGswLfAASA4/edit?usp=share_link"",""ชัยภูมิ!I464"")+IMPORTRANGE(""https://docs.google.com/spreadsheets/d/1EXMBoBxU3OFbjT2TRpneM33qFjqDzrKmn9ydcfl"&amp;"fI0o/edit?usp=share_link"",""นครพนม!I464"")+IMPORTRANGE(""https://docs.google.com/spreadsheets/d/1bDQrolntRWtHumK8W-x-HXKntwxB9S3sF5aDeRS66Ko/edit?usp=share_link"",""นครราชสีมา!I464"")+IMPORTRANGE(""https://docs.google.com/spreadsheets/d/1_MzZ-2gVPiCW-d2V"&amp;"cafoCmFJQTSrZ6SQyFcMqRRQQ2w/edit?usp=share_link"",""บึงกาฬ!I464"")
+IMPORTRANGE(""https://docs.google.com/spreadsheets/d/1B3lPpzOuaNwVItLwLEZYl_qEblfcx7dRnbRkAw0l-pE/edit?usp=share_link"",""บุรีรัมย์!I464"")+IMPORTRANGE(""https://docs.google.com/spreadshe"&amp;"ets/d/19GOkiOqnzYbevLYWrMk4qFOXe3rX14BkSA8X-mq-a40/edit?usp=share_link"",""มหาสารคาม!I464"")+IMPORTRANGE(""https://docs.google.com/spreadsheets/d/1uMKqWwuNQ-TCKboGA3Bb1qXb5uj2-faACNUINCz8PN4/edit?usp=share_link"",""มุกดาหาร!I464"")+IMPORTRANGE(""https://d"&amp;"ocs.google.com/spreadsheets/d/1oKaccgDdQABndOzGr688Dbfxb_V3YcF67VqEPBtdzsc/edit?usp=share_link"",""ยโสธร!I464"")+IMPORTRANGE(""https://docs.google.com/spreadsheets/d/1BRgc8xKpxZ0PX-gauieMVkV_IOxKSotf0yW8MabGprQ/edit?usp=share_link"",""ร้อยเอ็ด!I464"")+IMP"&amp;"ORTRANGE(""https://docs.google.com/spreadsheets/d/1IdolZc-dfdgMwAm_KZxYJl1sUOcIgnbGQzbWOlddedo/edit?usp=share_link"",""เลย!I464"")+IMPORTRANGE(""https://docs.google.com/spreadsheets/d/1tZ0nmtGuIRCaGAMXHlQU8EpR9LOAJvyKfc4f7EFmE34/edit?usp=share_link"",""ศร"&amp;"ีสะเกษ!I464"")+IMPORTRANGE(""https://docs.google.com/spreadsheets/d/1QC8psz9w0f9IVE9Xuc2FT_btkaOzZbbUSgYObpBuetM/edit?usp=share_link"",""สกลนคร!I464"")+IMPORTRANGE(""https://docs.google.com/spreadsheets/d/1wPdvRbu02d33MYVlbsCnyTiZpefEBs9NNktAnT1HZvw/edit?"&amp;"usp=share_link"",""สุรินทร์!I464"")+IMPORTRANGE(""https://docs.google.com/spreadsheets/d/1GVExpf-Exi_2gmuqTYH28fseTB9MoKPXWcXCbSt_YrM/edit?usp=share_link"",""หนองคาย!I464"")+IMPORTRANGE(""https://docs.google.com/spreadsheets/d/16UeMz0UgOB5BZcoxP75eYGcLFtG"&amp;"YRn9GoesD4OX9m5U/edit?usp=share_link"",""หนองบัวลำภู!I464"")+IMPORTRANGE(""https://docs.google.com/spreadsheets/d/1uUP8Zo1-qaJLuIkRU0qlwLSE3DHkbdrrj2JGJiWBQZE/edit?usp=share_link"",""อำนาจเจริญ!I464"")+IMPORTRANGE(""https://docs.google.com/spreadsheets/d/"&amp;"1hb_taSOHanzRjqfzWPiFo8yiT83VV1L7vvUCLhOiHKc/edit?usp=share_link"",""อุดรธานี!I464"")+IMPORTRANGE(""https://docs.google.com/spreadsheets/d/17IOkEwkUd63EGNfyNDnM5de9YlZ7rwzTiW6-dokVjKI/edit?usp=share_link"",""อุบลราชธานี!I464"")
"),1355)</f>
        <v>1355</v>
      </c>
      <c r="J464" s="183">
        <f ca="1">IFERROR(__xludf.DUMMYFUNCTION("IMPORTRANGE(""https://docs.google.com/spreadsheets/d/1fb2B9NLcpJgjIieIJvenUTNPn0TimZDUi0OtYeiSQ_s/edit?usp=share_link"",""กาฬสินธุ์!J464"")+IMPORTRANGE(""https://docs.google.com/spreadsheets/d/1SaMnqrwRGmFYNR0MhpWmHuL5niYUd5E7vDq8X7whAlI/edit?usp=share_li"&amp;"nk"",""ขอนแก่น!J464"")
+IMPORTRANGE(""https://docs.google.com/spreadsheets/d/1xQzEtGHhTTgxHh6YUkKY1P4dRyjVhS74dGswLfAASA4/edit?usp=share_link"",""ชัยภูมิ!J464"")+IMPORTRANGE(""https://docs.google.com/spreadsheets/d/1EXMBoBxU3OFbjT2TRpneM33qFjqDzrKmn9ydcfl"&amp;"fI0o/edit?usp=share_link"",""นครพนม!J464"")+IMPORTRANGE(""https://docs.google.com/spreadsheets/d/1bDQrolntRWtHumK8W-x-HXKntwxB9S3sF5aDeRS66Ko/edit?usp=share_link"",""นครราชสีมา!J464"")+IMPORTRANGE(""https://docs.google.com/spreadsheets/d/1_MzZ-2gVPiCW-d2V"&amp;"cafoCmFJQTSrZ6SQyFcMqRRQQ2w/edit?usp=share_link"",""บึงกาฬ!J464"")
+IMPORTRANGE(""https://docs.google.com/spreadsheets/d/1B3lPpzOuaNwVItLwLEZYl_qEblfcx7dRnbRkAw0l-pE/edit?usp=share_link"",""บุรีรัมย์!J464"")+IMPORTRANGE(""https://docs.google.com/spreadshe"&amp;"ets/d/19GOkiOqnzYbevLYWrMk4qFOXe3rX14BkSA8X-mq-a40/edit?usp=share_link"",""มหาสารคาม!J464"")+IMPORTRANGE(""https://docs.google.com/spreadsheets/d/1uMKqWwuNQ-TCKboGA3Bb1qXb5uj2-faACNUINCz8PN4/edit?usp=share_link"",""มุกดาหาร!J464"")+IMPORTRANGE(""https://d"&amp;"ocs.google.com/spreadsheets/d/1oKaccgDdQABndOzGr688Dbfxb_V3YcF67VqEPBtdzsc/edit?usp=share_link"",""ยโสธร!J464"")+IMPORTRANGE(""https://docs.google.com/spreadsheets/d/1BRgc8xKpxZ0PX-gauieMVkV_IOxKSotf0yW8MabGprQ/edit?usp=share_link"",""ร้อยเอ็ด!J464"")+IMP"&amp;"ORTRANGE(""https://docs.google.com/spreadsheets/d/1IdolZc-dfdgMwAm_KZxYJl1sUOcIgnbGQzbWOlddedo/edit?usp=share_link"",""เลย!J464"")+IMPORTRANGE(""https://docs.google.com/spreadsheets/d/1tZ0nmtGuIRCaGAMXHlQU8EpR9LOAJvyKfc4f7EFmE34/edit?usp=share_link"",""ศร"&amp;"ีสะเกษ!J464"")+IMPORTRANGE(""https://docs.google.com/spreadsheets/d/1QC8psz9w0f9IVE9Xuc2FT_btkaOzZbbUSgYObpBuetM/edit?usp=share_link"",""สกลนคร!J464"")+IMPORTRANGE(""https://docs.google.com/spreadsheets/d/1wPdvRbu02d33MYVlbsCnyTiZpefEBs9NNktAnT1HZvw/edit?"&amp;"usp=share_link"",""สุรินทร์!J464"")+IMPORTRANGE(""https://docs.google.com/spreadsheets/d/1GVExpf-Exi_2gmuqTYH28fseTB9MoKPXWcXCbSt_YrM/edit?usp=share_link"",""หนองคาย!J464"")+IMPORTRANGE(""https://docs.google.com/spreadsheets/d/16UeMz0UgOB5BZcoxP75eYGcLFtG"&amp;"YRn9GoesD4OX9m5U/edit?usp=share_link"",""หนองบัวลำภู!J464"")+IMPORTRANGE(""https://docs.google.com/spreadsheets/d/1uUP8Zo1-qaJLuIkRU0qlwLSE3DHkbdrrj2JGJiWBQZE/edit?usp=share_link"",""อำนาจเจริญ!J464"")+IMPORTRANGE(""https://docs.google.com/spreadsheets/d/"&amp;"1hb_taSOHanzRjqfzWPiFo8yiT83VV1L7vvUCLhOiHKc/edit?usp=share_link"",""อุดรธานี!J464"")+IMPORTRANGE(""https://docs.google.com/spreadsheets/d/17IOkEwkUd63EGNfyNDnM5de9YlZ7rwzTiW6-dokVjKI/edit?usp=share_link"",""อุบลราชธานี!J464"")
"),1355)</f>
        <v>1355</v>
      </c>
      <c r="K464" s="38">
        <f t="shared" ca="1" si="237"/>
        <v>100</v>
      </c>
      <c r="L464" s="38"/>
      <c r="M464" s="38"/>
      <c r="N464" s="38"/>
      <c r="O464" s="38"/>
      <c r="P464" s="3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</row>
    <row r="465" spans="1:26" ht="19.5">
      <c r="A465" s="585">
        <v>3</v>
      </c>
      <c r="B465" s="586" t="s">
        <v>206</v>
      </c>
      <c r="C465" s="587"/>
      <c r="D465" s="587"/>
      <c r="E465" s="587"/>
      <c r="F465" s="587"/>
      <c r="G465" s="588"/>
      <c r="H465" s="589" t="s">
        <v>35</v>
      </c>
      <c r="I465" s="590">
        <f ca="1">IFERROR(__xludf.DUMMYFUNCTION("IMPORTRANGE(""https://docs.google.com/spreadsheets/d/1fb2B9NLcpJgjIieIJvenUTNPn0TimZDUi0OtYeiSQ_s/edit?usp=share_link"",""กาฬสินธุ์!I465"")+IMPORTRANGE(""https://docs.google.com/spreadsheets/d/1SaMnqrwRGmFYNR0MhpWmHuL5niYUd5E7vDq8X7whAlI/edit?usp=share_li"&amp;"nk"",""ขอนแก่น!I465"")
+IMPORTRANGE(""https://docs.google.com/spreadsheets/d/1xQzEtGHhTTgxHh6YUkKY1P4dRyjVhS74dGswLfAASA4/edit?usp=share_link"",""ชัยภูมิ!I465"")+IMPORTRANGE(""https://docs.google.com/spreadsheets/d/1EXMBoBxU3OFbjT2TRpneM33qFjqDzrKmn9ydcfl"&amp;"fI0o/edit?usp=share_link"",""นครพนม!I465"")+IMPORTRANGE(""https://docs.google.com/spreadsheets/d/1bDQrolntRWtHumK8W-x-HXKntwxB9S3sF5aDeRS66Ko/edit?usp=share_link"",""นครราชสีมา!I465"")+IMPORTRANGE(""https://docs.google.com/spreadsheets/d/1_MzZ-2gVPiCW-d2V"&amp;"cafoCmFJQTSrZ6SQyFcMqRRQQ2w/edit?usp=share_link"",""บึงกาฬ!I465"")
+IMPORTRANGE(""https://docs.google.com/spreadsheets/d/1B3lPpzOuaNwVItLwLEZYl_qEblfcx7dRnbRkAw0l-pE/edit?usp=share_link"",""บุรีรัมย์!I465"")+IMPORTRANGE(""https://docs.google.com/spreadshe"&amp;"ets/d/19GOkiOqnzYbevLYWrMk4qFOXe3rX14BkSA8X-mq-a40/edit?usp=share_link"",""มหาสารคาม!I465"")+IMPORTRANGE(""https://docs.google.com/spreadsheets/d/1uMKqWwuNQ-TCKboGA3Bb1qXb5uj2-faACNUINCz8PN4/edit?usp=share_link"",""มุกดาหาร!I465"")+IMPORTRANGE(""https://d"&amp;"ocs.google.com/spreadsheets/d/1oKaccgDdQABndOzGr688Dbfxb_V3YcF67VqEPBtdzsc/edit?usp=share_link"",""ยโสธร!I465"")+IMPORTRANGE(""https://docs.google.com/spreadsheets/d/1BRgc8xKpxZ0PX-gauieMVkV_IOxKSotf0yW8MabGprQ/edit?usp=share_link"",""ร้อยเอ็ด!I465"")+IMP"&amp;"ORTRANGE(""https://docs.google.com/spreadsheets/d/1IdolZc-dfdgMwAm_KZxYJl1sUOcIgnbGQzbWOlddedo/edit?usp=share_link"",""เลย!I465"")+IMPORTRANGE(""https://docs.google.com/spreadsheets/d/1tZ0nmtGuIRCaGAMXHlQU8EpR9LOAJvyKfc4f7EFmE34/edit?usp=share_link"",""ศร"&amp;"ีสะเกษ!I465"")+IMPORTRANGE(""https://docs.google.com/spreadsheets/d/1QC8psz9w0f9IVE9Xuc2FT_btkaOzZbbUSgYObpBuetM/edit?usp=share_link"",""สกลนคร!I465"")+IMPORTRANGE(""https://docs.google.com/spreadsheets/d/1wPdvRbu02d33MYVlbsCnyTiZpefEBs9NNktAnT1HZvw/edit?"&amp;"usp=share_link"",""สุรินทร์!I465"")+IMPORTRANGE(""https://docs.google.com/spreadsheets/d/1GVExpf-Exi_2gmuqTYH28fseTB9MoKPXWcXCbSt_YrM/edit?usp=share_link"",""หนองคาย!I465"")+IMPORTRANGE(""https://docs.google.com/spreadsheets/d/16UeMz0UgOB5BZcoxP75eYGcLFtG"&amp;"YRn9GoesD4OX9m5U/edit?usp=share_link"",""หนองบัวลำภู!I465"")+IMPORTRANGE(""https://docs.google.com/spreadsheets/d/1uUP8Zo1-qaJLuIkRU0qlwLSE3DHkbdrrj2JGJiWBQZE/edit?usp=share_link"",""อำนาจเจริญ!I465"")+IMPORTRANGE(""https://docs.google.com/spreadsheets/d/"&amp;"1hb_taSOHanzRjqfzWPiFo8yiT83VV1L7vvUCLhOiHKc/edit?usp=share_link"",""อุดรธานี!I465"")+IMPORTRANGE(""https://docs.google.com/spreadsheets/d/17IOkEwkUd63EGNfyNDnM5de9YlZ7rwzTiW6-dokVjKI/edit?usp=share_link"",""อุบลราชธานี!I465"")
"),1920)</f>
        <v>1920</v>
      </c>
      <c r="J465" s="590">
        <f ca="1">J485+J489+J492</f>
        <v>1931</v>
      </c>
      <c r="K465" s="591">
        <f t="shared" ca="1" si="237"/>
        <v>100.57291666666667</v>
      </c>
      <c r="L465" s="592"/>
      <c r="M465" s="592"/>
      <c r="N465" s="592"/>
      <c r="O465" s="592"/>
      <c r="P465" s="592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</row>
    <row r="466" spans="1:26" ht="19.5">
      <c r="A466" s="593"/>
      <c r="B466" s="594"/>
      <c r="C466" s="595"/>
      <c r="D466" s="595"/>
      <c r="E466" s="595"/>
      <c r="F466" s="595"/>
      <c r="G466" s="596"/>
      <c r="H466" s="569" t="s">
        <v>46</v>
      </c>
      <c r="I466" s="570">
        <f ca="1">IFERROR(__xludf.DUMMYFUNCTION("IMPORTRANGE(""https://docs.google.com/spreadsheets/d/1fb2B9NLcpJgjIieIJvenUTNPn0TimZDUi0OtYeiSQ_s/edit?usp=share_link"",""กาฬสินธุ์!I466"")+IMPORTRANGE(""https://docs.google.com/spreadsheets/d/1SaMnqrwRGmFYNR0MhpWmHuL5niYUd5E7vDq8X7whAlI/edit?usp=share_li"&amp;"nk"",""ขอนแก่น!I466"")
+IMPORTRANGE(""https://docs.google.com/spreadsheets/d/1xQzEtGHhTTgxHh6YUkKY1P4dRyjVhS74dGswLfAASA4/edit?usp=share_link"",""ชัยภูมิ!I466"")+IMPORTRANGE(""https://docs.google.com/spreadsheets/d/1EXMBoBxU3OFbjT2TRpneM33qFjqDzrKmn9ydcfl"&amp;"fI0o/edit?usp=share_link"",""นครพนม!I466"")+IMPORTRANGE(""https://docs.google.com/spreadsheets/d/1bDQrolntRWtHumK8W-x-HXKntwxB9S3sF5aDeRS66Ko/edit?usp=share_link"",""นครราชสีมา!I466"")+IMPORTRANGE(""https://docs.google.com/spreadsheets/d/1_MzZ-2gVPiCW-d2V"&amp;"cafoCmFJQTSrZ6SQyFcMqRRQQ2w/edit?usp=share_link"",""บึงกาฬ!I466"")
+IMPORTRANGE(""https://docs.google.com/spreadsheets/d/1B3lPpzOuaNwVItLwLEZYl_qEblfcx7dRnbRkAw0l-pE/edit?usp=share_link"",""บุรีรัมย์!I466"")+IMPORTRANGE(""https://docs.google.com/spreadshe"&amp;"ets/d/19GOkiOqnzYbevLYWrMk4qFOXe3rX14BkSA8X-mq-a40/edit?usp=share_link"",""มหาสารคาม!I466"")+IMPORTRANGE(""https://docs.google.com/spreadsheets/d/1uMKqWwuNQ-TCKboGA3Bb1qXb5uj2-faACNUINCz8PN4/edit?usp=share_link"",""มุกดาหาร!I466"")+IMPORTRANGE(""https://d"&amp;"ocs.google.com/spreadsheets/d/1oKaccgDdQABndOzGr688Dbfxb_V3YcF67VqEPBtdzsc/edit?usp=share_link"",""ยโสธร!I466"")+IMPORTRANGE(""https://docs.google.com/spreadsheets/d/1BRgc8xKpxZ0PX-gauieMVkV_IOxKSotf0yW8MabGprQ/edit?usp=share_link"",""ร้อยเอ็ด!I466"")+IMP"&amp;"ORTRANGE(""https://docs.google.com/spreadsheets/d/1IdolZc-dfdgMwAm_KZxYJl1sUOcIgnbGQzbWOlddedo/edit?usp=share_link"",""เลย!I466"")+IMPORTRANGE(""https://docs.google.com/spreadsheets/d/1tZ0nmtGuIRCaGAMXHlQU8EpR9LOAJvyKfc4f7EFmE34/edit?usp=share_link"",""ศร"&amp;"ีสะเกษ!I466"")+IMPORTRANGE(""https://docs.google.com/spreadsheets/d/1QC8psz9w0f9IVE9Xuc2FT_btkaOzZbbUSgYObpBuetM/edit?usp=share_link"",""สกลนคร!I466"")+IMPORTRANGE(""https://docs.google.com/spreadsheets/d/1wPdvRbu02d33MYVlbsCnyTiZpefEBs9NNktAnT1HZvw/edit?"&amp;"usp=share_link"",""สุรินทร์!I466"")+IMPORTRANGE(""https://docs.google.com/spreadsheets/d/1GVExpf-Exi_2gmuqTYH28fseTB9MoKPXWcXCbSt_YrM/edit?usp=share_link"",""หนองคาย!I466"")+IMPORTRANGE(""https://docs.google.com/spreadsheets/d/16UeMz0UgOB5BZcoxP75eYGcLFtG"&amp;"YRn9GoesD4OX9m5U/edit?usp=share_link"",""หนองบัวลำภู!I466"")+IMPORTRANGE(""https://docs.google.com/spreadsheets/d/1uUP8Zo1-qaJLuIkRU0qlwLSE3DHkbdrrj2JGJiWBQZE/edit?usp=share_link"",""อำนาจเจริญ!I466"")+IMPORTRANGE(""https://docs.google.com/spreadsheets/d/"&amp;"1hb_taSOHanzRjqfzWPiFo8yiT83VV1L7vvUCLhOiHKc/edit?usp=share_link"",""อุดรธานี!I466"")+IMPORTRANGE(""https://docs.google.com/spreadsheets/d/17IOkEwkUd63EGNfyNDnM5de9YlZ7rwzTiW6-dokVjKI/edit?usp=share_link"",""อุบลราชธานี!I466"")
"),19000)</f>
        <v>19000</v>
      </c>
      <c r="J466" s="570">
        <f ca="1">J495+J498</f>
        <v>17703</v>
      </c>
      <c r="K466" s="571">
        <f t="shared" ca="1" si="237"/>
        <v>93.173684210526318</v>
      </c>
      <c r="L466" s="572"/>
      <c r="M466" s="572"/>
      <c r="N466" s="572"/>
      <c r="O466" s="572"/>
      <c r="P466" s="572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</row>
    <row r="467" spans="1:26" ht="19.5">
      <c r="A467" s="597"/>
      <c r="B467" s="576"/>
      <c r="C467" s="576" t="s">
        <v>16</v>
      </c>
      <c r="D467" s="863" t="s">
        <v>17</v>
      </c>
      <c r="E467" s="857"/>
      <c r="F467" s="857"/>
      <c r="G467" s="189"/>
      <c r="H467" s="598" t="s">
        <v>12</v>
      </c>
      <c r="I467" s="37"/>
      <c r="J467" s="37"/>
      <c r="K467" s="38"/>
      <c r="L467" s="195">
        <f t="shared" ref="L467:N467" ca="1" si="238">L468+L469</f>
        <v>16568775</v>
      </c>
      <c r="M467" s="195">
        <f t="shared" ca="1" si="238"/>
        <v>14213905.68</v>
      </c>
      <c r="N467" s="195">
        <f t="shared" ca="1" si="238"/>
        <v>12963896.680000002</v>
      </c>
      <c r="O467" s="195">
        <f t="shared" ref="O467:O472" ca="1" si="239">IF(L467&gt;0,N467*100/L467,0)</f>
        <v>78.242939988019643</v>
      </c>
      <c r="P467" s="195">
        <f t="shared" ref="P467:P472" ca="1" si="240">IF(M467&gt;0,N467*100/M467,0)</f>
        <v>91.205731709906786</v>
      </c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</row>
    <row r="468" spans="1:26" ht="18.75" hidden="1">
      <c r="A468" s="599"/>
      <c r="B468" s="600"/>
      <c r="C468" s="600"/>
      <c r="D468" s="601"/>
      <c r="E468" s="602" t="s">
        <v>185</v>
      </c>
      <c r="F468" s="600"/>
      <c r="G468" s="603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604"/>
      <c r="R468" s="604"/>
      <c r="S468" s="604"/>
      <c r="T468" s="604"/>
      <c r="U468" s="604"/>
      <c r="V468" s="604"/>
      <c r="W468" s="604"/>
      <c r="X468" s="604"/>
      <c r="Y468" s="604"/>
      <c r="Z468" s="604"/>
    </row>
    <row r="469" spans="1:26" ht="18.75" hidden="1">
      <c r="A469" s="599"/>
      <c r="B469" s="605"/>
      <c r="C469" s="600"/>
      <c r="D469" s="601"/>
      <c r="E469" s="602" t="s">
        <v>186</v>
      </c>
      <c r="F469" s="600"/>
      <c r="G469" s="603"/>
      <c r="H469" s="165" t="s">
        <v>12</v>
      </c>
      <c r="I469" s="44"/>
      <c r="J469" s="44"/>
      <c r="K469" s="45"/>
      <c r="L469" s="45">
        <f t="shared" ref="L469:N469" ca="1" si="242">L472+L479</f>
        <v>16568775</v>
      </c>
      <c r="M469" s="45">
        <f t="shared" ca="1" si="242"/>
        <v>14213905.68</v>
      </c>
      <c r="N469" s="45">
        <f t="shared" ca="1" si="242"/>
        <v>12963896.680000002</v>
      </c>
      <c r="O469" s="45">
        <f t="shared" ca="1" si="239"/>
        <v>78.242939988019643</v>
      </c>
      <c r="P469" s="45">
        <f t="shared" ca="1" si="240"/>
        <v>91.205731709906786</v>
      </c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</row>
    <row r="470" spans="1:26" ht="18.75">
      <c r="A470" s="597"/>
      <c r="B470" s="575"/>
      <c r="C470" s="576"/>
      <c r="D470" s="606" t="s">
        <v>20</v>
      </c>
      <c r="E470" s="576"/>
      <c r="F470" s="576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16568775</v>
      </c>
      <c r="M470" s="38">
        <f t="shared" ca="1" si="243"/>
        <v>14213905.68</v>
      </c>
      <c r="N470" s="38">
        <f t="shared" ca="1" si="243"/>
        <v>12963896.680000002</v>
      </c>
      <c r="O470" s="38">
        <f t="shared" ca="1" si="239"/>
        <v>78.242939988019643</v>
      </c>
      <c r="P470" s="38">
        <f t="shared" ca="1" si="240"/>
        <v>91.205731709906786</v>
      </c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</row>
    <row r="471" spans="1:26" ht="18.75" hidden="1">
      <c r="A471" s="599"/>
      <c r="B471" s="605"/>
      <c r="C471" s="600"/>
      <c r="D471" s="601"/>
      <c r="E471" s="602" t="s">
        <v>185</v>
      </c>
      <c r="F471" s="600"/>
      <c r="G471" s="603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604"/>
      <c r="R471" s="604"/>
      <c r="S471" s="604"/>
      <c r="T471" s="604"/>
      <c r="U471" s="604"/>
      <c r="V471" s="604"/>
      <c r="W471" s="604"/>
      <c r="X471" s="604"/>
      <c r="Y471" s="604"/>
      <c r="Z471" s="604"/>
    </row>
    <row r="472" spans="1:26" ht="18.75" hidden="1">
      <c r="A472" s="599"/>
      <c r="B472" s="605"/>
      <c r="C472" s="600"/>
      <c r="D472" s="601"/>
      <c r="E472" s="602" t="s">
        <v>186</v>
      </c>
      <c r="F472" s="600"/>
      <c r="G472" s="603"/>
      <c r="H472" s="165" t="s">
        <v>12</v>
      </c>
      <c r="I472" s="44"/>
      <c r="J472" s="44"/>
      <c r="K472" s="45"/>
      <c r="L472" s="45">
        <f ca="1">IFERROR(__xludf.DUMMYFUNCTION("IMPORTRANGE(""https://docs.google.com/spreadsheets/d/1fb2B9NLcpJgjIieIJvenUTNPn0TimZDUi0OtYeiSQ_s/edit?usp=share_link"",""กาฬสินธุ์!L472"")+IMPORTRANGE(""https://docs.google.com/spreadsheets/d/1SaMnqrwRGmFYNR0MhpWmHuL5niYUd5E7vDq8X7whAlI/edit?usp=share_li"&amp;"nk"",""ขอนแก่น!L472"")
+IMPORTRANGE(""https://docs.google.com/spreadsheets/d/1xQzEtGHhTTgxHh6YUkKY1P4dRyjVhS74dGswLfAASA4/edit?usp=share_link"",""ชัยภูมิ!L472"")+IMPORTRANGE(""https://docs.google.com/spreadsheets/d/1EXMBoBxU3OFbjT2TRpneM33qFjqDzrKmn9ydcfl"&amp;"fI0o/edit?usp=share_link"",""นครพนม!L472"")+IMPORTRANGE(""https://docs.google.com/spreadsheets/d/1bDQrolntRWtHumK8W-x-HXKntwxB9S3sF5aDeRS66Ko/edit?usp=share_link"",""นครราชสีมา!L472"")+IMPORTRANGE(""https://docs.google.com/spreadsheets/d/1_MzZ-2gVPiCW-d2V"&amp;"cafoCmFJQTSrZ6SQyFcMqRRQQ2w/edit?usp=share_link"",""บึงกาฬ!L472"")
+IMPORTRANGE(""https://docs.google.com/spreadsheets/d/1B3lPpzOuaNwVItLwLEZYl_qEblfcx7dRnbRkAw0l-pE/edit?usp=share_link"",""บุรีรัมย์!L472"")+IMPORTRANGE(""https://docs.google.com/spreadshe"&amp;"ets/d/19GOkiOqnzYbevLYWrMk4qFOXe3rX14BkSA8X-mq-a40/edit?usp=share_link"",""มหาสารคาม!L472"")+IMPORTRANGE(""https://docs.google.com/spreadsheets/d/1uMKqWwuNQ-TCKboGA3Bb1qXb5uj2-faACNUINCz8PN4/edit?usp=share_link"",""มุกดาหาร!L472"")+IMPORTRANGE(""https://d"&amp;"ocs.google.com/spreadsheets/d/1oKaccgDdQABndOzGr688Dbfxb_V3YcF67VqEPBtdzsc/edit?usp=share_link"",""ยโสธร!L472"")+IMPORTRANGE(""https://docs.google.com/spreadsheets/d/1BRgc8xKpxZ0PX-gauieMVkV_IOxKSotf0yW8MabGprQ/edit?usp=share_link"",""ร้อยเอ็ด!L472"")+IMP"&amp;"ORTRANGE(""https://docs.google.com/spreadsheets/d/1IdolZc-dfdgMwAm_KZxYJl1sUOcIgnbGQzbWOlddedo/edit?usp=share_link"",""เลย!L472"")+IMPORTRANGE(""https://docs.google.com/spreadsheets/d/1tZ0nmtGuIRCaGAMXHlQU8EpR9LOAJvyKfc4f7EFmE34/edit?usp=share_link"",""ศร"&amp;"ีสะเกษ!L472"")+IMPORTRANGE(""https://docs.google.com/spreadsheets/d/1QC8psz9w0f9IVE9Xuc2FT_btkaOzZbbUSgYObpBuetM/edit?usp=share_link"",""สกลนคร!L472"")+IMPORTRANGE(""https://docs.google.com/spreadsheets/d/1wPdvRbu02d33MYVlbsCnyTiZpefEBs9NNktAnT1HZvw/edit?"&amp;"usp=share_link"",""สุรินทร์!L472"")+IMPORTRANGE(""https://docs.google.com/spreadsheets/d/1GVExpf-Exi_2gmuqTYH28fseTB9MoKPXWcXCbSt_YrM/edit?usp=share_link"",""หนองคาย!L472"")+IMPORTRANGE(""https://docs.google.com/spreadsheets/d/16UeMz0UgOB5BZcoxP75eYGcLFtG"&amp;"YRn9GoesD4OX9m5U/edit?usp=share_link"",""หนองบัวลำภู!L472"")+IMPORTRANGE(""https://docs.google.com/spreadsheets/d/1uUP8Zo1-qaJLuIkRU0qlwLSE3DHkbdrrj2JGJiWBQZE/edit?usp=share_link"",""อำนาจเจริญ!L472"")+IMPORTRANGE(""https://docs.google.com/spreadsheets/d/"&amp;"1hb_taSOHanzRjqfzWPiFo8yiT83VV1L7vvUCLhOiHKc/edit?usp=share_link"",""อุดรธานี!L472"")+IMPORTRANGE(""https://docs.google.com/spreadsheets/d/17IOkEwkUd63EGNfyNDnM5de9YlZ7rwzTiW6-dokVjKI/edit?usp=share_link"",""อุบลราชธานี!L472"")
"),16568775)</f>
        <v>16568775</v>
      </c>
      <c r="M472" s="93">
        <f ca="1">IFERROR(__xludf.DUMMYFUNCTION("IMPORTRANGE(""https://docs.google.com/spreadsheets/d/1fb2B9NLcpJgjIieIJvenUTNPn0TimZDUi0OtYeiSQ_s/edit?usp=share_link"",""กาฬสินธุ์!M472"")+IMPORTRANGE(""https://docs.google.com/spreadsheets/d/1SaMnqrwRGmFYNR0MhpWmHuL5niYUd5E7vDq8X7whAlI/edit?usp=share_li"&amp;"nk"",""ขอนแก่น!M472"")
+IMPORTRANGE(""https://docs.google.com/spreadsheets/d/1xQzEtGHhTTgxHh6YUkKY1P4dRyjVhS74dGswLfAASA4/edit?usp=share_link"",""ชัยภูมิ!M472"")+IMPORTRANGE(""https://docs.google.com/spreadsheets/d/1EXMBoBxU3OFbjT2TRpneM33qFjqDzrKmn9ydcfl"&amp;"fI0o/edit?usp=share_link"",""นครพนม!M472"")+IMPORTRANGE(""https://docs.google.com/spreadsheets/d/1bDQrolntRWtHumK8W-x-HXKntwxB9S3sF5aDeRS66Ko/edit?usp=share_link"",""นครราชสีมา!M472"")+IMPORTRANGE(""https://docs.google.com/spreadsheets/d/1_MzZ-2gVPiCW-d2V"&amp;"cafoCmFJQTSrZ6SQyFcMqRRQQ2w/edit?usp=share_link"",""บึงกาฬ!M472"")
+IMPORTRANGE(""https://docs.google.com/spreadsheets/d/1B3lPpzOuaNwVItLwLEZYl_qEblfcx7dRnbRkAw0l-pE/edit?usp=share_link"",""บุรีรัมย์!M472"")+IMPORTRANGE(""https://docs.google.com/spreadshe"&amp;"ets/d/19GOkiOqnzYbevLYWrMk4qFOXe3rX14BkSA8X-mq-a40/edit?usp=share_link"",""มหาสารคาม!M472"")+IMPORTRANGE(""https://docs.google.com/spreadsheets/d/1uMKqWwuNQ-TCKboGA3Bb1qXb5uj2-faACNUINCz8PN4/edit?usp=share_link"",""มุกดาหาร!M472"")+IMPORTRANGE(""https://d"&amp;"ocs.google.com/spreadsheets/d/1oKaccgDdQABndOzGr688Dbfxb_V3YcF67VqEPBtdzsc/edit?usp=share_link"",""ยโสธร!M472"")+IMPORTRANGE(""https://docs.google.com/spreadsheets/d/1BRgc8xKpxZ0PX-gauieMVkV_IOxKSotf0yW8MabGprQ/edit?usp=share_link"",""ร้อยเอ็ด!M472"")+IMP"&amp;"ORTRANGE(""https://docs.google.com/spreadsheets/d/1IdolZc-dfdgMwAm_KZxYJl1sUOcIgnbGQzbWOlddedo/edit?usp=share_link"",""เลย!M472"")+IMPORTRANGE(""https://docs.google.com/spreadsheets/d/1tZ0nmtGuIRCaGAMXHlQU8EpR9LOAJvyKfc4f7EFmE34/edit?usp=share_link"",""ศร"&amp;"ีสะเกษ!M472"")+IMPORTRANGE(""https://docs.google.com/spreadsheets/d/1QC8psz9w0f9IVE9Xuc2FT_btkaOzZbbUSgYObpBuetM/edit?usp=share_link"",""สกลนคร!M472"")+IMPORTRANGE(""https://docs.google.com/spreadsheets/d/1wPdvRbu02d33MYVlbsCnyTiZpefEBs9NNktAnT1HZvw/edit?"&amp;"usp=share_link"",""สุรินทร์!M472"")+IMPORTRANGE(""https://docs.google.com/spreadsheets/d/1GVExpf-Exi_2gmuqTYH28fseTB9MoKPXWcXCbSt_YrM/edit?usp=share_link"",""หนองคาย!M472"")+IMPORTRANGE(""https://docs.google.com/spreadsheets/d/16UeMz0UgOB5BZcoxP75eYGcLFtG"&amp;"YRn9GoesD4OX9m5U/edit?usp=share_link"",""หนองบัวลำภู!M472"")+IMPORTRANGE(""https://docs.google.com/spreadsheets/d/1uUP8Zo1-qaJLuIkRU0qlwLSE3DHkbdrrj2JGJiWBQZE/edit?usp=share_link"",""อำนาจเจริญ!M472"")+IMPORTRANGE(""https://docs.google.com/spreadsheets/d/"&amp;"1hb_taSOHanzRjqfzWPiFo8yiT83VV1L7vvUCLhOiHKc/edit?usp=share_link"",""อุดรธานี!M472"")+IMPORTRANGE(""https://docs.google.com/spreadsheets/d/17IOkEwkUd63EGNfyNDnM5de9YlZ7rwzTiW6-dokVjKI/edit?usp=share_link"",""อุบลราชธานี!M472"")
"),14213905.68)</f>
        <v>14213905.68</v>
      </c>
      <c r="N472" s="45">
        <f ca="1">N473+N474+N475+N476</f>
        <v>12963896.680000002</v>
      </c>
      <c r="O472" s="45">
        <f t="shared" ca="1" si="239"/>
        <v>78.242939988019643</v>
      </c>
      <c r="P472" s="45">
        <f t="shared" ca="1" si="240"/>
        <v>91.205731709906786</v>
      </c>
      <c r="Q472" s="604"/>
      <c r="R472" s="604"/>
      <c r="S472" s="604"/>
      <c r="T472" s="604"/>
      <c r="U472" s="604"/>
      <c r="V472" s="604"/>
      <c r="W472" s="604"/>
      <c r="X472" s="604"/>
      <c r="Y472" s="604"/>
      <c r="Z472" s="604"/>
    </row>
    <row r="473" spans="1:26" ht="18.75">
      <c r="A473" s="574"/>
      <c r="B473" s="575"/>
      <c r="C473" s="576"/>
      <c r="D473" s="576"/>
      <c r="E473" s="576"/>
      <c r="F473" s="577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fb2B9NLcpJgjIieIJvenUTNPn0TimZDUi0OtYeiSQ_s/edit?usp=share_link"",""กาฬสินธุ์!N473"")+IMPORTRANGE(""https://docs.google.com/spreadsheets/d/1SaMnqrwRGmFYNR0MhpWmHuL5niYUd5E7vDq8X7whAlI/edit?usp=share_li"&amp;"nk"",""ขอนแก่น!N473"")
+IMPORTRANGE(""https://docs.google.com/spreadsheets/d/1xQzEtGHhTTgxHh6YUkKY1P4dRyjVhS74dGswLfAASA4/edit?usp=share_link"",""ชัยภูมิ!N473"")+IMPORTRANGE(""https://docs.google.com/spreadsheets/d/1EXMBoBxU3OFbjT2TRpneM33qFjqDzrKmn9ydcfl"&amp;"fI0o/edit?usp=share_link"",""นครพนม!N473"")+IMPORTRANGE(""https://docs.google.com/spreadsheets/d/1bDQrolntRWtHumK8W-x-HXKntwxB9S3sF5aDeRS66Ko/edit?usp=share_link"",""นครราชสีมา!N473"")+IMPORTRANGE(""https://docs.google.com/spreadsheets/d/1_MzZ-2gVPiCW-d2V"&amp;"cafoCmFJQTSrZ6SQyFcMqRRQQ2w/edit?usp=share_link"",""บึงกาฬ!N473"")
+IMPORTRANGE(""https://docs.google.com/spreadsheets/d/1B3lPpzOuaNwVItLwLEZYl_qEblfcx7dRnbRkAw0l-pE/edit?usp=share_link"",""บุรีรัมย์!N473"")+IMPORTRANGE(""https://docs.google.com/spreadshe"&amp;"ets/d/19GOkiOqnzYbevLYWrMk4qFOXe3rX14BkSA8X-mq-a40/edit?usp=share_link"",""มหาสารคาม!N473"")+IMPORTRANGE(""https://docs.google.com/spreadsheets/d/1uMKqWwuNQ-TCKboGA3Bb1qXb5uj2-faACNUINCz8PN4/edit?usp=share_link"",""มุกดาหาร!N473"")+IMPORTRANGE(""https://d"&amp;"ocs.google.com/spreadsheets/d/1oKaccgDdQABndOzGr688Dbfxb_V3YcF67VqEPBtdzsc/edit?usp=share_link"",""ยโสธร!N473"")+IMPORTRANGE(""https://docs.google.com/spreadsheets/d/1BRgc8xKpxZ0PX-gauieMVkV_IOxKSotf0yW8MabGprQ/edit?usp=share_link"",""ร้อยเอ็ด!N473"")+IMP"&amp;"ORTRANGE(""https://docs.google.com/spreadsheets/d/1IdolZc-dfdgMwAm_KZxYJl1sUOcIgnbGQzbWOlddedo/edit?usp=share_link"",""เลย!N473"")+IMPORTRANGE(""https://docs.google.com/spreadsheets/d/1tZ0nmtGuIRCaGAMXHlQU8EpR9LOAJvyKfc4f7EFmE34/edit?usp=share_link"",""ศร"&amp;"ีสะเกษ!N473"")+IMPORTRANGE(""https://docs.google.com/spreadsheets/d/1QC8psz9w0f9IVE9Xuc2FT_btkaOzZbbUSgYObpBuetM/edit?usp=share_link"",""สกลนคร!N473"")+IMPORTRANGE(""https://docs.google.com/spreadsheets/d/1wPdvRbu02d33MYVlbsCnyTiZpefEBs9NNktAnT1HZvw/edit?"&amp;"usp=share_link"",""สุรินทร์!N473"")+IMPORTRANGE(""https://docs.google.com/spreadsheets/d/1GVExpf-Exi_2gmuqTYH28fseTB9MoKPXWcXCbSt_YrM/edit?usp=share_link"",""หนองคาย!N473"")+IMPORTRANGE(""https://docs.google.com/spreadsheets/d/16UeMz0UgOB5BZcoxP75eYGcLFtG"&amp;"YRn9GoesD4OX9m5U/edit?usp=share_link"",""หนองบัวลำภู!N473"")+IMPORTRANGE(""https://docs.google.com/spreadsheets/d/1uUP8Zo1-qaJLuIkRU0qlwLSE3DHkbdrrj2JGJiWBQZE/edit?usp=share_link"",""อำนาจเจริญ!N473"")+IMPORTRANGE(""https://docs.google.com/spreadsheets/d/"&amp;"1hb_taSOHanzRjqfzWPiFo8yiT83VV1L7vvUCLhOiHKc/edit?usp=share_link"",""อุดรธานี!N473"")+IMPORTRANGE(""https://docs.google.com/spreadsheets/d/17IOkEwkUd63EGNfyNDnM5de9YlZ7rwzTiW6-dokVjKI/edit?usp=share_link"",""อุบลราชธานี!N473"")
"),2299918.3)</f>
        <v>2299918.2999999998</v>
      </c>
      <c r="O473" s="38"/>
      <c r="P473" s="3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</row>
    <row r="474" spans="1:26" ht="18.75">
      <c r="A474" s="574"/>
      <c r="B474" s="575"/>
      <c r="C474" s="576"/>
      <c r="D474" s="576"/>
      <c r="E474" s="576"/>
      <c r="F474" s="577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fb2B9NLcpJgjIieIJvenUTNPn0TimZDUi0OtYeiSQ_s/edit?usp=share_link"",""กาฬสินธุ์!N474"")+IMPORTRANGE(""https://docs.google.com/spreadsheets/d/1SaMnqrwRGmFYNR0MhpWmHuL5niYUd5E7vDq8X7whAlI/edit?usp=share_li"&amp;"nk"",""ขอนแก่น!N474"")
+IMPORTRANGE(""https://docs.google.com/spreadsheets/d/1xQzEtGHhTTgxHh6YUkKY1P4dRyjVhS74dGswLfAASA4/edit?usp=share_link"",""ชัยภูมิ!N474"")+IMPORTRANGE(""https://docs.google.com/spreadsheets/d/1EXMBoBxU3OFbjT2TRpneM33qFjqDzrKmn9ydcfl"&amp;"fI0o/edit?usp=share_link"",""นครพนม!N474"")+IMPORTRANGE(""https://docs.google.com/spreadsheets/d/1bDQrolntRWtHumK8W-x-HXKntwxB9S3sF5aDeRS66Ko/edit?usp=share_link"",""นครราชสีมา!N474"")+IMPORTRANGE(""https://docs.google.com/spreadsheets/d/1_MzZ-2gVPiCW-d2V"&amp;"cafoCmFJQTSrZ6SQyFcMqRRQQ2w/edit?usp=share_link"",""บึงกาฬ!N474"")
+IMPORTRANGE(""https://docs.google.com/spreadsheets/d/1B3lPpzOuaNwVItLwLEZYl_qEblfcx7dRnbRkAw0l-pE/edit?usp=share_link"",""บุรีรัมย์!N474"")+IMPORTRANGE(""https://docs.google.com/spreadshe"&amp;"ets/d/19GOkiOqnzYbevLYWrMk4qFOXe3rX14BkSA8X-mq-a40/edit?usp=share_link"",""มหาสารคาม!N474"")+IMPORTRANGE(""https://docs.google.com/spreadsheets/d/1uMKqWwuNQ-TCKboGA3Bb1qXb5uj2-faACNUINCz8PN4/edit?usp=share_link"",""มุกดาหาร!N474"")+IMPORTRANGE(""https://d"&amp;"ocs.google.com/spreadsheets/d/1oKaccgDdQABndOzGr688Dbfxb_V3YcF67VqEPBtdzsc/edit?usp=share_link"",""ยโสธร!N474"")+IMPORTRANGE(""https://docs.google.com/spreadsheets/d/1BRgc8xKpxZ0PX-gauieMVkV_IOxKSotf0yW8MabGprQ/edit?usp=share_link"",""ร้อยเอ็ด!N474"")+IMP"&amp;"ORTRANGE(""https://docs.google.com/spreadsheets/d/1IdolZc-dfdgMwAm_KZxYJl1sUOcIgnbGQzbWOlddedo/edit?usp=share_link"",""เลย!N474"")+IMPORTRANGE(""https://docs.google.com/spreadsheets/d/1tZ0nmtGuIRCaGAMXHlQU8EpR9LOAJvyKfc4f7EFmE34/edit?usp=share_link"",""ศร"&amp;"ีสะเกษ!N474"")+IMPORTRANGE(""https://docs.google.com/spreadsheets/d/1QC8psz9w0f9IVE9Xuc2FT_btkaOzZbbUSgYObpBuetM/edit?usp=share_link"",""สกลนคร!N474"")+IMPORTRANGE(""https://docs.google.com/spreadsheets/d/1wPdvRbu02d33MYVlbsCnyTiZpefEBs9NNktAnT1HZvw/edit?"&amp;"usp=share_link"",""สุรินทร์!N474"")+IMPORTRANGE(""https://docs.google.com/spreadsheets/d/1GVExpf-Exi_2gmuqTYH28fseTB9MoKPXWcXCbSt_YrM/edit?usp=share_link"",""หนองคาย!N474"")+IMPORTRANGE(""https://docs.google.com/spreadsheets/d/16UeMz0UgOB5BZcoxP75eYGcLFtG"&amp;"YRn9GoesD4OX9m5U/edit?usp=share_link"",""หนองบัวลำภู!N474"")+IMPORTRANGE(""https://docs.google.com/spreadsheets/d/1uUP8Zo1-qaJLuIkRU0qlwLSE3DHkbdrrj2JGJiWBQZE/edit?usp=share_link"",""อำนาจเจริญ!N474"")+IMPORTRANGE(""https://docs.google.com/spreadsheets/d/"&amp;"1hb_taSOHanzRjqfzWPiFo8yiT83VV1L7vvUCLhOiHKc/edit?usp=share_link"",""อุดรธานี!N474"")+IMPORTRANGE(""https://docs.google.com/spreadsheets/d/17IOkEwkUd63EGNfyNDnM5de9YlZ7rwzTiW6-dokVjKI/edit?usp=share_link"",""อุบลราชธานี!N474"")
"),8013752.5)</f>
        <v>8013752.5</v>
      </c>
      <c r="O474" s="38"/>
      <c r="P474" s="3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</row>
    <row r="475" spans="1:26" ht="18.75">
      <c r="A475" s="574"/>
      <c r="B475" s="575"/>
      <c r="C475" s="575"/>
      <c r="D475" s="575"/>
      <c r="E475" s="575"/>
      <c r="F475" s="577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fb2B9NLcpJgjIieIJvenUTNPn0TimZDUi0OtYeiSQ_s/edit?usp=share_link"",""กาฬสินธุ์!N475"")+IMPORTRANGE(""https://docs.google.com/spreadsheets/d/1SaMnqrwRGmFYNR0MhpWmHuL5niYUd5E7vDq8X7whAlI/edit?usp=share_li"&amp;"nk"",""ขอนแก่น!N475"")
+IMPORTRANGE(""https://docs.google.com/spreadsheets/d/1xQzEtGHhTTgxHh6YUkKY1P4dRyjVhS74dGswLfAASA4/edit?usp=share_link"",""ชัยภูมิ!N475"")+IMPORTRANGE(""https://docs.google.com/spreadsheets/d/1EXMBoBxU3OFbjT2TRpneM33qFjqDzrKmn9ydcfl"&amp;"fI0o/edit?usp=share_link"",""นครพนม!N475"")+IMPORTRANGE(""https://docs.google.com/spreadsheets/d/1bDQrolntRWtHumK8W-x-HXKntwxB9S3sF5aDeRS66Ko/edit?usp=share_link"",""นครราชสีมา!N475"")+IMPORTRANGE(""https://docs.google.com/spreadsheets/d/1_MzZ-2gVPiCW-d2V"&amp;"cafoCmFJQTSrZ6SQyFcMqRRQQ2w/edit?usp=share_link"",""บึงกาฬ!N475"")
+IMPORTRANGE(""https://docs.google.com/spreadsheets/d/1B3lPpzOuaNwVItLwLEZYl_qEblfcx7dRnbRkAw0l-pE/edit?usp=share_link"",""บุรีรัมย์!N475"")+IMPORTRANGE(""https://docs.google.com/spreadshe"&amp;"ets/d/19GOkiOqnzYbevLYWrMk4qFOXe3rX14BkSA8X-mq-a40/edit?usp=share_link"",""มหาสารคาม!N475"")+IMPORTRANGE(""https://docs.google.com/spreadsheets/d/1uMKqWwuNQ-TCKboGA3Bb1qXb5uj2-faACNUINCz8PN4/edit?usp=share_link"",""มุกดาหาร!N475"")+IMPORTRANGE(""https://d"&amp;"ocs.google.com/spreadsheets/d/1oKaccgDdQABndOzGr688Dbfxb_V3YcF67VqEPBtdzsc/edit?usp=share_link"",""ยโสธร!N475"")+IMPORTRANGE(""https://docs.google.com/spreadsheets/d/1BRgc8xKpxZ0PX-gauieMVkV_IOxKSotf0yW8MabGprQ/edit?usp=share_link"",""ร้อยเอ็ด!N475"")+IMP"&amp;"ORTRANGE(""https://docs.google.com/spreadsheets/d/1IdolZc-dfdgMwAm_KZxYJl1sUOcIgnbGQzbWOlddedo/edit?usp=share_link"",""เลย!N475"")+IMPORTRANGE(""https://docs.google.com/spreadsheets/d/1tZ0nmtGuIRCaGAMXHlQU8EpR9LOAJvyKfc4f7EFmE34/edit?usp=share_link"",""ศร"&amp;"ีสะเกษ!N475"")+IMPORTRANGE(""https://docs.google.com/spreadsheets/d/1QC8psz9w0f9IVE9Xuc2FT_btkaOzZbbUSgYObpBuetM/edit?usp=share_link"",""สกลนคร!N475"")+IMPORTRANGE(""https://docs.google.com/spreadsheets/d/1wPdvRbu02d33MYVlbsCnyTiZpefEBs9NNktAnT1HZvw/edit?"&amp;"usp=share_link"",""สุรินทร์!N475"")+IMPORTRANGE(""https://docs.google.com/spreadsheets/d/1GVExpf-Exi_2gmuqTYH28fseTB9MoKPXWcXCbSt_YrM/edit?usp=share_link"",""หนองคาย!N475"")+IMPORTRANGE(""https://docs.google.com/spreadsheets/d/16UeMz0UgOB5BZcoxP75eYGcLFtG"&amp;"YRn9GoesD4OX9m5U/edit?usp=share_link"",""หนองบัวลำภู!N475"")+IMPORTRANGE(""https://docs.google.com/spreadsheets/d/1uUP8Zo1-qaJLuIkRU0qlwLSE3DHkbdrrj2JGJiWBQZE/edit?usp=share_link"",""อำนาจเจริญ!N475"")+IMPORTRANGE(""https://docs.google.com/spreadsheets/d/"&amp;"1hb_taSOHanzRjqfzWPiFo8yiT83VV1L7vvUCLhOiHKc/edit?usp=share_link"",""อุดรธานี!N475"")+IMPORTRANGE(""https://docs.google.com/spreadsheets/d/17IOkEwkUd63EGNfyNDnM5de9YlZ7rwzTiW6-dokVjKI/edit?usp=share_link"",""อุบลราชธานี!N475"")
"),1536690.32)</f>
        <v>1536690.32</v>
      </c>
      <c r="O475" s="38"/>
      <c r="P475" s="3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</row>
    <row r="476" spans="1:26" ht="18.75">
      <c r="A476" s="574"/>
      <c r="B476" s="575"/>
      <c r="C476" s="575"/>
      <c r="D476" s="575"/>
      <c r="E476" s="575"/>
      <c r="F476" s="577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fb2B9NLcpJgjIieIJvenUTNPn0TimZDUi0OtYeiSQ_s/edit?usp=share_link"",""กาฬสินธุ์!N476"")+IMPORTRANGE(""https://docs.google.com/spreadsheets/d/1SaMnqrwRGmFYNR0MhpWmHuL5niYUd5E7vDq8X7whAlI/edit?usp=share_li"&amp;"nk"",""ขอนแก่น!N476"")
+IMPORTRANGE(""https://docs.google.com/spreadsheets/d/1xQzEtGHhTTgxHh6YUkKY1P4dRyjVhS74dGswLfAASA4/edit?usp=share_link"",""ชัยภูมิ!N476"")+IMPORTRANGE(""https://docs.google.com/spreadsheets/d/1EXMBoBxU3OFbjT2TRpneM33qFjqDzrKmn9ydcfl"&amp;"fI0o/edit?usp=share_link"",""นครพนม!N476"")+IMPORTRANGE(""https://docs.google.com/spreadsheets/d/1bDQrolntRWtHumK8W-x-HXKntwxB9S3sF5aDeRS66Ko/edit?usp=share_link"",""นครราชสีมา!N476"")+IMPORTRANGE(""https://docs.google.com/spreadsheets/d/1_MzZ-2gVPiCW-d2V"&amp;"cafoCmFJQTSrZ6SQyFcMqRRQQ2w/edit?usp=share_link"",""บึงกาฬ!N476"")
+IMPORTRANGE(""https://docs.google.com/spreadsheets/d/1B3lPpzOuaNwVItLwLEZYl_qEblfcx7dRnbRkAw0l-pE/edit?usp=share_link"",""บุรีรัมย์!N476"")+IMPORTRANGE(""https://docs.google.com/spreadshe"&amp;"ets/d/19GOkiOqnzYbevLYWrMk4qFOXe3rX14BkSA8X-mq-a40/edit?usp=share_link"",""มหาสารคาม!N476"")+IMPORTRANGE(""https://docs.google.com/spreadsheets/d/1uMKqWwuNQ-TCKboGA3Bb1qXb5uj2-faACNUINCz8PN4/edit?usp=share_link"",""มุกดาหาร!N476"")+IMPORTRANGE(""https://d"&amp;"ocs.google.com/spreadsheets/d/1oKaccgDdQABndOzGr688Dbfxb_V3YcF67VqEPBtdzsc/edit?usp=share_link"",""ยโสธร!N476"")+IMPORTRANGE(""https://docs.google.com/spreadsheets/d/1BRgc8xKpxZ0PX-gauieMVkV_IOxKSotf0yW8MabGprQ/edit?usp=share_link"",""ร้อยเอ็ด!N476"")+IMP"&amp;"ORTRANGE(""https://docs.google.com/spreadsheets/d/1IdolZc-dfdgMwAm_KZxYJl1sUOcIgnbGQzbWOlddedo/edit?usp=share_link"",""เลย!N476"")+IMPORTRANGE(""https://docs.google.com/spreadsheets/d/1tZ0nmtGuIRCaGAMXHlQU8EpR9LOAJvyKfc4f7EFmE34/edit?usp=share_link"",""ศร"&amp;"ีสะเกษ!N476"")+IMPORTRANGE(""https://docs.google.com/spreadsheets/d/1QC8psz9w0f9IVE9Xuc2FT_btkaOzZbbUSgYObpBuetM/edit?usp=share_link"",""สกลนคร!N476"")+IMPORTRANGE(""https://docs.google.com/spreadsheets/d/1wPdvRbu02d33MYVlbsCnyTiZpefEBs9NNktAnT1HZvw/edit?"&amp;"usp=share_link"",""สุรินทร์!N476"")+IMPORTRANGE(""https://docs.google.com/spreadsheets/d/1GVExpf-Exi_2gmuqTYH28fseTB9MoKPXWcXCbSt_YrM/edit?usp=share_link"",""หนองคาย!N476"")+IMPORTRANGE(""https://docs.google.com/spreadsheets/d/16UeMz0UgOB5BZcoxP75eYGcLFtG"&amp;"YRn9GoesD4OX9m5U/edit?usp=share_link"",""หนองบัวลำภู!N476"")+IMPORTRANGE(""https://docs.google.com/spreadsheets/d/1uUP8Zo1-qaJLuIkRU0qlwLSE3DHkbdrrj2JGJiWBQZE/edit?usp=share_link"",""อำนาจเจริญ!N476"")+IMPORTRANGE(""https://docs.google.com/spreadsheets/d/"&amp;"1hb_taSOHanzRjqfzWPiFo8yiT83VV1L7vvUCLhOiHKc/edit?usp=share_link"",""อุดรธานี!N476"")+IMPORTRANGE(""https://docs.google.com/spreadsheets/d/17IOkEwkUd63EGNfyNDnM5de9YlZ7rwzTiW6-dokVjKI/edit?usp=share_link"",""อุบลราชธานี!N476"")
"),1113535.56)</f>
        <v>1113535.56</v>
      </c>
      <c r="O476" s="38"/>
      <c r="P476" s="3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</row>
    <row r="477" spans="1:26" ht="18.75">
      <c r="A477" s="597"/>
      <c r="B477" s="575"/>
      <c r="C477" s="575"/>
      <c r="D477" s="606" t="s">
        <v>21</v>
      </c>
      <c r="E477" s="575"/>
      <c r="F477" s="575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</row>
    <row r="478" spans="1:26" ht="18.75" hidden="1">
      <c r="A478" s="599"/>
      <c r="B478" s="605"/>
      <c r="C478" s="605"/>
      <c r="D478" s="605"/>
      <c r="E478" s="607" t="s">
        <v>18</v>
      </c>
      <c r="F478" s="605"/>
      <c r="G478" s="603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604"/>
      <c r="R478" s="604"/>
      <c r="S478" s="604"/>
      <c r="T478" s="604"/>
      <c r="U478" s="604"/>
      <c r="V478" s="604"/>
      <c r="W478" s="604"/>
      <c r="X478" s="604"/>
      <c r="Y478" s="604"/>
      <c r="Z478" s="604"/>
    </row>
    <row r="479" spans="1:26" ht="18.75" hidden="1">
      <c r="A479" s="599"/>
      <c r="B479" s="605"/>
      <c r="C479" s="605"/>
      <c r="D479" s="605"/>
      <c r="E479" s="607" t="s">
        <v>19</v>
      </c>
      <c r="F479" s="605"/>
      <c r="G479" s="603"/>
      <c r="H479" s="169" t="s">
        <v>12</v>
      </c>
      <c r="I479" s="166"/>
      <c r="J479" s="166"/>
      <c r="K479" s="167"/>
      <c r="L479" s="45">
        <f ca="1">IFERROR(__xludf.DUMMYFUNCTION("IMPORTRANGE(""https://docs.google.com/spreadsheets/d/1fb2B9NLcpJgjIieIJvenUTNPn0TimZDUi0OtYeiSQ_s/edit?usp=share_link"",""กาฬสินธุ์!L479"")+IMPORTRANGE(""https://docs.google.com/spreadsheets/d/1SaMnqrwRGmFYNR0MhpWmHuL5niYUd5E7vDq8X7whAlI/edit?usp=share_li"&amp;"nk"",""ขอนแก่น!L479"")
+IMPORTRANGE(""https://docs.google.com/spreadsheets/d/1xQzEtGHhTTgxHh6YUkKY1P4dRyjVhS74dGswLfAASA4/edit?usp=share_link"",""ชัยภูมิ!L479"")+IMPORTRANGE(""https://docs.google.com/spreadsheets/d/1EXMBoBxU3OFbjT2TRpneM33qFjqDzrKmn9ydcfl"&amp;"fI0o/edit?usp=share_link"",""นครพนม!L479"")+IMPORTRANGE(""https://docs.google.com/spreadsheets/d/1bDQrolntRWtHumK8W-x-HXKntwxB9S3sF5aDeRS66Ko/edit?usp=share_link"",""นครราชสีมา!L479"")+IMPORTRANGE(""https://docs.google.com/spreadsheets/d/1_MzZ-2gVPiCW-d2V"&amp;"cafoCmFJQTSrZ6SQyFcMqRRQQ2w/edit?usp=share_link"",""บึงกาฬ!L479"")
+IMPORTRANGE(""https://docs.google.com/spreadsheets/d/1B3lPpzOuaNwVItLwLEZYl_qEblfcx7dRnbRkAw0l-pE/edit?usp=share_link"",""บุรีรัมย์!L479"")+IMPORTRANGE(""https://docs.google.com/spreadshe"&amp;"ets/d/19GOkiOqnzYbevLYWrMk4qFOXe3rX14BkSA8X-mq-a40/edit?usp=share_link"",""มหาสารคาม!L479"")+IMPORTRANGE(""https://docs.google.com/spreadsheets/d/1uMKqWwuNQ-TCKboGA3Bb1qXb5uj2-faACNUINCz8PN4/edit?usp=share_link"",""มุกดาหาร!L479"")+IMPORTRANGE(""https://d"&amp;"ocs.google.com/spreadsheets/d/1oKaccgDdQABndOzGr688Dbfxb_V3YcF67VqEPBtdzsc/edit?usp=share_link"",""ยโสธร!L479"")+IMPORTRANGE(""https://docs.google.com/spreadsheets/d/1BRgc8xKpxZ0PX-gauieMVkV_IOxKSotf0yW8MabGprQ/edit?usp=share_link"",""ร้อยเอ็ด!L479"")+IMP"&amp;"ORTRANGE(""https://docs.google.com/spreadsheets/d/1IdolZc-dfdgMwAm_KZxYJl1sUOcIgnbGQzbWOlddedo/edit?usp=share_link"",""เลย!L479"")+IMPORTRANGE(""https://docs.google.com/spreadsheets/d/1tZ0nmtGuIRCaGAMXHlQU8EpR9LOAJvyKfc4f7EFmE34/edit?usp=share_link"",""ศร"&amp;"ีสะเกษ!L479"")+IMPORTRANGE(""https://docs.google.com/spreadsheets/d/1QC8psz9w0f9IVE9Xuc2FT_btkaOzZbbUSgYObpBuetM/edit?usp=share_link"",""สกลนคร!L479"")+IMPORTRANGE(""https://docs.google.com/spreadsheets/d/1wPdvRbu02d33MYVlbsCnyTiZpefEBs9NNktAnT1HZvw/edit?"&amp;"usp=share_link"",""สุรินทร์!L479"")+IMPORTRANGE(""https://docs.google.com/spreadsheets/d/1GVExpf-Exi_2gmuqTYH28fseTB9MoKPXWcXCbSt_YrM/edit?usp=share_link"",""หนองคาย!L479"")+IMPORTRANGE(""https://docs.google.com/spreadsheets/d/16UeMz0UgOB5BZcoxP75eYGcLFtG"&amp;"YRn9GoesD4OX9m5U/edit?usp=share_link"",""หนองบัวลำภู!L479"")+IMPORTRANGE(""https://docs.google.com/spreadsheets/d/1uUP8Zo1-qaJLuIkRU0qlwLSE3DHkbdrrj2JGJiWBQZE/edit?usp=share_link"",""อำนาจเจริญ!L479"")+IMPORTRANGE(""https://docs.google.com/spreadsheets/d/"&amp;"1hb_taSOHanzRjqfzWPiFo8yiT83VV1L7vvUCLhOiHKc/edit?usp=share_link"",""อุดรธานี!L479"")+IMPORTRANGE(""https://docs.google.com/spreadsheets/d/17IOkEwkUd63EGNfyNDnM5de9YlZ7rwzTiW6-dokVjKI/edit?usp=share_link"",""อุบลราชธานี!L479"")
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604"/>
      <c r="R479" s="604"/>
      <c r="S479" s="604"/>
      <c r="T479" s="604"/>
      <c r="U479" s="604"/>
      <c r="V479" s="604"/>
      <c r="W479" s="604"/>
      <c r="X479" s="604"/>
      <c r="Y479" s="604"/>
      <c r="Z479" s="604"/>
    </row>
    <row r="480" spans="1:26" ht="19.5">
      <c r="A480" s="608"/>
      <c r="B480" s="609"/>
      <c r="C480" s="575" t="s">
        <v>16</v>
      </c>
      <c r="D480" s="621" t="s">
        <v>38</v>
      </c>
      <c r="E480" s="611"/>
      <c r="F480" s="612"/>
      <c r="G480" s="613"/>
      <c r="H480" s="175"/>
      <c r="I480" s="37"/>
      <c r="J480" s="37"/>
      <c r="K480" s="38"/>
      <c r="L480" s="38"/>
      <c r="M480" s="38"/>
      <c r="N480" s="38"/>
      <c r="O480" s="38"/>
      <c r="P480" s="3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</row>
    <row r="481" spans="1:26" ht="19.5">
      <c r="A481" s="608"/>
      <c r="B481" s="609"/>
      <c r="C481" s="609"/>
      <c r="D481" s="622" t="s">
        <v>207</v>
      </c>
      <c r="E481" s="609"/>
      <c r="F481" s="609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</row>
    <row r="482" spans="1:26" ht="18.75">
      <c r="A482" s="608"/>
      <c r="B482" s="609"/>
      <c r="C482" s="609"/>
      <c r="D482" s="609"/>
      <c r="E482" s="618" t="s">
        <v>208</v>
      </c>
      <c r="F482" s="609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</row>
    <row r="483" spans="1:26" ht="18.75">
      <c r="A483" s="608"/>
      <c r="B483" s="609"/>
      <c r="C483" s="609"/>
      <c r="D483" s="609"/>
      <c r="E483" s="609"/>
      <c r="F483" s="618" t="s">
        <v>209</v>
      </c>
      <c r="G483" s="175"/>
      <c r="H483" s="36" t="s">
        <v>46</v>
      </c>
      <c r="I483" s="37">
        <f ca="1">IFERROR(__xludf.DUMMYFUNCTION("IMPORTRANGE(""https://docs.google.com/spreadsheets/d/1fb2B9NLcpJgjIieIJvenUTNPn0TimZDUi0OtYeiSQ_s/edit?usp=share_link"",""กาฬสินธุ์!I483"")+IMPORTRANGE(""https://docs.google.com/spreadsheets/d/1SaMnqrwRGmFYNR0MhpWmHuL5niYUd5E7vDq8X7whAlI/edit?usp=share_li"&amp;"nk"",""ขอนแก่น!I483"")
+IMPORTRANGE(""https://docs.google.com/spreadsheets/d/1xQzEtGHhTTgxHh6YUkKY1P4dRyjVhS74dGswLfAASA4/edit?usp=share_link"",""ชัยภูมิ!I483"")+IMPORTRANGE(""https://docs.google.com/spreadsheets/d/1EXMBoBxU3OFbjT2TRpneM33qFjqDzrKmn9ydcfl"&amp;"fI0o/edit?usp=share_link"",""นครพนม!I483"")+IMPORTRANGE(""https://docs.google.com/spreadsheets/d/1bDQrolntRWtHumK8W-x-HXKntwxB9S3sF5aDeRS66Ko/edit?usp=share_link"",""นครราชสีมา!I483"")+IMPORTRANGE(""https://docs.google.com/spreadsheets/d/1_MzZ-2gVPiCW-d2V"&amp;"cafoCmFJQTSrZ6SQyFcMqRRQQ2w/edit?usp=share_link"",""บึงกาฬ!I483"")
+IMPORTRANGE(""https://docs.google.com/spreadsheets/d/1B3lPpzOuaNwVItLwLEZYl_qEblfcx7dRnbRkAw0l-pE/edit?usp=share_link"",""บุรีรัมย์!I483"")+IMPORTRANGE(""https://docs.google.com/spreadshe"&amp;"ets/d/19GOkiOqnzYbevLYWrMk4qFOXe3rX14BkSA8X-mq-a40/edit?usp=share_link"",""มหาสารคาม!I483"")+IMPORTRANGE(""https://docs.google.com/spreadsheets/d/1uMKqWwuNQ-TCKboGA3Bb1qXb5uj2-faACNUINCz8PN4/edit?usp=share_link"",""มุกดาหาร!I483"")+IMPORTRANGE(""https://d"&amp;"ocs.google.com/spreadsheets/d/1oKaccgDdQABndOzGr688Dbfxb_V3YcF67VqEPBtdzsc/edit?usp=share_link"",""ยโสธร!I483"")+IMPORTRANGE(""https://docs.google.com/spreadsheets/d/1BRgc8xKpxZ0PX-gauieMVkV_IOxKSotf0yW8MabGprQ/edit?usp=share_link"",""ร้อยเอ็ด!I483"")+IMP"&amp;"ORTRANGE(""https://docs.google.com/spreadsheets/d/1IdolZc-dfdgMwAm_KZxYJl1sUOcIgnbGQzbWOlddedo/edit?usp=share_link"",""เลย!I483"")+IMPORTRANGE(""https://docs.google.com/spreadsheets/d/1tZ0nmtGuIRCaGAMXHlQU8EpR9LOAJvyKfc4f7EFmE34/edit?usp=share_link"",""ศร"&amp;"ีสะเกษ!I483"")+IMPORTRANGE(""https://docs.google.com/spreadsheets/d/1QC8psz9w0f9IVE9Xuc2FT_btkaOzZbbUSgYObpBuetM/edit?usp=share_link"",""สกลนคร!I483"")+IMPORTRANGE(""https://docs.google.com/spreadsheets/d/1wPdvRbu02d33MYVlbsCnyTiZpefEBs9NNktAnT1HZvw/edit?"&amp;"usp=share_link"",""สุรินทร์!I483"")+IMPORTRANGE(""https://docs.google.com/spreadsheets/d/1GVExpf-Exi_2gmuqTYH28fseTB9MoKPXWcXCbSt_YrM/edit?usp=share_link"",""หนองคาย!I483"")+IMPORTRANGE(""https://docs.google.com/spreadsheets/d/16UeMz0UgOB5BZcoxP75eYGcLFtG"&amp;"YRn9GoesD4OX9m5U/edit?usp=share_link"",""หนองบัวลำภู!I483"")+IMPORTRANGE(""https://docs.google.com/spreadsheets/d/1uUP8Zo1-qaJLuIkRU0qlwLSE3DHkbdrrj2JGJiWBQZE/edit?usp=share_link"",""อำนาจเจริญ!I483"")+IMPORTRANGE(""https://docs.google.com/spreadsheets/d/"&amp;"1hb_taSOHanzRjqfzWPiFo8yiT83VV1L7vvUCLhOiHKc/edit?usp=share_link"",""อุดรธานี!I483"")+IMPORTRANGE(""https://docs.google.com/spreadsheets/d/17IOkEwkUd63EGNfyNDnM5de9YlZ7rwzTiW6-dokVjKI/edit?usp=share_link"",""อุบลราชธานี!I483"")
"),17100)</f>
        <v>17100</v>
      </c>
      <c r="J483" s="183">
        <f ca="1">IFERROR(__xludf.DUMMYFUNCTION("IMPORTRANGE(""https://docs.google.com/spreadsheets/d/1fb2B9NLcpJgjIieIJvenUTNPn0TimZDUi0OtYeiSQ_s/edit?usp=share_link"",""กาฬสินธุ์!J483"")+IMPORTRANGE(""https://docs.google.com/spreadsheets/d/1SaMnqrwRGmFYNR0MhpWmHuL5niYUd5E7vDq8X7whAlI/edit?usp=share_li"&amp;"nk"",""ขอนแก่น!J483"")
+IMPORTRANGE(""https://docs.google.com/spreadsheets/d/1xQzEtGHhTTgxHh6YUkKY1P4dRyjVhS74dGswLfAASA4/edit?usp=share_link"",""ชัยภูมิ!J483"")+IMPORTRANGE(""https://docs.google.com/spreadsheets/d/1EXMBoBxU3OFbjT2TRpneM33qFjqDzrKmn9ydcfl"&amp;"fI0o/edit?usp=share_link"",""นครพนม!J483"")+IMPORTRANGE(""https://docs.google.com/spreadsheets/d/1bDQrolntRWtHumK8W-x-HXKntwxB9S3sF5aDeRS66Ko/edit?usp=share_link"",""นครราชสีมา!J483"")+IMPORTRANGE(""https://docs.google.com/spreadsheets/d/1_MzZ-2gVPiCW-d2V"&amp;"cafoCmFJQTSrZ6SQyFcMqRRQQ2w/edit?usp=share_link"",""บึงกาฬ!J483"")
+IMPORTRANGE(""https://docs.google.com/spreadsheets/d/1B3lPpzOuaNwVItLwLEZYl_qEblfcx7dRnbRkAw0l-pE/edit?usp=share_link"",""บุรีรัมย์!J483"")+IMPORTRANGE(""https://docs.google.com/spreadshe"&amp;"ets/d/19GOkiOqnzYbevLYWrMk4qFOXe3rX14BkSA8X-mq-a40/edit?usp=share_link"",""มหาสารคาม!J483"")+IMPORTRANGE(""https://docs.google.com/spreadsheets/d/1uMKqWwuNQ-TCKboGA3Bb1qXb5uj2-faACNUINCz8PN4/edit?usp=share_link"",""มุกดาหาร!J483"")+IMPORTRANGE(""https://d"&amp;"ocs.google.com/spreadsheets/d/1oKaccgDdQABndOzGr688Dbfxb_V3YcF67VqEPBtdzsc/edit?usp=share_link"",""ยโสธร!J483"")+IMPORTRANGE(""https://docs.google.com/spreadsheets/d/1BRgc8xKpxZ0PX-gauieMVkV_IOxKSotf0yW8MabGprQ/edit?usp=share_link"",""ร้อยเอ็ด!J483"")+IMP"&amp;"ORTRANGE(""https://docs.google.com/spreadsheets/d/1IdolZc-dfdgMwAm_KZxYJl1sUOcIgnbGQzbWOlddedo/edit?usp=share_link"",""เลย!J483"")+IMPORTRANGE(""https://docs.google.com/spreadsheets/d/1tZ0nmtGuIRCaGAMXHlQU8EpR9LOAJvyKfc4f7EFmE34/edit?usp=share_link"",""ศร"&amp;"ีสะเกษ!J483"")+IMPORTRANGE(""https://docs.google.com/spreadsheets/d/1QC8psz9w0f9IVE9Xuc2FT_btkaOzZbbUSgYObpBuetM/edit?usp=share_link"",""สกลนคร!J483"")+IMPORTRANGE(""https://docs.google.com/spreadsheets/d/1wPdvRbu02d33MYVlbsCnyTiZpefEBs9NNktAnT1HZvw/edit?"&amp;"usp=share_link"",""สุรินทร์!J483"")+IMPORTRANGE(""https://docs.google.com/spreadsheets/d/1GVExpf-Exi_2gmuqTYH28fseTB9MoKPXWcXCbSt_YrM/edit?usp=share_link"",""หนองคาย!J483"")+IMPORTRANGE(""https://docs.google.com/spreadsheets/d/16UeMz0UgOB5BZcoxP75eYGcLFtG"&amp;"YRn9GoesD4OX9m5U/edit?usp=share_link"",""หนองบัวลำภู!J483"")+IMPORTRANGE(""https://docs.google.com/spreadsheets/d/1uUP8Zo1-qaJLuIkRU0qlwLSE3DHkbdrrj2JGJiWBQZE/edit?usp=share_link"",""อำนาจเจริญ!J483"")+IMPORTRANGE(""https://docs.google.com/spreadsheets/d/"&amp;"1hb_taSOHanzRjqfzWPiFo8yiT83VV1L7vvUCLhOiHKc/edit?usp=share_link"",""อุดรธานี!J483"")+IMPORTRANGE(""https://docs.google.com/spreadsheets/d/17IOkEwkUd63EGNfyNDnM5de9YlZ7rwzTiW6-dokVjKI/edit?usp=share_link"",""อุบลราชธานี!J483"")
"),17103)</f>
        <v>17103</v>
      </c>
      <c r="K483" s="38">
        <f ca="1">IF(I483&gt;0,J483*100/I483,0)</f>
        <v>100.01754385964912</v>
      </c>
      <c r="L483" s="38"/>
      <c r="M483" s="38"/>
      <c r="N483" s="38"/>
      <c r="O483" s="38"/>
      <c r="P483" s="3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</row>
    <row r="484" spans="1:26" ht="18.75">
      <c r="A484" s="608"/>
      <c r="B484" s="609"/>
      <c r="C484" s="609"/>
      <c r="D484" s="609"/>
      <c r="E484" s="609"/>
      <c r="F484" s="618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fb2B9NLcpJgjIieIJvenUTNPn0TimZDUi0OtYeiSQ_s/edit?usp=share_link"",""กาฬสินธุ์!J484"")+IMPORTRANGE(""https://docs.google.com/spreadsheets/d/1SaMnqrwRGmFYNR0MhpWmHuL5niYUd5E7vDq8X7whAlI/edit?usp=share_li"&amp;"nk"",""ขอนแก่น!J484"")
+IMPORTRANGE(""https://docs.google.com/spreadsheets/d/1xQzEtGHhTTgxHh6YUkKY1P4dRyjVhS74dGswLfAASA4/edit?usp=share_link"",""ชัยภูมิ!J484"")+IMPORTRANGE(""https://docs.google.com/spreadsheets/d/1EXMBoBxU3OFbjT2TRpneM33qFjqDzrKmn9ydcfl"&amp;"fI0o/edit?usp=share_link"",""นครพนม!J484"")+IMPORTRANGE(""https://docs.google.com/spreadsheets/d/1bDQrolntRWtHumK8W-x-HXKntwxB9S3sF5aDeRS66Ko/edit?usp=share_link"",""นครราชสีมา!J484"")+IMPORTRANGE(""https://docs.google.com/spreadsheets/d/1_MzZ-2gVPiCW-d2V"&amp;"cafoCmFJQTSrZ6SQyFcMqRRQQ2w/edit?usp=share_link"",""บึงกาฬ!J484"")
+IMPORTRANGE(""https://docs.google.com/spreadsheets/d/1B3lPpzOuaNwVItLwLEZYl_qEblfcx7dRnbRkAw0l-pE/edit?usp=share_link"",""บุรีรัมย์!J484"")+IMPORTRANGE(""https://docs.google.com/spreadshe"&amp;"ets/d/19GOkiOqnzYbevLYWrMk4qFOXe3rX14BkSA8X-mq-a40/edit?usp=share_link"",""มหาสารคาม!J484"")+IMPORTRANGE(""https://docs.google.com/spreadsheets/d/1uMKqWwuNQ-TCKboGA3Bb1qXb5uj2-faACNUINCz8PN4/edit?usp=share_link"",""มุกดาหาร!J484"")+IMPORTRANGE(""https://d"&amp;"ocs.google.com/spreadsheets/d/1oKaccgDdQABndOzGr688Dbfxb_V3YcF67VqEPBtdzsc/edit?usp=share_link"",""ยโสธร!J484"")+IMPORTRANGE(""https://docs.google.com/spreadsheets/d/1BRgc8xKpxZ0PX-gauieMVkV_IOxKSotf0yW8MabGprQ/edit?usp=share_link"",""ร้อยเอ็ด!J484"")+IMP"&amp;"ORTRANGE(""https://docs.google.com/spreadsheets/d/1IdolZc-dfdgMwAm_KZxYJl1sUOcIgnbGQzbWOlddedo/edit?usp=share_link"",""เลย!J484"")+IMPORTRANGE(""https://docs.google.com/spreadsheets/d/1tZ0nmtGuIRCaGAMXHlQU8EpR9LOAJvyKfc4f7EFmE34/edit?usp=share_link"",""ศร"&amp;"ีสะเกษ!J484"")+IMPORTRANGE(""https://docs.google.com/spreadsheets/d/1QC8psz9w0f9IVE9Xuc2FT_btkaOzZbbUSgYObpBuetM/edit?usp=share_link"",""สกลนคร!J484"")+IMPORTRANGE(""https://docs.google.com/spreadsheets/d/1wPdvRbu02d33MYVlbsCnyTiZpefEBs9NNktAnT1HZvw/edit?"&amp;"usp=share_link"",""สุรินทร์!J484"")+IMPORTRANGE(""https://docs.google.com/spreadsheets/d/1GVExpf-Exi_2gmuqTYH28fseTB9MoKPXWcXCbSt_YrM/edit?usp=share_link"",""หนองคาย!J484"")+IMPORTRANGE(""https://docs.google.com/spreadsheets/d/16UeMz0UgOB5BZcoxP75eYGcLFtG"&amp;"YRn9GoesD4OX9m5U/edit?usp=share_link"",""หนองบัวลำภู!J484"")+IMPORTRANGE(""https://docs.google.com/spreadsheets/d/1uUP8Zo1-qaJLuIkRU0qlwLSE3DHkbdrrj2JGJiWBQZE/edit?usp=share_link"",""อำนาจเจริญ!J484"")+IMPORTRANGE(""https://docs.google.com/spreadsheets/d/"&amp;"1hb_taSOHanzRjqfzWPiFo8yiT83VV1L7vvUCLhOiHKc/edit?usp=share_link"",""อุดรธานี!J484"")+IMPORTRANGE(""https://docs.google.com/spreadsheets/d/17IOkEwkUd63EGNfyNDnM5de9YlZ7rwzTiW6-dokVjKI/edit?usp=share_link"",""อุบลราชธานี!J484"")
"),1498)</f>
        <v>1498</v>
      </c>
      <c r="K484" s="38"/>
      <c r="L484" s="38"/>
      <c r="M484" s="38"/>
      <c r="N484" s="38"/>
      <c r="O484" s="38"/>
      <c r="P484" s="3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</row>
    <row r="485" spans="1:26" ht="18.75">
      <c r="A485" s="608"/>
      <c r="B485" s="609"/>
      <c r="C485" s="609"/>
      <c r="D485" s="609"/>
      <c r="E485" s="609"/>
      <c r="F485" s="618" t="s">
        <v>211</v>
      </c>
      <c r="G485" s="175"/>
      <c r="H485" s="36" t="s">
        <v>35</v>
      </c>
      <c r="I485" s="37">
        <f ca="1">IFERROR(__xludf.DUMMYFUNCTION("IMPORTRANGE(""https://docs.google.com/spreadsheets/d/1fb2B9NLcpJgjIieIJvenUTNPn0TimZDUi0OtYeiSQ_s/edit?usp=share_link"",""กาฬสินธุ์!I485"")+IMPORTRANGE(""https://docs.google.com/spreadsheets/d/1SaMnqrwRGmFYNR0MhpWmHuL5niYUd5E7vDq8X7whAlI/edit?usp=share_li"&amp;"nk"",""ขอนแก่น!I485"")
+IMPORTRANGE(""https://docs.google.com/spreadsheets/d/1xQzEtGHhTTgxHh6YUkKY1P4dRyjVhS74dGswLfAASA4/edit?usp=share_link"",""ชัยภูมิ!I485"")+IMPORTRANGE(""https://docs.google.com/spreadsheets/d/1EXMBoBxU3OFbjT2TRpneM33qFjqDzrKmn9ydcfl"&amp;"fI0o/edit?usp=share_link"",""นครพนม!I485"")+IMPORTRANGE(""https://docs.google.com/spreadsheets/d/1bDQrolntRWtHumK8W-x-HXKntwxB9S3sF5aDeRS66Ko/edit?usp=share_link"",""นครราชสีมา!I485"")+IMPORTRANGE(""https://docs.google.com/spreadsheets/d/1_MzZ-2gVPiCW-d2V"&amp;"cafoCmFJQTSrZ6SQyFcMqRRQQ2w/edit?usp=share_link"",""บึงกาฬ!I485"")
+IMPORTRANGE(""https://docs.google.com/spreadsheets/d/1B3lPpzOuaNwVItLwLEZYl_qEblfcx7dRnbRkAw0l-pE/edit?usp=share_link"",""บุรีรัมย์!I485"")+IMPORTRANGE(""https://docs.google.com/spreadshe"&amp;"ets/d/19GOkiOqnzYbevLYWrMk4qFOXe3rX14BkSA8X-mq-a40/edit?usp=share_link"",""มหาสารคาม!I485"")+IMPORTRANGE(""https://docs.google.com/spreadsheets/d/1uMKqWwuNQ-TCKboGA3Bb1qXb5uj2-faACNUINCz8PN4/edit?usp=share_link"",""มุกดาหาร!I485"")+IMPORTRANGE(""https://d"&amp;"ocs.google.com/spreadsheets/d/1oKaccgDdQABndOzGr688Dbfxb_V3YcF67VqEPBtdzsc/edit?usp=share_link"",""ยโสธร!I485"")+IMPORTRANGE(""https://docs.google.com/spreadsheets/d/1BRgc8xKpxZ0PX-gauieMVkV_IOxKSotf0yW8MabGprQ/edit?usp=share_link"",""ร้อยเอ็ด!I485"")+IMP"&amp;"ORTRANGE(""https://docs.google.com/spreadsheets/d/1IdolZc-dfdgMwAm_KZxYJl1sUOcIgnbGQzbWOlddedo/edit?usp=share_link"",""เลย!I485"")+IMPORTRANGE(""https://docs.google.com/spreadsheets/d/1tZ0nmtGuIRCaGAMXHlQU8EpR9LOAJvyKfc4f7EFmE34/edit?usp=share_link"",""ศร"&amp;"ีสะเกษ!I485"")+IMPORTRANGE(""https://docs.google.com/spreadsheets/d/1QC8psz9w0f9IVE9Xuc2FT_btkaOzZbbUSgYObpBuetM/edit?usp=share_link"",""สกลนคร!I485"")+IMPORTRANGE(""https://docs.google.com/spreadsheets/d/1wPdvRbu02d33MYVlbsCnyTiZpefEBs9NNktAnT1HZvw/edit?"&amp;"usp=share_link"",""สุรินทร์!I485"")+IMPORTRANGE(""https://docs.google.com/spreadsheets/d/1GVExpf-Exi_2gmuqTYH28fseTB9MoKPXWcXCbSt_YrM/edit?usp=share_link"",""หนองคาย!I485"")+IMPORTRANGE(""https://docs.google.com/spreadsheets/d/16UeMz0UgOB5BZcoxP75eYGcLFtG"&amp;"YRn9GoesD4OX9m5U/edit?usp=share_link"",""หนองบัวลำภู!I485"")+IMPORTRANGE(""https://docs.google.com/spreadsheets/d/1uUP8Zo1-qaJLuIkRU0qlwLSE3DHkbdrrj2JGJiWBQZE/edit?usp=share_link"",""อำนาจเจริญ!I485"")+IMPORTRANGE(""https://docs.google.com/spreadsheets/d/"&amp;"1hb_taSOHanzRjqfzWPiFo8yiT83VV1L7vvUCLhOiHKc/edit?usp=share_link"",""อุดรธานี!I485"")+IMPORTRANGE(""https://docs.google.com/spreadsheets/d/17IOkEwkUd63EGNfyNDnM5de9YlZ7rwzTiW6-dokVjKI/edit?usp=share_link"",""อุบลราชธานี!I485"")
"),1710)</f>
        <v>1710</v>
      </c>
      <c r="J485" s="183">
        <f ca="1">IFERROR(__xludf.DUMMYFUNCTION("IMPORTRANGE(""https://docs.google.com/spreadsheets/d/1fb2B9NLcpJgjIieIJvenUTNPn0TimZDUi0OtYeiSQ_s/edit?usp=share_link"",""กาฬสินธุ์!J485"")+IMPORTRANGE(""https://docs.google.com/spreadsheets/d/1SaMnqrwRGmFYNR0MhpWmHuL5niYUd5E7vDq8X7whAlI/edit?usp=share_li"&amp;"nk"",""ขอนแก่น!J485"")
+IMPORTRANGE(""https://docs.google.com/spreadsheets/d/1xQzEtGHhTTgxHh6YUkKY1P4dRyjVhS74dGswLfAASA4/edit?usp=share_link"",""ชัยภูมิ!J485"")+IMPORTRANGE(""https://docs.google.com/spreadsheets/d/1EXMBoBxU3OFbjT2TRpneM33qFjqDzrKmn9ydcfl"&amp;"fI0o/edit?usp=share_link"",""นครพนม!J485"")+IMPORTRANGE(""https://docs.google.com/spreadsheets/d/1bDQrolntRWtHumK8W-x-HXKntwxB9S3sF5aDeRS66Ko/edit?usp=share_link"",""นครราชสีมา!J485"")+IMPORTRANGE(""https://docs.google.com/spreadsheets/d/1_MzZ-2gVPiCW-d2V"&amp;"cafoCmFJQTSrZ6SQyFcMqRRQQ2w/edit?usp=share_link"",""บึงกาฬ!J485"")
+IMPORTRANGE(""https://docs.google.com/spreadsheets/d/1B3lPpzOuaNwVItLwLEZYl_qEblfcx7dRnbRkAw0l-pE/edit?usp=share_link"",""บุรีรัมย์!J485"")+IMPORTRANGE(""https://docs.google.com/spreadshe"&amp;"ets/d/19GOkiOqnzYbevLYWrMk4qFOXe3rX14BkSA8X-mq-a40/edit?usp=share_link"",""มหาสารคาม!J485"")+IMPORTRANGE(""https://docs.google.com/spreadsheets/d/1uMKqWwuNQ-TCKboGA3Bb1qXb5uj2-faACNUINCz8PN4/edit?usp=share_link"",""มุกดาหาร!J485"")+IMPORTRANGE(""https://d"&amp;"ocs.google.com/spreadsheets/d/1oKaccgDdQABndOzGr688Dbfxb_V3YcF67VqEPBtdzsc/edit?usp=share_link"",""ยโสธร!J485"")+IMPORTRANGE(""https://docs.google.com/spreadsheets/d/1BRgc8xKpxZ0PX-gauieMVkV_IOxKSotf0yW8MabGprQ/edit?usp=share_link"",""ร้อยเอ็ด!J485"")+IMP"&amp;"ORTRANGE(""https://docs.google.com/spreadsheets/d/1IdolZc-dfdgMwAm_KZxYJl1sUOcIgnbGQzbWOlddedo/edit?usp=share_link"",""เลย!J485"")+IMPORTRANGE(""https://docs.google.com/spreadsheets/d/1tZ0nmtGuIRCaGAMXHlQU8EpR9LOAJvyKfc4f7EFmE34/edit?usp=share_link"",""ศร"&amp;"ีสะเกษ!J485"")+IMPORTRANGE(""https://docs.google.com/spreadsheets/d/1QC8psz9w0f9IVE9Xuc2FT_btkaOzZbbUSgYObpBuetM/edit?usp=share_link"",""สกลนคร!J485"")+IMPORTRANGE(""https://docs.google.com/spreadsheets/d/1wPdvRbu02d33MYVlbsCnyTiZpefEBs9NNktAnT1HZvw/edit?"&amp;"usp=share_link"",""สุรินทร์!J485"")+IMPORTRANGE(""https://docs.google.com/spreadsheets/d/1GVExpf-Exi_2gmuqTYH28fseTB9MoKPXWcXCbSt_YrM/edit?usp=share_link"",""หนองคาย!J485"")+IMPORTRANGE(""https://docs.google.com/spreadsheets/d/16UeMz0UgOB5BZcoxP75eYGcLFtG"&amp;"YRn9GoesD4OX9m5U/edit?usp=share_link"",""หนองบัวลำภู!J485"")+IMPORTRANGE(""https://docs.google.com/spreadsheets/d/1uUP8Zo1-qaJLuIkRU0qlwLSE3DHkbdrrj2JGJiWBQZE/edit?usp=share_link"",""อำนาจเจริญ!J485"")+IMPORTRANGE(""https://docs.google.com/spreadsheets/d/"&amp;"1hb_taSOHanzRjqfzWPiFo8yiT83VV1L7vvUCLhOiHKc/edit?usp=share_link"",""อุดรธานี!J485"")+IMPORTRANGE(""https://docs.google.com/spreadsheets/d/17IOkEwkUd63EGNfyNDnM5de9YlZ7rwzTiW6-dokVjKI/edit?usp=share_link"",""อุบลราชธานี!J485"")
"),1703)</f>
        <v>1703</v>
      </c>
      <c r="K485" s="38">
        <f ca="1">IF(I485&gt;0,J485*100/I485,0)</f>
        <v>99.590643274853804</v>
      </c>
      <c r="L485" s="38"/>
      <c r="M485" s="38"/>
      <c r="N485" s="38"/>
      <c r="O485" s="38"/>
      <c r="P485" s="3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</row>
    <row r="486" spans="1:26" ht="18.75">
      <c r="A486" s="608"/>
      <c r="B486" s="609"/>
      <c r="C486" s="609"/>
      <c r="D486" s="609"/>
      <c r="E486" s="618" t="s">
        <v>62</v>
      </c>
      <c r="F486" s="609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</row>
    <row r="487" spans="1:26" ht="18.75">
      <c r="A487" s="608"/>
      <c r="B487" s="609"/>
      <c r="C487" s="609"/>
      <c r="D487" s="609"/>
      <c r="E487" s="609"/>
      <c r="F487" s="618" t="s">
        <v>209</v>
      </c>
      <c r="G487" s="175"/>
      <c r="H487" s="36" t="s">
        <v>46</v>
      </c>
      <c r="I487" s="37">
        <f ca="1">IFERROR(__xludf.DUMMYFUNCTION("IMPORTRANGE(""https://docs.google.com/spreadsheets/d/1fb2B9NLcpJgjIieIJvenUTNPn0TimZDUi0OtYeiSQ_s/edit?usp=share_link"",""กาฬสินธุ์!I487"")+IMPORTRANGE(""https://docs.google.com/spreadsheets/d/1SaMnqrwRGmFYNR0MhpWmHuL5niYUd5E7vDq8X7whAlI/edit?usp=share_li"&amp;"nk"",""ขอนแก่น!I487"")
+IMPORTRANGE(""https://docs.google.com/spreadsheets/d/1xQzEtGHhTTgxHh6YUkKY1P4dRyjVhS74dGswLfAASA4/edit?usp=share_link"",""ชัยภูมิ!I487"")+IMPORTRANGE(""https://docs.google.com/spreadsheets/d/1EXMBoBxU3OFbjT2TRpneM33qFjqDzrKmn9ydcfl"&amp;"fI0o/edit?usp=share_link"",""นครพนม!I487"")+IMPORTRANGE(""https://docs.google.com/spreadsheets/d/1bDQrolntRWtHumK8W-x-HXKntwxB9S3sF5aDeRS66Ko/edit?usp=share_link"",""นครราชสีมา!I487"")+IMPORTRANGE(""https://docs.google.com/spreadsheets/d/1_MzZ-2gVPiCW-d2V"&amp;"cafoCmFJQTSrZ6SQyFcMqRRQQ2w/edit?usp=share_link"",""บึงกาฬ!I487"")
+IMPORTRANGE(""https://docs.google.com/spreadsheets/d/1B3lPpzOuaNwVItLwLEZYl_qEblfcx7dRnbRkAw0l-pE/edit?usp=share_link"",""บุรีรัมย์!I487"")+IMPORTRANGE(""https://docs.google.com/spreadshe"&amp;"ets/d/19GOkiOqnzYbevLYWrMk4qFOXe3rX14BkSA8X-mq-a40/edit?usp=share_link"",""มหาสารคาม!I487"")+IMPORTRANGE(""https://docs.google.com/spreadsheets/d/1uMKqWwuNQ-TCKboGA3Bb1qXb5uj2-faACNUINCz8PN4/edit?usp=share_link"",""มุกดาหาร!I487"")+IMPORTRANGE(""https://d"&amp;"ocs.google.com/spreadsheets/d/1oKaccgDdQABndOzGr688Dbfxb_V3YcF67VqEPBtdzsc/edit?usp=share_link"",""ยโสธร!I487"")+IMPORTRANGE(""https://docs.google.com/spreadsheets/d/1BRgc8xKpxZ0PX-gauieMVkV_IOxKSotf0yW8MabGprQ/edit?usp=share_link"",""ร้อยเอ็ด!I487"")+IMP"&amp;"ORTRANGE(""https://docs.google.com/spreadsheets/d/1IdolZc-dfdgMwAm_KZxYJl1sUOcIgnbGQzbWOlddedo/edit?usp=share_link"",""เลย!I487"")+IMPORTRANGE(""https://docs.google.com/spreadsheets/d/1tZ0nmtGuIRCaGAMXHlQU8EpR9LOAJvyKfc4f7EFmE34/edit?usp=share_link"",""ศร"&amp;"ีสะเกษ!I487"")+IMPORTRANGE(""https://docs.google.com/spreadsheets/d/1QC8psz9w0f9IVE9Xuc2FT_btkaOzZbbUSgYObpBuetM/edit?usp=share_link"",""สกลนคร!I487"")+IMPORTRANGE(""https://docs.google.com/spreadsheets/d/1wPdvRbu02d33MYVlbsCnyTiZpefEBs9NNktAnT1HZvw/edit?"&amp;"usp=share_link"",""สุรินทร์!I487"")+IMPORTRANGE(""https://docs.google.com/spreadsheets/d/1GVExpf-Exi_2gmuqTYH28fseTB9MoKPXWcXCbSt_YrM/edit?usp=share_link"",""หนองคาย!I487"")+IMPORTRANGE(""https://docs.google.com/spreadsheets/d/16UeMz0UgOB5BZcoxP75eYGcLFtG"&amp;"YRn9GoesD4OX9m5U/edit?usp=share_link"",""หนองบัวลำภู!I487"")+IMPORTRANGE(""https://docs.google.com/spreadsheets/d/1uUP8Zo1-qaJLuIkRU0qlwLSE3DHkbdrrj2JGJiWBQZE/edit?usp=share_link"",""อำนาจเจริญ!I487"")+IMPORTRANGE(""https://docs.google.com/spreadsheets/d/"&amp;"1hb_taSOHanzRjqfzWPiFo8yiT83VV1L7vvUCLhOiHKc/edit?usp=share_link"",""อุดรธานี!I487"")+IMPORTRANGE(""https://docs.google.com/spreadsheets/d/17IOkEwkUd63EGNfyNDnM5de9YlZ7rwzTiW6-dokVjKI/edit?usp=share_link"",""อุบลราชธานี!I487"")
"),1900)</f>
        <v>1900</v>
      </c>
      <c r="J487" s="183">
        <f ca="1">IFERROR(__xludf.DUMMYFUNCTION("IMPORTRANGE(""https://docs.google.com/spreadsheets/d/1fb2B9NLcpJgjIieIJvenUTNPn0TimZDUi0OtYeiSQ_s/edit?usp=share_link"",""กาฬสินธุ์!J487"")+IMPORTRANGE(""https://docs.google.com/spreadsheets/d/1SaMnqrwRGmFYNR0MhpWmHuL5niYUd5E7vDq8X7whAlI/edit?usp=share_li"&amp;"nk"",""ขอนแก่น!J487"")
+IMPORTRANGE(""https://docs.google.com/spreadsheets/d/1xQzEtGHhTTgxHh6YUkKY1P4dRyjVhS74dGswLfAASA4/edit?usp=share_link"",""ชัยภูมิ!J487"")+IMPORTRANGE(""https://docs.google.com/spreadsheets/d/1EXMBoBxU3OFbjT2TRpneM33qFjqDzrKmn9ydcfl"&amp;"fI0o/edit?usp=share_link"",""นครพนม!J487"")+IMPORTRANGE(""https://docs.google.com/spreadsheets/d/1bDQrolntRWtHumK8W-x-HXKntwxB9S3sF5aDeRS66Ko/edit?usp=share_link"",""นครราชสีมา!J487"")+IMPORTRANGE(""https://docs.google.com/spreadsheets/d/1_MzZ-2gVPiCW-d2V"&amp;"cafoCmFJQTSrZ6SQyFcMqRRQQ2w/edit?usp=share_link"",""บึงกาฬ!J487"")
+IMPORTRANGE(""https://docs.google.com/spreadsheets/d/1B3lPpzOuaNwVItLwLEZYl_qEblfcx7dRnbRkAw0l-pE/edit?usp=share_link"",""บุรีรัมย์!J487"")+IMPORTRANGE(""https://docs.google.com/spreadshe"&amp;"ets/d/19GOkiOqnzYbevLYWrMk4qFOXe3rX14BkSA8X-mq-a40/edit?usp=share_link"",""มหาสารคาม!J487"")+IMPORTRANGE(""https://docs.google.com/spreadsheets/d/1uMKqWwuNQ-TCKboGA3Bb1qXb5uj2-faACNUINCz8PN4/edit?usp=share_link"",""มุกดาหาร!J487"")+IMPORTRANGE(""https://d"&amp;"ocs.google.com/spreadsheets/d/1oKaccgDdQABndOzGr688Dbfxb_V3YcF67VqEPBtdzsc/edit?usp=share_link"",""ยโสธร!J487"")+IMPORTRANGE(""https://docs.google.com/spreadsheets/d/1BRgc8xKpxZ0PX-gauieMVkV_IOxKSotf0yW8MabGprQ/edit?usp=share_link"",""ร้อยเอ็ด!J487"")+IMP"&amp;"ORTRANGE(""https://docs.google.com/spreadsheets/d/1IdolZc-dfdgMwAm_KZxYJl1sUOcIgnbGQzbWOlddedo/edit?usp=share_link"",""เลย!J487"")+IMPORTRANGE(""https://docs.google.com/spreadsheets/d/1tZ0nmtGuIRCaGAMXHlQU8EpR9LOAJvyKfc4f7EFmE34/edit?usp=share_link"",""ศร"&amp;"ีสะเกษ!J487"")+IMPORTRANGE(""https://docs.google.com/spreadsheets/d/1QC8psz9w0f9IVE9Xuc2FT_btkaOzZbbUSgYObpBuetM/edit?usp=share_link"",""สกลนคร!J487"")+IMPORTRANGE(""https://docs.google.com/spreadsheets/d/1wPdvRbu02d33MYVlbsCnyTiZpefEBs9NNktAnT1HZvw/edit?"&amp;"usp=share_link"",""สุรินทร์!J487"")+IMPORTRANGE(""https://docs.google.com/spreadsheets/d/1GVExpf-Exi_2gmuqTYH28fseTB9MoKPXWcXCbSt_YrM/edit?usp=share_link"",""หนองคาย!J487"")+IMPORTRANGE(""https://docs.google.com/spreadsheets/d/16UeMz0UgOB5BZcoxP75eYGcLFtG"&amp;"YRn9GoesD4OX9m5U/edit?usp=share_link"",""หนองบัวลำภู!J487"")+IMPORTRANGE(""https://docs.google.com/spreadsheets/d/1uUP8Zo1-qaJLuIkRU0qlwLSE3DHkbdrrj2JGJiWBQZE/edit?usp=share_link"",""อำนาจเจริญ!J487"")+IMPORTRANGE(""https://docs.google.com/spreadsheets/d/"&amp;"1hb_taSOHanzRjqfzWPiFo8yiT83VV1L7vvUCLhOiHKc/edit?usp=share_link"",""อุดรธานี!J487"")+IMPORTRANGE(""https://docs.google.com/spreadsheets/d/17IOkEwkUd63EGNfyNDnM5de9YlZ7rwzTiW6-dokVjKI/edit?usp=share_link"",""อุบลราชธานี!J487"")
"),1900)</f>
        <v>1900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</row>
    <row r="488" spans="1:26" ht="18.75">
      <c r="A488" s="608"/>
      <c r="B488" s="609"/>
      <c r="C488" s="609"/>
      <c r="D488" s="609"/>
      <c r="E488" s="609"/>
      <c r="F488" s="618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fb2B9NLcpJgjIieIJvenUTNPn0TimZDUi0OtYeiSQ_s/edit?usp=share_link"",""กาฬสินธุ์!J488"")+IMPORTRANGE(""https://docs.google.com/spreadsheets/d/1SaMnqrwRGmFYNR0MhpWmHuL5niYUd5E7vDq8X7whAlI/edit?usp=share_li"&amp;"nk"",""ขอนแก่น!J488"")
+IMPORTRANGE(""https://docs.google.com/spreadsheets/d/1xQzEtGHhTTgxHh6YUkKY1P4dRyjVhS74dGswLfAASA4/edit?usp=share_link"",""ชัยภูมิ!J488"")+IMPORTRANGE(""https://docs.google.com/spreadsheets/d/1EXMBoBxU3OFbjT2TRpneM33qFjqDzrKmn9ydcfl"&amp;"fI0o/edit?usp=share_link"",""นครพนม!J488"")+IMPORTRANGE(""https://docs.google.com/spreadsheets/d/1bDQrolntRWtHumK8W-x-HXKntwxB9S3sF5aDeRS66Ko/edit?usp=share_link"",""นครราชสีมา!J488"")+IMPORTRANGE(""https://docs.google.com/spreadsheets/d/1_MzZ-2gVPiCW-d2V"&amp;"cafoCmFJQTSrZ6SQyFcMqRRQQ2w/edit?usp=share_link"",""บึงกาฬ!J488"")
+IMPORTRANGE(""https://docs.google.com/spreadsheets/d/1B3lPpzOuaNwVItLwLEZYl_qEblfcx7dRnbRkAw0l-pE/edit?usp=share_link"",""บุรีรัมย์!J488"")+IMPORTRANGE(""https://docs.google.com/spreadshe"&amp;"ets/d/19GOkiOqnzYbevLYWrMk4qFOXe3rX14BkSA8X-mq-a40/edit?usp=share_link"",""มหาสารคาม!J488"")+IMPORTRANGE(""https://docs.google.com/spreadsheets/d/1uMKqWwuNQ-TCKboGA3Bb1qXb5uj2-faACNUINCz8PN4/edit?usp=share_link"",""มุกดาหาร!J488"")+IMPORTRANGE(""https://d"&amp;"ocs.google.com/spreadsheets/d/1oKaccgDdQABndOzGr688Dbfxb_V3YcF67VqEPBtdzsc/edit?usp=share_link"",""ยโสธร!J488"")+IMPORTRANGE(""https://docs.google.com/spreadsheets/d/1BRgc8xKpxZ0PX-gauieMVkV_IOxKSotf0yW8MabGprQ/edit?usp=share_link"",""ร้อยเอ็ด!J488"")+IMP"&amp;"ORTRANGE(""https://docs.google.com/spreadsheets/d/1IdolZc-dfdgMwAm_KZxYJl1sUOcIgnbGQzbWOlddedo/edit?usp=share_link"",""เลย!J488"")+IMPORTRANGE(""https://docs.google.com/spreadsheets/d/1tZ0nmtGuIRCaGAMXHlQU8EpR9LOAJvyKfc4f7EFmE34/edit?usp=share_link"",""ศร"&amp;"ีสะเกษ!J488"")+IMPORTRANGE(""https://docs.google.com/spreadsheets/d/1QC8psz9w0f9IVE9Xuc2FT_btkaOzZbbUSgYObpBuetM/edit?usp=share_link"",""สกลนคร!J488"")+IMPORTRANGE(""https://docs.google.com/spreadsheets/d/1wPdvRbu02d33MYVlbsCnyTiZpefEBs9NNktAnT1HZvw/edit?"&amp;"usp=share_link"",""สุรินทร์!J488"")+IMPORTRANGE(""https://docs.google.com/spreadsheets/d/1GVExpf-Exi_2gmuqTYH28fseTB9MoKPXWcXCbSt_YrM/edit?usp=share_link"",""หนองคาย!J488"")+IMPORTRANGE(""https://docs.google.com/spreadsheets/d/16UeMz0UgOB5BZcoxP75eYGcLFtG"&amp;"YRn9GoesD4OX9m5U/edit?usp=share_link"",""หนองบัวลำภู!J488"")+IMPORTRANGE(""https://docs.google.com/spreadsheets/d/1uUP8Zo1-qaJLuIkRU0qlwLSE3DHkbdrrj2JGJiWBQZE/edit?usp=share_link"",""อำนาจเจริญ!J488"")+IMPORTRANGE(""https://docs.google.com/spreadsheets/d/"&amp;"1hb_taSOHanzRjqfzWPiFo8yiT83VV1L7vvUCLhOiHKc/edit?usp=share_link"",""อุดรธานี!J488"")+IMPORTRANGE(""https://docs.google.com/spreadsheets/d/17IOkEwkUd63EGNfyNDnM5de9YlZ7rwzTiW6-dokVjKI/edit?usp=share_link"",""อุบลราชธานี!J488"")
"),130)</f>
        <v>130</v>
      </c>
      <c r="K488" s="38"/>
      <c r="L488" s="38"/>
      <c r="M488" s="38"/>
      <c r="N488" s="38"/>
      <c r="O488" s="38"/>
      <c r="P488" s="3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</row>
    <row r="489" spans="1:26" ht="18.75">
      <c r="A489" s="608"/>
      <c r="B489" s="609"/>
      <c r="C489" s="609"/>
      <c r="D489" s="609"/>
      <c r="E489" s="609"/>
      <c r="F489" s="618" t="s">
        <v>213</v>
      </c>
      <c r="G489" s="175"/>
      <c r="H489" s="623" t="s">
        <v>35</v>
      </c>
      <c r="I489" s="37">
        <f ca="1">IFERROR(__xludf.DUMMYFUNCTION("IMPORTRANGE(""https://docs.google.com/spreadsheets/d/1fb2B9NLcpJgjIieIJvenUTNPn0TimZDUi0OtYeiSQ_s/edit?usp=share_link"",""กาฬสินธุ์!I489"")+IMPORTRANGE(""https://docs.google.com/spreadsheets/d/1SaMnqrwRGmFYNR0MhpWmHuL5niYUd5E7vDq8X7whAlI/edit?usp=share_li"&amp;"nk"",""ขอนแก่น!I489"")
+IMPORTRANGE(""https://docs.google.com/spreadsheets/d/1xQzEtGHhTTgxHh6YUkKY1P4dRyjVhS74dGswLfAASA4/edit?usp=share_link"",""ชัยภูมิ!I489"")+IMPORTRANGE(""https://docs.google.com/spreadsheets/d/1EXMBoBxU3OFbjT2TRpneM33qFjqDzrKmn9ydcfl"&amp;"fI0o/edit?usp=share_link"",""นครพนม!I489"")+IMPORTRANGE(""https://docs.google.com/spreadsheets/d/1bDQrolntRWtHumK8W-x-HXKntwxB9S3sF5aDeRS66Ko/edit?usp=share_link"",""นครราชสีมา!I489"")+IMPORTRANGE(""https://docs.google.com/spreadsheets/d/1_MzZ-2gVPiCW-d2V"&amp;"cafoCmFJQTSrZ6SQyFcMqRRQQ2w/edit?usp=share_link"",""บึงกาฬ!I489"")
+IMPORTRANGE(""https://docs.google.com/spreadsheets/d/1B3lPpzOuaNwVItLwLEZYl_qEblfcx7dRnbRkAw0l-pE/edit?usp=share_link"",""บุรีรัมย์!I489"")+IMPORTRANGE(""https://docs.google.com/spreadshe"&amp;"ets/d/19GOkiOqnzYbevLYWrMk4qFOXe3rX14BkSA8X-mq-a40/edit?usp=share_link"",""มหาสารคาม!I489"")+IMPORTRANGE(""https://docs.google.com/spreadsheets/d/1uMKqWwuNQ-TCKboGA3Bb1qXb5uj2-faACNUINCz8PN4/edit?usp=share_link"",""มุกดาหาร!I489"")+IMPORTRANGE(""https://d"&amp;"ocs.google.com/spreadsheets/d/1oKaccgDdQABndOzGr688Dbfxb_V3YcF67VqEPBtdzsc/edit?usp=share_link"",""ยโสธร!I489"")+IMPORTRANGE(""https://docs.google.com/spreadsheets/d/1BRgc8xKpxZ0PX-gauieMVkV_IOxKSotf0yW8MabGprQ/edit?usp=share_link"",""ร้อยเอ็ด!I489"")+IMP"&amp;"ORTRANGE(""https://docs.google.com/spreadsheets/d/1IdolZc-dfdgMwAm_KZxYJl1sUOcIgnbGQzbWOlddedo/edit?usp=share_link"",""เลย!I489"")+IMPORTRANGE(""https://docs.google.com/spreadsheets/d/1tZ0nmtGuIRCaGAMXHlQU8EpR9LOAJvyKfc4f7EFmE34/edit?usp=share_link"",""ศร"&amp;"ีสะเกษ!I489"")+IMPORTRANGE(""https://docs.google.com/spreadsheets/d/1QC8psz9w0f9IVE9Xuc2FT_btkaOzZbbUSgYObpBuetM/edit?usp=share_link"",""สกลนคร!I489"")+IMPORTRANGE(""https://docs.google.com/spreadsheets/d/1wPdvRbu02d33MYVlbsCnyTiZpefEBs9NNktAnT1HZvw/edit?"&amp;"usp=share_link"",""สุรินทร์!I489"")+IMPORTRANGE(""https://docs.google.com/spreadsheets/d/1GVExpf-Exi_2gmuqTYH28fseTB9MoKPXWcXCbSt_YrM/edit?usp=share_link"",""หนองคาย!I489"")+IMPORTRANGE(""https://docs.google.com/spreadsheets/d/16UeMz0UgOB5BZcoxP75eYGcLFtG"&amp;"YRn9GoesD4OX9m5U/edit?usp=share_link"",""หนองบัวลำภู!I489"")+IMPORTRANGE(""https://docs.google.com/spreadsheets/d/1uUP8Zo1-qaJLuIkRU0qlwLSE3DHkbdrrj2JGJiWBQZE/edit?usp=share_link"",""อำนาจเจริญ!I489"")+IMPORTRANGE(""https://docs.google.com/spreadsheets/d/"&amp;"1hb_taSOHanzRjqfzWPiFo8yiT83VV1L7vvUCLhOiHKc/edit?usp=share_link"",""อุดรธานี!I489"")+IMPORTRANGE(""https://docs.google.com/spreadsheets/d/17IOkEwkUd63EGNfyNDnM5de9YlZ7rwzTiW6-dokVjKI/edit?usp=share_link"",""อุบลราชธานี!I489"")
"),190)</f>
        <v>190</v>
      </c>
      <c r="J489" s="183">
        <f ca="1">IFERROR(__xludf.DUMMYFUNCTION("IMPORTRANGE(""https://docs.google.com/spreadsheets/d/1fb2B9NLcpJgjIieIJvenUTNPn0TimZDUi0OtYeiSQ_s/edit?usp=share_link"",""กาฬสินธุ์!J489"")+IMPORTRANGE(""https://docs.google.com/spreadsheets/d/1SaMnqrwRGmFYNR0MhpWmHuL5niYUd5E7vDq8X7whAlI/edit?usp=share_li"&amp;"nk"",""ขอนแก่น!J489"")
+IMPORTRANGE(""https://docs.google.com/spreadsheets/d/1xQzEtGHhTTgxHh6YUkKY1P4dRyjVhS74dGswLfAASA4/edit?usp=share_link"",""ชัยภูมิ!J489"")+IMPORTRANGE(""https://docs.google.com/spreadsheets/d/1EXMBoBxU3OFbjT2TRpneM33qFjqDzrKmn9ydcfl"&amp;"fI0o/edit?usp=share_link"",""นครพนม!J489"")+IMPORTRANGE(""https://docs.google.com/spreadsheets/d/1bDQrolntRWtHumK8W-x-HXKntwxB9S3sF5aDeRS66Ko/edit?usp=share_link"",""นครราชสีมา!J489"")+IMPORTRANGE(""https://docs.google.com/spreadsheets/d/1_MzZ-2gVPiCW-d2V"&amp;"cafoCmFJQTSrZ6SQyFcMqRRQQ2w/edit?usp=share_link"",""บึงกาฬ!J489"")
+IMPORTRANGE(""https://docs.google.com/spreadsheets/d/1B3lPpzOuaNwVItLwLEZYl_qEblfcx7dRnbRkAw0l-pE/edit?usp=share_link"",""บุรีรัมย์!J489"")+IMPORTRANGE(""https://docs.google.com/spreadshe"&amp;"ets/d/19GOkiOqnzYbevLYWrMk4qFOXe3rX14BkSA8X-mq-a40/edit?usp=share_link"",""มหาสารคาม!J489"")+IMPORTRANGE(""https://docs.google.com/spreadsheets/d/1uMKqWwuNQ-TCKboGA3Bb1qXb5uj2-faACNUINCz8PN4/edit?usp=share_link"",""มุกดาหาร!J489"")+IMPORTRANGE(""https://d"&amp;"ocs.google.com/spreadsheets/d/1oKaccgDdQABndOzGr688Dbfxb_V3YcF67VqEPBtdzsc/edit?usp=share_link"",""ยโสธร!J489"")+IMPORTRANGE(""https://docs.google.com/spreadsheets/d/1BRgc8xKpxZ0PX-gauieMVkV_IOxKSotf0yW8MabGprQ/edit?usp=share_link"",""ร้อยเอ็ด!J489"")+IMP"&amp;"ORTRANGE(""https://docs.google.com/spreadsheets/d/1IdolZc-dfdgMwAm_KZxYJl1sUOcIgnbGQzbWOlddedo/edit?usp=share_link"",""เลย!J489"")+IMPORTRANGE(""https://docs.google.com/spreadsheets/d/1tZ0nmtGuIRCaGAMXHlQU8EpR9LOAJvyKfc4f7EFmE34/edit?usp=share_link"",""ศร"&amp;"ีสะเกษ!J489"")+IMPORTRANGE(""https://docs.google.com/spreadsheets/d/1QC8psz9w0f9IVE9Xuc2FT_btkaOzZbbUSgYObpBuetM/edit?usp=share_link"",""สกลนคร!J489"")+IMPORTRANGE(""https://docs.google.com/spreadsheets/d/1wPdvRbu02d33MYVlbsCnyTiZpefEBs9NNktAnT1HZvw/edit?"&amp;"usp=share_link"",""สุรินทร์!J489"")+IMPORTRANGE(""https://docs.google.com/spreadsheets/d/1GVExpf-Exi_2gmuqTYH28fseTB9MoKPXWcXCbSt_YrM/edit?usp=share_link"",""หนองคาย!J489"")+IMPORTRANGE(""https://docs.google.com/spreadsheets/d/16UeMz0UgOB5BZcoxP75eYGcLFtG"&amp;"YRn9GoesD4OX9m5U/edit?usp=share_link"",""หนองบัวลำภู!J489"")+IMPORTRANGE(""https://docs.google.com/spreadsheets/d/1uUP8Zo1-qaJLuIkRU0qlwLSE3DHkbdrrj2JGJiWBQZE/edit?usp=share_link"",""อำนาจเจริญ!J489"")+IMPORTRANGE(""https://docs.google.com/spreadsheets/d/"&amp;"1hb_taSOHanzRjqfzWPiFo8yiT83VV1L7vvUCLhOiHKc/edit?usp=share_link"",""อุดรธานี!J489"")+IMPORTRANGE(""https://docs.google.com/spreadsheets/d/17IOkEwkUd63EGNfyNDnM5de9YlZ7rwzTiW6-dokVjKI/edit?usp=share_link"",""อุบลราชธานี!J489"")
"),208)</f>
        <v>208</v>
      </c>
      <c r="K489" s="38">
        <f ca="1">IF(I489&gt;0,J489*100/I489,0)</f>
        <v>109.47368421052632</v>
      </c>
      <c r="L489" s="38"/>
      <c r="M489" s="38"/>
      <c r="N489" s="38"/>
      <c r="O489" s="38"/>
      <c r="P489" s="3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</row>
    <row r="490" spans="1:26" ht="18.75">
      <c r="A490" s="608"/>
      <c r="B490" s="609"/>
      <c r="C490" s="609"/>
      <c r="D490" s="609"/>
      <c r="E490" s="618" t="s">
        <v>63</v>
      </c>
      <c r="F490" s="624"/>
      <c r="G490" s="175"/>
      <c r="H490" s="623"/>
      <c r="I490" s="37"/>
      <c r="J490" s="37"/>
      <c r="K490" s="38"/>
      <c r="L490" s="38"/>
      <c r="M490" s="38"/>
      <c r="N490" s="38"/>
      <c r="O490" s="38"/>
      <c r="P490" s="3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</row>
    <row r="491" spans="1:26" ht="18.75">
      <c r="A491" s="608"/>
      <c r="B491" s="609"/>
      <c r="C491" s="609"/>
      <c r="D491" s="609"/>
      <c r="E491" s="609"/>
      <c r="F491" s="618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fb2B9NLcpJgjIieIJvenUTNPn0TimZDUi0OtYeiSQ_s/edit?usp=share_link"",""กาฬสินธุ์!J491"")+IMPORTRANGE(""https://docs.google.com/spreadsheets/d/1SaMnqrwRGmFYNR0MhpWmHuL5niYUd5E7vDq8X7whAlI/edit?usp=share_li"&amp;"nk"",""ขอนแก่น!J491"")
+IMPORTRANGE(""https://docs.google.com/spreadsheets/d/1xQzEtGHhTTgxHh6YUkKY1P4dRyjVhS74dGswLfAASA4/edit?usp=share_link"",""ชัยภูมิ!J491"")+IMPORTRANGE(""https://docs.google.com/spreadsheets/d/1EXMBoBxU3OFbjT2TRpneM33qFjqDzrKmn9ydcfl"&amp;"fI0o/edit?usp=share_link"",""นครพนม!J491"")+IMPORTRANGE(""https://docs.google.com/spreadsheets/d/1bDQrolntRWtHumK8W-x-HXKntwxB9S3sF5aDeRS66Ko/edit?usp=share_link"",""นครราชสีมา!J491"")+IMPORTRANGE(""https://docs.google.com/spreadsheets/d/1_MzZ-2gVPiCW-d2V"&amp;"cafoCmFJQTSrZ6SQyFcMqRRQQ2w/edit?usp=share_link"",""บึงกาฬ!J491"")
+IMPORTRANGE(""https://docs.google.com/spreadsheets/d/1B3lPpzOuaNwVItLwLEZYl_qEblfcx7dRnbRkAw0l-pE/edit?usp=share_link"",""บุรีรัมย์!J491"")+IMPORTRANGE(""https://docs.google.com/spreadshe"&amp;"ets/d/19GOkiOqnzYbevLYWrMk4qFOXe3rX14BkSA8X-mq-a40/edit?usp=share_link"",""มหาสารคาม!J491"")+IMPORTRANGE(""https://docs.google.com/spreadsheets/d/1uMKqWwuNQ-TCKboGA3Bb1qXb5uj2-faACNUINCz8PN4/edit?usp=share_link"",""มุกดาหาร!J491"")+IMPORTRANGE(""https://d"&amp;"ocs.google.com/spreadsheets/d/1oKaccgDdQABndOzGr688Dbfxb_V3YcF67VqEPBtdzsc/edit?usp=share_link"",""ยโสธร!J491"")+IMPORTRANGE(""https://docs.google.com/spreadsheets/d/1BRgc8xKpxZ0PX-gauieMVkV_IOxKSotf0yW8MabGprQ/edit?usp=share_link"",""ร้อยเอ็ด!J491"")+IMP"&amp;"ORTRANGE(""https://docs.google.com/spreadsheets/d/1IdolZc-dfdgMwAm_KZxYJl1sUOcIgnbGQzbWOlddedo/edit?usp=share_link"",""เลย!J491"")+IMPORTRANGE(""https://docs.google.com/spreadsheets/d/1tZ0nmtGuIRCaGAMXHlQU8EpR9LOAJvyKfc4f7EFmE34/edit?usp=share_link"",""ศร"&amp;"ีสะเกษ!J491"")+IMPORTRANGE(""https://docs.google.com/spreadsheets/d/1QC8psz9w0f9IVE9Xuc2FT_btkaOzZbbUSgYObpBuetM/edit?usp=share_link"",""สกลนคร!J491"")+IMPORTRANGE(""https://docs.google.com/spreadsheets/d/1wPdvRbu02d33MYVlbsCnyTiZpefEBs9NNktAnT1HZvw/edit?"&amp;"usp=share_link"",""สุรินทร์!J491"")+IMPORTRANGE(""https://docs.google.com/spreadsheets/d/1GVExpf-Exi_2gmuqTYH28fseTB9MoKPXWcXCbSt_YrM/edit?usp=share_link"",""หนองคาย!J491"")+IMPORTRANGE(""https://docs.google.com/spreadsheets/d/16UeMz0UgOB5BZcoxP75eYGcLFtG"&amp;"YRn9GoesD4OX9m5U/edit?usp=share_link"",""หนองบัวลำภู!J491"")+IMPORTRANGE(""https://docs.google.com/spreadsheets/d/1uUP8Zo1-qaJLuIkRU0qlwLSE3DHkbdrrj2JGJiWBQZE/edit?usp=share_link"",""อำนาจเจริญ!J491"")+IMPORTRANGE(""https://docs.google.com/spreadsheets/d/"&amp;"1hb_taSOHanzRjqfzWPiFo8yiT83VV1L7vvUCLhOiHKc/edit?usp=share_link"",""อุดรธานี!J491"")+IMPORTRANGE(""https://docs.google.com/spreadsheets/d/17IOkEwkUd63EGNfyNDnM5de9YlZ7rwzTiW6-dokVjKI/edit?usp=share_link"",""อุบลราชธานี!J491"")
"),11)</f>
        <v>11</v>
      </c>
      <c r="K491" s="38"/>
      <c r="L491" s="38"/>
      <c r="M491" s="38"/>
      <c r="N491" s="38"/>
      <c r="O491" s="38"/>
      <c r="P491" s="3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</row>
    <row r="492" spans="1:26" ht="18.75">
      <c r="A492" s="608"/>
      <c r="B492" s="609"/>
      <c r="C492" s="609"/>
      <c r="D492" s="609"/>
      <c r="E492" s="609"/>
      <c r="F492" s="618" t="s">
        <v>215</v>
      </c>
      <c r="G492" s="175"/>
      <c r="H492" s="36" t="s">
        <v>35</v>
      </c>
      <c r="I492" s="37">
        <f ca="1">IFERROR(__xludf.DUMMYFUNCTION("IMPORTRANGE(""https://docs.google.com/spreadsheets/d/1fb2B9NLcpJgjIieIJvenUTNPn0TimZDUi0OtYeiSQ_s/edit?usp=share_link"",""กาฬสินธุ์!I492"")+IMPORTRANGE(""https://docs.google.com/spreadsheets/d/1SaMnqrwRGmFYNR0MhpWmHuL5niYUd5E7vDq8X7whAlI/edit?usp=share_li"&amp;"nk"",""ขอนแก่น!I492"")
+IMPORTRANGE(""https://docs.google.com/spreadsheets/d/1xQzEtGHhTTgxHh6YUkKY1P4dRyjVhS74dGswLfAASA4/edit?usp=share_link"",""ชัยภูมิ!I492"")+IMPORTRANGE(""https://docs.google.com/spreadsheets/d/1EXMBoBxU3OFbjT2TRpneM33qFjqDzrKmn9ydcfl"&amp;"fI0o/edit?usp=share_link"",""นครพนม!I492"")+IMPORTRANGE(""https://docs.google.com/spreadsheets/d/1bDQrolntRWtHumK8W-x-HXKntwxB9S3sF5aDeRS66Ko/edit?usp=share_link"",""นครราชสีมา!I492"")+IMPORTRANGE(""https://docs.google.com/spreadsheets/d/1_MzZ-2gVPiCW-d2V"&amp;"cafoCmFJQTSrZ6SQyFcMqRRQQ2w/edit?usp=share_link"",""บึงกาฬ!I492"")
+IMPORTRANGE(""https://docs.google.com/spreadsheets/d/1B3lPpzOuaNwVItLwLEZYl_qEblfcx7dRnbRkAw0l-pE/edit?usp=share_link"",""บุรีรัมย์!I492"")+IMPORTRANGE(""https://docs.google.com/spreadshe"&amp;"ets/d/19GOkiOqnzYbevLYWrMk4qFOXe3rX14BkSA8X-mq-a40/edit?usp=share_link"",""มหาสารคาม!I492"")+IMPORTRANGE(""https://docs.google.com/spreadsheets/d/1uMKqWwuNQ-TCKboGA3Bb1qXb5uj2-faACNUINCz8PN4/edit?usp=share_link"",""มุกดาหาร!I492"")+IMPORTRANGE(""https://d"&amp;"ocs.google.com/spreadsheets/d/1oKaccgDdQABndOzGr688Dbfxb_V3YcF67VqEPBtdzsc/edit?usp=share_link"",""ยโสธร!I492"")+IMPORTRANGE(""https://docs.google.com/spreadsheets/d/1BRgc8xKpxZ0PX-gauieMVkV_IOxKSotf0yW8MabGprQ/edit?usp=share_link"",""ร้อยเอ็ด!I492"")+IMP"&amp;"ORTRANGE(""https://docs.google.com/spreadsheets/d/1IdolZc-dfdgMwAm_KZxYJl1sUOcIgnbGQzbWOlddedo/edit?usp=share_link"",""เลย!I492"")+IMPORTRANGE(""https://docs.google.com/spreadsheets/d/1tZ0nmtGuIRCaGAMXHlQU8EpR9LOAJvyKfc4f7EFmE34/edit?usp=share_link"",""ศร"&amp;"ีสะเกษ!I492"")+IMPORTRANGE(""https://docs.google.com/spreadsheets/d/1QC8psz9w0f9IVE9Xuc2FT_btkaOzZbbUSgYObpBuetM/edit?usp=share_link"",""สกลนคร!I492"")+IMPORTRANGE(""https://docs.google.com/spreadsheets/d/1wPdvRbu02d33MYVlbsCnyTiZpefEBs9NNktAnT1HZvw/edit?"&amp;"usp=share_link"",""สุรินทร์!I492"")+IMPORTRANGE(""https://docs.google.com/spreadsheets/d/1GVExpf-Exi_2gmuqTYH28fseTB9MoKPXWcXCbSt_YrM/edit?usp=share_link"",""หนองคาย!I492"")+IMPORTRANGE(""https://docs.google.com/spreadsheets/d/16UeMz0UgOB5BZcoxP75eYGcLFtG"&amp;"YRn9GoesD4OX9m5U/edit?usp=share_link"",""หนองบัวลำภู!I492"")+IMPORTRANGE(""https://docs.google.com/spreadsheets/d/1uUP8Zo1-qaJLuIkRU0qlwLSE3DHkbdrrj2JGJiWBQZE/edit?usp=share_link"",""อำนาจเจริญ!I492"")+IMPORTRANGE(""https://docs.google.com/spreadsheets/d/"&amp;"1hb_taSOHanzRjqfzWPiFo8yiT83VV1L7vvUCLhOiHKc/edit?usp=share_link"",""อุดรธานี!I492"")+IMPORTRANGE(""https://docs.google.com/spreadsheets/d/17IOkEwkUd63EGNfyNDnM5de9YlZ7rwzTiW6-dokVjKI/edit?usp=share_link"",""อุบลราชธานี!I492"")
"),20)</f>
        <v>20</v>
      </c>
      <c r="J492" s="183">
        <f ca="1">IFERROR(__xludf.DUMMYFUNCTION("IMPORTRANGE(""https://docs.google.com/spreadsheets/d/1fb2B9NLcpJgjIieIJvenUTNPn0TimZDUi0OtYeiSQ_s/edit?usp=share_link"",""กาฬสินธุ์!J492"")+IMPORTRANGE(""https://docs.google.com/spreadsheets/d/1SaMnqrwRGmFYNR0MhpWmHuL5niYUd5E7vDq8X7whAlI/edit?usp=share_li"&amp;"nk"",""ขอนแก่น!J492"")
+IMPORTRANGE(""https://docs.google.com/spreadsheets/d/1xQzEtGHhTTgxHh6YUkKY1P4dRyjVhS74dGswLfAASA4/edit?usp=share_link"",""ชัยภูมิ!J492"")+IMPORTRANGE(""https://docs.google.com/spreadsheets/d/1EXMBoBxU3OFbjT2TRpneM33qFjqDzrKmn9ydcfl"&amp;"fI0o/edit?usp=share_link"",""นครพนม!J492"")+IMPORTRANGE(""https://docs.google.com/spreadsheets/d/1bDQrolntRWtHumK8W-x-HXKntwxB9S3sF5aDeRS66Ko/edit?usp=share_link"",""นครราชสีมา!J492"")+IMPORTRANGE(""https://docs.google.com/spreadsheets/d/1_MzZ-2gVPiCW-d2V"&amp;"cafoCmFJQTSrZ6SQyFcMqRRQQ2w/edit?usp=share_link"",""บึงกาฬ!J492"")
+IMPORTRANGE(""https://docs.google.com/spreadsheets/d/1B3lPpzOuaNwVItLwLEZYl_qEblfcx7dRnbRkAw0l-pE/edit?usp=share_link"",""บุรีรัมย์!J492"")+IMPORTRANGE(""https://docs.google.com/spreadshe"&amp;"ets/d/19GOkiOqnzYbevLYWrMk4qFOXe3rX14BkSA8X-mq-a40/edit?usp=share_link"",""มหาสารคาม!J492"")+IMPORTRANGE(""https://docs.google.com/spreadsheets/d/1uMKqWwuNQ-TCKboGA3Bb1qXb5uj2-faACNUINCz8PN4/edit?usp=share_link"",""มุกดาหาร!J492"")+IMPORTRANGE(""https://d"&amp;"ocs.google.com/spreadsheets/d/1oKaccgDdQABndOzGr688Dbfxb_V3YcF67VqEPBtdzsc/edit?usp=share_link"",""ยโสธร!J492"")+IMPORTRANGE(""https://docs.google.com/spreadsheets/d/1BRgc8xKpxZ0PX-gauieMVkV_IOxKSotf0yW8MabGprQ/edit?usp=share_link"",""ร้อยเอ็ด!J492"")+IMP"&amp;"ORTRANGE(""https://docs.google.com/spreadsheets/d/1IdolZc-dfdgMwAm_KZxYJl1sUOcIgnbGQzbWOlddedo/edit?usp=share_link"",""เลย!J492"")+IMPORTRANGE(""https://docs.google.com/spreadsheets/d/1tZ0nmtGuIRCaGAMXHlQU8EpR9LOAJvyKfc4f7EFmE34/edit?usp=share_link"",""ศร"&amp;"ีสะเกษ!J492"")+IMPORTRANGE(""https://docs.google.com/spreadsheets/d/1QC8psz9w0f9IVE9Xuc2FT_btkaOzZbbUSgYObpBuetM/edit?usp=share_link"",""สกลนคร!J492"")+IMPORTRANGE(""https://docs.google.com/spreadsheets/d/1wPdvRbu02d33MYVlbsCnyTiZpefEBs9NNktAnT1HZvw/edit?"&amp;"usp=share_link"",""สุรินทร์!J492"")+IMPORTRANGE(""https://docs.google.com/spreadsheets/d/1GVExpf-Exi_2gmuqTYH28fseTB9MoKPXWcXCbSt_YrM/edit?usp=share_link"",""หนองคาย!J492"")+IMPORTRANGE(""https://docs.google.com/spreadsheets/d/16UeMz0UgOB5BZcoxP75eYGcLFtG"&amp;"YRn9GoesD4OX9m5U/edit?usp=share_link"",""หนองบัวลำภู!J492"")+IMPORTRANGE(""https://docs.google.com/spreadsheets/d/1uUP8Zo1-qaJLuIkRU0qlwLSE3DHkbdrrj2JGJiWBQZE/edit?usp=share_link"",""อำนาจเจริญ!J492"")+IMPORTRANGE(""https://docs.google.com/spreadsheets/d/"&amp;"1hb_taSOHanzRjqfzWPiFo8yiT83VV1L7vvUCLhOiHKc/edit?usp=share_link"",""อุดรธานี!J492"")+IMPORTRANGE(""https://docs.google.com/spreadsheets/d/17IOkEwkUd63EGNfyNDnM5de9YlZ7rwzTiW6-dokVjKI/edit?usp=share_link"",""อุบลราชธานี!J492"")
"),20)</f>
        <v>20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</row>
    <row r="493" spans="1:26" ht="19.5">
      <c r="A493" s="608"/>
      <c r="B493" s="609"/>
      <c r="C493" s="609"/>
      <c r="D493" s="625" t="s">
        <v>59</v>
      </c>
      <c r="E493" s="609"/>
      <c r="F493" s="619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</row>
    <row r="494" spans="1:26" ht="18.75">
      <c r="A494" s="608"/>
      <c r="B494" s="609"/>
      <c r="C494" s="609"/>
      <c r="D494" s="609"/>
      <c r="E494" s="618" t="s">
        <v>208</v>
      </c>
      <c r="F494" s="619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</row>
    <row r="495" spans="1:26" ht="18.75">
      <c r="A495" s="608"/>
      <c r="B495" s="609"/>
      <c r="C495" s="609"/>
      <c r="D495" s="609"/>
      <c r="E495" s="609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fb2B9NLcpJgjIieIJvenUTNPn0TimZDUi0OtYeiSQ_s/edit?usp=share_link"",""กาฬสินธุ์!I495"")+IMPORTRANGE(""https://docs.google.com/spreadsheets/d/1SaMnqrwRGmFYNR0MhpWmHuL5niYUd5E7vDq8X7whAlI/edit?usp=share_li"&amp;"nk"",""ขอนแก่น!I495"")
+IMPORTRANGE(""https://docs.google.com/spreadsheets/d/1xQzEtGHhTTgxHh6YUkKY1P4dRyjVhS74dGswLfAASA4/edit?usp=share_link"",""ชัยภูมิ!I495"")+IMPORTRANGE(""https://docs.google.com/spreadsheets/d/1EXMBoBxU3OFbjT2TRpneM33qFjqDzrKmn9ydcfl"&amp;"fI0o/edit?usp=share_link"",""นครพนม!I495"")+IMPORTRANGE(""https://docs.google.com/spreadsheets/d/1bDQrolntRWtHumK8W-x-HXKntwxB9S3sF5aDeRS66Ko/edit?usp=share_link"",""นครราชสีมา!I495"")+IMPORTRANGE(""https://docs.google.com/spreadsheets/d/1_MzZ-2gVPiCW-d2V"&amp;"cafoCmFJQTSrZ6SQyFcMqRRQQ2w/edit?usp=share_link"",""บึงกาฬ!I495"")
+IMPORTRANGE(""https://docs.google.com/spreadsheets/d/1B3lPpzOuaNwVItLwLEZYl_qEblfcx7dRnbRkAw0l-pE/edit?usp=share_link"",""บุรีรัมย์!I495"")+IMPORTRANGE(""https://docs.google.com/spreadshe"&amp;"ets/d/19GOkiOqnzYbevLYWrMk4qFOXe3rX14BkSA8X-mq-a40/edit?usp=share_link"",""มหาสารคาม!I495"")+IMPORTRANGE(""https://docs.google.com/spreadsheets/d/1uMKqWwuNQ-TCKboGA3Bb1qXb5uj2-faACNUINCz8PN4/edit?usp=share_link"",""มุกดาหาร!I495"")+IMPORTRANGE(""https://d"&amp;"ocs.google.com/spreadsheets/d/1oKaccgDdQABndOzGr688Dbfxb_V3YcF67VqEPBtdzsc/edit?usp=share_link"",""ยโสธร!I495"")+IMPORTRANGE(""https://docs.google.com/spreadsheets/d/1BRgc8xKpxZ0PX-gauieMVkV_IOxKSotf0yW8MabGprQ/edit?usp=share_link"",""ร้อยเอ็ด!I495"")+IMP"&amp;"ORTRANGE(""https://docs.google.com/spreadsheets/d/1IdolZc-dfdgMwAm_KZxYJl1sUOcIgnbGQzbWOlddedo/edit?usp=share_link"",""เลย!I495"")+IMPORTRANGE(""https://docs.google.com/spreadsheets/d/1tZ0nmtGuIRCaGAMXHlQU8EpR9LOAJvyKfc4f7EFmE34/edit?usp=share_link"",""ศร"&amp;"ีสะเกษ!I495"")+IMPORTRANGE(""https://docs.google.com/spreadsheets/d/1QC8psz9w0f9IVE9Xuc2FT_btkaOzZbbUSgYObpBuetM/edit?usp=share_link"",""สกลนคร!I495"")+IMPORTRANGE(""https://docs.google.com/spreadsheets/d/1wPdvRbu02d33MYVlbsCnyTiZpefEBs9NNktAnT1HZvw/edit?"&amp;"usp=share_link"",""สุรินทร์!I495"")+IMPORTRANGE(""https://docs.google.com/spreadsheets/d/1GVExpf-Exi_2gmuqTYH28fseTB9MoKPXWcXCbSt_YrM/edit?usp=share_link"",""หนองคาย!I495"")+IMPORTRANGE(""https://docs.google.com/spreadsheets/d/16UeMz0UgOB5BZcoxP75eYGcLFtG"&amp;"YRn9GoesD4OX9m5U/edit?usp=share_link"",""หนองบัวลำภู!I495"")+IMPORTRANGE(""https://docs.google.com/spreadsheets/d/1uUP8Zo1-qaJLuIkRU0qlwLSE3DHkbdrrj2JGJiWBQZE/edit?usp=share_link"",""อำนาจเจริญ!I495"")+IMPORTRANGE(""https://docs.google.com/spreadsheets/d/"&amp;"1hb_taSOHanzRjqfzWPiFo8yiT83VV1L7vvUCLhOiHKc/edit?usp=share_link"",""อุดรธานี!I495"")+IMPORTRANGE(""https://docs.google.com/spreadsheets/d/17IOkEwkUd63EGNfyNDnM5de9YlZ7rwzTiW6-dokVjKI/edit?usp=share_link"",""อุบลราชธานี!I495"")
"),17100)</f>
        <v>17100</v>
      </c>
      <c r="J495" s="183">
        <f ca="1">IFERROR(__xludf.DUMMYFUNCTION("IMPORTRANGE(""https://docs.google.com/spreadsheets/d/1fb2B9NLcpJgjIieIJvenUTNPn0TimZDUi0OtYeiSQ_s/edit?usp=share_link"",""กาฬสินธุ์!J495"")+IMPORTRANGE(""https://docs.google.com/spreadsheets/d/1SaMnqrwRGmFYNR0MhpWmHuL5niYUd5E7vDq8X7whAlI/edit?usp=share_li"&amp;"nk"",""ขอนแก่น!J495"")
+IMPORTRANGE(""https://docs.google.com/spreadsheets/d/1xQzEtGHhTTgxHh6YUkKY1P4dRyjVhS74dGswLfAASA4/edit?usp=share_link"",""ชัยภูมิ!J495"")+IMPORTRANGE(""https://docs.google.com/spreadsheets/d/1EXMBoBxU3OFbjT2TRpneM33qFjqDzrKmn9ydcfl"&amp;"fI0o/edit?usp=share_link"",""นครพนม!J495"")+IMPORTRANGE(""https://docs.google.com/spreadsheets/d/1bDQrolntRWtHumK8W-x-HXKntwxB9S3sF5aDeRS66Ko/edit?usp=share_link"",""นครราชสีมา!J495"")+IMPORTRANGE(""https://docs.google.com/spreadsheets/d/1_MzZ-2gVPiCW-d2V"&amp;"cafoCmFJQTSrZ6SQyFcMqRRQQ2w/edit?usp=share_link"",""บึงกาฬ!J495"")
+IMPORTRANGE(""https://docs.google.com/spreadsheets/d/1B3lPpzOuaNwVItLwLEZYl_qEblfcx7dRnbRkAw0l-pE/edit?usp=share_link"",""บุรีรัมย์!J495"")+IMPORTRANGE(""https://docs.google.com/spreadshe"&amp;"ets/d/19GOkiOqnzYbevLYWrMk4qFOXe3rX14BkSA8X-mq-a40/edit?usp=share_link"",""มหาสารคาม!J495"")+IMPORTRANGE(""https://docs.google.com/spreadsheets/d/1uMKqWwuNQ-TCKboGA3Bb1qXb5uj2-faACNUINCz8PN4/edit?usp=share_link"",""มุกดาหาร!J495"")+IMPORTRANGE(""https://d"&amp;"ocs.google.com/spreadsheets/d/1oKaccgDdQABndOzGr688Dbfxb_V3YcF67VqEPBtdzsc/edit?usp=share_link"",""ยโสธร!J495"")+IMPORTRANGE(""https://docs.google.com/spreadsheets/d/1BRgc8xKpxZ0PX-gauieMVkV_IOxKSotf0yW8MabGprQ/edit?usp=share_link"",""ร้อยเอ็ด!J495"")+IMP"&amp;"ORTRANGE(""https://docs.google.com/spreadsheets/d/1IdolZc-dfdgMwAm_KZxYJl1sUOcIgnbGQzbWOlddedo/edit?usp=share_link"",""เลย!J495"")+IMPORTRANGE(""https://docs.google.com/spreadsheets/d/1tZ0nmtGuIRCaGAMXHlQU8EpR9LOAJvyKfc4f7EFmE34/edit?usp=share_link"",""ศร"&amp;"ีสะเกษ!J495"")+IMPORTRANGE(""https://docs.google.com/spreadsheets/d/1QC8psz9w0f9IVE9Xuc2FT_btkaOzZbbUSgYObpBuetM/edit?usp=share_link"",""สกลนคร!J495"")+IMPORTRANGE(""https://docs.google.com/spreadsheets/d/1wPdvRbu02d33MYVlbsCnyTiZpefEBs9NNktAnT1HZvw/edit?"&amp;"usp=share_link"",""สุรินทร์!J495"")+IMPORTRANGE(""https://docs.google.com/spreadsheets/d/1GVExpf-Exi_2gmuqTYH28fseTB9MoKPXWcXCbSt_YrM/edit?usp=share_link"",""หนองคาย!J495"")+IMPORTRANGE(""https://docs.google.com/spreadsheets/d/16UeMz0UgOB5BZcoxP75eYGcLFtG"&amp;"YRn9GoesD4OX9m5U/edit?usp=share_link"",""หนองบัวลำภู!J495"")+IMPORTRANGE(""https://docs.google.com/spreadsheets/d/1uUP8Zo1-qaJLuIkRU0qlwLSE3DHkbdrrj2JGJiWBQZE/edit?usp=share_link"",""อำนาจเจริญ!J495"")+IMPORTRANGE(""https://docs.google.com/spreadsheets/d/"&amp;"1hb_taSOHanzRjqfzWPiFo8yiT83VV1L7vvUCLhOiHKc/edit?usp=share_link"",""อุดรธานี!J495"")+IMPORTRANGE(""https://docs.google.com/spreadsheets/d/17IOkEwkUd63EGNfyNDnM5de9YlZ7rwzTiW6-dokVjKI/edit?usp=share_link"",""อุบลราชธานี!J495"")
"),15933)</f>
        <v>15933</v>
      </c>
      <c r="K495" s="38">
        <f ca="1">IF(I495&gt;0,J495*100/I495,0)</f>
        <v>93.175438596491233</v>
      </c>
      <c r="L495" s="38"/>
      <c r="M495" s="38"/>
      <c r="N495" s="38"/>
      <c r="O495" s="38"/>
      <c r="P495" s="3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</row>
    <row r="496" spans="1:26" ht="18.75">
      <c r="A496" s="608"/>
      <c r="B496" s="609"/>
      <c r="C496" s="609"/>
      <c r="D496" s="609"/>
      <c r="E496" s="609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fb2B9NLcpJgjIieIJvenUTNPn0TimZDUi0OtYeiSQ_s/edit?usp=share_link"",""กาฬสินธุ์!J496"")+IMPORTRANGE(""https://docs.google.com/spreadsheets/d/1SaMnqrwRGmFYNR0MhpWmHuL5niYUd5E7vDq8X7whAlI/edit?usp=share_li"&amp;"nk"",""ขอนแก่น!J496"")
+IMPORTRANGE(""https://docs.google.com/spreadsheets/d/1xQzEtGHhTTgxHh6YUkKY1P4dRyjVhS74dGswLfAASA4/edit?usp=share_link"",""ชัยภูมิ!J496"")+IMPORTRANGE(""https://docs.google.com/spreadsheets/d/1EXMBoBxU3OFbjT2TRpneM33qFjqDzrKmn9ydcfl"&amp;"fI0o/edit?usp=share_link"",""นครพนม!J496"")+IMPORTRANGE(""https://docs.google.com/spreadsheets/d/1bDQrolntRWtHumK8W-x-HXKntwxB9S3sF5aDeRS66Ko/edit?usp=share_link"",""นครราชสีมา!J496"")+IMPORTRANGE(""https://docs.google.com/spreadsheets/d/1_MzZ-2gVPiCW-d2V"&amp;"cafoCmFJQTSrZ6SQyFcMqRRQQ2w/edit?usp=share_link"",""บึงกาฬ!J496"")
+IMPORTRANGE(""https://docs.google.com/spreadsheets/d/1B3lPpzOuaNwVItLwLEZYl_qEblfcx7dRnbRkAw0l-pE/edit?usp=share_link"",""บุรีรัมย์!J496"")+IMPORTRANGE(""https://docs.google.com/spreadshe"&amp;"ets/d/19GOkiOqnzYbevLYWrMk4qFOXe3rX14BkSA8X-mq-a40/edit?usp=share_link"",""มหาสารคาม!J496"")+IMPORTRANGE(""https://docs.google.com/spreadsheets/d/1uMKqWwuNQ-TCKboGA3Bb1qXb5uj2-faACNUINCz8PN4/edit?usp=share_link"",""มุกดาหาร!J496"")+IMPORTRANGE(""https://d"&amp;"ocs.google.com/spreadsheets/d/1oKaccgDdQABndOzGr688Dbfxb_V3YcF67VqEPBtdzsc/edit?usp=share_link"",""ยโสธร!J496"")+IMPORTRANGE(""https://docs.google.com/spreadsheets/d/1BRgc8xKpxZ0PX-gauieMVkV_IOxKSotf0yW8MabGprQ/edit?usp=share_link"",""ร้อยเอ็ด!J496"")+IMP"&amp;"ORTRANGE(""https://docs.google.com/spreadsheets/d/1IdolZc-dfdgMwAm_KZxYJl1sUOcIgnbGQzbWOlddedo/edit?usp=share_link"",""เลย!J496"")+IMPORTRANGE(""https://docs.google.com/spreadsheets/d/1tZ0nmtGuIRCaGAMXHlQU8EpR9LOAJvyKfc4f7EFmE34/edit?usp=share_link"",""ศร"&amp;"ีสะเกษ!J496"")+IMPORTRANGE(""https://docs.google.com/spreadsheets/d/1QC8psz9w0f9IVE9Xuc2FT_btkaOzZbbUSgYObpBuetM/edit?usp=share_link"",""สกลนคร!J496"")+IMPORTRANGE(""https://docs.google.com/spreadsheets/d/1wPdvRbu02d33MYVlbsCnyTiZpefEBs9NNktAnT1HZvw/edit?"&amp;"usp=share_link"",""สุรินทร์!J496"")+IMPORTRANGE(""https://docs.google.com/spreadsheets/d/1GVExpf-Exi_2gmuqTYH28fseTB9MoKPXWcXCbSt_YrM/edit?usp=share_link"",""หนองคาย!J496"")+IMPORTRANGE(""https://docs.google.com/spreadsheets/d/16UeMz0UgOB5BZcoxP75eYGcLFtG"&amp;"YRn9GoesD4OX9m5U/edit?usp=share_link"",""หนองบัวลำภู!J496"")+IMPORTRANGE(""https://docs.google.com/spreadsheets/d/1uUP8Zo1-qaJLuIkRU0qlwLSE3DHkbdrrj2JGJiWBQZE/edit?usp=share_link"",""อำนาจเจริญ!J496"")+IMPORTRANGE(""https://docs.google.com/spreadsheets/d/"&amp;"1hb_taSOHanzRjqfzWPiFo8yiT83VV1L7vvUCLhOiHKc/edit?usp=share_link"",""อุดรธานี!J496"")+IMPORTRANGE(""https://docs.google.com/spreadsheets/d/17IOkEwkUd63EGNfyNDnM5de9YlZ7rwzTiW6-dokVjKI/edit?usp=share_link"",""อุบลราชธานี!J496"")
"),4596)</f>
        <v>4596</v>
      </c>
      <c r="K496" s="38"/>
      <c r="L496" s="38"/>
      <c r="M496" s="38"/>
      <c r="N496" s="38"/>
      <c r="O496" s="38"/>
      <c r="P496" s="3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</row>
    <row r="497" spans="1:26" ht="18.75">
      <c r="A497" s="608"/>
      <c r="B497" s="609"/>
      <c r="C497" s="609"/>
      <c r="D497" s="609"/>
      <c r="E497" s="618" t="s">
        <v>62</v>
      </c>
      <c r="F497" s="619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</row>
    <row r="498" spans="1:26" ht="18.75">
      <c r="A498" s="608"/>
      <c r="B498" s="609"/>
      <c r="C498" s="609"/>
      <c r="D498" s="609"/>
      <c r="E498" s="619"/>
      <c r="F498" s="626" t="s">
        <v>218</v>
      </c>
      <c r="G498" s="175"/>
      <c r="H498" s="36" t="s">
        <v>46</v>
      </c>
      <c r="I498" s="37">
        <f ca="1">IFERROR(__xludf.DUMMYFUNCTION("IMPORTRANGE(""https://docs.google.com/spreadsheets/d/1fb2B9NLcpJgjIieIJvenUTNPn0TimZDUi0OtYeiSQ_s/edit?usp=share_link"",""กาฬสินธุ์!I498"")+IMPORTRANGE(""https://docs.google.com/spreadsheets/d/1SaMnqrwRGmFYNR0MhpWmHuL5niYUd5E7vDq8X7whAlI/edit?usp=share_li"&amp;"nk"",""ขอนแก่น!I498"")
+IMPORTRANGE(""https://docs.google.com/spreadsheets/d/1xQzEtGHhTTgxHh6YUkKY1P4dRyjVhS74dGswLfAASA4/edit?usp=share_link"",""ชัยภูมิ!I498"")+IMPORTRANGE(""https://docs.google.com/spreadsheets/d/1EXMBoBxU3OFbjT2TRpneM33qFjqDzrKmn9ydcfl"&amp;"fI0o/edit?usp=share_link"",""นครพนม!I498"")+IMPORTRANGE(""https://docs.google.com/spreadsheets/d/1bDQrolntRWtHumK8W-x-HXKntwxB9S3sF5aDeRS66Ko/edit?usp=share_link"",""นครราชสีมา!I498"")+IMPORTRANGE(""https://docs.google.com/spreadsheets/d/1_MzZ-2gVPiCW-d2V"&amp;"cafoCmFJQTSrZ6SQyFcMqRRQQ2w/edit?usp=share_link"",""บึงกาฬ!I498"")
+IMPORTRANGE(""https://docs.google.com/spreadsheets/d/1B3lPpzOuaNwVItLwLEZYl_qEblfcx7dRnbRkAw0l-pE/edit?usp=share_link"",""บุรีรัมย์!I498"")+IMPORTRANGE(""https://docs.google.com/spreadshe"&amp;"ets/d/19GOkiOqnzYbevLYWrMk4qFOXe3rX14BkSA8X-mq-a40/edit?usp=share_link"",""มหาสารคาม!I498"")+IMPORTRANGE(""https://docs.google.com/spreadsheets/d/1uMKqWwuNQ-TCKboGA3Bb1qXb5uj2-faACNUINCz8PN4/edit?usp=share_link"",""มุกดาหาร!I498"")+IMPORTRANGE(""https://d"&amp;"ocs.google.com/spreadsheets/d/1oKaccgDdQABndOzGr688Dbfxb_V3YcF67VqEPBtdzsc/edit?usp=share_link"",""ยโสธร!I498"")+IMPORTRANGE(""https://docs.google.com/spreadsheets/d/1BRgc8xKpxZ0PX-gauieMVkV_IOxKSotf0yW8MabGprQ/edit?usp=share_link"",""ร้อยเอ็ด!I498"")+IMP"&amp;"ORTRANGE(""https://docs.google.com/spreadsheets/d/1IdolZc-dfdgMwAm_KZxYJl1sUOcIgnbGQzbWOlddedo/edit?usp=share_link"",""เลย!I498"")+IMPORTRANGE(""https://docs.google.com/spreadsheets/d/1tZ0nmtGuIRCaGAMXHlQU8EpR9LOAJvyKfc4f7EFmE34/edit?usp=share_link"",""ศร"&amp;"ีสะเกษ!I498"")+IMPORTRANGE(""https://docs.google.com/spreadsheets/d/1QC8psz9w0f9IVE9Xuc2FT_btkaOzZbbUSgYObpBuetM/edit?usp=share_link"",""สกลนคร!I498"")+IMPORTRANGE(""https://docs.google.com/spreadsheets/d/1wPdvRbu02d33MYVlbsCnyTiZpefEBs9NNktAnT1HZvw/edit?"&amp;"usp=share_link"",""สุรินทร์!I498"")+IMPORTRANGE(""https://docs.google.com/spreadsheets/d/1GVExpf-Exi_2gmuqTYH28fseTB9MoKPXWcXCbSt_YrM/edit?usp=share_link"",""หนองคาย!I498"")+IMPORTRANGE(""https://docs.google.com/spreadsheets/d/16UeMz0UgOB5BZcoxP75eYGcLFtG"&amp;"YRn9GoesD4OX9m5U/edit?usp=share_link"",""หนองบัวลำภู!I498"")+IMPORTRANGE(""https://docs.google.com/spreadsheets/d/1uUP8Zo1-qaJLuIkRU0qlwLSE3DHkbdrrj2JGJiWBQZE/edit?usp=share_link"",""อำนาจเจริญ!I498"")+IMPORTRANGE(""https://docs.google.com/spreadsheets/d/"&amp;"1hb_taSOHanzRjqfzWPiFo8yiT83VV1L7vvUCLhOiHKc/edit?usp=share_link"",""อุดรธานี!I498"")+IMPORTRANGE(""https://docs.google.com/spreadsheets/d/17IOkEwkUd63EGNfyNDnM5de9YlZ7rwzTiW6-dokVjKI/edit?usp=share_link"",""อุบลราชธานี!I498"")
"),1900)</f>
        <v>1900</v>
      </c>
      <c r="J498" s="183">
        <f ca="1">IFERROR(__xludf.DUMMYFUNCTION("IMPORTRANGE(""https://docs.google.com/spreadsheets/d/1fb2B9NLcpJgjIieIJvenUTNPn0TimZDUi0OtYeiSQ_s/edit?usp=share_link"",""กาฬสินธุ์!J498"")+IMPORTRANGE(""https://docs.google.com/spreadsheets/d/1SaMnqrwRGmFYNR0MhpWmHuL5niYUd5E7vDq8X7whAlI/edit?usp=share_li"&amp;"nk"",""ขอนแก่น!J498"")
+IMPORTRANGE(""https://docs.google.com/spreadsheets/d/1xQzEtGHhTTgxHh6YUkKY1P4dRyjVhS74dGswLfAASA4/edit?usp=share_link"",""ชัยภูมิ!J498"")+IMPORTRANGE(""https://docs.google.com/spreadsheets/d/1EXMBoBxU3OFbjT2TRpneM33qFjqDzrKmn9ydcfl"&amp;"fI0o/edit?usp=share_link"",""นครพนม!J498"")+IMPORTRANGE(""https://docs.google.com/spreadsheets/d/1bDQrolntRWtHumK8W-x-HXKntwxB9S3sF5aDeRS66Ko/edit?usp=share_link"",""นครราชสีมา!J498"")+IMPORTRANGE(""https://docs.google.com/spreadsheets/d/1_MzZ-2gVPiCW-d2V"&amp;"cafoCmFJQTSrZ6SQyFcMqRRQQ2w/edit?usp=share_link"",""บึงกาฬ!J498"")
+IMPORTRANGE(""https://docs.google.com/spreadsheets/d/1B3lPpzOuaNwVItLwLEZYl_qEblfcx7dRnbRkAw0l-pE/edit?usp=share_link"",""บุรีรัมย์!J498"")+IMPORTRANGE(""https://docs.google.com/spreadshe"&amp;"ets/d/19GOkiOqnzYbevLYWrMk4qFOXe3rX14BkSA8X-mq-a40/edit?usp=share_link"",""มหาสารคาม!J498"")+IMPORTRANGE(""https://docs.google.com/spreadsheets/d/1uMKqWwuNQ-TCKboGA3Bb1qXb5uj2-faACNUINCz8PN4/edit?usp=share_link"",""มุกดาหาร!J498"")+IMPORTRANGE(""https://d"&amp;"ocs.google.com/spreadsheets/d/1oKaccgDdQABndOzGr688Dbfxb_V3YcF67VqEPBtdzsc/edit?usp=share_link"",""ยโสธร!J498"")+IMPORTRANGE(""https://docs.google.com/spreadsheets/d/1BRgc8xKpxZ0PX-gauieMVkV_IOxKSotf0yW8MabGprQ/edit?usp=share_link"",""ร้อยเอ็ด!J498"")+IMP"&amp;"ORTRANGE(""https://docs.google.com/spreadsheets/d/1IdolZc-dfdgMwAm_KZxYJl1sUOcIgnbGQzbWOlddedo/edit?usp=share_link"",""เลย!J498"")+IMPORTRANGE(""https://docs.google.com/spreadsheets/d/1tZ0nmtGuIRCaGAMXHlQU8EpR9LOAJvyKfc4f7EFmE34/edit?usp=share_link"",""ศร"&amp;"ีสะเกษ!J498"")+IMPORTRANGE(""https://docs.google.com/spreadsheets/d/1QC8psz9w0f9IVE9Xuc2FT_btkaOzZbbUSgYObpBuetM/edit?usp=share_link"",""สกลนคร!J498"")+IMPORTRANGE(""https://docs.google.com/spreadsheets/d/1wPdvRbu02d33MYVlbsCnyTiZpefEBs9NNktAnT1HZvw/edit?"&amp;"usp=share_link"",""สุรินทร์!J498"")+IMPORTRANGE(""https://docs.google.com/spreadsheets/d/1GVExpf-Exi_2gmuqTYH28fseTB9MoKPXWcXCbSt_YrM/edit?usp=share_link"",""หนองคาย!J498"")+IMPORTRANGE(""https://docs.google.com/spreadsheets/d/16UeMz0UgOB5BZcoxP75eYGcLFtG"&amp;"YRn9GoesD4OX9m5U/edit?usp=share_link"",""หนองบัวลำภู!J498"")+IMPORTRANGE(""https://docs.google.com/spreadsheets/d/1uUP8Zo1-qaJLuIkRU0qlwLSE3DHkbdrrj2JGJiWBQZE/edit?usp=share_link"",""อำนาจเจริญ!J498"")+IMPORTRANGE(""https://docs.google.com/spreadsheets/d/"&amp;"1hb_taSOHanzRjqfzWPiFo8yiT83VV1L7vvUCLhOiHKc/edit?usp=share_link"",""อุดรธานี!J498"")+IMPORTRANGE(""https://docs.google.com/spreadsheets/d/17IOkEwkUd63EGNfyNDnM5de9YlZ7rwzTiW6-dokVjKI/edit?usp=share_link"",""อุบลราชธานี!J498"")
"),1770)</f>
        <v>1770</v>
      </c>
      <c r="K498" s="38">
        <f ca="1">IF(I498&gt;0,J498*100/I498,0)</f>
        <v>93.15789473684211</v>
      </c>
      <c r="L498" s="38"/>
      <c r="M498" s="38"/>
      <c r="N498" s="38"/>
      <c r="O498" s="38"/>
      <c r="P498" s="3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</row>
    <row r="499" spans="1:26" ht="18.75">
      <c r="A499" s="608"/>
      <c r="B499" s="609"/>
      <c r="C499" s="609"/>
      <c r="D499" s="609"/>
      <c r="E499" s="619"/>
      <c r="F499" s="626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fb2B9NLcpJgjIieIJvenUTNPn0TimZDUi0OtYeiSQ_s/edit?usp=share_link"",""กาฬสินธุ์!J499"")+IMPORTRANGE(""https://docs.google.com/spreadsheets/d/1SaMnqrwRGmFYNR0MhpWmHuL5niYUd5E7vDq8X7whAlI/edit?usp=share_li"&amp;"nk"",""ขอนแก่น!J499"")
+IMPORTRANGE(""https://docs.google.com/spreadsheets/d/1xQzEtGHhTTgxHh6YUkKY1P4dRyjVhS74dGswLfAASA4/edit?usp=share_link"",""ชัยภูมิ!J499"")+IMPORTRANGE(""https://docs.google.com/spreadsheets/d/1EXMBoBxU3OFbjT2TRpneM33qFjqDzrKmn9ydcfl"&amp;"fI0o/edit?usp=share_link"",""นครพนม!J499"")+IMPORTRANGE(""https://docs.google.com/spreadsheets/d/1bDQrolntRWtHumK8W-x-HXKntwxB9S3sF5aDeRS66Ko/edit?usp=share_link"",""นครราชสีมา!J499"")+IMPORTRANGE(""https://docs.google.com/spreadsheets/d/1_MzZ-2gVPiCW-d2V"&amp;"cafoCmFJQTSrZ6SQyFcMqRRQQ2w/edit?usp=share_link"",""บึงกาฬ!J499"")
+IMPORTRANGE(""https://docs.google.com/spreadsheets/d/1B3lPpzOuaNwVItLwLEZYl_qEblfcx7dRnbRkAw0l-pE/edit?usp=share_link"",""บุรีรัมย์!J499"")+IMPORTRANGE(""https://docs.google.com/spreadshe"&amp;"ets/d/19GOkiOqnzYbevLYWrMk4qFOXe3rX14BkSA8X-mq-a40/edit?usp=share_link"",""มหาสารคาม!J499"")+IMPORTRANGE(""https://docs.google.com/spreadsheets/d/1uMKqWwuNQ-TCKboGA3Bb1qXb5uj2-faACNUINCz8PN4/edit?usp=share_link"",""มุกดาหาร!J499"")+IMPORTRANGE(""https://d"&amp;"ocs.google.com/spreadsheets/d/1oKaccgDdQABndOzGr688Dbfxb_V3YcF67VqEPBtdzsc/edit?usp=share_link"",""ยโสธร!J499"")+IMPORTRANGE(""https://docs.google.com/spreadsheets/d/1BRgc8xKpxZ0PX-gauieMVkV_IOxKSotf0yW8MabGprQ/edit?usp=share_link"",""ร้อยเอ็ด!J499"")+IMP"&amp;"ORTRANGE(""https://docs.google.com/spreadsheets/d/1IdolZc-dfdgMwAm_KZxYJl1sUOcIgnbGQzbWOlddedo/edit?usp=share_link"",""เลย!J499"")+IMPORTRANGE(""https://docs.google.com/spreadsheets/d/1tZ0nmtGuIRCaGAMXHlQU8EpR9LOAJvyKfc4f7EFmE34/edit?usp=share_link"",""ศร"&amp;"ีสะเกษ!J499"")+IMPORTRANGE(""https://docs.google.com/spreadsheets/d/1QC8psz9w0f9IVE9Xuc2FT_btkaOzZbbUSgYObpBuetM/edit?usp=share_link"",""สกลนคร!J499"")+IMPORTRANGE(""https://docs.google.com/spreadsheets/d/1wPdvRbu02d33MYVlbsCnyTiZpefEBs9NNktAnT1HZvw/edit?"&amp;"usp=share_link"",""สุรินทร์!J499"")+IMPORTRANGE(""https://docs.google.com/spreadsheets/d/1GVExpf-Exi_2gmuqTYH28fseTB9MoKPXWcXCbSt_YrM/edit?usp=share_link"",""หนองคาย!J499"")+IMPORTRANGE(""https://docs.google.com/spreadsheets/d/16UeMz0UgOB5BZcoxP75eYGcLFtG"&amp;"YRn9GoesD4OX9m5U/edit?usp=share_link"",""หนองบัวลำภู!J499"")+IMPORTRANGE(""https://docs.google.com/spreadsheets/d/1uUP8Zo1-qaJLuIkRU0qlwLSE3DHkbdrrj2JGJiWBQZE/edit?usp=share_link"",""อำนาจเจริญ!J499"")+IMPORTRANGE(""https://docs.google.com/spreadsheets/d/"&amp;"1hb_taSOHanzRjqfzWPiFo8yiT83VV1L7vvUCLhOiHKc/edit?usp=share_link"",""อุดรธานี!J499"")+IMPORTRANGE(""https://docs.google.com/spreadsheets/d/17IOkEwkUd63EGNfyNDnM5de9YlZ7rwzTiW6-dokVjKI/edit?usp=share_link"",""อุบลราชธานี!J499"")
"),417)</f>
        <v>417</v>
      </c>
      <c r="K499" s="38"/>
      <c r="L499" s="38"/>
      <c r="M499" s="38"/>
      <c r="N499" s="38"/>
      <c r="O499" s="38"/>
      <c r="P499" s="3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</row>
    <row r="500" spans="1:26" ht="19.5" hidden="1">
      <c r="A500" s="627">
        <v>4</v>
      </c>
      <c r="B500" s="628" t="s">
        <v>220</v>
      </c>
      <c r="C500" s="629"/>
      <c r="D500" s="630"/>
      <c r="E500" s="630"/>
      <c r="F500" s="630"/>
      <c r="G500" s="631"/>
      <c r="H500" s="632" t="s">
        <v>109</v>
      </c>
      <c r="I500" s="633"/>
      <c r="J500" s="633">
        <f t="shared" ref="J500:J501" si="247">J516</f>
        <v>0</v>
      </c>
      <c r="K500" s="634">
        <f t="shared" ref="K500:K501" si="248">IF(I500&gt;0,J500*100/I500,0)</f>
        <v>0</v>
      </c>
      <c r="L500" s="635"/>
      <c r="M500" s="635"/>
      <c r="N500" s="635"/>
      <c r="O500" s="635"/>
      <c r="P500" s="635"/>
      <c r="Q500" s="604"/>
      <c r="R500" s="604"/>
      <c r="S500" s="604"/>
      <c r="T500" s="604"/>
      <c r="U500" s="604"/>
      <c r="V500" s="604"/>
      <c r="W500" s="604"/>
      <c r="X500" s="604"/>
      <c r="Y500" s="604"/>
      <c r="Z500" s="604"/>
    </row>
    <row r="501" spans="1:26" ht="19.5" hidden="1">
      <c r="A501" s="636"/>
      <c r="B501" s="637" t="s">
        <v>221</v>
      </c>
      <c r="C501" s="638"/>
      <c r="D501" s="639"/>
      <c r="E501" s="639"/>
      <c r="F501" s="639"/>
      <c r="G501" s="640"/>
      <c r="H501" s="641" t="s">
        <v>35</v>
      </c>
      <c r="I501" s="642"/>
      <c r="J501" s="642">
        <f t="shared" si="247"/>
        <v>0</v>
      </c>
      <c r="K501" s="643">
        <f t="shared" si="248"/>
        <v>0</v>
      </c>
      <c r="L501" s="644"/>
      <c r="M501" s="644"/>
      <c r="N501" s="644"/>
      <c r="O501" s="644"/>
      <c r="P501" s="64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</row>
    <row r="502" spans="1:26" ht="19.5" hidden="1">
      <c r="A502" s="599"/>
      <c r="B502" s="600"/>
      <c r="C502" s="600" t="s">
        <v>16</v>
      </c>
      <c r="D502" s="864" t="s">
        <v>17</v>
      </c>
      <c r="E502" s="857"/>
      <c r="F502" s="857"/>
      <c r="G502" s="603"/>
      <c r="H502" s="646" t="s">
        <v>12</v>
      </c>
      <c r="I502" s="44"/>
      <c r="J502" s="44"/>
      <c r="K502" s="45"/>
      <c r="L502" s="647">
        <f t="shared" ref="L502:N502" si="249">L503+L504</f>
        <v>0</v>
      </c>
      <c r="M502" s="647">
        <f t="shared" si="249"/>
        <v>0</v>
      </c>
      <c r="N502" s="647">
        <f t="shared" si="249"/>
        <v>0</v>
      </c>
      <c r="O502" s="647">
        <f t="shared" ref="O502:O507" si="250">IF(L502&gt;0,N502*100/L502,0)</f>
        <v>0</v>
      </c>
      <c r="P502" s="647">
        <f t="shared" ref="P502:P507" si="251">IF(M502&gt;0,N502*100/M502,0)</f>
        <v>0</v>
      </c>
      <c r="Q502" s="604"/>
      <c r="R502" s="604"/>
      <c r="S502" s="604"/>
      <c r="T502" s="604"/>
      <c r="U502" s="604"/>
      <c r="V502" s="604"/>
      <c r="W502" s="604"/>
      <c r="X502" s="604"/>
      <c r="Y502" s="604"/>
      <c r="Z502" s="604"/>
    </row>
    <row r="503" spans="1:26" ht="18.75" hidden="1">
      <c r="A503" s="599"/>
      <c r="B503" s="600"/>
      <c r="C503" s="600"/>
      <c r="D503" s="601"/>
      <c r="E503" s="602" t="s">
        <v>185</v>
      </c>
      <c r="F503" s="600"/>
      <c r="G503" s="603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604"/>
      <c r="R503" s="604"/>
      <c r="S503" s="604"/>
      <c r="T503" s="604"/>
      <c r="U503" s="604"/>
      <c r="V503" s="604"/>
      <c r="W503" s="604"/>
      <c r="X503" s="604"/>
      <c r="Y503" s="604"/>
      <c r="Z503" s="604"/>
    </row>
    <row r="504" spans="1:26" ht="18.75" hidden="1">
      <c r="A504" s="599"/>
      <c r="B504" s="605"/>
      <c r="C504" s="600"/>
      <c r="D504" s="601"/>
      <c r="E504" s="602" t="s">
        <v>186</v>
      </c>
      <c r="F504" s="600"/>
      <c r="G504" s="603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604"/>
      <c r="R504" s="604"/>
      <c r="S504" s="604"/>
      <c r="T504" s="604"/>
      <c r="U504" s="604"/>
      <c r="V504" s="604"/>
      <c r="W504" s="604"/>
      <c r="X504" s="604"/>
      <c r="Y504" s="604"/>
      <c r="Z504" s="604"/>
    </row>
    <row r="505" spans="1:26" ht="18.75" hidden="1">
      <c r="A505" s="599"/>
      <c r="B505" s="605"/>
      <c r="C505" s="600"/>
      <c r="D505" s="648" t="s">
        <v>20</v>
      </c>
      <c r="E505" s="600"/>
      <c r="F505" s="600"/>
      <c r="G505" s="603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604"/>
      <c r="R505" s="604"/>
      <c r="S505" s="604"/>
      <c r="T505" s="604"/>
      <c r="U505" s="604"/>
      <c r="V505" s="604"/>
      <c r="W505" s="604"/>
      <c r="X505" s="604"/>
      <c r="Y505" s="604"/>
      <c r="Z505" s="604"/>
    </row>
    <row r="506" spans="1:26" ht="18.75" hidden="1">
      <c r="A506" s="599"/>
      <c r="B506" s="605"/>
      <c r="C506" s="600"/>
      <c r="D506" s="601"/>
      <c r="E506" s="602" t="s">
        <v>185</v>
      </c>
      <c r="F506" s="600"/>
      <c r="G506" s="603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604"/>
      <c r="R506" s="604"/>
      <c r="S506" s="604"/>
      <c r="T506" s="604"/>
      <c r="U506" s="604"/>
      <c r="V506" s="604"/>
      <c r="W506" s="604"/>
      <c r="X506" s="604"/>
      <c r="Y506" s="604"/>
      <c r="Z506" s="604"/>
    </row>
    <row r="507" spans="1:26" ht="18.75" hidden="1">
      <c r="A507" s="599"/>
      <c r="B507" s="605"/>
      <c r="C507" s="600"/>
      <c r="D507" s="601"/>
      <c r="E507" s="602" t="s">
        <v>186</v>
      </c>
      <c r="F507" s="600"/>
      <c r="G507" s="603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604"/>
      <c r="R507" s="604"/>
      <c r="S507" s="604"/>
      <c r="T507" s="604"/>
      <c r="U507" s="604"/>
      <c r="V507" s="604"/>
      <c r="W507" s="604"/>
      <c r="X507" s="604"/>
      <c r="Y507" s="604"/>
      <c r="Z507" s="604"/>
    </row>
    <row r="508" spans="1:26" ht="18.75" hidden="1">
      <c r="A508" s="649"/>
      <c r="B508" s="605"/>
      <c r="C508" s="600"/>
      <c r="D508" s="600"/>
      <c r="E508" s="600"/>
      <c r="F508" s="602" t="s">
        <v>187</v>
      </c>
      <c r="G508" s="603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604"/>
      <c r="R508" s="604"/>
      <c r="S508" s="604"/>
      <c r="T508" s="604"/>
      <c r="U508" s="604"/>
      <c r="V508" s="604"/>
      <c r="W508" s="604"/>
      <c r="X508" s="604"/>
      <c r="Y508" s="604"/>
      <c r="Z508" s="604"/>
    </row>
    <row r="509" spans="1:26" ht="18.75" hidden="1">
      <c r="A509" s="649"/>
      <c r="B509" s="605"/>
      <c r="C509" s="600"/>
      <c r="D509" s="600"/>
      <c r="E509" s="600"/>
      <c r="F509" s="602" t="s">
        <v>188</v>
      </c>
      <c r="G509" s="603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604"/>
      <c r="R509" s="604"/>
      <c r="S509" s="604"/>
      <c r="T509" s="604"/>
      <c r="U509" s="604"/>
      <c r="V509" s="604"/>
      <c r="W509" s="604"/>
      <c r="X509" s="604"/>
      <c r="Y509" s="604"/>
      <c r="Z509" s="604"/>
    </row>
    <row r="510" spans="1:26" ht="18.75" hidden="1">
      <c r="A510" s="649"/>
      <c r="B510" s="605"/>
      <c r="C510" s="605"/>
      <c r="D510" s="605"/>
      <c r="E510" s="600"/>
      <c r="F510" s="602" t="s">
        <v>189</v>
      </c>
      <c r="G510" s="603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604"/>
      <c r="R510" s="604"/>
      <c r="S510" s="604"/>
      <c r="T510" s="604"/>
      <c r="U510" s="604"/>
      <c r="V510" s="604"/>
      <c r="W510" s="604"/>
      <c r="X510" s="604"/>
      <c r="Y510" s="604"/>
      <c r="Z510" s="604"/>
    </row>
    <row r="511" spans="1:26" ht="18.75" hidden="1">
      <c r="A511" s="649"/>
      <c r="B511" s="605"/>
      <c r="C511" s="605"/>
      <c r="D511" s="605"/>
      <c r="E511" s="600"/>
      <c r="F511" s="602" t="s">
        <v>190</v>
      </c>
      <c r="G511" s="603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604"/>
      <c r="R511" s="604"/>
      <c r="S511" s="604"/>
      <c r="T511" s="604"/>
      <c r="U511" s="604"/>
      <c r="V511" s="604"/>
      <c r="W511" s="604"/>
      <c r="X511" s="604"/>
      <c r="Y511" s="604"/>
      <c r="Z511" s="604"/>
    </row>
    <row r="512" spans="1:26" ht="18.75" hidden="1">
      <c r="A512" s="599"/>
      <c r="B512" s="605"/>
      <c r="C512" s="605"/>
      <c r="D512" s="648" t="s">
        <v>21</v>
      </c>
      <c r="E512" s="605"/>
      <c r="F512" s="600"/>
      <c r="G512" s="603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604"/>
      <c r="R512" s="604"/>
      <c r="S512" s="604"/>
      <c r="T512" s="604"/>
      <c r="U512" s="604"/>
      <c r="V512" s="604"/>
      <c r="W512" s="604"/>
      <c r="X512" s="604"/>
      <c r="Y512" s="604"/>
      <c r="Z512" s="604"/>
    </row>
    <row r="513" spans="1:26" ht="18.75" hidden="1">
      <c r="A513" s="599"/>
      <c r="B513" s="605"/>
      <c r="C513" s="605"/>
      <c r="D513" s="605"/>
      <c r="E513" s="607" t="s">
        <v>18</v>
      </c>
      <c r="F513" s="600"/>
      <c r="G513" s="603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604"/>
      <c r="R513" s="604"/>
      <c r="S513" s="604"/>
      <c r="T513" s="604"/>
      <c r="U513" s="604"/>
      <c r="V513" s="604"/>
      <c r="W513" s="604"/>
      <c r="X513" s="604"/>
      <c r="Y513" s="604"/>
      <c r="Z513" s="604"/>
    </row>
    <row r="514" spans="1:26" ht="18.75" hidden="1">
      <c r="A514" s="599"/>
      <c r="B514" s="605"/>
      <c r="C514" s="605"/>
      <c r="D514" s="600"/>
      <c r="E514" s="607" t="s">
        <v>19</v>
      </c>
      <c r="F514" s="600"/>
      <c r="G514" s="603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604"/>
      <c r="R514" s="604"/>
      <c r="S514" s="604"/>
      <c r="T514" s="604"/>
      <c r="U514" s="604"/>
      <c r="V514" s="604"/>
      <c r="W514" s="604"/>
      <c r="X514" s="604"/>
      <c r="Y514" s="604"/>
      <c r="Z514" s="604"/>
    </row>
    <row r="515" spans="1:26" ht="19.5" hidden="1">
      <c r="A515" s="614"/>
      <c r="B515" s="615"/>
      <c r="C515" s="605" t="s">
        <v>16</v>
      </c>
      <c r="D515" s="650" t="s">
        <v>38</v>
      </c>
      <c r="E515" s="651"/>
      <c r="F515" s="651"/>
      <c r="G515" s="652"/>
      <c r="H515" s="366"/>
      <c r="I515" s="166"/>
      <c r="J515" s="166"/>
      <c r="K515" s="167"/>
      <c r="L515" s="167"/>
      <c r="M515" s="167"/>
      <c r="N515" s="167"/>
      <c r="O515" s="167"/>
      <c r="P515" s="167"/>
      <c r="Q515" s="604"/>
      <c r="R515" s="604"/>
      <c r="S515" s="604"/>
      <c r="T515" s="604"/>
      <c r="U515" s="604"/>
      <c r="V515" s="604"/>
      <c r="W515" s="604"/>
      <c r="X515" s="604"/>
      <c r="Y515" s="604"/>
      <c r="Z515" s="604"/>
    </row>
    <row r="516" spans="1:26" ht="18.75" hidden="1">
      <c r="A516" s="614"/>
      <c r="B516" s="615"/>
      <c r="C516" s="615"/>
      <c r="D516" s="616" t="s">
        <v>222</v>
      </c>
      <c r="E516" s="601"/>
      <c r="F516" s="601"/>
      <c r="G516" s="366"/>
      <c r="H516" s="653" t="s">
        <v>109</v>
      </c>
      <c r="I516" s="44"/>
      <c r="J516" s="617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604"/>
      <c r="R516" s="604"/>
      <c r="S516" s="604"/>
      <c r="T516" s="604"/>
      <c r="U516" s="604"/>
      <c r="V516" s="604"/>
      <c r="W516" s="604"/>
      <c r="X516" s="604"/>
      <c r="Y516" s="604"/>
      <c r="Z516" s="604"/>
    </row>
    <row r="517" spans="1:26" ht="19.5" hidden="1">
      <c r="A517" s="614"/>
      <c r="B517" s="615"/>
      <c r="C517" s="615"/>
      <c r="D517" s="616" t="s">
        <v>223</v>
      </c>
      <c r="E517" s="601"/>
      <c r="F517" s="601"/>
      <c r="G517" s="366"/>
      <c r="H517" s="654" t="s">
        <v>35</v>
      </c>
      <c r="I517" s="655"/>
      <c r="J517" s="655">
        <f>J518+J519</f>
        <v>0</v>
      </c>
      <c r="K517" s="656">
        <f t="shared" si="258"/>
        <v>0</v>
      </c>
      <c r="L517" s="167"/>
      <c r="M517" s="167"/>
      <c r="N517" s="167"/>
      <c r="O517" s="167"/>
      <c r="P517" s="167"/>
      <c r="Q517" s="604"/>
      <c r="R517" s="604"/>
      <c r="S517" s="604"/>
      <c r="T517" s="604"/>
      <c r="U517" s="604"/>
      <c r="V517" s="604"/>
      <c r="W517" s="604"/>
      <c r="X517" s="604"/>
      <c r="Y517" s="604"/>
      <c r="Z517" s="604"/>
    </row>
    <row r="518" spans="1:26" ht="18.75" hidden="1">
      <c r="A518" s="614"/>
      <c r="B518" s="615"/>
      <c r="C518" s="615"/>
      <c r="D518" s="615"/>
      <c r="E518" s="616" t="s">
        <v>224</v>
      </c>
      <c r="F518" s="601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604"/>
      <c r="R518" s="604"/>
      <c r="S518" s="604"/>
      <c r="T518" s="604"/>
      <c r="U518" s="604"/>
      <c r="V518" s="604"/>
      <c r="W518" s="604"/>
      <c r="X518" s="604"/>
      <c r="Y518" s="604"/>
      <c r="Z518" s="604"/>
    </row>
    <row r="519" spans="1:26" ht="18.75" hidden="1">
      <c r="A519" s="614"/>
      <c r="B519" s="615"/>
      <c r="C519" s="615"/>
      <c r="D519" s="615"/>
      <c r="E519" s="616" t="s">
        <v>225</v>
      </c>
      <c r="F519" s="601"/>
      <c r="G519" s="366"/>
      <c r="H519" s="653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604"/>
      <c r="R519" s="604"/>
      <c r="S519" s="604"/>
      <c r="T519" s="604"/>
      <c r="U519" s="604"/>
      <c r="V519" s="604"/>
      <c r="W519" s="604"/>
      <c r="X519" s="604"/>
      <c r="Y519" s="604"/>
      <c r="Z519" s="604"/>
    </row>
    <row r="520" spans="1:26" ht="19.5">
      <c r="A520" s="657" t="s">
        <v>137</v>
      </c>
      <c r="B520" s="658"/>
      <c r="C520" s="658"/>
      <c r="D520" s="659"/>
      <c r="E520" s="659"/>
      <c r="F520" s="659"/>
      <c r="G520" s="660"/>
      <c r="H520" s="661"/>
      <c r="I520" s="662"/>
      <c r="J520" s="662"/>
      <c r="K520" s="663"/>
      <c r="L520" s="663"/>
      <c r="M520" s="663"/>
      <c r="N520" s="663"/>
      <c r="O520" s="663"/>
      <c r="P520" s="663"/>
    </row>
    <row r="521" spans="1:26" ht="19.5">
      <c r="A521" s="664">
        <v>5</v>
      </c>
      <c r="B521" s="665" t="s">
        <v>226</v>
      </c>
      <c r="C521" s="666"/>
      <c r="D521" s="667"/>
      <c r="E521" s="667"/>
      <c r="F521" s="667"/>
      <c r="G521" s="667"/>
      <c r="H521" s="668"/>
      <c r="I521" s="669"/>
      <c r="J521" s="669"/>
      <c r="K521" s="670"/>
      <c r="L521" s="670"/>
      <c r="M521" s="670"/>
      <c r="N521" s="670"/>
      <c r="O521" s="670"/>
      <c r="P521" s="670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</row>
    <row r="522" spans="1:26" ht="19.5">
      <c r="A522" s="671"/>
      <c r="B522" s="672" t="s">
        <v>227</v>
      </c>
      <c r="C522" s="673"/>
      <c r="D522" s="673"/>
      <c r="E522" s="673"/>
      <c r="F522" s="673"/>
      <c r="G522" s="674"/>
      <c r="H522" s="675" t="s">
        <v>35</v>
      </c>
      <c r="I522" s="676">
        <f t="shared" ref="I522:J522" ca="1" si="259">I537</f>
        <v>80</v>
      </c>
      <c r="J522" s="676">
        <f t="shared" ca="1" si="259"/>
        <v>80</v>
      </c>
      <c r="K522" s="677">
        <f ca="1">IF(I522&gt;0,J522*100/I522,0)</f>
        <v>100</v>
      </c>
      <c r="L522" s="678"/>
      <c r="M522" s="678"/>
      <c r="N522" s="678"/>
      <c r="O522" s="678"/>
      <c r="P522" s="6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</row>
    <row r="523" spans="1:26" ht="19.5">
      <c r="A523" s="597"/>
      <c r="B523" s="576"/>
      <c r="C523" s="576" t="s">
        <v>16</v>
      </c>
      <c r="D523" s="863" t="s">
        <v>17</v>
      </c>
      <c r="E523" s="857"/>
      <c r="F523" s="857"/>
      <c r="G523" s="189"/>
      <c r="H523" s="598" t="s">
        <v>12</v>
      </c>
      <c r="I523" s="37"/>
      <c r="J523" s="37"/>
      <c r="K523" s="38"/>
      <c r="L523" s="195">
        <f t="shared" ref="L523:N523" ca="1" si="260">L524+L525</f>
        <v>704720</v>
      </c>
      <c r="M523" s="195">
        <f t="shared" ca="1" si="260"/>
        <v>773019.2</v>
      </c>
      <c r="N523" s="195">
        <f t="shared" ca="1" si="260"/>
        <v>773019.2</v>
      </c>
      <c r="O523" s="195">
        <f t="shared" ref="O523:O528" ca="1" si="261">IF(L523&gt;0,N523*100/L523,0)</f>
        <v>109.6916789646952</v>
      </c>
      <c r="P523" s="195">
        <f t="shared" ref="P523:P528" ca="1" si="262">IF(M523&gt;0,N523*100/M523,0)</f>
        <v>100</v>
      </c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</row>
    <row r="524" spans="1:26" ht="18.75" hidden="1">
      <c r="A524" s="599"/>
      <c r="B524" s="600"/>
      <c r="C524" s="600"/>
      <c r="D524" s="601"/>
      <c r="E524" s="602" t="s">
        <v>185</v>
      </c>
      <c r="F524" s="600"/>
      <c r="G524" s="603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604"/>
      <c r="R524" s="604"/>
      <c r="S524" s="604"/>
      <c r="T524" s="604"/>
      <c r="U524" s="604"/>
      <c r="V524" s="604"/>
      <c r="W524" s="604"/>
      <c r="X524" s="604"/>
      <c r="Y524" s="604"/>
      <c r="Z524" s="604"/>
    </row>
    <row r="525" spans="1:26" ht="18.75" hidden="1">
      <c r="A525" s="599"/>
      <c r="B525" s="605"/>
      <c r="C525" s="600"/>
      <c r="D525" s="601"/>
      <c r="E525" s="602" t="s">
        <v>186</v>
      </c>
      <c r="F525" s="600"/>
      <c r="G525" s="603"/>
      <c r="H525" s="165" t="s">
        <v>12</v>
      </c>
      <c r="I525" s="44"/>
      <c r="J525" s="44"/>
      <c r="K525" s="45"/>
      <c r="L525" s="45">
        <f t="shared" ref="L525:N525" ca="1" si="264">L528+L535</f>
        <v>704720</v>
      </c>
      <c r="M525" s="45">
        <f t="shared" ca="1" si="264"/>
        <v>773019.2</v>
      </c>
      <c r="N525" s="45">
        <f t="shared" ca="1" si="264"/>
        <v>773019.2</v>
      </c>
      <c r="O525" s="45">
        <f t="shared" ca="1" si="261"/>
        <v>109.6916789646952</v>
      </c>
      <c r="P525" s="45">
        <f t="shared" ca="1" si="262"/>
        <v>100</v>
      </c>
      <c r="Q525" s="604"/>
      <c r="R525" s="604"/>
      <c r="S525" s="604"/>
      <c r="T525" s="604"/>
      <c r="U525" s="604"/>
      <c r="V525" s="604"/>
      <c r="W525" s="604"/>
      <c r="X525" s="604"/>
      <c r="Y525" s="604"/>
      <c r="Z525" s="604"/>
    </row>
    <row r="526" spans="1:26" ht="18.75">
      <c r="A526" s="597"/>
      <c r="B526" s="575"/>
      <c r="C526" s="576"/>
      <c r="D526" s="606" t="s">
        <v>20</v>
      </c>
      <c r="E526" s="576"/>
      <c r="F526" s="576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704720</v>
      </c>
      <c r="M526" s="38">
        <f t="shared" ca="1" si="265"/>
        <v>773019.2</v>
      </c>
      <c r="N526" s="38">
        <f t="shared" ca="1" si="265"/>
        <v>773019.2</v>
      </c>
      <c r="O526" s="38">
        <f t="shared" ca="1" si="261"/>
        <v>109.6916789646952</v>
      </c>
      <c r="P526" s="38">
        <f t="shared" ca="1" si="262"/>
        <v>100</v>
      </c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</row>
    <row r="527" spans="1:26" ht="18.75" hidden="1">
      <c r="A527" s="599"/>
      <c r="B527" s="605"/>
      <c r="C527" s="600"/>
      <c r="D527" s="601"/>
      <c r="E527" s="602" t="s">
        <v>185</v>
      </c>
      <c r="F527" s="600"/>
      <c r="G527" s="603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604"/>
      <c r="R527" s="604"/>
      <c r="S527" s="604"/>
      <c r="T527" s="604"/>
      <c r="U527" s="604"/>
      <c r="V527" s="604"/>
      <c r="W527" s="604"/>
      <c r="X527" s="604"/>
      <c r="Y527" s="604"/>
      <c r="Z527" s="604"/>
    </row>
    <row r="528" spans="1:26" ht="18.75" hidden="1">
      <c r="A528" s="599"/>
      <c r="B528" s="605"/>
      <c r="C528" s="600"/>
      <c r="D528" s="601"/>
      <c r="E528" s="602" t="s">
        <v>186</v>
      </c>
      <c r="F528" s="600"/>
      <c r="G528" s="603"/>
      <c r="H528" s="165" t="s">
        <v>12</v>
      </c>
      <c r="I528" s="44"/>
      <c r="J528" s="44"/>
      <c r="K528" s="45"/>
      <c r="L528" s="45">
        <f ca="1">IFERROR(__xludf.DUMMYFUNCTION("IMPORTRANGE(""https://docs.google.com/spreadsheets/d/1fb2B9NLcpJgjIieIJvenUTNPn0TimZDUi0OtYeiSQ_s/edit?usp=share_link"",""กาฬสินธุ์!L528"")+IMPORTRANGE(""https://docs.google.com/spreadsheets/d/1SaMnqrwRGmFYNR0MhpWmHuL5niYUd5E7vDq8X7whAlI/edit?usp=share_li"&amp;"nk"",""ขอนแก่น!L528"")
+IMPORTRANGE(""https://docs.google.com/spreadsheets/d/1xQzEtGHhTTgxHh6YUkKY1P4dRyjVhS74dGswLfAASA4/edit?usp=share_link"",""ชัยภูมิ!L528"")+IMPORTRANGE(""https://docs.google.com/spreadsheets/d/1EXMBoBxU3OFbjT2TRpneM33qFjqDzrKmn9ydcfl"&amp;"fI0o/edit?usp=share_link"",""นครพนม!L528"")+IMPORTRANGE(""https://docs.google.com/spreadsheets/d/1bDQrolntRWtHumK8W-x-HXKntwxB9S3sF5aDeRS66Ko/edit?usp=share_link"",""นครราชสีมา!L528"")+IMPORTRANGE(""https://docs.google.com/spreadsheets/d/1_MzZ-2gVPiCW-d2V"&amp;"cafoCmFJQTSrZ6SQyFcMqRRQQ2w/edit?usp=share_link"",""บึงกาฬ!L528"")
+IMPORTRANGE(""https://docs.google.com/spreadsheets/d/1B3lPpzOuaNwVItLwLEZYl_qEblfcx7dRnbRkAw0l-pE/edit?usp=share_link"",""บุรีรัมย์!L528"")+IMPORTRANGE(""https://docs.google.com/spreadshe"&amp;"ets/d/19GOkiOqnzYbevLYWrMk4qFOXe3rX14BkSA8X-mq-a40/edit?usp=share_link"",""มหาสารคาม!L528"")+IMPORTRANGE(""https://docs.google.com/spreadsheets/d/1uMKqWwuNQ-TCKboGA3Bb1qXb5uj2-faACNUINCz8PN4/edit?usp=share_link"",""มุกดาหาร!L528"")+IMPORTRANGE(""https://d"&amp;"ocs.google.com/spreadsheets/d/1oKaccgDdQABndOzGr688Dbfxb_V3YcF67VqEPBtdzsc/edit?usp=share_link"",""ยโสธร!L528"")+IMPORTRANGE(""https://docs.google.com/spreadsheets/d/1BRgc8xKpxZ0PX-gauieMVkV_IOxKSotf0yW8MabGprQ/edit?usp=share_link"",""ร้อยเอ็ด!L528"")+IMP"&amp;"ORTRANGE(""https://docs.google.com/spreadsheets/d/1IdolZc-dfdgMwAm_KZxYJl1sUOcIgnbGQzbWOlddedo/edit?usp=share_link"",""เลย!L528"")+IMPORTRANGE(""https://docs.google.com/spreadsheets/d/1tZ0nmtGuIRCaGAMXHlQU8EpR9LOAJvyKfc4f7EFmE34/edit?usp=share_link"",""ศร"&amp;"ีสะเกษ!L528"")+IMPORTRANGE(""https://docs.google.com/spreadsheets/d/1QC8psz9w0f9IVE9Xuc2FT_btkaOzZbbUSgYObpBuetM/edit?usp=share_link"",""สกลนคร!L528"")+IMPORTRANGE(""https://docs.google.com/spreadsheets/d/1wPdvRbu02d33MYVlbsCnyTiZpefEBs9NNktAnT1HZvw/edit?"&amp;"usp=share_link"",""สุรินทร์!L528"")+IMPORTRANGE(""https://docs.google.com/spreadsheets/d/1GVExpf-Exi_2gmuqTYH28fseTB9MoKPXWcXCbSt_YrM/edit?usp=share_link"",""หนองคาย!L528"")+IMPORTRANGE(""https://docs.google.com/spreadsheets/d/16UeMz0UgOB5BZcoxP75eYGcLFtG"&amp;"YRn9GoesD4OX9m5U/edit?usp=share_link"",""หนองบัวลำภู!L528"")+IMPORTRANGE(""https://docs.google.com/spreadsheets/d/1uUP8Zo1-qaJLuIkRU0qlwLSE3DHkbdrrj2JGJiWBQZE/edit?usp=share_link"",""อำนาจเจริญ!L528"")+IMPORTRANGE(""https://docs.google.com/spreadsheets/d/"&amp;"1hb_taSOHanzRjqfzWPiFo8yiT83VV1L7vvUCLhOiHKc/edit?usp=share_link"",""อุดรธานี!L528"")+IMPORTRANGE(""https://docs.google.com/spreadsheets/d/17IOkEwkUd63EGNfyNDnM5de9YlZ7rwzTiW6-dokVjKI/edit?usp=share_link"",""อุบลราชธานี!L528"")
"),704720)</f>
        <v>704720</v>
      </c>
      <c r="M528" s="93">
        <f ca="1">N528</f>
        <v>773019.2</v>
      </c>
      <c r="N528" s="45">
        <f ca="1">N529+N530+N531+N532</f>
        <v>773019.2</v>
      </c>
      <c r="O528" s="45">
        <f t="shared" ca="1" si="261"/>
        <v>109.6916789646952</v>
      </c>
      <c r="P528" s="45">
        <f t="shared" ca="1" si="262"/>
        <v>100</v>
      </c>
      <c r="Q528" s="604"/>
      <c r="R528" s="604"/>
      <c r="S528" s="604"/>
      <c r="T528" s="604"/>
      <c r="U528" s="604"/>
      <c r="V528" s="604"/>
      <c r="W528" s="604"/>
      <c r="X528" s="604"/>
      <c r="Y528" s="604"/>
      <c r="Z528" s="604"/>
    </row>
    <row r="529" spans="1:26" ht="18.75">
      <c r="A529" s="574"/>
      <c r="B529" s="575"/>
      <c r="C529" s="576"/>
      <c r="D529" s="576"/>
      <c r="E529" s="576"/>
      <c r="F529" s="577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fb2B9NLcpJgjIieIJvenUTNPn0TimZDUi0OtYeiSQ_s/edit?usp=share_link"",""กาฬสินธุ์!N529"")+IMPORTRANGE(""https://docs.google.com/spreadsheets/d/1SaMnqrwRGmFYNR0MhpWmHuL5niYUd5E7vDq8X7whAlI/edit?usp=share_li"&amp;"nk"",""ขอนแก่น!N529"")
+IMPORTRANGE(""https://docs.google.com/spreadsheets/d/1xQzEtGHhTTgxHh6YUkKY1P4dRyjVhS74dGswLfAASA4/edit?usp=share_link"",""ชัยภูมิ!N529"")+IMPORTRANGE(""https://docs.google.com/spreadsheets/d/1EXMBoBxU3OFbjT2TRpneM33qFjqDzrKmn9ydcfl"&amp;"fI0o/edit?usp=share_link"",""นครพนม!N529"")+IMPORTRANGE(""https://docs.google.com/spreadsheets/d/1bDQrolntRWtHumK8W-x-HXKntwxB9S3sF5aDeRS66Ko/edit?usp=share_link"",""นครราชสีมา!N529"")+IMPORTRANGE(""https://docs.google.com/spreadsheets/d/1_MzZ-2gVPiCW-d2V"&amp;"cafoCmFJQTSrZ6SQyFcMqRRQQ2w/edit?usp=share_link"",""บึงกาฬ!N529"")
+IMPORTRANGE(""https://docs.google.com/spreadsheets/d/1B3lPpzOuaNwVItLwLEZYl_qEblfcx7dRnbRkAw0l-pE/edit?usp=share_link"",""บุรีรัมย์!N529"")+IMPORTRANGE(""https://docs.google.com/spreadshe"&amp;"ets/d/19GOkiOqnzYbevLYWrMk4qFOXe3rX14BkSA8X-mq-a40/edit?usp=share_link"",""มหาสารคาม!N529"")+IMPORTRANGE(""https://docs.google.com/spreadsheets/d/1uMKqWwuNQ-TCKboGA3Bb1qXb5uj2-faACNUINCz8PN4/edit?usp=share_link"",""มุกดาหาร!N529"")+IMPORTRANGE(""https://d"&amp;"ocs.google.com/spreadsheets/d/1oKaccgDdQABndOzGr688Dbfxb_V3YcF67VqEPBtdzsc/edit?usp=share_link"",""ยโสธร!N529"")+IMPORTRANGE(""https://docs.google.com/spreadsheets/d/1BRgc8xKpxZ0PX-gauieMVkV_IOxKSotf0yW8MabGprQ/edit?usp=share_link"",""ร้อยเอ็ด!N529"")+IMP"&amp;"ORTRANGE(""https://docs.google.com/spreadsheets/d/1IdolZc-dfdgMwAm_KZxYJl1sUOcIgnbGQzbWOlddedo/edit?usp=share_link"",""เลย!N529"")+IMPORTRANGE(""https://docs.google.com/spreadsheets/d/1tZ0nmtGuIRCaGAMXHlQU8EpR9LOAJvyKfc4f7EFmE34/edit?usp=share_link"",""ศร"&amp;"ีสะเกษ!N529"")+IMPORTRANGE(""https://docs.google.com/spreadsheets/d/1QC8psz9w0f9IVE9Xuc2FT_btkaOzZbbUSgYObpBuetM/edit?usp=share_link"",""สกลนคร!N529"")+IMPORTRANGE(""https://docs.google.com/spreadsheets/d/1wPdvRbu02d33MYVlbsCnyTiZpefEBs9NNktAnT1HZvw/edit?"&amp;"usp=share_link"",""สุรินทร์!N529"")+IMPORTRANGE(""https://docs.google.com/spreadsheets/d/1GVExpf-Exi_2gmuqTYH28fseTB9MoKPXWcXCbSt_YrM/edit?usp=share_link"",""หนองคาย!N529"")+IMPORTRANGE(""https://docs.google.com/spreadsheets/d/16UeMz0UgOB5BZcoxP75eYGcLFtG"&amp;"YRn9GoesD4OX9m5U/edit?usp=share_link"",""หนองบัวลำภู!N529"")+IMPORTRANGE(""https://docs.google.com/spreadsheets/d/1uUP8Zo1-qaJLuIkRU0qlwLSE3DHkbdrrj2JGJiWBQZE/edit?usp=share_link"",""อำนาจเจริญ!N529"")+IMPORTRANGE(""https://docs.google.com/spreadsheets/d/"&amp;"1hb_taSOHanzRjqfzWPiFo8yiT83VV1L7vvUCLhOiHKc/edit?usp=share_link"",""อุดรธานี!N529"")+IMPORTRANGE(""https://docs.google.com/spreadsheets/d/17IOkEwkUd63EGNfyNDnM5de9YlZ7rwzTiW6-dokVjKI/edit?usp=share_link"",""อุบลราชธานี!N529"")
"),245580.2)</f>
        <v>245580.2</v>
      </c>
      <c r="O529" s="38"/>
      <c r="P529" s="3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</row>
    <row r="530" spans="1:26" ht="18.75">
      <c r="A530" s="574"/>
      <c r="B530" s="575"/>
      <c r="C530" s="576"/>
      <c r="D530" s="576"/>
      <c r="E530" s="576"/>
      <c r="F530" s="577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fb2B9NLcpJgjIieIJvenUTNPn0TimZDUi0OtYeiSQ_s/edit?usp=share_link"",""กาฬสินธุ์!N530"")+IMPORTRANGE(""https://docs.google.com/spreadsheets/d/1SaMnqrwRGmFYNR0MhpWmHuL5niYUd5E7vDq8X7whAlI/edit?usp=share_li"&amp;"nk"",""ขอนแก่น!N530"")
+IMPORTRANGE(""https://docs.google.com/spreadsheets/d/1xQzEtGHhTTgxHh6YUkKY1P4dRyjVhS74dGswLfAASA4/edit?usp=share_link"",""ชัยภูมิ!N530"")+IMPORTRANGE(""https://docs.google.com/spreadsheets/d/1EXMBoBxU3OFbjT2TRpneM33qFjqDzrKmn9ydcfl"&amp;"fI0o/edit?usp=share_link"",""นครพนม!N530"")+IMPORTRANGE(""https://docs.google.com/spreadsheets/d/1bDQrolntRWtHumK8W-x-HXKntwxB9S3sF5aDeRS66Ko/edit?usp=share_link"",""นครราชสีมา!N530"")+IMPORTRANGE(""https://docs.google.com/spreadsheets/d/1_MzZ-2gVPiCW-d2V"&amp;"cafoCmFJQTSrZ6SQyFcMqRRQQ2w/edit?usp=share_link"",""บึงกาฬ!N530"")
+IMPORTRANGE(""https://docs.google.com/spreadsheets/d/1B3lPpzOuaNwVItLwLEZYl_qEblfcx7dRnbRkAw0l-pE/edit?usp=share_link"",""บุรีรัมย์!N530"")+IMPORTRANGE(""https://docs.google.com/spreadshe"&amp;"ets/d/19GOkiOqnzYbevLYWrMk4qFOXe3rX14BkSA8X-mq-a40/edit?usp=share_link"",""มหาสารคาม!N530"")+IMPORTRANGE(""https://docs.google.com/spreadsheets/d/1uMKqWwuNQ-TCKboGA3Bb1qXb5uj2-faACNUINCz8PN4/edit?usp=share_link"",""มุกดาหาร!N530"")+IMPORTRANGE(""https://d"&amp;"ocs.google.com/spreadsheets/d/1oKaccgDdQABndOzGr688Dbfxb_V3YcF67VqEPBtdzsc/edit?usp=share_link"",""ยโสธร!N530"")+IMPORTRANGE(""https://docs.google.com/spreadsheets/d/1BRgc8xKpxZ0PX-gauieMVkV_IOxKSotf0yW8MabGprQ/edit?usp=share_link"",""ร้อยเอ็ด!N530"")+IMP"&amp;"ORTRANGE(""https://docs.google.com/spreadsheets/d/1IdolZc-dfdgMwAm_KZxYJl1sUOcIgnbGQzbWOlddedo/edit?usp=share_link"",""เลย!N530"")+IMPORTRANGE(""https://docs.google.com/spreadsheets/d/1tZ0nmtGuIRCaGAMXHlQU8EpR9LOAJvyKfc4f7EFmE34/edit?usp=share_link"",""ศร"&amp;"ีสะเกษ!N530"")+IMPORTRANGE(""https://docs.google.com/spreadsheets/d/1QC8psz9w0f9IVE9Xuc2FT_btkaOzZbbUSgYObpBuetM/edit?usp=share_link"",""สกลนคร!N530"")+IMPORTRANGE(""https://docs.google.com/spreadsheets/d/1wPdvRbu02d33MYVlbsCnyTiZpefEBs9NNktAnT1HZvw/edit?"&amp;"usp=share_link"",""สุรินทร์!N530"")+IMPORTRANGE(""https://docs.google.com/spreadsheets/d/1GVExpf-Exi_2gmuqTYH28fseTB9MoKPXWcXCbSt_YrM/edit?usp=share_link"",""หนองคาย!N530"")+IMPORTRANGE(""https://docs.google.com/spreadsheets/d/16UeMz0UgOB5BZcoxP75eYGcLFtG"&amp;"YRn9GoesD4OX9m5U/edit?usp=share_link"",""หนองบัวลำภู!N530"")+IMPORTRANGE(""https://docs.google.com/spreadsheets/d/1uUP8Zo1-qaJLuIkRU0qlwLSE3DHkbdrrj2JGJiWBQZE/edit?usp=share_link"",""อำนาจเจริญ!N530"")+IMPORTRANGE(""https://docs.google.com/spreadsheets/d/"&amp;"1hb_taSOHanzRjqfzWPiFo8yiT83VV1L7vvUCLhOiHKc/edit?usp=share_link"",""อุดรธานี!N530"")+IMPORTRANGE(""https://docs.google.com/spreadsheets/d/17IOkEwkUd63EGNfyNDnM5de9YlZ7rwzTiW6-dokVjKI/edit?usp=share_link"",""อุบลราชธานี!N530"")
"),399696.82)</f>
        <v>399696.82</v>
      </c>
      <c r="O530" s="38"/>
      <c r="P530" s="3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</row>
    <row r="531" spans="1:26" ht="18.75">
      <c r="A531" s="574"/>
      <c r="B531" s="575"/>
      <c r="C531" s="576"/>
      <c r="D531" s="576"/>
      <c r="E531" s="576"/>
      <c r="F531" s="577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fb2B9NLcpJgjIieIJvenUTNPn0TimZDUi0OtYeiSQ_s/edit?usp=share_link"",""กาฬสินธุ์!N531"")+IMPORTRANGE(""https://docs.google.com/spreadsheets/d/1SaMnqrwRGmFYNR0MhpWmHuL5niYUd5E7vDq8X7whAlI/edit?usp=share_li"&amp;"nk"",""ขอนแก่น!N531"")
+IMPORTRANGE(""https://docs.google.com/spreadsheets/d/1xQzEtGHhTTgxHh6YUkKY1P4dRyjVhS74dGswLfAASA4/edit?usp=share_link"",""ชัยภูมิ!N531"")+IMPORTRANGE(""https://docs.google.com/spreadsheets/d/1EXMBoBxU3OFbjT2TRpneM33qFjqDzrKmn9ydcfl"&amp;"fI0o/edit?usp=share_link"",""นครพนม!N531"")+IMPORTRANGE(""https://docs.google.com/spreadsheets/d/1bDQrolntRWtHumK8W-x-HXKntwxB9S3sF5aDeRS66Ko/edit?usp=share_link"",""นครราชสีมา!N531"")+IMPORTRANGE(""https://docs.google.com/spreadsheets/d/1_MzZ-2gVPiCW-d2V"&amp;"cafoCmFJQTSrZ6SQyFcMqRRQQ2w/edit?usp=share_link"",""บึงกาฬ!N531"")
+IMPORTRANGE(""https://docs.google.com/spreadsheets/d/1B3lPpzOuaNwVItLwLEZYl_qEblfcx7dRnbRkAw0l-pE/edit?usp=share_link"",""บุรีรัมย์!N531"")+IMPORTRANGE(""https://docs.google.com/spreadshe"&amp;"ets/d/19GOkiOqnzYbevLYWrMk4qFOXe3rX14BkSA8X-mq-a40/edit?usp=share_link"",""มหาสารคาม!N531"")+IMPORTRANGE(""https://docs.google.com/spreadsheets/d/1uMKqWwuNQ-TCKboGA3Bb1qXb5uj2-faACNUINCz8PN4/edit?usp=share_link"",""มุกดาหาร!N531"")+IMPORTRANGE(""https://d"&amp;"ocs.google.com/spreadsheets/d/1oKaccgDdQABndOzGr688Dbfxb_V3YcF67VqEPBtdzsc/edit?usp=share_link"",""ยโสธร!N531"")+IMPORTRANGE(""https://docs.google.com/spreadsheets/d/1BRgc8xKpxZ0PX-gauieMVkV_IOxKSotf0yW8MabGprQ/edit?usp=share_link"",""ร้อยเอ็ด!N531"")+IMP"&amp;"ORTRANGE(""https://docs.google.com/spreadsheets/d/1IdolZc-dfdgMwAm_KZxYJl1sUOcIgnbGQzbWOlddedo/edit?usp=share_link"",""เลย!N531"")+IMPORTRANGE(""https://docs.google.com/spreadsheets/d/1tZ0nmtGuIRCaGAMXHlQU8EpR9LOAJvyKfc4f7EFmE34/edit?usp=share_link"",""ศร"&amp;"ีสะเกษ!N531"")+IMPORTRANGE(""https://docs.google.com/spreadsheets/d/1QC8psz9w0f9IVE9Xuc2FT_btkaOzZbbUSgYObpBuetM/edit?usp=share_link"",""สกลนคร!N531"")+IMPORTRANGE(""https://docs.google.com/spreadsheets/d/1wPdvRbu02d33MYVlbsCnyTiZpefEBs9NNktAnT1HZvw/edit?"&amp;"usp=share_link"",""สุรินทร์!N531"")+IMPORTRANGE(""https://docs.google.com/spreadsheets/d/1GVExpf-Exi_2gmuqTYH28fseTB9MoKPXWcXCbSt_YrM/edit?usp=share_link"",""หนองคาย!N531"")+IMPORTRANGE(""https://docs.google.com/spreadsheets/d/16UeMz0UgOB5BZcoxP75eYGcLFtG"&amp;"YRn9GoesD4OX9m5U/edit?usp=share_link"",""หนองบัวลำภู!N531"")+IMPORTRANGE(""https://docs.google.com/spreadsheets/d/1uUP8Zo1-qaJLuIkRU0qlwLSE3DHkbdrrj2JGJiWBQZE/edit?usp=share_link"",""อำนาจเจริญ!N531"")+IMPORTRANGE(""https://docs.google.com/spreadsheets/d/"&amp;"1hb_taSOHanzRjqfzWPiFo8yiT83VV1L7vvUCLhOiHKc/edit?usp=share_link"",""อุดรธานี!N531"")+IMPORTRANGE(""https://docs.google.com/spreadsheets/d/17IOkEwkUd63EGNfyNDnM5de9YlZ7rwzTiW6-dokVjKI/edit?usp=share_link"",""อุบลราชธานี!N531"")
"),0)</f>
        <v>0</v>
      </c>
      <c r="O531" s="38"/>
      <c r="P531" s="3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</row>
    <row r="532" spans="1:26" ht="18.75">
      <c r="A532" s="574"/>
      <c r="B532" s="575"/>
      <c r="C532" s="576"/>
      <c r="D532" s="576"/>
      <c r="E532" s="576"/>
      <c r="F532" s="577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fb2B9NLcpJgjIieIJvenUTNPn0TimZDUi0OtYeiSQ_s/edit?usp=share_link"",""กาฬสินธุ์!N532"")+IMPORTRANGE(""https://docs.google.com/spreadsheets/d/1SaMnqrwRGmFYNR0MhpWmHuL5niYUd5E7vDq8X7whAlI/edit?usp=share_li"&amp;"nk"",""ขอนแก่น!N532"")
+IMPORTRANGE(""https://docs.google.com/spreadsheets/d/1xQzEtGHhTTgxHh6YUkKY1P4dRyjVhS74dGswLfAASA4/edit?usp=share_link"",""ชัยภูมิ!N532"")+IMPORTRANGE(""https://docs.google.com/spreadsheets/d/1EXMBoBxU3OFbjT2TRpneM33qFjqDzrKmn9ydcfl"&amp;"fI0o/edit?usp=share_link"",""นครพนม!N532"")+IMPORTRANGE(""https://docs.google.com/spreadsheets/d/1bDQrolntRWtHumK8W-x-HXKntwxB9S3sF5aDeRS66Ko/edit?usp=share_link"",""นครราชสีมา!N532"")+IMPORTRANGE(""https://docs.google.com/spreadsheets/d/1_MzZ-2gVPiCW-d2V"&amp;"cafoCmFJQTSrZ6SQyFcMqRRQQ2w/edit?usp=share_link"",""บึงกาฬ!N532"")
+IMPORTRANGE(""https://docs.google.com/spreadsheets/d/1B3lPpzOuaNwVItLwLEZYl_qEblfcx7dRnbRkAw0l-pE/edit?usp=share_link"",""บุรีรัมย์!N532"")+IMPORTRANGE(""https://docs.google.com/spreadshe"&amp;"ets/d/19GOkiOqnzYbevLYWrMk4qFOXe3rX14BkSA8X-mq-a40/edit?usp=share_link"",""มหาสารคาม!N532"")+IMPORTRANGE(""https://docs.google.com/spreadsheets/d/1uMKqWwuNQ-TCKboGA3Bb1qXb5uj2-faACNUINCz8PN4/edit?usp=share_link"",""มุกดาหาร!N532"")+IMPORTRANGE(""https://d"&amp;"ocs.google.com/spreadsheets/d/1oKaccgDdQABndOzGr688Dbfxb_V3YcF67VqEPBtdzsc/edit?usp=share_link"",""ยโสธร!N532"")+IMPORTRANGE(""https://docs.google.com/spreadsheets/d/1BRgc8xKpxZ0PX-gauieMVkV_IOxKSotf0yW8MabGprQ/edit?usp=share_link"",""ร้อยเอ็ด!N532"")+IMP"&amp;"ORTRANGE(""https://docs.google.com/spreadsheets/d/1IdolZc-dfdgMwAm_KZxYJl1sUOcIgnbGQzbWOlddedo/edit?usp=share_link"",""เลย!N532"")+IMPORTRANGE(""https://docs.google.com/spreadsheets/d/1tZ0nmtGuIRCaGAMXHlQU8EpR9LOAJvyKfc4f7EFmE34/edit?usp=share_link"",""ศร"&amp;"ีสะเกษ!N532"")+IMPORTRANGE(""https://docs.google.com/spreadsheets/d/1QC8psz9w0f9IVE9Xuc2FT_btkaOzZbbUSgYObpBuetM/edit?usp=share_link"",""สกลนคร!N532"")+IMPORTRANGE(""https://docs.google.com/spreadsheets/d/1wPdvRbu02d33MYVlbsCnyTiZpefEBs9NNktAnT1HZvw/edit?"&amp;"usp=share_link"",""สุรินทร์!N532"")+IMPORTRANGE(""https://docs.google.com/spreadsheets/d/1GVExpf-Exi_2gmuqTYH28fseTB9MoKPXWcXCbSt_YrM/edit?usp=share_link"",""หนองคาย!N532"")+IMPORTRANGE(""https://docs.google.com/spreadsheets/d/16UeMz0UgOB5BZcoxP75eYGcLFtG"&amp;"YRn9GoesD4OX9m5U/edit?usp=share_link"",""หนองบัวลำภู!N532"")+IMPORTRANGE(""https://docs.google.com/spreadsheets/d/1uUP8Zo1-qaJLuIkRU0qlwLSE3DHkbdrrj2JGJiWBQZE/edit?usp=share_link"",""อำนาจเจริญ!N532"")+IMPORTRANGE(""https://docs.google.com/spreadsheets/d/"&amp;"1hb_taSOHanzRjqfzWPiFo8yiT83VV1L7vvUCLhOiHKc/edit?usp=share_link"",""อุดรธานี!N532"")+IMPORTRANGE(""https://docs.google.com/spreadsheets/d/17IOkEwkUd63EGNfyNDnM5de9YlZ7rwzTiW6-dokVjKI/edit?usp=share_link"",""อุบลราชธานี!N532"")
"),127742.18)</f>
        <v>127742.18</v>
      </c>
      <c r="O532" s="38"/>
      <c r="P532" s="3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</row>
    <row r="533" spans="1:26" ht="18.75">
      <c r="A533" s="597"/>
      <c r="B533" s="575"/>
      <c r="C533" s="576"/>
      <c r="D533" s="606" t="s">
        <v>21</v>
      </c>
      <c r="E533" s="576"/>
      <c r="F533" s="576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</row>
    <row r="534" spans="1:26" ht="18.75" hidden="1">
      <c r="A534" s="599"/>
      <c r="B534" s="605"/>
      <c r="C534" s="600"/>
      <c r="D534" s="600"/>
      <c r="E534" s="602" t="s">
        <v>18</v>
      </c>
      <c r="F534" s="600"/>
      <c r="G534" s="603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604"/>
      <c r="R534" s="604"/>
      <c r="S534" s="604"/>
      <c r="T534" s="604"/>
      <c r="U534" s="604"/>
      <c r="V534" s="604"/>
      <c r="W534" s="604"/>
      <c r="X534" s="604"/>
      <c r="Y534" s="604"/>
      <c r="Z534" s="604"/>
    </row>
    <row r="535" spans="1:26" ht="18.75" hidden="1">
      <c r="A535" s="599"/>
      <c r="B535" s="605"/>
      <c r="C535" s="600"/>
      <c r="D535" s="600"/>
      <c r="E535" s="602" t="s">
        <v>19</v>
      </c>
      <c r="F535" s="600"/>
      <c r="G535" s="603"/>
      <c r="H535" s="169" t="s">
        <v>12</v>
      </c>
      <c r="I535" s="166"/>
      <c r="J535" s="166"/>
      <c r="K535" s="167"/>
      <c r="L535" s="45">
        <f ca="1">IFERROR(__xludf.DUMMYFUNCTION("IMPORTRANGE(""https://docs.google.com/spreadsheets/d/1fb2B9NLcpJgjIieIJvenUTNPn0TimZDUi0OtYeiSQ_s/edit?usp=share_link"",""กาฬสินธุ์!L535"")+IMPORTRANGE(""https://docs.google.com/spreadsheets/d/1SaMnqrwRGmFYNR0MhpWmHuL5niYUd5E7vDq8X7whAlI/edit?usp=share_li"&amp;"nk"",""ขอนแก่น!L535"")
+IMPORTRANGE(""https://docs.google.com/spreadsheets/d/1xQzEtGHhTTgxHh6YUkKY1P4dRyjVhS74dGswLfAASA4/edit?usp=share_link"",""ชัยภูมิ!L535"")+IMPORTRANGE(""https://docs.google.com/spreadsheets/d/1EXMBoBxU3OFbjT2TRpneM33qFjqDzrKmn9ydcfl"&amp;"fI0o/edit?usp=share_link"",""นครพนม!L535"")+IMPORTRANGE(""https://docs.google.com/spreadsheets/d/1bDQrolntRWtHumK8W-x-HXKntwxB9S3sF5aDeRS66Ko/edit?usp=share_link"",""นครราชสีมา!L535"")+IMPORTRANGE(""https://docs.google.com/spreadsheets/d/1_MzZ-2gVPiCW-d2V"&amp;"cafoCmFJQTSrZ6SQyFcMqRRQQ2w/edit?usp=share_link"",""บึงกาฬ!L535"")
+IMPORTRANGE(""https://docs.google.com/spreadsheets/d/1B3lPpzOuaNwVItLwLEZYl_qEblfcx7dRnbRkAw0l-pE/edit?usp=share_link"",""บุรีรัมย์!L535"")+IMPORTRANGE(""https://docs.google.com/spreadshe"&amp;"ets/d/19GOkiOqnzYbevLYWrMk4qFOXe3rX14BkSA8X-mq-a40/edit?usp=share_link"",""มหาสารคาม!L535"")+IMPORTRANGE(""https://docs.google.com/spreadsheets/d/1uMKqWwuNQ-TCKboGA3Bb1qXb5uj2-faACNUINCz8PN4/edit?usp=share_link"",""มุกดาหาร!L535"")+IMPORTRANGE(""https://d"&amp;"ocs.google.com/spreadsheets/d/1oKaccgDdQABndOzGr688Dbfxb_V3YcF67VqEPBtdzsc/edit?usp=share_link"",""ยโสธร!L535"")+IMPORTRANGE(""https://docs.google.com/spreadsheets/d/1BRgc8xKpxZ0PX-gauieMVkV_IOxKSotf0yW8MabGprQ/edit?usp=share_link"",""ร้อยเอ็ด!L535"")+IMP"&amp;"ORTRANGE(""https://docs.google.com/spreadsheets/d/1IdolZc-dfdgMwAm_KZxYJl1sUOcIgnbGQzbWOlddedo/edit?usp=share_link"",""เลย!L535"")+IMPORTRANGE(""https://docs.google.com/spreadsheets/d/1tZ0nmtGuIRCaGAMXHlQU8EpR9LOAJvyKfc4f7EFmE34/edit?usp=share_link"",""ศร"&amp;"ีสะเกษ!L535"")+IMPORTRANGE(""https://docs.google.com/spreadsheets/d/1QC8psz9w0f9IVE9Xuc2FT_btkaOzZbbUSgYObpBuetM/edit?usp=share_link"",""สกลนคร!L535"")+IMPORTRANGE(""https://docs.google.com/spreadsheets/d/1wPdvRbu02d33MYVlbsCnyTiZpefEBs9NNktAnT1HZvw/edit?"&amp;"usp=share_link"",""สุรินทร์!L535"")+IMPORTRANGE(""https://docs.google.com/spreadsheets/d/1GVExpf-Exi_2gmuqTYH28fseTB9MoKPXWcXCbSt_YrM/edit?usp=share_link"",""หนองคาย!L535"")+IMPORTRANGE(""https://docs.google.com/spreadsheets/d/16UeMz0UgOB5BZcoxP75eYGcLFtG"&amp;"YRn9GoesD4OX9m5U/edit?usp=share_link"",""หนองบัวลำภู!L535"")+IMPORTRANGE(""https://docs.google.com/spreadsheets/d/1uUP8Zo1-qaJLuIkRU0qlwLSE3DHkbdrrj2JGJiWBQZE/edit?usp=share_link"",""อำนาจเจริญ!L535"")+IMPORTRANGE(""https://docs.google.com/spreadsheets/d/"&amp;"1hb_taSOHanzRjqfzWPiFo8yiT83VV1L7vvUCLhOiHKc/edit?usp=share_link"",""อุดรธานี!L535"")+IMPORTRANGE(""https://docs.google.com/spreadsheets/d/17IOkEwkUd63EGNfyNDnM5de9YlZ7rwzTiW6-dokVjKI/edit?usp=share_link"",""อุบลราชธานี!L535"")
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604"/>
      <c r="R535" s="604"/>
      <c r="S535" s="604"/>
      <c r="T535" s="604"/>
      <c r="U535" s="604"/>
      <c r="V535" s="604"/>
      <c r="W535" s="604"/>
      <c r="X535" s="604"/>
      <c r="Y535" s="604"/>
      <c r="Z535" s="604"/>
    </row>
    <row r="536" spans="1:26" ht="19.5">
      <c r="A536" s="608"/>
      <c r="B536" s="609"/>
      <c r="C536" s="576" t="s">
        <v>16</v>
      </c>
      <c r="D536" s="679" t="s">
        <v>38</v>
      </c>
      <c r="E536" s="612"/>
      <c r="F536" s="612"/>
      <c r="G536" s="613"/>
      <c r="H536" s="175"/>
      <c r="I536" s="162"/>
      <c r="J536" s="162"/>
      <c r="K536" s="163"/>
      <c r="L536" s="163"/>
      <c r="M536" s="163"/>
      <c r="N536" s="163"/>
      <c r="O536" s="163"/>
      <c r="P536" s="163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</row>
    <row r="537" spans="1:26" ht="19.5">
      <c r="A537" s="574"/>
      <c r="B537" s="575"/>
      <c r="C537" s="576"/>
      <c r="D537" s="680" t="s">
        <v>228</v>
      </c>
      <c r="E537" s="576"/>
      <c r="F537" s="576"/>
      <c r="G537" s="189"/>
      <c r="H537" s="36" t="s">
        <v>35</v>
      </c>
      <c r="I537" s="681">
        <f ca="1">IFERROR(__xludf.DUMMYFUNCTION("IMPORTRANGE(""https://docs.google.com/spreadsheets/d/1fb2B9NLcpJgjIieIJvenUTNPn0TimZDUi0OtYeiSQ_s/edit?usp=share_link"",""กาฬสินธุ์!I537"")+IMPORTRANGE(""https://docs.google.com/spreadsheets/d/1SaMnqrwRGmFYNR0MhpWmHuL5niYUd5E7vDq8X7whAlI/edit?usp=share_li"&amp;"nk"",""ขอนแก่น!I537"")
+IMPORTRANGE(""https://docs.google.com/spreadsheets/d/1xQzEtGHhTTgxHh6YUkKY1P4dRyjVhS74dGswLfAASA4/edit?usp=share_link"",""ชัยภูมิ!I537"")+IMPORTRANGE(""https://docs.google.com/spreadsheets/d/1EXMBoBxU3OFbjT2TRpneM33qFjqDzrKmn9ydcfl"&amp;"fI0o/edit?usp=share_link"",""นครพนม!I537"")+IMPORTRANGE(""https://docs.google.com/spreadsheets/d/1bDQrolntRWtHumK8W-x-HXKntwxB9S3sF5aDeRS66Ko/edit?usp=share_link"",""นครราชสีมา!I537"")+IMPORTRANGE(""https://docs.google.com/spreadsheets/d/1_MzZ-2gVPiCW-d2V"&amp;"cafoCmFJQTSrZ6SQyFcMqRRQQ2w/edit?usp=share_link"",""บึงกาฬ!I537"")
+IMPORTRANGE(""https://docs.google.com/spreadsheets/d/1B3lPpzOuaNwVItLwLEZYl_qEblfcx7dRnbRkAw0l-pE/edit?usp=share_link"",""บุรีรัมย์!I537"")+IMPORTRANGE(""https://docs.google.com/spreadshe"&amp;"ets/d/19GOkiOqnzYbevLYWrMk4qFOXe3rX14BkSA8X-mq-a40/edit?usp=share_link"",""มหาสารคาม!I537"")+IMPORTRANGE(""https://docs.google.com/spreadsheets/d/1uMKqWwuNQ-TCKboGA3Bb1qXb5uj2-faACNUINCz8PN4/edit?usp=share_link"",""มุกดาหาร!I537"")+IMPORTRANGE(""https://d"&amp;"ocs.google.com/spreadsheets/d/1oKaccgDdQABndOzGr688Dbfxb_V3YcF67VqEPBtdzsc/edit?usp=share_link"",""ยโสธร!I537"")+IMPORTRANGE(""https://docs.google.com/spreadsheets/d/1BRgc8xKpxZ0PX-gauieMVkV_IOxKSotf0yW8MabGprQ/edit?usp=share_link"",""ร้อยเอ็ด!I537"")+IMP"&amp;"ORTRANGE(""https://docs.google.com/spreadsheets/d/1IdolZc-dfdgMwAm_KZxYJl1sUOcIgnbGQzbWOlddedo/edit?usp=share_link"",""เลย!I537"")+IMPORTRANGE(""https://docs.google.com/spreadsheets/d/1tZ0nmtGuIRCaGAMXHlQU8EpR9LOAJvyKfc4f7EFmE34/edit?usp=share_link"",""ศร"&amp;"ีสะเกษ!I537"")+IMPORTRANGE(""https://docs.google.com/spreadsheets/d/1QC8psz9w0f9IVE9Xuc2FT_btkaOzZbbUSgYObpBuetM/edit?usp=share_link"",""สกลนคร!I537"")+IMPORTRANGE(""https://docs.google.com/spreadsheets/d/1wPdvRbu02d33MYVlbsCnyTiZpefEBs9NNktAnT1HZvw/edit?"&amp;"usp=share_link"",""สุรินทร์!I537"")+IMPORTRANGE(""https://docs.google.com/spreadsheets/d/1GVExpf-Exi_2gmuqTYH28fseTB9MoKPXWcXCbSt_YrM/edit?usp=share_link"",""หนองคาย!I537"")+IMPORTRANGE(""https://docs.google.com/spreadsheets/d/16UeMz0UgOB5BZcoxP75eYGcLFtG"&amp;"YRn9GoesD4OX9m5U/edit?usp=share_link"",""หนองบัวลำภู!I537"")+IMPORTRANGE(""https://docs.google.com/spreadsheets/d/1uUP8Zo1-qaJLuIkRU0qlwLSE3DHkbdrrj2JGJiWBQZE/edit?usp=share_link"",""อำนาจเจริญ!I537"")+IMPORTRANGE(""https://docs.google.com/spreadsheets/d/"&amp;"1hb_taSOHanzRjqfzWPiFo8yiT83VV1L7vvUCLhOiHKc/edit?usp=share_link"",""อุดรธานี!I537"")+IMPORTRANGE(""https://docs.google.com/spreadsheets/d/17IOkEwkUd63EGNfyNDnM5de9YlZ7rwzTiW6-dokVjKI/edit?usp=share_link"",""อุบลราชธานี!I537"")
"),80)</f>
        <v>80</v>
      </c>
      <c r="J537" s="194">
        <f ca="1">IFERROR(__xludf.DUMMYFUNCTION("IMPORTRANGE(""https://docs.google.com/spreadsheets/d/1fb2B9NLcpJgjIieIJvenUTNPn0TimZDUi0OtYeiSQ_s/edit?usp=share_link"",""กาฬสินธุ์!J537"")+IMPORTRANGE(""https://docs.google.com/spreadsheets/d/1SaMnqrwRGmFYNR0MhpWmHuL5niYUd5E7vDq8X7whAlI/edit?usp=share_li"&amp;"nk"",""ขอนแก่น!J537"")
+IMPORTRANGE(""https://docs.google.com/spreadsheets/d/1xQzEtGHhTTgxHh6YUkKY1P4dRyjVhS74dGswLfAASA4/edit?usp=share_link"",""ชัยภูมิ!J537"")+IMPORTRANGE(""https://docs.google.com/spreadsheets/d/1EXMBoBxU3OFbjT2TRpneM33qFjqDzrKmn9ydcfl"&amp;"fI0o/edit?usp=share_link"",""นครพนม!J537"")+IMPORTRANGE(""https://docs.google.com/spreadsheets/d/1bDQrolntRWtHumK8W-x-HXKntwxB9S3sF5aDeRS66Ko/edit?usp=share_link"",""นครราชสีมา!J537"")+IMPORTRANGE(""https://docs.google.com/spreadsheets/d/1_MzZ-2gVPiCW-d2V"&amp;"cafoCmFJQTSrZ6SQyFcMqRRQQ2w/edit?usp=share_link"",""บึงกาฬ!J537"")
+IMPORTRANGE(""https://docs.google.com/spreadsheets/d/1B3lPpzOuaNwVItLwLEZYl_qEblfcx7dRnbRkAw0l-pE/edit?usp=share_link"",""บุรีรัมย์!J537"")+IMPORTRANGE(""https://docs.google.com/spreadshe"&amp;"ets/d/19GOkiOqnzYbevLYWrMk4qFOXe3rX14BkSA8X-mq-a40/edit?usp=share_link"",""มหาสารคาม!J537"")+IMPORTRANGE(""https://docs.google.com/spreadsheets/d/1uMKqWwuNQ-TCKboGA3Bb1qXb5uj2-faACNUINCz8PN4/edit?usp=share_link"",""มุกดาหาร!J537"")+IMPORTRANGE(""https://d"&amp;"ocs.google.com/spreadsheets/d/1oKaccgDdQABndOzGr688Dbfxb_V3YcF67VqEPBtdzsc/edit?usp=share_link"",""ยโสธร!J537"")+IMPORTRANGE(""https://docs.google.com/spreadsheets/d/1BRgc8xKpxZ0PX-gauieMVkV_IOxKSotf0yW8MabGprQ/edit?usp=share_link"",""ร้อยเอ็ด!J537"")+IMP"&amp;"ORTRANGE(""https://docs.google.com/spreadsheets/d/1IdolZc-dfdgMwAm_KZxYJl1sUOcIgnbGQzbWOlddedo/edit?usp=share_link"",""เลย!J537"")+IMPORTRANGE(""https://docs.google.com/spreadsheets/d/1tZ0nmtGuIRCaGAMXHlQU8EpR9LOAJvyKfc4f7EFmE34/edit?usp=share_link"",""ศร"&amp;"ีสะเกษ!J537"")+IMPORTRANGE(""https://docs.google.com/spreadsheets/d/1QC8psz9w0f9IVE9Xuc2FT_btkaOzZbbUSgYObpBuetM/edit?usp=share_link"",""สกลนคร!J537"")+IMPORTRANGE(""https://docs.google.com/spreadsheets/d/1wPdvRbu02d33MYVlbsCnyTiZpefEBs9NNktAnT1HZvw/edit?"&amp;"usp=share_link"",""สุรินทร์!J537"")+IMPORTRANGE(""https://docs.google.com/spreadsheets/d/1GVExpf-Exi_2gmuqTYH28fseTB9MoKPXWcXCbSt_YrM/edit?usp=share_link"",""หนองคาย!J537"")+IMPORTRANGE(""https://docs.google.com/spreadsheets/d/16UeMz0UgOB5BZcoxP75eYGcLFtG"&amp;"YRn9GoesD4OX9m5U/edit?usp=share_link"",""หนองบัวลำภู!J537"")+IMPORTRANGE(""https://docs.google.com/spreadsheets/d/1uUP8Zo1-qaJLuIkRU0qlwLSE3DHkbdrrj2JGJiWBQZE/edit?usp=share_link"",""อำนาจเจริญ!J537"")+IMPORTRANGE(""https://docs.google.com/spreadsheets/d/"&amp;"1hb_taSOHanzRjqfzWPiFo8yiT83VV1L7vvUCLhOiHKc/edit?usp=share_link"",""อุดรธานี!J537"")+IMPORTRANGE(""https://docs.google.com/spreadsheets/d/17IOkEwkUd63EGNfyNDnM5de9YlZ7rwzTiW6-dokVjKI/edit?usp=share_link"",""อุบลราชธานี!J537"")
"),80)</f>
        <v>80</v>
      </c>
      <c r="K537" s="195">
        <f t="shared" ref="K537:K543" ca="1" si="269">IF(I537&gt;0,J537*100/I537,0)</f>
        <v>100</v>
      </c>
      <c r="L537" s="38"/>
      <c r="M537" s="38"/>
      <c r="N537" s="38"/>
      <c r="O537" s="38"/>
      <c r="P537" s="38"/>
      <c r="Q537" s="682"/>
      <c r="R537" s="682"/>
      <c r="S537" s="682"/>
      <c r="T537" s="682"/>
      <c r="U537" s="682"/>
      <c r="V537" s="682"/>
      <c r="W537" s="682"/>
      <c r="X537" s="682"/>
      <c r="Y537" s="682"/>
      <c r="Z537" s="682"/>
    </row>
    <row r="538" spans="1:26" ht="18.75">
      <c r="A538" s="574"/>
      <c r="B538" s="575"/>
      <c r="C538" s="576"/>
      <c r="D538" s="577"/>
      <c r="E538" s="683" t="s">
        <v>229</v>
      </c>
      <c r="F538" s="576"/>
      <c r="G538" s="189"/>
      <c r="H538" s="36" t="s">
        <v>35</v>
      </c>
      <c r="I538" s="270">
        <f ca="1">IFERROR(__xludf.DUMMYFUNCTION("IMPORTRANGE(""https://docs.google.com/spreadsheets/d/1fb2B9NLcpJgjIieIJvenUTNPn0TimZDUi0OtYeiSQ_s/edit?usp=share_link"",""กาฬสินธุ์!I538"")+IMPORTRANGE(""https://docs.google.com/spreadsheets/d/1SaMnqrwRGmFYNR0MhpWmHuL5niYUd5E7vDq8X7whAlI/edit?usp=share_li"&amp;"nk"",""ขอนแก่น!I538"")
+IMPORTRANGE(""https://docs.google.com/spreadsheets/d/1xQzEtGHhTTgxHh6YUkKY1P4dRyjVhS74dGswLfAASA4/edit?usp=share_link"",""ชัยภูมิ!I538"")+IMPORTRANGE(""https://docs.google.com/spreadsheets/d/1EXMBoBxU3OFbjT2TRpneM33qFjqDzrKmn9ydcfl"&amp;"fI0o/edit?usp=share_link"",""นครพนม!I538"")+IMPORTRANGE(""https://docs.google.com/spreadsheets/d/1bDQrolntRWtHumK8W-x-HXKntwxB9S3sF5aDeRS66Ko/edit?usp=share_link"",""นครราชสีมา!I538"")+IMPORTRANGE(""https://docs.google.com/spreadsheets/d/1_MzZ-2gVPiCW-d2V"&amp;"cafoCmFJQTSrZ6SQyFcMqRRQQ2w/edit?usp=share_link"",""บึงกาฬ!I538"")
+IMPORTRANGE(""https://docs.google.com/spreadsheets/d/1B3lPpzOuaNwVItLwLEZYl_qEblfcx7dRnbRkAw0l-pE/edit?usp=share_link"",""บุรีรัมย์!I538"")+IMPORTRANGE(""https://docs.google.com/spreadshe"&amp;"ets/d/19GOkiOqnzYbevLYWrMk4qFOXe3rX14BkSA8X-mq-a40/edit?usp=share_link"",""มหาสารคาม!I538"")+IMPORTRANGE(""https://docs.google.com/spreadsheets/d/1uMKqWwuNQ-TCKboGA3Bb1qXb5uj2-faACNUINCz8PN4/edit?usp=share_link"",""มุกดาหาร!I538"")+IMPORTRANGE(""https://d"&amp;"ocs.google.com/spreadsheets/d/1oKaccgDdQABndOzGr688Dbfxb_V3YcF67VqEPBtdzsc/edit?usp=share_link"",""ยโสธร!I538"")+IMPORTRANGE(""https://docs.google.com/spreadsheets/d/1BRgc8xKpxZ0PX-gauieMVkV_IOxKSotf0yW8MabGprQ/edit?usp=share_link"",""ร้อยเอ็ด!I538"")+IMP"&amp;"ORTRANGE(""https://docs.google.com/spreadsheets/d/1IdolZc-dfdgMwAm_KZxYJl1sUOcIgnbGQzbWOlddedo/edit?usp=share_link"",""เลย!I538"")+IMPORTRANGE(""https://docs.google.com/spreadsheets/d/1tZ0nmtGuIRCaGAMXHlQU8EpR9LOAJvyKfc4f7EFmE34/edit?usp=share_link"",""ศร"&amp;"ีสะเกษ!I538"")+IMPORTRANGE(""https://docs.google.com/spreadsheets/d/1QC8psz9w0f9IVE9Xuc2FT_btkaOzZbbUSgYObpBuetM/edit?usp=share_link"",""สกลนคร!I538"")+IMPORTRANGE(""https://docs.google.com/spreadsheets/d/1wPdvRbu02d33MYVlbsCnyTiZpefEBs9NNktAnT1HZvw/edit?"&amp;"usp=share_link"",""สุรินทร์!I538"")+IMPORTRANGE(""https://docs.google.com/spreadsheets/d/1GVExpf-Exi_2gmuqTYH28fseTB9MoKPXWcXCbSt_YrM/edit?usp=share_link"",""หนองคาย!I538"")+IMPORTRANGE(""https://docs.google.com/spreadsheets/d/16UeMz0UgOB5BZcoxP75eYGcLFtG"&amp;"YRn9GoesD4OX9m5U/edit?usp=share_link"",""หนองบัวลำภู!I538"")+IMPORTRANGE(""https://docs.google.com/spreadsheets/d/1uUP8Zo1-qaJLuIkRU0qlwLSE3DHkbdrrj2JGJiWBQZE/edit?usp=share_link"",""อำนาจเจริญ!I538"")+IMPORTRANGE(""https://docs.google.com/spreadsheets/d/"&amp;"1hb_taSOHanzRjqfzWPiFo8yiT83VV1L7vvUCLhOiHKc/edit?usp=share_link"",""อุดรธานี!I538"")+IMPORTRANGE(""https://docs.google.com/spreadsheets/d/17IOkEwkUd63EGNfyNDnM5de9YlZ7rwzTiW6-dokVjKI/edit?usp=share_link"",""อุบลราชธานี!I538"")
"),80)</f>
        <v>80</v>
      </c>
      <c r="J538" s="183">
        <f ca="1">IFERROR(__xludf.DUMMYFUNCTION("IMPORTRANGE(""https://docs.google.com/spreadsheets/d/1fb2B9NLcpJgjIieIJvenUTNPn0TimZDUi0OtYeiSQ_s/edit?usp=share_link"",""กาฬสินธุ์!J538"")+IMPORTRANGE(""https://docs.google.com/spreadsheets/d/1SaMnqrwRGmFYNR0MhpWmHuL5niYUd5E7vDq8X7whAlI/edit?usp=share_li"&amp;"nk"",""ขอนแก่น!J538"")
+IMPORTRANGE(""https://docs.google.com/spreadsheets/d/1xQzEtGHhTTgxHh6YUkKY1P4dRyjVhS74dGswLfAASA4/edit?usp=share_link"",""ชัยภูมิ!J538"")+IMPORTRANGE(""https://docs.google.com/spreadsheets/d/1EXMBoBxU3OFbjT2TRpneM33qFjqDzrKmn9ydcfl"&amp;"fI0o/edit?usp=share_link"",""นครพนม!J538"")+IMPORTRANGE(""https://docs.google.com/spreadsheets/d/1bDQrolntRWtHumK8W-x-HXKntwxB9S3sF5aDeRS66Ko/edit?usp=share_link"",""นครราชสีมา!J538"")+IMPORTRANGE(""https://docs.google.com/spreadsheets/d/1_MzZ-2gVPiCW-d2V"&amp;"cafoCmFJQTSrZ6SQyFcMqRRQQ2w/edit?usp=share_link"",""บึงกาฬ!J538"")
+IMPORTRANGE(""https://docs.google.com/spreadsheets/d/1B3lPpzOuaNwVItLwLEZYl_qEblfcx7dRnbRkAw0l-pE/edit?usp=share_link"",""บุรีรัมย์!J538"")+IMPORTRANGE(""https://docs.google.com/spreadshe"&amp;"ets/d/19GOkiOqnzYbevLYWrMk4qFOXe3rX14BkSA8X-mq-a40/edit?usp=share_link"",""มหาสารคาม!J538"")+IMPORTRANGE(""https://docs.google.com/spreadsheets/d/1uMKqWwuNQ-TCKboGA3Bb1qXb5uj2-faACNUINCz8PN4/edit?usp=share_link"",""มุกดาหาร!J538"")+IMPORTRANGE(""https://d"&amp;"ocs.google.com/spreadsheets/d/1oKaccgDdQABndOzGr688Dbfxb_V3YcF67VqEPBtdzsc/edit?usp=share_link"",""ยโสธร!J538"")+IMPORTRANGE(""https://docs.google.com/spreadsheets/d/1BRgc8xKpxZ0PX-gauieMVkV_IOxKSotf0yW8MabGprQ/edit?usp=share_link"",""ร้อยเอ็ด!J538"")+IMP"&amp;"ORTRANGE(""https://docs.google.com/spreadsheets/d/1IdolZc-dfdgMwAm_KZxYJl1sUOcIgnbGQzbWOlddedo/edit?usp=share_link"",""เลย!J538"")+IMPORTRANGE(""https://docs.google.com/spreadsheets/d/1tZ0nmtGuIRCaGAMXHlQU8EpR9LOAJvyKfc4f7EFmE34/edit?usp=share_link"",""ศร"&amp;"ีสะเกษ!J538"")+IMPORTRANGE(""https://docs.google.com/spreadsheets/d/1QC8psz9w0f9IVE9Xuc2FT_btkaOzZbbUSgYObpBuetM/edit?usp=share_link"",""สกลนคร!J538"")+IMPORTRANGE(""https://docs.google.com/spreadsheets/d/1wPdvRbu02d33MYVlbsCnyTiZpefEBs9NNktAnT1HZvw/edit?"&amp;"usp=share_link"",""สุรินทร์!J538"")+IMPORTRANGE(""https://docs.google.com/spreadsheets/d/1GVExpf-Exi_2gmuqTYH28fseTB9MoKPXWcXCbSt_YrM/edit?usp=share_link"",""หนองคาย!J538"")+IMPORTRANGE(""https://docs.google.com/spreadsheets/d/16UeMz0UgOB5BZcoxP75eYGcLFtG"&amp;"YRn9GoesD4OX9m5U/edit?usp=share_link"",""หนองบัวลำภู!J538"")+IMPORTRANGE(""https://docs.google.com/spreadsheets/d/1uUP8Zo1-qaJLuIkRU0qlwLSE3DHkbdrrj2JGJiWBQZE/edit?usp=share_link"",""อำนาจเจริญ!J538"")+IMPORTRANGE(""https://docs.google.com/spreadsheets/d/"&amp;"1hb_taSOHanzRjqfzWPiFo8yiT83VV1L7vvUCLhOiHKc/edit?usp=share_link"",""อุดรธานี!J538"")+IMPORTRANGE(""https://docs.google.com/spreadsheets/d/17IOkEwkUd63EGNfyNDnM5de9YlZ7rwzTiW6-dokVjKI/edit?usp=share_link"",""อุบลราชธานี!J538"")
"),80)</f>
        <v>80</v>
      </c>
      <c r="K538" s="38">
        <f t="shared" ca="1" si="269"/>
        <v>100</v>
      </c>
      <c r="L538" s="38"/>
      <c r="M538" s="38"/>
      <c r="N538" s="38"/>
      <c r="O538" s="38"/>
      <c r="P538" s="38"/>
      <c r="Q538" s="682"/>
      <c r="R538" s="682"/>
      <c r="S538" s="682"/>
      <c r="T538" s="682"/>
      <c r="U538" s="682"/>
      <c r="V538" s="682"/>
      <c r="W538" s="682"/>
      <c r="X538" s="682"/>
      <c r="Y538" s="682"/>
      <c r="Z538" s="682"/>
    </row>
    <row r="539" spans="1:26" ht="18.75">
      <c r="A539" s="574"/>
      <c r="B539" s="575"/>
      <c r="C539" s="576"/>
      <c r="D539" s="577"/>
      <c r="E539" s="683" t="s">
        <v>230</v>
      </c>
      <c r="F539" s="576"/>
      <c r="G539" s="189"/>
      <c r="H539" s="36" t="s">
        <v>35</v>
      </c>
      <c r="I539" s="270">
        <f ca="1">IFERROR(__xludf.DUMMYFUNCTION("IMPORTRANGE(""https://docs.google.com/spreadsheets/d/1fb2B9NLcpJgjIieIJvenUTNPn0TimZDUi0OtYeiSQ_s/edit?usp=share_link"",""กาฬสินธุ์!I539"")+IMPORTRANGE(""https://docs.google.com/spreadsheets/d/1SaMnqrwRGmFYNR0MhpWmHuL5niYUd5E7vDq8X7whAlI/edit?usp=share_li"&amp;"nk"",""ขอนแก่น!I539"")
+IMPORTRANGE(""https://docs.google.com/spreadsheets/d/1xQzEtGHhTTgxHh6YUkKY1P4dRyjVhS74dGswLfAASA4/edit?usp=share_link"",""ชัยภูมิ!I539"")+IMPORTRANGE(""https://docs.google.com/spreadsheets/d/1EXMBoBxU3OFbjT2TRpneM33qFjqDzrKmn9ydcfl"&amp;"fI0o/edit?usp=share_link"",""นครพนม!I539"")+IMPORTRANGE(""https://docs.google.com/spreadsheets/d/1bDQrolntRWtHumK8W-x-HXKntwxB9S3sF5aDeRS66Ko/edit?usp=share_link"",""นครราชสีมา!I539"")+IMPORTRANGE(""https://docs.google.com/spreadsheets/d/1_MzZ-2gVPiCW-d2V"&amp;"cafoCmFJQTSrZ6SQyFcMqRRQQ2w/edit?usp=share_link"",""บึงกาฬ!I539"")
+IMPORTRANGE(""https://docs.google.com/spreadsheets/d/1B3lPpzOuaNwVItLwLEZYl_qEblfcx7dRnbRkAw0l-pE/edit?usp=share_link"",""บุรีรัมย์!I539"")+IMPORTRANGE(""https://docs.google.com/spreadshe"&amp;"ets/d/19GOkiOqnzYbevLYWrMk4qFOXe3rX14BkSA8X-mq-a40/edit?usp=share_link"",""มหาสารคาม!I539"")+IMPORTRANGE(""https://docs.google.com/spreadsheets/d/1uMKqWwuNQ-TCKboGA3Bb1qXb5uj2-faACNUINCz8PN4/edit?usp=share_link"",""มุกดาหาร!I539"")+IMPORTRANGE(""https://d"&amp;"ocs.google.com/spreadsheets/d/1oKaccgDdQABndOzGr688Dbfxb_V3YcF67VqEPBtdzsc/edit?usp=share_link"",""ยโสธร!I539"")+IMPORTRANGE(""https://docs.google.com/spreadsheets/d/1BRgc8xKpxZ0PX-gauieMVkV_IOxKSotf0yW8MabGprQ/edit?usp=share_link"",""ร้อยเอ็ด!I539"")+IMP"&amp;"ORTRANGE(""https://docs.google.com/spreadsheets/d/1IdolZc-dfdgMwAm_KZxYJl1sUOcIgnbGQzbWOlddedo/edit?usp=share_link"",""เลย!I539"")+IMPORTRANGE(""https://docs.google.com/spreadsheets/d/1tZ0nmtGuIRCaGAMXHlQU8EpR9LOAJvyKfc4f7EFmE34/edit?usp=share_link"",""ศร"&amp;"ีสะเกษ!I539"")+IMPORTRANGE(""https://docs.google.com/spreadsheets/d/1QC8psz9w0f9IVE9Xuc2FT_btkaOzZbbUSgYObpBuetM/edit?usp=share_link"",""สกลนคร!I539"")+IMPORTRANGE(""https://docs.google.com/spreadsheets/d/1wPdvRbu02d33MYVlbsCnyTiZpefEBs9NNktAnT1HZvw/edit?"&amp;"usp=share_link"",""สุรินทร์!I539"")+IMPORTRANGE(""https://docs.google.com/spreadsheets/d/1GVExpf-Exi_2gmuqTYH28fseTB9MoKPXWcXCbSt_YrM/edit?usp=share_link"",""หนองคาย!I539"")+IMPORTRANGE(""https://docs.google.com/spreadsheets/d/16UeMz0UgOB5BZcoxP75eYGcLFtG"&amp;"YRn9GoesD4OX9m5U/edit?usp=share_link"",""หนองบัวลำภู!I539"")+IMPORTRANGE(""https://docs.google.com/spreadsheets/d/1uUP8Zo1-qaJLuIkRU0qlwLSE3DHkbdrrj2JGJiWBQZE/edit?usp=share_link"",""อำนาจเจริญ!I539"")+IMPORTRANGE(""https://docs.google.com/spreadsheets/d/"&amp;"1hb_taSOHanzRjqfzWPiFo8yiT83VV1L7vvUCLhOiHKc/edit?usp=share_link"",""อุดรธานี!I539"")+IMPORTRANGE(""https://docs.google.com/spreadsheets/d/17IOkEwkUd63EGNfyNDnM5de9YlZ7rwzTiW6-dokVjKI/edit?usp=share_link"",""อุบลราชธานี!I539"")
"),0)</f>
        <v>0</v>
      </c>
      <c r="J539" s="183">
        <f ca="1">IFERROR(__xludf.DUMMYFUNCTION("IMPORTRANGE(""https://docs.google.com/spreadsheets/d/1fb2B9NLcpJgjIieIJvenUTNPn0TimZDUi0OtYeiSQ_s/edit?usp=share_link"",""กาฬสินธุ์!J539"")+IMPORTRANGE(""https://docs.google.com/spreadsheets/d/1SaMnqrwRGmFYNR0MhpWmHuL5niYUd5E7vDq8X7whAlI/edit?usp=share_li"&amp;"nk"",""ขอนแก่น!J539"")
+IMPORTRANGE(""https://docs.google.com/spreadsheets/d/1xQzEtGHhTTgxHh6YUkKY1P4dRyjVhS74dGswLfAASA4/edit?usp=share_link"",""ชัยภูมิ!J539"")+IMPORTRANGE(""https://docs.google.com/spreadsheets/d/1EXMBoBxU3OFbjT2TRpneM33qFjqDzrKmn9ydcfl"&amp;"fI0o/edit?usp=share_link"",""นครพนม!J539"")+IMPORTRANGE(""https://docs.google.com/spreadsheets/d/1bDQrolntRWtHumK8W-x-HXKntwxB9S3sF5aDeRS66Ko/edit?usp=share_link"",""นครราชสีมา!J539"")+IMPORTRANGE(""https://docs.google.com/spreadsheets/d/1_MzZ-2gVPiCW-d2V"&amp;"cafoCmFJQTSrZ6SQyFcMqRRQQ2w/edit?usp=share_link"",""บึงกาฬ!J539"")
+IMPORTRANGE(""https://docs.google.com/spreadsheets/d/1B3lPpzOuaNwVItLwLEZYl_qEblfcx7dRnbRkAw0l-pE/edit?usp=share_link"",""บุรีรัมย์!J539"")+IMPORTRANGE(""https://docs.google.com/spreadshe"&amp;"ets/d/19GOkiOqnzYbevLYWrMk4qFOXe3rX14BkSA8X-mq-a40/edit?usp=share_link"",""มหาสารคาม!J539"")+IMPORTRANGE(""https://docs.google.com/spreadsheets/d/1uMKqWwuNQ-TCKboGA3Bb1qXb5uj2-faACNUINCz8PN4/edit?usp=share_link"",""มุกดาหาร!J539"")+IMPORTRANGE(""https://d"&amp;"ocs.google.com/spreadsheets/d/1oKaccgDdQABndOzGr688Dbfxb_V3YcF67VqEPBtdzsc/edit?usp=share_link"",""ยโสธร!J539"")+IMPORTRANGE(""https://docs.google.com/spreadsheets/d/1BRgc8xKpxZ0PX-gauieMVkV_IOxKSotf0yW8MabGprQ/edit?usp=share_link"",""ร้อยเอ็ด!J539"")+IMP"&amp;"ORTRANGE(""https://docs.google.com/spreadsheets/d/1IdolZc-dfdgMwAm_KZxYJl1sUOcIgnbGQzbWOlddedo/edit?usp=share_link"",""เลย!J539"")+IMPORTRANGE(""https://docs.google.com/spreadsheets/d/1tZ0nmtGuIRCaGAMXHlQU8EpR9LOAJvyKfc4f7EFmE34/edit?usp=share_link"",""ศร"&amp;"ีสะเกษ!J539"")+IMPORTRANGE(""https://docs.google.com/spreadsheets/d/1QC8psz9w0f9IVE9Xuc2FT_btkaOzZbbUSgYObpBuetM/edit?usp=share_link"",""สกลนคร!J539"")+IMPORTRANGE(""https://docs.google.com/spreadsheets/d/1wPdvRbu02d33MYVlbsCnyTiZpefEBs9NNktAnT1HZvw/edit?"&amp;"usp=share_link"",""สุรินทร์!J539"")+IMPORTRANGE(""https://docs.google.com/spreadsheets/d/1GVExpf-Exi_2gmuqTYH28fseTB9MoKPXWcXCbSt_YrM/edit?usp=share_link"",""หนองคาย!J539"")+IMPORTRANGE(""https://docs.google.com/spreadsheets/d/16UeMz0UgOB5BZcoxP75eYGcLFtG"&amp;"YRn9GoesD4OX9m5U/edit?usp=share_link"",""หนองบัวลำภู!J539"")+IMPORTRANGE(""https://docs.google.com/spreadsheets/d/1uUP8Zo1-qaJLuIkRU0qlwLSE3DHkbdrrj2JGJiWBQZE/edit?usp=share_link"",""อำนาจเจริญ!J539"")+IMPORTRANGE(""https://docs.google.com/spreadsheets/d/"&amp;"1hb_taSOHanzRjqfzWPiFo8yiT83VV1L7vvUCLhOiHKc/edit?usp=share_link"",""อุดรธานี!J539"")+IMPORTRANGE(""https://docs.google.com/spreadsheets/d/17IOkEwkUd63EGNfyNDnM5de9YlZ7rwzTiW6-dokVjKI/edit?usp=share_link"",""อุบลราชธานี!J539"")
"),0)</f>
        <v>0</v>
      </c>
      <c r="K539" s="38">
        <f t="shared" ca="1" si="269"/>
        <v>0</v>
      </c>
      <c r="L539" s="38"/>
      <c r="M539" s="38"/>
      <c r="N539" s="38"/>
      <c r="O539" s="38"/>
      <c r="P539" s="38"/>
      <c r="Q539" s="682"/>
      <c r="R539" s="682"/>
      <c r="S539" s="682"/>
      <c r="T539" s="682"/>
      <c r="U539" s="682"/>
      <c r="V539" s="682"/>
      <c r="W539" s="682"/>
      <c r="X539" s="682"/>
      <c r="Y539" s="682"/>
      <c r="Z539" s="682"/>
    </row>
    <row r="540" spans="1:26" ht="18.75">
      <c r="A540" s="574"/>
      <c r="B540" s="575"/>
      <c r="C540" s="576"/>
      <c r="D540" s="577"/>
      <c r="E540" s="683" t="s">
        <v>231</v>
      </c>
      <c r="F540" s="576"/>
      <c r="G540" s="189"/>
      <c r="H540" s="36" t="s">
        <v>35</v>
      </c>
      <c r="I540" s="270">
        <f ca="1">IFERROR(__xludf.DUMMYFUNCTION("IMPORTRANGE(""https://docs.google.com/spreadsheets/d/1fb2B9NLcpJgjIieIJvenUTNPn0TimZDUi0OtYeiSQ_s/edit?usp=share_link"",""กาฬสินธุ์!I540"")+IMPORTRANGE(""https://docs.google.com/spreadsheets/d/1SaMnqrwRGmFYNR0MhpWmHuL5niYUd5E7vDq8X7whAlI/edit?usp=share_li"&amp;"nk"",""ขอนแก่น!I540"")
+IMPORTRANGE(""https://docs.google.com/spreadsheets/d/1xQzEtGHhTTgxHh6YUkKY1P4dRyjVhS74dGswLfAASA4/edit?usp=share_link"",""ชัยภูมิ!I540"")+IMPORTRANGE(""https://docs.google.com/spreadsheets/d/1EXMBoBxU3OFbjT2TRpneM33qFjqDzrKmn9ydcfl"&amp;"fI0o/edit?usp=share_link"",""นครพนม!I540"")+IMPORTRANGE(""https://docs.google.com/spreadsheets/d/1bDQrolntRWtHumK8W-x-HXKntwxB9S3sF5aDeRS66Ko/edit?usp=share_link"",""นครราชสีมา!I540"")+IMPORTRANGE(""https://docs.google.com/spreadsheets/d/1_MzZ-2gVPiCW-d2V"&amp;"cafoCmFJQTSrZ6SQyFcMqRRQQ2w/edit?usp=share_link"",""บึงกาฬ!I540"")
+IMPORTRANGE(""https://docs.google.com/spreadsheets/d/1B3lPpzOuaNwVItLwLEZYl_qEblfcx7dRnbRkAw0l-pE/edit?usp=share_link"",""บุรีรัมย์!I540"")+IMPORTRANGE(""https://docs.google.com/spreadshe"&amp;"ets/d/19GOkiOqnzYbevLYWrMk4qFOXe3rX14BkSA8X-mq-a40/edit?usp=share_link"",""มหาสารคาม!I540"")+IMPORTRANGE(""https://docs.google.com/spreadsheets/d/1uMKqWwuNQ-TCKboGA3Bb1qXb5uj2-faACNUINCz8PN4/edit?usp=share_link"",""มุกดาหาร!I540"")+IMPORTRANGE(""https://d"&amp;"ocs.google.com/spreadsheets/d/1oKaccgDdQABndOzGr688Dbfxb_V3YcF67VqEPBtdzsc/edit?usp=share_link"",""ยโสธร!I540"")+IMPORTRANGE(""https://docs.google.com/spreadsheets/d/1BRgc8xKpxZ0PX-gauieMVkV_IOxKSotf0yW8MabGprQ/edit?usp=share_link"",""ร้อยเอ็ด!I540"")+IMP"&amp;"ORTRANGE(""https://docs.google.com/spreadsheets/d/1IdolZc-dfdgMwAm_KZxYJl1sUOcIgnbGQzbWOlddedo/edit?usp=share_link"",""เลย!I540"")+IMPORTRANGE(""https://docs.google.com/spreadsheets/d/1tZ0nmtGuIRCaGAMXHlQU8EpR9LOAJvyKfc4f7EFmE34/edit?usp=share_link"",""ศร"&amp;"ีสะเกษ!I540"")+IMPORTRANGE(""https://docs.google.com/spreadsheets/d/1QC8psz9w0f9IVE9Xuc2FT_btkaOzZbbUSgYObpBuetM/edit?usp=share_link"",""สกลนคร!I540"")+IMPORTRANGE(""https://docs.google.com/spreadsheets/d/1wPdvRbu02d33MYVlbsCnyTiZpefEBs9NNktAnT1HZvw/edit?"&amp;"usp=share_link"",""สุรินทร์!I540"")+IMPORTRANGE(""https://docs.google.com/spreadsheets/d/1GVExpf-Exi_2gmuqTYH28fseTB9MoKPXWcXCbSt_YrM/edit?usp=share_link"",""หนองคาย!I540"")+IMPORTRANGE(""https://docs.google.com/spreadsheets/d/16UeMz0UgOB5BZcoxP75eYGcLFtG"&amp;"YRn9GoesD4OX9m5U/edit?usp=share_link"",""หนองบัวลำภู!I540"")+IMPORTRANGE(""https://docs.google.com/spreadsheets/d/1uUP8Zo1-qaJLuIkRU0qlwLSE3DHkbdrrj2JGJiWBQZE/edit?usp=share_link"",""อำนาจเจริญ!I540"")+IMPORTRANGE(""https://docs.google.com/spreadsheets/d/"&amp;"1hb_taSOHanzRjqfzWPiFo8yiT83VV1L7vvUCLhOiHKc/edit?usp=share_link"",""อุดรธานี!I540"")+IMPORTRANGE(""https://docs.google.com/spreadsheets/d/17IOkEwkUd63EGNfyNDnM5de9YlZ7rwzTiW6-dokVjKI/edit?usp=share_link"",""อุบลราชธานี!I540"")
"),0)</f>
        <v>0</v>
      </c>
      <c r="J540" s="183">
        <f ca="1">IFERROR(__xludf.DUMMYFUNCTION("IMPORTRANGE(""https://docs.google.com/spreadsheets/d/1fb2B9NLcpJgjIieIJvenUTNPn0TimZDUi0OtYeiSQ_s/edit?usp=share_link"",""กาฬสินธุ์!J540"")+IMPORTRANGE(""https://docs.google.com/spreadsheets/d/1SaMnqrwRGmFYNR0MhpWmHuL5niYUd5E7vDq8X7whAlI/edit?usp=share_li"&amp;"nk"",""ขอนแก่น!J540"")
+IMPORTRANGE(""https://docs.google.com/spreadsheets/d/1xQzEtGHhTTgxHh6YUkKY1P4dRyjVhS74dGswLfAASA4/edit?usp=share_link"",""ชัยภูมิ!J540"")+IMPORTRANGE(""https://docs.google.com/spreadsheets/d/1EXMBoBxU3OFbjT2TRpneM33qFjqDzrKmn9ydcfl"&amp;"fI0o/edit?usp=share_link"",""นครพนม!J540"")+IMPORTRANGE(""https://docs.google.com/spreadsheets/d/1bDQrolntRWtHumK8W-x-HXKntwxB9S3sF5aDeRS66Ko/edit?usp=share_link"",""นครราชสีมา!J540"")+IMPORTRANGE(""https://docs.google.com/spreadsheets/d/1_MzZ-2gVPiCW-d2V"&amp;"cafoCmFJQTSrZ6SQyFcMqRRQQ2w/edit?usp=share_link"",""บึงกาฬ!J540"")
+IMPORTRANGE(""https://docs.google.com/spreadsheets/d/1B3lPpzOuaNwVItLwLEZYl_qEblfcx7dRnbRkAw0l-pE/edit?usp=share_link"",""บุรีรัมย์!J540"")+IMPORTRANGE(""https://docs.google.com/spreadshe"&amp;"ets/d/19GOkiOqnzYbevLYWrMk4qFOXe3rX14BkSA8X-mq-a40/edit?usp=share_link"",""มหาสารคาม!J540"")+IMPORTRANGE(""https://docs.google.com/spreadsheets/d/1uMKqWwuNQ-TCKboGA3Bb1qXb5uj2-faACNUINCz8PN4/edit?usp=share_link"",""มุกดาหาร!J540"")+IMPORTRANGE(""https://d"&amp;"ocs.google.com/spreadsheets/d/1oKaccgDdQABndOzGr688Dbfxb_V3YcF67VqEPBtdzsc/edit?usp=share_link"",""ยโสธร!J540"")+IMPORTRANGE(""https://docs.google.com/spreadsheets/d/1BRgc8xKpxZ0PX-gauieMVkV_IOxKSotf0yW8MabGprQ/edit?usp=share_link"",""ร้อยเอ็ด!J540"")+IMP"&amp;"ORTRANGE(""https://docs.google.com/spreadsheets/d/1IdolZc-dfdgMwAm_KZxYJl1sUOcIgnbGQzbWOlddedo/edit?usp=share_link"",""เลย!J540"")+IMPORTRANGE(""https://docs.google.com/spreadsheets/d/1tZ0nmtGuIRCaGAMXHlQU8EpR9LOAJvyKfc4f7EFmE34/edit?usp=share_link"",""ศร"&amp;"ีสะเกษ!J540"")+IMPORTRANGE(""https://docs.google.com/spreadsheets/d/1QC8psz9w0f9IVE9Xuc2FT_btkaOzZbbUSgYObpBuetM/edit?usp=share_link"",""สกลนคร!J540"")+IMPORTRANGE(""https://docs.google.com/spreadsheets/d/1wPdvRbu02d33MYVlbsCnyTiZpefEBs9NNktAnT1HZvw/edit?"&amp;"usp=share_link"",""สุรินทร์!J540"")+IMPORTRANGE(""https://docs.google.com/spreadsheets/d/1GVExpf-Exi_2gmuqTYH28fseTB9MoKPXWcXCbSt_YrM/edit?usp=share_link"",""หนองคาย!J540"")+IMPORTRANGE(""https://docs.google.com/spreadsheets/d/16UeMz0UgOB5BZcoxP75eYGcLFtG"&amp;"YRn9GoesD4OX9m5U/edit?usp=share_link"",""หนองบัวลำภู!J540"")+IMPORTRANGE(""https://docs.google.com/spreadsheets/d/1uUP8Zo1-qaJLuIkRU0qlwLSE3DHkbdrrj2JGJiWBQZE/edit?usp=share_link"",""อำนาจเจริญ!J540"")+IMPORTRANGE(""https://docs.google.com/spreadsheets/d/"&amp;"1hb_taSOHanzRjqfzWPiFo8yiT83VV1L7vvUCLhOiHKc/edit?usp=share_link"",""อุดรธานี!J540"")+IMPORTRANGE(""https://docs.google.com/spreadsheets/d/17IOkEwkUd63EGNfyNDnM5de9YlZ7rwzTiW6-dokVjKI/edit?usp=share_link"",""อุบลราชธานี!J540"")
"),0)</f>
        <v>0</v>
      </c>
      <c r="K540" s="38">
        <f t="shared" ca="1" si="269"/>
        <v>0</v>
      </c>
      <c r="L540" s="38"/>
      <c r="M540" s="38"/>
      <c r="N540" s="38"/>
      <c r="O540" s="38"/>
      <c r="P540" s="38"/>
      <c r="Q540" s="682"/>
      <c r="R540" s="682"/>
      <c r="S540" s="682"/>
      <c r="T540" s="682"/>
      <c r="U540" s="682"/>
      <c r="V540" s="682"/>
      <c r="W540" s="682"/>
      <c r="X540" s="682"/>
      <c r="Y540" s="682"/>
      <c r="Z540" s="682"/>
    </row>
    <row r="541" spans="1:26" ht="18.75">
      <c r="A541" s="574"/>
      <c r="B541" s="575"/>
      <c r="C541" s="576"/>
      <c r="D541" s="577"/>
      <c r="E541" s="684" t="s">
        <v>232</v>
      </c>
      <c r="F541" s="576"/>
      <c r="G541" s="189"/>
      <c r="H541" s="36" t="s">
        <v>35</v>
      </c>
      <c r="I541" s="270">
        <f ca="1">IFERROR(__xludf.DUMMYFUNCTION("IMPORTRANGE(""https://docs.google.com/spreadsheets/d/1fb2B9NLcpJgjIieIJvenUTNPn0TimZDUi0OtYeiSQ_s/edit?usp=share_link"",""กาฬสินธุ์!I541"")+IMPORTRANGE(""https://docs.google.com/spreadsheets/d/1SaMnqrwRGmFYNR0MhpWmHuL5niYUd5E7vDq8X7whAlI/edit?usp=share_li"&amp;"nk"",""ขอนแก่น!I541"")
+IMPORTRANGE(""https://docs.google.com/spreadsheets/d/1xQzEtGHhTTgxHh6YUkKY1P4dRyjVhS74dGswLfAASA4/edit?usp=share_link"",""ชัยภูมิ!I541"")+IMPORTRANGE(""https://docs.google.com/spreadsheets/d/1EXMBoBxU3OFbjT2TRpneM33qFjqDzrKmn9ydcfl"&amp;"fI0o/edit?usp=share_link"",""นครพนม!I541"")+IMPORTRANGE(""https://docs.google.com/spreadsheets/d/1bDQrolntRWtHumK8W-x-HXKntwxB9S3sF5aDeRS66Ko/edit?usp=share_link"",""นครราชสีมา!I541"")+IMPORTRANGE(""https://docs.google.com/spreadsheets/d/1_MzZ-2gVPiCW-d2V"&amp;"cafoCmFJQTSrZ6SQyFcMqRRQQ2w/edit?usp=share_link"",""บึงกาฬ!I541"")
+IMPORTRANGE(""https://docs.google.com/spreadsheets/d/1B3lPpzOuaNwVItLwLEZYl_qEblfcx7dRnbRkAw0l-pE/edit?usp=share_link"",""บุรีรัมย์!I541"")+IMPORTRANGE(""https://docs.google.com/spreadshe"&amp;"ets/d/19GOkiOqnzYbevLYWrMk4qFOXe3rX14BkSA8X-mq-a40/edit?usp=share_link"",""มหาสารคาม!I541"")+IMPORTRANGE(""https://docs.google.com/spreadsheets/d/1uMKqWwuNQ-TCKboGA3Bb1qXb5uj2-faACNUINCz8PN4/edit?usp=share_link"",""มุกดาหาร!I541"")+IMPORTRANGE(""https://d"&amp;"ocs.google.com/spreadsheets/d/1oKaccgDdQABndOzGr688Dbfxb_V3YcF67VqEPBtdzsc/edit?usp=share_link"",""ยโสธร!I541"")+IMPORTRANGE(""https://docs.google.com/spreadsheets/d/1BRgc8xKpxZ0PX-gauieMVkV_IOxKSotf0yW8MabGprQ/edit?usp=share_link"",""ร้อยเอ็ด!I541"")+IMP"&amp;"ORTRANGE(""https://docs.google.com/spreadsheets/d/1IdolZc-dfdgMwAm_KZxYJl1sUOcIgnbGQzbWOlddedo/edit?usp=share_link"",""เลย!I541"")+IMPORTRANGE(""https://docs.google.com/spreadsheets/d/1tZ0nmtGuIRCaGAMXHlQU8EpR9LOAJvyKfc4f7EFmE34/edit?usp=share_link"",""ศร"&amp;"ีสะเกษ!I541"")+IMPORTRANGE(""https://docs.google.com/spreadsheets/d/1QC8psz9w0f9IVE9Xuc2FT_btkaOzZbbUSgYObpBuetM/edit?usp=share_link"",""สกลนคร!I541"")+IMPORTRANGE(""https://docs.google.com/spreadsheets/d/1wPdvRbu02d33MYVlbsCnyTiZpefEBs9NNktAnT1HZvw/edit?"&amp;"usp=share_link"",""สุรินทร์!I541"")+IMPORTRANGE(""https://docs.google.com/spreadsheets/d/1GVExpf-Exi_2gmuqTYH28fseTB9MoKPXWcXCbSt_YrM/edit?usp=share_link"",""หนองคาย!I541"")+IMPORTRANGE(""https://docs.google.com/spreadsheets/d/16UeMz0UgOB5BZcoxP75eYGcLFtG"&amp;"YRn9GoesD4OX9m5U/edit?usp=share_link"",""หนองบัวลำภู!I541"")+IMPORTRANGE(""https://docs.google.com/spreadsheets/d/1uUP8Zo1-qaJLuIkRU0qlwLSE3DHkbdrrj2JGJiWBQZE/edit?usp=share_link"",""อำนาจเจริญ!I541"")+IMPORTRANGE(""https://docs.google.com/spreadsheets/d/"&amp;"1hb_taSOHanzRjqfzWPiFo8yiT83VV1L7vvUCLhOiHKc/edit?usp=share_link"",""อุดรธานี!I541"")+IMPORTRANGE(""https://docs.google.com/spreadsheets/d/17IOkEwkUd63EGNfyNDnM5de9YlZ7rwzTiW6-dokVjKI/edit?usp=share_link"",""อุบลราชธานี!I541"")
"),80)</f>
        <v>80</v>
      </c>
      <c r="J541" s="183">
        <f ca="1">IFERROR(__xludf.DUMMYFUNCTION("IMPORTRANGE(""https://docs.google.com/spreadsheets/d/1fb2B9NLcpJgjIieIJvenUTNPn0TimZDUi0OtYeiSQ_s/edit?usp=share_link"",""กาฬสินธุ์!J541"")+IMPORTRANGE(""https://docs.google.com/spreadsheets/d/1SaMnqrwRGmFYNR0MhpWmHuL5niYUd5E7vDq8X7whAlI/edit?usp=share_li"&amp;"nk"",""ขอนแก่น!J541"")
+IMPORTRANGE(""https://docs.google.com/spreadsheets/d/1xQzEtGHhTTgxHh6YUkKY1P4dRyjVhS74dGswLfAASA4/edit?usp=share_link"",""ชัยภูมิ!J541"")+IMPORTRANGE(""https://docs.google.com/spreadsheets/d/1EXMBoBxU3OFbjT2TRpneM33qFjqDzrKmn9ydcfl"&amp;"fI0o/edit?usp=share_link"",""นครพนม!J541"")+IMPORTRANGE(""https://docs.google.com/spreadsheets/d/1bDQrolntRWtHumK8W-x-HXKntwxB9S3sF5aDeRS66Ko/edit?usp=share_link"",""นครราชสีมา!J541"")+IMPORTRANGE(""https://docs.google.com/spreadsheets/d/1_MzZ-2gVPiCW-d2V"&amp;"cafoCmFJQTSrZ6SQyFcMqRRQQ2w/edit?usp=share_link"",""บึงกาฬ!J541"")
+IMPORTRANGE(""https://docs.google.com/spreadsheets/d/1B3lPpzOuaNwVItLwLEZYl_qEblfcx7dRnbRkAw0l-pE/edit?usp=share_link"",""บุรีรัมย์!J541"")+IMPORTRANGE(""https://docs.google.com/spreadshe"&amp;"ets/d/19GOkiOqnzYbevLYWrMk4qFOXe3rX14BkSA8X-mq-a40/edit?usp=share_link"",""มหาสารคาม!J541"")+IMPORTRANGE(""https://docs.google.com/spreadsheets/d/1uMKqWwuNQ-TCKboGA3Bb1qXb5uj2-faACNUINCz8PN4/edit?usp=share_link"",""มุกดาหาร!J541"")+IMPORTRANGE(""https://d"&amp;"ocs.google.com/spreadsheets/d/1oKaccgDdQABndOzGr688Dbfxb_V3YcF67VqEPBtdzsc/edit?usp=share_link"",""ยโสธร!J541"")+IMPORTRANGE(""https://docs.google.com/spreadsheets/d/1BRgc8xKpxZ0PX-gauieMVkV_IOxKSotf0yW8MabGprQ/edit?usp=share_link"",""ร้อยเอ็ด!J541"")+IMP"&amp;"ORTRANGE(""https://docs.google.com/spreadsheets/d/1IdolZc-dfdgMwAm_KZxYJl1sUOcIgnbGQzbWOlddedo/edit?usp=share_link"",""เลย!J541"")+IMPORTRANGE(""https://docs.google.com/spreadsheets/d/1tZ0nmtGuIRCaGAMXHlQU8EpR9LOAJvyKfc4f7EFmE34/edit?usp=share_link"",""ศร"&amp;"ีสะเกษ!J541"")+IMPORTRANGE(""https://docs.google.com/spreadsheets/d/1QC8psz9w0f9IVE9Xuc2FT_btkaOzZbbUSgYObpBuetM/edit?usp=share_link"",""สกลนคร!J541"")+IMPORTRANGE(""https://docs.google.com/spreadsheets/d/1wPdvRbu02d33MYVlbsCnyTiZpefEBs9NNktAnT1HZvw/edit?"&amp;"usp=share_link"",""สุรินทร์!J541"")+IMPORTRANGE(""https://docs.google.com/spreadsheets/d/1GVExpf-Exi_2gmuqTYH28fseTB9MoKPXWcXCbSt_YrM/edit?usp=share_link"",""หนองคาย!J541"")+IMPORTRANGE(""https://docs.google.com/spreadsheets/d/16UeMz0UgOB5BZcoxP75eYGcLFtG"&amp;"YRn9GoesD4OX9m5U/edit?usp=share_link"",""หนองบัวลำภู!J541"")+IMPORTRANGE(""https://docs.google.com/spreadsheets/d/1uUP8Zo1-qaJLuIkRU0qlwLSE3DHkbdrrj2JGJiWBQZE/edit?usp=share_link"",""อำนาจเจริญ!J541"")+IMPORTRANGE(""https://docs.google.com/spreadsheets/d/"&amp;"1hb_taSOHanzRjqfzWPiFo8yiT83VV1L7vvUCLhOiHKc/edit?usp=share_link"",""อุดรธานี!J541"")+IMPORTRANGE(""https://docs.google.com/spreadsheets/d/17IOkEwkUd63EGNfyNDnM5de9YlZ7rwzTiW6-dokVjKI/edit?usp=share_link"",""อุบลราชธานี!J541"")
"),80)</f>
        <v>80</v>
      </c>
      <c r="K541" s="38">
        <f t="shared" ca="1" si="269"/>
        <v>100</v>
      </c>
      <c r="L541" s="38"/>
      <c r="M541" s="38"/>
      <c r="N541" s="38"/>
      <c r="O541" s="38"/>
      <c r="P541" s="38"/>
      <c r="Q541" s="682"/>
      <c r="R541" s="682"/>
      <c r="S541" s="682"/>
      <c r="T541" s="682"/>
      <c r="U541" s="682"/>
      <c r="V541" s="682"/>
      <c r="W541" s="682"/>
      <c r="X541" s="682"/>
      <c r="Y541" s="682"/>
      <c r="Z541" s="682"/>
    </row>
    <row r="542" spans="1:26" ht="18.75">
      <c r="A542" s="574"/>
      <c r="B542" s="575"/>
      <c r="C542" s="576"/>
      <c r="D542" s="577" t="s">
        <v>59</v>
      </c>
      <c r="E542" s="576"/>
      <c r="F542" s="576"/>
      <c r="G542" s="189"/>
      <c r="H542" s="36" t="s">
        <v>35</v>
      </c>
      <c r="I542" s="37">
        <f ca="1">IFERROR(__xludf.DUMMYFUNCTION("IMPORTRANGE(""https://docs.google.com/spreadsheets/d/1fb2B9NLcpJgjIieIJvenUTNPn0TimZDUi0OtYeiSQ_s/edit?usp=share_link"",""กาฬสินธุ์!I542"")+IMPORTRANGE(""https://docs.google.com/spreadsheets/d/1SaMnqrwRGmFYNR0MhpWmHuL5niYUd5E7vDq8X7whAlI/edit?usp=share_li"&amp;"nk"",""ขอนแก่น!I542"")
+IMPORTRANGE(""https://docs.google.com/spreadsheets/d/1xQzEtGHhTTgxHh6YUkKY1P4dRyjVhS74dGswLfAASA4/edit?usp=share_link"",""ชัยภูมิ!I542"")+IMPORTRANGE(""https://docs.google.com/spreadsheets/d/1EXMBoBxU3OFbjT2TRpneM33qFjqDzrKmn9ydcfl"&amp;"fI0o/edit?usp=share_link"",""นครพนม!I542"")+IMPORTRANGE(""https://docs.google.com/spreadsheets/d/1bDQrolntRWtHumK8W-x-HXKntwxB9S3sF5aDeRS66Ko/edit?usp=share_link"",""นครราชสีมา!I542"")+IMPORTRANGE(""https://docs.google.com/spreadsheets/d/1_MzZ-2gVPiCW-d2V"&amp;"cafoCmFJQTSrZ6SQyFcMqRRQQ2w/edit?usp=share_link"",""บึงกาฬ!I542"")
+IMPORTRANGE(""https://docs.google.com/spreadsheets/d/1B3lPpzOuaNwVItLwLEZYl_qEblfcx7dRnbRkAw0l-pE/edit?usp=share_link"",""บุรีรัมย์!I542"")+IMPORTRANGE(""https://docs.google.com/spreadshe"&amp;"ets/d/19GOkiOqnzYbevLYWrMk4qFOXe3rX14BkSA8X-mq-a40/edit?usp=share_link"",""มหาสารคาม!I542"")+IMPORTRANGE(""https://docs.google.com/spreadsheets/d/1uMKqWwuNQ-TCKboGA3Bb1qXb5uj2-faACNUINCz8PN4/edit?usp=share_link"",""มุกดาหาร!I542"")+IMPORTRANGE(""https://d"&amp;"ocs.google.com/spreadsheets/d/1oKaccgDdQABndOzGr688Dbfxb_V3YcF67VqEPBtdzsc/edit?usp=share_link"",""ยโสธร!I542"")+IMPORTRANGE(""https://docs.google.com/spreadsheets/d/1BRgc8xKpxZ0PX-gauieMVkV_IOxKSotf0yW8MabGprQ/edit?usp=share_link"",""ร้อยเอ็ด!I542"")+IMP"&amp;"ORTRANGE(""https://docs.google.com/spreadsheets/d/1IdolZc-dfdgMwAm_KZxYJl1sUOcIgnbGQzbWOlddedo/edit?usp=share_link"",""เลย!I542"")+IMPORTRANGE(""https://docs.google.com/spreadsheets/d/1tZ0nmtGuIRCaGAMXHlQU8EpR9LOAJvyKfc4f7EFmE34/edit?usp=share_link"",""ศร"&amp;"ีสะเกษ!I542"")+IMPORTRANGE(""https://docs.google.com/spreadsheets/d/1QC8psz9w0f9IVE9Xuc2FT_btkaOzZbbUSgYObpBuetM/edit?usp=share_link"",""สกลนคร!I542"")+IMPORTRANGE(""https://docs.google.com/spreadsheets/d/1wPdvRbu02d33MYVlbsCnyTiZpefEBs9NNktAnT1HZvw/edit?"&amp;"usp=share_link"",""สุรินทร์!I542"")+IMPORTRANGE(""https://docs.google.com/spreadsheets/d/1GVExpf-Exi_2gmuqTYH28fseTB9MoKPXWcXCbSt_YrM/edit?usp=share_link"",""หนองคาย!I542"")+IMPORTRANGE(""https://docs.google.com/spreadsheets/d/16UeMz0UgOB5BZcoxP75eYGcLFtG"&amp;"YRn9GoesD4OX9m5U/edit?usp=share_link"",""หนองบัวลำภู!I542"")+IMPORTRANGE(""https://docs.google.com/spreadsheets/d/1uUP8Zo1-qaJLuIkRU0qlwLSE3DHkbdrrj2JGJiWBQZE/edit?usp=share_link"",""อำนาจเจริญ!I542"")+IMPORTRANGE(""https://docs.google.com/spreadsheets/d/"&amp;"1hb_taSOHanzRjqfzWPiFo8yiT83VV1L7vvUCLhOiHKc/edit?usp=share_link"",""อุดรธานี!I542"")+IMPORTRANGE(""https://docs.google.com/spreadsheets/d/17IOkEwkUd63EGNfyNDnM5de9YlZ7rwzTiW6-dokVjKI/edit?usp=share_link"",""อุบลราชธานี!I542"")
"),80)</f>
        <v>80</v>
      </c>
      <c r="J542" s="183">
        <f ca="1">IFERROR(__xludf.DUMMYFUNCTION("IMPORTRANGE(""https://docs.google.com/spreadsheets/d/1fb2B9NLcpJgjIieIJvenUTNPn0TimZDUi0OtYeiSQ_s/edit?usp=share_link"",""กาฬสินธุ์!J542"")+IMPORTRANGE(""https://docs.google.com/spreadsheets/d/1SaMnqrwRGmFYNR0MhpWmHuL5niYUd5E7vDq8X7whAlI/edit?usp=share_li"&amp;"nk"",""ขอนแก่น!J542"")
+IMPORTRANGE(""https://docs.google.com/spreadsheets/d/1xQzEtGHhTTgxHh6YUkKY1P4dRyjVhS74dGswLfAASA4/edit?usp=share_link"",""ชัยภูมิ!J542"")+IMPORTRANGE(""https://docs.google.com/spreadsheets/d/1EXMBoBxU3OFbjT2TRpneM33qFjqDzrKmn9ydcfl"&amp;"fI0o/edit?usp=share_link"",""นครพนม!J542"")+IMPORTRANGE(""https://docs.google.com/spreadsheets/d/1bDQrolntRWtHumK8W-x-HXKntwxB9S3sF5aDeRS66Ko/edit?usp=share_link"",""นครราชสีมา!J542"")+IMPORTRANGE(""https://docs.google.com/spreadsheets/d/1_MzZ-2gVPiCW-d2V"&amp;"cafoCmFJQTSrZ6SQyFcMqRRQQ2w/edit?usp=share_link"",""บึงกาฬ!J542"")
+IMPORTRANGE(""https://docs.google.com/spreadsheets/d/1B3lPpzOuaNwVItLwLEZYl_qEblfcx7dRnbRkAw0l-pE/edit?usp=share_link"",""บุรีรัมย์!J542"")+IMPORTRANGE(""https://docs.google.com/spreadshe"&amp;"ets/d/19GOkiOqnzYbevLYWrMk4qFOXe3rX14BkSA8X-mq-a40/edit?usp=share_link"",""มหาสารคาม!J542"")+IMPORTRANGE(""https://docs.google.com/spreadsheets/d/1uMKqWwuNQ-TCKboGA3Bb1qXb5uj2-faACNUINCz8PN4/edit?usp=share_link"",""มุกดาหาร!J542"")+IMPORTRANGE(""https://d"&amp;"ocs.google.com/spreadsheets/d/1oKaccgDdQABndOzGr688Dbfxb_V3YcF67VqEPBtdzsc/edit?usp=share_link"",""ยโสธร!J542"")+IMPORTRANGE(""https://docs.google.com/spreadsheets/d/1BRgc8xKpxZ0PX-gauieMVkV_IOxKSotf0yW8MabGprQ/edit?usp=share_link"",""ร้อยเอ็ด!J542"")+IMP"&amp;"ORTRANGE(""https://docs.google.com/spreadsheets/d/1IdolZc-dfdgMwAm_KZxYJl1sUOcIgnbGQzbWOlddedo/edit?usp=share_link"",""เลย!J542"")+IMPORTRANGE(""https://docs.google.com/spreadsheets/d/1tZ0nmtGuIRCaGAMXHlQU8EpR9LOAJvyKfc4f7EFmE34/edit?usp=share_link"",""ศร"&amp;"ีสะเกษ!J542"")+IMPORTRANGE(""https://docs.google.com/spreadsheets/d/1QC8psz9w0f9IVE9Xuc2FT_btkaOzZbbUSgYObpBuetM/edit?usp=share_link"",""สกลนคร!J542"")+IMPORTRANGE(""https://docs.google.com/spreadsheets/d/1wPdvRbu02d33MYVlbsCnyTiZpefEBs9NNktAnT1HZvw/edit?"&amp;"usp=share_link"",""สุรินทร์!J542"")+IMPORTRANGE(""https://docs.google.com/spreadsheets/d/1GVExpf-Exi_2gmuqTYH28fseTB9MoKPXWcXCbSt_YrM/edit?usp=share_link"",""หนองคาย!J542"")+IMPORTRANGE(""https://docs.google.com/spreadsheets/d/16UeMz0UgOB5BZcoxP75eYGcLFtG"&amp;"YRn9GoesD4OX9m5U/edit?usp=share_link"",""หนองบัวลำภู!J542"")+IMPORTRANGE(""https://docs.google.com/spreadsheets/d/1uUP8Zo1-qaJLuIkRU0qlwLSE3DHkbdrrj2JGJiWBQZE/edit?usp=share_link"",""อำนาจเจริญ!J542"")+IMPORTRANGE(""https://docs.google.com/spreadsheets/d/"&amp;"1hb_taSOHanzRjqfzWPiFo8yiT83VV1L7vvUCLhOiHKc/edit?usp=share_link"",""อุดรธานี!J542"")+IMPORTRANGE(""https://docs.google.com/spreadsheets/d/17IOkEwkUd63EGNfyNDnM5de9YlZ7rwzTiW6-dokVjKI/edit?usp=share_link"",""อุบลราชธานี!J542"")
"),80)</f>
        <v>80</v>
      </c>
      <c r="K542" s="38">
        <f t="shared" ca="1" si="269"/>
        <v>100</v>
      </c>
      <c r="L542" s="38"/>
      <c r="M542" s="38"/>
      <c r="N542" s="38"/>
      <c r="O542" s="38"/>
      <c r="P542" s="38"/>
      <c r="Q542" s="682"/>
      <c r="R542" s="682"/>
      <c r="S542" s="682"/>
      <c r="T542" s="682"/>
      <c r="U542" s="682"/>
      <c r="V542" s="682"/>
      <c r="W542" s="682"/>
      <c r="X542" s="682"/>
      <c r="Y542" s="682"/>
      <c r="Z542" s="682"/>
    </row>
    <row r="543" spans="1:26" ht="19.5">
      <c r="A543" s="664">
        <v>6</v>
      </c>
      <c r="B543" s="685" t="s">
        <v>233</v>
      </c>
      <c r="C543" s="667"/>
      <c r="D543" s="667"/>
      <c r="E543" s="667"/>
      <c r="F543" s="667"/>
      <c r="G543" s="668"/>
      <c r="H543" s="686" t="s">
        <v>46</v>
      </c>
      <c r="I543" s="687">
        <f t="shared" ref="I543:J543" ca="1" si="270">I559</f>
        <v>1172961.4368</v>
      </c>
      <c r="J543" s="687">
        <f t="shared" ca="1" si="270"/>
        <v>1172960.0243000002</v>
      </c>
      <c r="K543" s="688">
        <f t="shared" ca="1" si="269"/>
        <v>99.999879578308764</v>
      </c>
      <c r="L543" s="670"/>
      <c r="M543" s="670"/>
      <c r="N543" s="670"/>
      <c r="O543" s="670"/>
      <c r="P543" s="670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</row>
    <row r="544" spans="1:26" ht="19.5">
      <c r="A544" s="689"/>
      <c r="B544" s="690"/>
      <c r="C544" s="690" t="s">
        <v>16</v>
      </c>
      <c r="D544" s="865" t="s">
        <v>17</v>
      </c>
      <c r="E544" s="862"/>
      <c r="F544" s="862"/>
      <c r="G544" s="691"/>
      <c r="H544" s="275" t="s">
        <v>12</v>
      </c>
      <c r="I544" s="153"/>
      <c r="J544" s="153"/>
      <c r="K544" s="154"/>
      <c r="L544" s="155">
        <f t="shared" ref="L544:N544" ca="1" si="271">L545+L546</f>
        <v>10040653</v>
      </c>
      <c r="M544" s="155">
        <f t="shared" ca="1" si="271"/>
        <v>9419299.25</v>
      </c>
      <c r="N544" s="155">
        <f t="shared" ca="1" si="271"/>
        <v>9419299.25</v>
      </c>
      <c r="O544" s="155">
        <f t="shared" ref="O544:O549" ca="1" si="272">IF(L544&gt;0,N544*100/L544,0)</f>
        <v>93.811620120723219</v>
      </c>
      <c r="P544" s="155">
        <f t="shared" ref="P544:P549" ca="1" si="273">IF(M544&gt;0,N544*100/M544,0)</f>
        <v>100</v>
      </c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</row>
    <row r="545" spans="1:26" ht="18.75" hidden="1">
      <c r="A545" s="599"/>
      <c r="B545" s="600"/>
      <c r="C545" s="600"/>
      <c r="D545" s="600"/>
      <c r="E545" s="602" t="s">
        <v>185</v>
      </c>
      <c r="F545" s="600"/>
      <c r="G545" s="603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604"/>
      <c r="R545" s="604"/>
      <c r="S545" s="604"/>
      <c r="T545" s="604"/>
      <c r="U545" s="604"/>
      <c r="V545" s="604"/>
      <c r="W545" s="604"/>
      <c r="X545" s="604"/>
      <c r="Y545" s="604"/>
      <c r="Z545" s="604"/>
    </row>
    <row r="546" spans="1:26" ht="18.75" hidden="1">
      <c r="A546" s="599"/>
      <c r="B546" s="605"/>
      <c r="C546" s="600"/>
      <c r="D546" s="600"/>
      <c r="E546" s="602" t="s">
        <v>186</v>
      </c>
      <c r="F546" s="600"/>
      <c r="G546" s="603"/>
      <c r="H546" s="165" t="s">
        <v>12</v>
      </c>
      <c r="I546" s="44"/>
      <c r="J546" s="44"/>
      <c r="K546" s="45"/>
      <c r="L546" s="45">
        <f t="shared" ca="1" si="274"/>
        <v>10040653</v>
      </c>
      <c r="M546" s="45">
        <f t="shared" ref="M546:N546" ca="1" si="276">M549+M556</f>
        <v>9419299.25</v>
      </c>
      <c r="N546" s="45">
        <f t="shared" ca="1" si="276"/>
        <v>9419299.25</v>
      </c>
      <c r="O546" s="45">
        <f t="shared" ca="1" si="272"/>
        <v>93.811620120723219</v>
      </c>
      <c r="P546" s="45">
        <f t="shared" ca="1" si="273"/>
        <v>100</v>
      </c>
      <c r="Q546" s="604"/>
      <c r="R546" s="604"/>
      <c r="S546" s="604"/>
      <c r="T546" s="604"/>
      <c r="U546" s="604"/>
      <c r="V546" s="604"/>
      <c r="W546" s="604"/>
      <c r="X546" s="604"/>
      <c r="Y546" s="604"/>
      <c r="Z546" s="604"/>
    </row>
    <row r="547" spans="1:26" ht="18.75">
      <c r="A547" s="597"/>
      <c r="B547" s="575"/>
      <c r="C547" s="576"/>
      <c r="D547" s="606" t="s">
        <v>20</v>
      </c>
      <c r="E547" s="576"/>
      <c r="F547" s="576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10040653</v>
      </c>
      <c r="M547" s="38">
        <f t="shared" ca="1" si="277"/>
        <v>9419299.25</v>
      </c>
      <c r="N547" s="38">
        <f t="shared" ca="1" si="277"/>
        <v>9419299.25</v>
      </c>
      <c r="O547" s="38">
        <f t="shared" ca="1" si="272"/>
        <v>93.811620120723219</v>
      </c>
      <c r="P547" s="38">
        <f t="shared" ca="1" si="273"/>
        <v>100</v>
      </c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</row>
    <row r="548" spans="1:26" ht="18.75" hidden="1">
      <c r="A548" s="599"/>
      <c r="B548" s="605"/>
      <c r="C548" s="600"/>
      <c r="D548" s="601"/>
      <c r="E548" s="602" t="s">
        <v>185</v>
      </c>
      <c r="F548" s="600"/>
      <c r="G548" s="603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604"/>
      <c r="R548" s="604"/>
      <c r="S548" s="604"/>
      <c r="T548" s="604"/>
      <c r="U548" s="604"/>
      <c r="V548" s="604"/>
      <c r="W548" s="604"/>
      <c r="X548" s="604"/>
      <c r="Y548" s="604"/>
      <c r="Z548" s="604"/>
    </row>
    <row r="549" spans="1:26" ht="18.75" hidden="1">
      <c r="A549" s="599"/>
      <c r="B549" s="605"/>
      <c r="C549" s="600"/>
      <c r="D549" s="601"/>
      <c r="E549" s="602" t="s">
        <v>186</v>
      </c>
      <c r="F549" s="600"/>
      <c r="G549" s="603"/>
      <c r="H549" s="165" t="s">
        <v>12</v>
      </c>
      <c r="I549" s="44"/>
      <c r="J549" s="44"/>
      <c r="K549" s="45"/>
      <c r="L549" s="45">
        <f ca="1">IFERROR(__xludf.DUMMYFUNCTION("IMPORTRANGE(""https://docs.google.com/spreadsheets/d/1fb2B9NLcpJgjIieIJvenUTNPn0TimZDUi0OtYeiSQ_s/edit?usp=share_link"",""กาฬสินธุ์!L549"")+IMPORTRANGE(""https://docs.google.com/spreadsheets/d/1SaMnqrwRGmFYNR0MhpWmHuL5niYUd5E7vDq8X7whAlI/edit?usp=share_li"&amp;"nk"",""ขอนแก่น!L549"")
+IMPORTRANGE(""https://docs.google.com/spreadsheets/d/1xQzEtGHhTTgxHh6YUkKY1P4dRyjVhS74dGswLfAASA4/edit?usp=share_link"",""ชัยภูมิ!L549"")+IMPORTRANGE(""https://docs.google.com/spreadsheets/d/1EXMBoBxU3OFbjT2TRpneM33qFjqDzrKmn9ydcfl"&amp;"fI0o/edit?usp=share_link"",""นครพนม!L549"")+IMPORTRANGE(""https://docs.google.com/spreadsheets/d/1bDQrolntRWtHumK8W-x-HXKntwxB9S3sF5aDeRS66Ko/edit?usp=share_link"",""นครราชสีมา!L549"")+IMPORTRANGE(""https://docs.google.com/spreadsheets/d/1_MzZ-2gVPiCW-d2V"&amp;"cafoCmFJQTSrZ6SQyFcMqRRQQ2w/edit?usp=share_link"",""บึงกาฬ!L549"")
+IMPORTRANGE(""https://docs.google.com/spreadsheets/d/1B3lPpzOuaNwVItLwLEZYl_qEblfcx7dRnbRkAw0l-pE/edit?usp=share_link"",""บุรีรัมย์!L549"")+IMPORTRANGE(""https://docs.google.com/spreadshe"&amp;"ets/d/19GOkiOqnzYbevLYWrMk4qFOXe3rX14BkSA8X-mq-a40/edit?usp=share_link"",""มหาสารคาม!L549"")+IMPORTRANGE(""https://docs.google.com/spreadsheets/d/1uMKqWwuNQ-TCKboGA3Bb1qXb5uj2-faACNUINCz8PN4/edit?usp=share_link"",""มุกดาหาร!L549"")+IMPORTRANGE(""https://d"&amp;"ocs.google.com/spreadsheets/d/1oKaccgDdQABndOzGr688Dbfxb_V3YcF67VqEPBtdzsc/edit?usp=share_link"",""ยโสธร!L549"")+IMPORTRANGE(""https://docs.google.com/spreadsheets/d/1BRgc8xKpxZ0PX-gauieMVkV_IOxKSotf0yW8MabGprQ/edit?usp=share_link"",""ร้อยเอ็ด!L549"")+IMP"&amp;"ORTRANGE(""https://docs.google.com/spreadsheets/d/1IdolZc-dfdgMwAm_KZxYJl1sUOcIgnbGQzbWOlddedo/edit?usp=share_link"",""เลย!L549"")+IMPORTRANGE(""https://docs.google.com/spreadsheets/d/1tZ0nmtGuIRCaGAMXHlQU8EpR9LOAJvyKfc4f7EFmE34/edit?usp=share_link"",""ศร"&amp;"ีสะเกษ!L549"")+IMPORTRANGE(""https://docs.google.com/spreadsheets/d/1QC8psz9w0f9IVE9Xuc2FT_btkaOzZbbUSgYObpBuetM/edit?usp=share_link"",""สกลนคร!L549"")+IMPORTRANGE(""https://docs.google.com/spreadsheets/d/1wPdvRbu02d33MYVlbsCnyTiZpefEBs9NNktAnT1HZvw/edit?"&amp;"usp=share_link"",""สุรินทร์!L549"")+IMPORTRANGE(""https://docs.google.com/spreadsheets/d/1GVExpf-Exi_2gmuqTYH28fseTB9MoKPXWcXCbSt_YrM/edit?usp=share_link"",""หนองคาย!L549"")+IMPORTRANGE(""https://docs.google.com/spreadsheets/d/16UeMz0UgOB5BZcoxP75eYGcLFtG"&amp;"YRn9GoesD4OX9m5U/edit?usp=share_link"",""หนองบัวลำภู!L549"")+IMPORTRANGE(""https://docs.google.com/spreadsheets/d/1uUP8Zo1-qaJLuIkRU0qlwLSE3DHkbdrrj2JGJiWBQZE/edit?usp=share_link"",""อำนาจเจริญ!L549"")+IMPORTRANGE(""https://docs.google.com/spreadsheets/d/"&amp;"1hb_taSOHanzRjqfzWPiFo8yiT83VV1L7vvUCLhOiHKc/edit?usp=share_link"",""อุดรธานี!L549"")+IMPORTRANGE(""https://docs.google.com/spreadsheets/d/17IOkEwkUd63EGNfyNDnM5de9YlZ7rwzTiW6-dokVjKI/edit?usp=share_link"",""อุบลราชธานี!L549"")
"),10040653)</f>
        <v>10040653</v>
      </c>
      <c r="M549" s="93">
        <f ca="1">IFERROR(__xludf.DUMMYFUNCTION("IMPORTRANGE(""https://docs.google.com/spreadsheets/d/1fb2B9NLcpJgjIieIJvenUTNPn0TimZDUi0OtYeiSQ_s/edit?usp=share_link"",""กาฬสินธุ์!M549"")+IMPORTRANGE(""https://docs.google.com/spreadsheets/d/1SaMnqrwRGmFYNR0MhpWmHuL5niYUd5E7vDq8X7whAlI/edit?usp=share_li"&amp;"nk"",""ขอนแก่น!M549"")
+IMPORTRANGE(""https://docs.google.com/spreadsheets/d/1xQzEtGHhTTgxHh6YUkKY1P4dRyjVhS74dGswLfAASA4/edit?usp=share_link"",""ชัยภูมิ!M549"")+IMPORTRANGE(""https://docs.google.com/spreadsheets/d/1EXMBoBxU3OFbjT2TRpneM33qFjqDzrKmn9ydcfl"&amp;"fI0o/edit?usp=share_link"",""นครพนม!M549"")+IMPORTRANGE(""https://docs.google.com/spreadsheets/d/1bDQrolntRWtHumK8W-x-HXKntwxB9S3sF5aDeRS66Ko/edit?usp=share_link"",""นครราชสีมา!M549"")+IMPORTRANGE(""https://docs.google.com/spreadsheets/d/1_MzZ-2gVPiCW-d2V"&amp;"cafoCmFJQTSrZ6SQyFcMqRRQQ2w/edit?usp=share_link"",""บึงกาฬ!M549"")
+IMPORTRANGE(""https://docs.google.com/spreadsheets/d/1B3lPpzOuaNwVItLwLEZYl_qEblfcx7dRnbRkAw0l-pE/edit?usp=share_link"",""บุรีรัมย์!M549"")+IMPORTRANGE(""https://docs.google.com/spreadshe"&amp;"ets/d/19GOkiOqnzYbevLYWrMk4qFOXe3rX14BkSA8X-mq-a40/edit?usp=share_link"",""มหาสารคาม!M549"")+IMPORTRANGE(""https://docs.google.com/spreadsheets/d/1uMKqWwuNQ-TCKboGA3Bb1qXb5uj2-faACNUINCz8PN4/edit?usp=share_link"",""มุกดาหาร!M549"")+IMPORTRANGE(""https://d"&amp;"ocs.google.com/spreadsheets/d/1oKaccgDdQABndOzGr688Dbfxb_V3YcF67VqEPBtdzsc/edit?usp=share_link"",""ยโสธร!M549"")+IMPORTRANGE(""https://docs.google.com/spreadsheets/d/1BRgc8xKpxZ0PX-gauieMVkV_IOxKSotf0yW8MabGprQ/edit?usp=share_link"",""ร้อยเอ็ด!M549"")+IMP"&amp;"ORTRANGE(""https://docs.google.com/spreadsheets/d/1IdolZc-dfdgMwAm_KZxYJl1sUOcIgnbGQzbWOlddedo/edit?usp=share_link"",""เลย!M549"")+IMPORTRANGE(""https://docs.google.com/spreadsheets/d/1tZ0nmtGuIRCaGAMXHlQU8EpR9LOAJvyKfc4f7EFmE34/edit?usp=share_link"",""ศร"&amp;"ีสะเกษ!M549"")+IMPORTRANGE(""https://docs.google.com/spreadsheets/d/1QC8psz9w0f9IVE9Xuc2FT_btkaOzZbbUSgYObpBuetM/edit?usp=share_link"",""สกลนคร!M549"")+IMPORTRANGE(""https://docs.google.com/spreadsheets/d/1wPdvRbu02d33MYVlbsCnyTiZpefEBs9NNktAnT1HZvw/edit?"&amp;"usp=share_link"",""สุรินทร์!M549"")+IMPORTRANGE(""https://docs.google.com/spreadsheets/d/1GVExpf-Exi_2gmuqTYH28fseTB9MoKPXWcXCbSt_YrM/edit?usp=share_link"",""หนองคาย!M549"")+IMPORTRANGE(""https://docs.google.com/spreadsheets/d/16UeMz0UgOB5BZcoxP75eYGcLFtG"&amp;"YRn9GoesD4OX9m5U/edit?usp=share_link"",""หนองบัวลำภู!M549"")+IMPORTRANGE(""https://docs.google.com/spreadsheets/d/1uUP8Zo1-qaJLuIkRU0qlwLSE3DHkbdrrj2JGJiWBQZE/edit?usp=share_link"",""อำนาจเจริญ!M549"")+IMPORTRANGE(""https://docs.google.com/spreadsheets/d/"&amp;"1hb_taSOHanzRjqfzWPiFo8yiT83VV1L7vvUCLhOiHKc/edit?usp=share_link"",""อุดรธานี!M549"")+IMPORTRANGE(""https://docs.google.com/spreadsheets/d/17IOkEwkUd63EGNfyNDnM5de9YlZ7rwzTiW6-dokVjKI/edit?usp=share_link"",""อุบลราชธานี!M549"")
"),9419299.25)</f>
        <v>9419299.25</v>
      </c>
      <c r="N549" s="45">
        <f ca="1">N550+N551+N552+N553+N554</f>
        <v>9419299.25</v>
      </c>
      <c r="O549" s="45">
        <f t="shared" ca="1" si="272"/>
        <v>93.811620120723219</v>
      </c>
      <c r="P549" s="45">
        <f t="shared" ca="1" si="273"/>
        <v>100</v>
      </c>
      <c r="Q549" s="604"/>
      <c r="R549" s="604"/>
      <c r="S549" s="604"/>
      <c r="T549" s="604"/>
      <c r="U549" s="604"/>
      <c r="V549" s="604"/>
      <c r="W549" s="604"/>
      <c r="X549" s="604"/>
      <c r="Y549" s="604"/>
      <c r="Z549" s="604"/>
    </row>
    <row r="550" spans="1:26" ht="18.75">
      <c r="A550" s="574"/>
      <c r="B550" s="575"/>
      <c r="C550" s="576"/>
      <c r="D550" s="576"/>
      <c r="E550" s="576"/>
      <c r="F550" s="577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fb2B9NLcpJgjIieIJvenUTNPn0TimZDUi0OtYeiSQ_s/edit?usp=share_link"",""กาฬสินธุ์!N550"")+IMPORTRANGE(""https://docs.google.com/spreadsheets/d/1SaMnqrwRGmFYNR0MhpWmHuL5niYUd5E7vDq8X7whAlI/edit?usp=share_li"&amp;"nk"",""ขอนแก่น!N550"")
+IMPORTRANGE(""https://docs.google.com/spreadsheets/d/1xQzEtGHhTTgxHh6YUkKY1P4dRyjVhS74dGswLfAASA4/edit?usp=share_link"",""ชัยภูมิ!N550"")+IMPORTRANGE(""https://docs.google.com/spreadsheets/d/1EXMBoBxU3OFbjT2TRpneM33qFjqDzrKmn9ydcfl"&amp;"fI0o/edit?usp=share_link"",""นครพนม!N550"")+IMPORTRANGE(""https://docs.google.com/spreadsheets/d/1bDQrolntRWtHumK8W-x-HXKntwxB9S3sF5aDeRS66Ko/edit?usp=share_link"",""นครราชสีมา!N550"")+IMPORTRANGE(""https://docs.google.com/spreadsheets/d/1_MzZ-2gVPiCW-d2V"&amp;"cafoCmFJQTSrZ6SQyFcMqRRQQ2w/edit?usp=share_link"",""บึงกาฬ!N550"")
+IMPORTRANGE(""https://docs.google.com/spreadsheets/d/1B3lPpzOuaNwVItLwLEZYl_qEblfcx7dRnbRkAw0l-pE/edit?usp=share_link"",""บุรีรัมย์!N550"")+IMPORTRANGE(""https://docs.google.com/spreadshe"&amp;"ets/d/19GOkiOqnzYbevLYWrMk4qFOXe3rX14BkSA8X-mq-a40/edit?usp=share_link"",""มหาสารคาม!N550"")+IMPORTRANGE(""https://docs.google.com/spreadsheets/d/1uMKqWwuNQ-TCKboGA3Bb1qXb5uj2-faACNUINCz8PN4/edit?usp=share_link"",""มุกดาหาร!N550"")+IMPORTRANGE(""https://d"&amp;"ocs.google.com/spreadsheets/d/1oKaccgDdQABndOzGr688Dbfxb_V3YcF67VqEPBtdzsc/edit?usp=share_link"",""ยโสธร!N550"")+IMPORTRANGE(""https://docs.google.com/spreadsheets/d/1BRgc8xKpxZ0PX-gauieMVkV_IOxKSotf0yW8MabGprQ/edit?usp=share_link"",""ร้อยเอ็ด!N550"")+IMP"&amp;"ORTRANGE(""https://docs.google.com/spreadsheets/d/1IdolZc-dfdgMwAm_KZxYJl1sUOcIgnbGQzbWOlddedo/edit?usp=share_link"",""เลย!N550"")+IMPORTRANGE(""https://docs.google.com/spreadsheets/d/1tZ0nmtGuIRCaGAMXHlQU8EpR9LOAJvyKfc4f7EFmE34/edit?usp=share_link"",""ศร"&amp;"ีสะเกษ!N550"")+IMPORTRANGE(""https://docs.google.com/spreadsheets/d/1QC8psz9w0f9IVE9Xuc2FT_btkaOzZbbUSgYObpBuetM/edit?usp=share_link"",""สกลนคร!N550"")+IMPORTRANGE(""https://docs.google.com/spreadsheets/d/1wPdvRbu02d33MYVlbsCnyTiZpefEBs9NNktAnT1HZvw/edit?"&amp;"usp=share_link"",""สุรินทร์!N550"")+IMPORTRANGE(""https://docs.google.com/spreadsheets/d/1GVExpf-Exi_2gmuqTYH28fseTB9MoKPXWcXCbSt_YrM/edit?usp=share_link"",""หนองคาย!N550"")+IMPORTRANGE(""https://docs.google.com/spreadsheets/d/16UeMz0UgOB5BZcoxP75eYGcLFtG"&amp;"YRn9GoesD4OX9m5U/edit?usp=share_link"",""หนองบัวลำภู!N550"")+IMPORTRANGE(""https://docs.google.com/spreadsheets/d/1uUP8Zo1-qaJLuIkRU0qlwLSE3DHkbdrrj2JGJiWBQZE/edit?usp=share_link"",""อำนาจเจริญ!N550"")+IMPORTRANGE(""https://docs.google.com/spreadsheets/d/"&amp;"1hb_taSOHanzRjqfzWPiFo8yiT83VV1L7vvUCLhOiHKc/edit?usp=share_link"",""อุดรธานี!N550"")+IMPORTRANGE(""https://docs.google.com/spreadsheets/d/17IOkEwkUd63EGNfyNDnM5de9YlZ7rwzTiW6-dokVjKI/edit?usp=share_link"",""อุบลราชธานี!N550"")
"),0)</f>
        <v>0</v>
      </c>
      <c r="O550" s="38"/>
      <c r="P550" s="3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</row>
    <row r="551" spans="1:26" ht="18.75">
      <c r="A551" s="574"/>
      <c r="B551" s="575"/>
      <c r="C551" s="575"/>
      <c r="D551" s="575"/>
      <c r="E551" s="576"/>
      <c r="F551" s="577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fb2B9NLcpJgjIieIJvenUTNPn0TimZDUi0OtYeiSQ_s/edit?usp=share_link"",""กาฬสินธุ์!N551"")+IMPORTRANGE(""https://docs.google.com/spreadsheets/d/1SaMnqrwRGmFYNR0MhpWmHuL5niYUd5E7vDq8X7whAlI/edit?usp=share_li"&amp;"nk"",""ขอนแก่น!N551"")
+IMPORTRANGE(""https://docs.google.com/spreadsheets/d/1xQzEtGHhTTgxHh6YUkKY1P4dRyjVhS74dGswLfAASA4/edit?usp=share_link"",""ชัยภูมิ!N551"")+IMPORTRANGE(""https://docs.google.com/spreadsheets/d/1EXMBoBxU3OFbjT2TRpneM33qFjqDzrKmn9ydcfl"&amp;"fI0o/edit?usp=share_link"",""นครพนม!N551"")+IMPORTRANGE(""https://docs.google.com/spreadsheets/d/1bDQrolntRWtHumK8W-x-HXKntwxB9S3sF5aDeRS66Ko/edit?usp=share_link"",""นครราชสีมา!N551"")+IMPORTRANGE(""https://docs.google.com/spreadsheets/d/1_MzZ-2gVPiCW-d2V"&amp;"cafoCmFJQTSrZ6SQyFcMqRRQQ2w/edit?usp=share_link"",""บึงกาฬ!N551"")
+IMPORTRANGE(""https://docs.google.com/spreadsheets/d/1B3lPpzOuaNwVItLwLEZYl_qEblfcx7dRnbRkAw0l-pE/edit?usp=share_link"",""บุรีรัมย์!N551"")+IMPORTRANGE(""https://docs.google.com/spreadshe"&amp;"ets/d/19GOkiOqnzYbevLYWrMk4qFOXe3rX14BkSA8X-mq-a40/edit?usp=share_link"",""มหาสารคาม!N551"")+IMPORTRANGE(""https://docs.google.com/spreadsheets/d/1uMKqWwuNQ-TCKboGA3Bb1qXb5uj2-faACNUINCz8PN4/edit?usp=share_link"",""มุกดาหาร!N551"")+IMPORTRANGE(""https://d"&amp;"ocs.google.com/spreadsheets/d/1oKaccgDdQABndOzGr688Dbfxb_V3YcF67VqEPBtdzsc/edit?usp=share_link"",""ยโสธร!N551"")+IMPORTRANGE(""https://docs.google.com/spreadsheets/d/1BRgc8xKpxZ0PX-gauieMVkV_IOxKSotf0yW8MabGprQ/edit?usp=share_link"",""ร้อยเอ็ด!N551"")+IMP"&amp;"ORTRANGE(""https://docs.google.com/spreadsheets/d/1IdolZc-dfdgMwAm_KZxYJl1sUOcIgnbGQzbWOlddedo/edit?usp=share_link"",""เลย!N551"")+IMPORTRANGE(""https://docs.google.com/spreadsheets/d/1tZ0nmtGuIRCaGAMXHlQU8EpR9LOAJvyKfc4f7EFmE34/edit?usp=share_link"",""ศร"&amp;"ีสะเกษ!N551"")+IMPORTRANGE(""https://docs.google.com/spreadsheets/d/1QC8psz9w0f9IVE9Xuc2FT_btkaOzZbbUSgYObpBuetM/edit?usp=share_link"",""สกลนคร!N551"")+IMPORTRANGE(""https://docs.google.com/spreadsheets/d/1wPdvRbu02d33MYVlbsCnyTiZpefEBs9NNktAnT1HZvw/edit?"&amp;"usp=share_link"",""สุรินทร์!N551"")+IMPORTRANGE(""https://docs.google.com/spreadsheets/d/1GVExpf-Exi_2gmuqTYH28fseTB9MoKPXWcXCbSt_YrM/edit?usp=share_link"",""หนองคาย!N551"")+IMPORTRANGE(""https://docs.google.com/spreadsheets/d/16UeMz0UgOB5BZcoxP75eYGcLFtG"&amp;"YRn9GoesD4OX9m5U/edit?usp=share_link"",""หนองบัวลำภู!N551"")+IMPORTRANGE(""https://docs.google.com/spreadsheets/d/1uUP8Zo1-qaJLuIkRU0qlwLSE3DHkbdrrj2JGJiWBQZE/edit?usp=share_link"",""อำนาจเจริญ!N551"")+IMPORTRANGE(""https://docs.google.com/spreadsheets/d/"&amp;"1hb_taSOHanzRjqfzWPiFo8yiT83VV1L7vvUCLhOiHKc/edit?usp=share_link"",""อุดรธานี!N551"")+IMPORTRANGE(""https://docs.google.com/spreadsheets/d/17IOkEwkUd63EGNfyNDnM5de9YlZ7rwzTiW6-dokVjKI/edit?usp=share_link"",""อุบลราชธานี!N551"")
"),110178)</f>
        <v>110178</v>
      </c>
      <c r="O551" s="38"/>
      <c r="P551" s="3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</row>
    <row r="552" spans="1:26" ht="18.75">
      <c r="A552" s="574"/>
      <c r="B552" s="575"/>
      <c r="C552" s="576"/>
      <c r="D552" s="576"/>
      <c r="E552" s="576"/>
      <c r="F552" s="577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fb2B9NLcpJgjIieIJvenUTNPn0TimZDUi0OtYeiSQ_s/edit?usp=share_link"",""กาฬสินธุ์!N552"")+IMPORTRANGE(""https://docs.google.com/spreadsheets/d/1SaMnqrwRGmFYNR0MhpWmHuL5niYUd5E7vDq8X7whAlI/edit?usp=share_li"&amp;"nk"",""ขอนแก่น!N552"")
+IMPORTRANGE(""https://docs.google.com/spreadsheets/d/1xQzEtGHhTTgxHh6YUkKY1P4dRyjVhS74dGswLfAASA4/edit?usp=share_link"",""ชัยภูมิ!N552"")+IMPORTRANGE(""https://docs.google.com/spreadsheets/d/1EXMBoBxU3OFbjT2TRpneM33qFjqDzrKmn9ydcfl"&amp;"fI0o/edit?usp=share_link"",""นครพนม!N552"")+IMPORTRANGE(""https://docs.google.com/spreadsheets/d/1bDQrolntRWtHumK8W-x-HXKntwxB9S3sF5aDeRS66Ko/edit?usp=share_link"",""นครราชสีมา!N552"")+IMPORTRANGE(""https://docs.google.com/spreadsheets/d/1_MzZ-2gVPiCW-d2V"&amp;"cafoCmFJQTSrZ6SQyFcMqRRQQ2w/edit?usp=share_link"",""บึงกาฬ!N552"")
+IMPORTRANGE(""https://docs.google.com/spreadsheets/d/1B3lPpzOuaNwVItLwLEZYl_qEblfcx7dRnbRkAw0l-pE/edit?usp=share_link"",""บุรีรัมย์!N552"")+IMPORTRANGE(""https://docs.google.com/spreadshe"&amp;"ets/d/19GOkiOqnzYbevLYWrMk4qFOXe3rX14BkSA8X-mq-a40/edit?usp=share_link"",""มหาสารคาม!N552"")+IMPORTRANGE(""https://docs.google.com/spreadsheets/d/1uMKqWwuNQ-TCKboGA3Bb1qXb5uj2-faACNUINCz8PN4/edit?usp=share_link"",""มุกดาหาร!N552"")+IMPORTRANGE(""https://d"&amp;"ocs.google.com/spreadsheets/d/1oKaccgDdQABndOzGr688Dbfxb_V3YcF67VqEPBtdzsc/edit?usp=share_link"",""ยโสธร!N552"")+IMPORTRANGE(""https://docs.google.com/spreadsheets/d/1BRgc8xKpxZ0PX-gauieMVkV_IOxKSotf0yW8MabGprQ/edit?usp=share_link"",""ร้อยเอ็ด!N552"")+IMP"&amp;"ORTRANGE(""https://docs.google.com/spreadsheets/d/1IdolZc-dfdgMwAm_KZxYJl1sUOcIgnbGQzbWOlddedo/edit?usp=share_link"",""เลย!N552"")+IMPORTRANGE(""https://docs.google.com/spreadsheets/d/1tZ0nmtGuIRCaGAMXHlQU8EpR9LOAJvyKfc4f7EFmE34/edit?usp=share_link"",""ศร"&amp;"ีสะเกษ!N552"")+IMPORTRANGE(""https://docs.google.com/spreadsheets/d/1QC8psz9w0f9IVE9Xuc2FT_btkaOzZbbUSgYObpBuetM/edit?usp=share_link"",""สกลนคร!N552"")+IMPORTRANGE(""https://docs.google.com/spreadsheets/d/1wPdvRbu02d33MYVlbsCnyTiZpefEBs9NNktAnT1HZvw/edit?"&amp;"usp=share_link"",""สุรินทร์!N552"")+IMPORTRANGE(""https://docs.google.com/spreadsheets/d/1GVExpf-Exi_2gmuqTYH28fseTB9MoKPXWcXCbSt_YrM/edit?usp=share_link"",""หนองคาย!N552"")+IMPORTRANGE(""https://docs.google.com/spreadsheets/d/16UeMz0UgOB5BZcoxP75eYGcLFtG"&amp;"YRn9GoesD4OX9m5U/edit?usp=share_link"",""หนองบัวลำภู!N552"")+IMPORTRANGE(""https://docs.google.com/spreadsheets/d/1uUP8Zo1-qaJLuIkRU0qlwLSE3DHkbdrrj2JGJiWBQZE/edit?usp=share_link"",""อำนาจเจริญ!N552"")+IMPORTRANGE(""https://docs.google.com/spreadsheets/d/"&amp;"1hb_taSOHanzRjqfzWPiFo8yiT83VV1L7vvUCLhOiHKc/edit?usp=share_link"",""อุดรธานี!N552"")+IMPORTRANGE(""https://docs.google.com/spreadsheets/d/17IOkEwkUd63EGNfyNDnM5de9YlZ7rwzTiW6-dokVjKI/edit?usp=share_link"",""อุบลราชธานี!N552"")
"),2754347.46)</f>
        <v>2754347.46</v>
      </c>
      <c r="O552" s="38"/>
      <c r="P552" s="38"/>
      <c r="Q552" s="578"/>
      <c r="R552" s="578"/>
      <c r="S552" s="578"/>
      <c r="T552" s="578"/>
      <c r="U552" s="578"/>
      <c r="V552" s="578"/>
      <c r="W552" s="578"/>
      <c r="X552" s="578"/>
      <c r="Y552" s="578"/>
      <c r="Z552" s="578"/>
    </row>
    <row r="553" spans="1:26" ht="18.75">
      <c r="A553" s="574"/>
      <c r="B553" s="575"/>
      <c r="C553" s="575"/>
      <c r="D553" s="575"/>
      <c r="E553" s="576"/>
      <c r="F553" s="577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fb2B9NLcpJgjIieIJvenUTNPn0TimZDUi0OtYeiSQ_s/edit?usp=share_link"",""กาฬสินธุ์!N553"")+IMPORTRANGE(""https://docs.google.com/spreadsheets/d/1SaMnqrwRGmFYNR0MhpWmHuL5niYUd5E7vDq8X7whAlI/edit?usp=share_li"&amp;"nk"",""ขอนแก่น!N553"")
+IMPORTRANGE(""https://docs.google.com/spreadsheets/d/1xQzEtGHhTTgxHh6YUkKY1P4dRyjVhS74dGswLfAASA4/edit?usp=share_link"",""ชัยภูมิ!N553"")+IMPORTRANGE(""https://docs.google.com/spreadsheets/d/1EXMBoBxU3OFbjT2TRpneM33qFjqDzrKmn9ydcfl"&amp;"fI0o/edit?usp=share_link"",""นครพนม!N553"")+IMPORTRANGE(""https://docs.google.com/spreadsheets/d/1bDQrolntRWtHumK8W-x-HXKntwxB9S3sF5aDeRS66Ko/edit?usp=share_link"",""นครราชสีมา!N553"")+IMPORTRANGE(""https://docs.google.com/spreadsheets/d/1_MzZ-2gVPiCW-d2V"&amp;"cafoCmFJQTSrZ6SQyFcMqRRQQ2w/edit?usp=share_link"",""บึงกาฬ!N553"")
+IMPORTRANGE(""https://docs.google.com/spreadsheets/d/1B3lPpzOuaNwVItLwLEZYl_qEblfcx7dRnbRkAw0l-pE/edit?usp=share_link"",""บุรีรัมย์!N553"")+IMPORTRANGE(""https://docs.google.com/spreadshe"&amp;"ets/d/19GOkiOqnzYbevLYWrMk4qFOXe3rX14BkSA8X-mq-a40/edit?usp=share_link"",""มหาสารคาม!N553"")+IMPORTRANGE(""https://docs.google.com/spreadsheets/d/1uMKqWwuNQ-TCKboGA3Bb1qXb5uj2-faACNUINCz8PN4/edit?usp=share_link"",""มุกดาหาร!N553"")+IMPORTRANGE(""https://d"&amp;"ocs.google.com/spreadsheets/d/1oKaccgDdQABndOzGr688Dbfxb_V3YcF67VqEPBtdzsc/edit?usp=share_link"",""ยโสธร!N553"")+IMPORTRANGE(""https://docs.google.com/spreadsheets/d/1BRgc8xKpxZ0PX-gauieMVkV_IOxKSotf0yW8MabGprQ/edit?usp=share_link"",""ร้อยเอ็ด!N553"")+IMP"&amp;"ORTRANGE(""https://docs.google.com/spreadsheets/d/1IdolZc-dfdgMwAm_KZxYJl1sUOcIgnbGQzbWOlddedo/edit?usp=share_link"",""เลย!N553"")+IMPORTRANGE(""https://docs.google.com/spreadsheets/d/1tZ0nmtGuIRCaGAMXHlQU8EpR9LOAJvyKfc4f7EFmE34/edit?usp=share_link"",""ศร"&amp;"ีสะเกษ!N553"")+IMPORTRANGE(""https://docs.google.com/spreadsheets/d/1QC8psz9w0f9IVE9Xuc2FT_btkaOzZbbUSgYObpBuetM/edit?usp=share_link"",""สกลนคร!N553"")+IMPORTRANGE(""https://docs.google.com/spreadsheets/d/1wPdvRbu02d33MYVlbsCnyTiZpefEBs9NNktAnT1HZvw/edit?"&amp;"usp=share_link"",""สุรินทร์!N553"")+IMPORTRANGE(""https://docs.google.com/spreadsheets/d/1GVExpf-Exi_2gmuqTYH28fseTB9MoKPXWcXCbSt_YrM/edit?usp=share_link"",""หนองคาย!N553"")+IMPORTRANGE(""https://docs.google.com/spreadsheets/d/16UeMz0UgOB5BZcoxP75eYGcLFtG"&amp;"YRn9GoesD4OX9m5U/edit?usp=share_link"",""หนองบัวลำภู!N553"")+IMPORTRANGE(""https://docs.google.com/spreadsheets/d/1uUP8Zo1-qaJLuIkRU0qlwLSE3DHkbdrrj2JGJiWBQZE/edit?usp=share_link"",""อำนาจเจริญ!N553"")+IMPORTRANGE(""https://docs.google.com/spreadsheets/d/"&amp;"1hb_taSOHanzRjqfzWPiFo8yiT83VV1L7vvUCLhOiHKc/edit?usp=share_link"",""อุดรธานี!N553"")+IMPORTRANGE(""https://docs.google.com/spreadsheets/d/17IOkEwkUd63EGNfyNDnM5de9YlZ7rwzTiW6-dokVjKI/edit?usp=share_link"",""อุบลราชธานี!N553"")
"),6550273.79)</f>
        <v>6550273.79</v>
      </c>
      <c r="O553" s="38"/>
      <c r="P553" s="3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</row>
    <row r="554" spans="1:26" ht="18.75">
      <c r="A554" s="574"/>
      <c r="B554" s="575"/>
      <c r="C554" s="575"/>
      <c r="D554" s="575"/>
      <c r="E554" s="576"/>
      <c r="F554" s="577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fb2B9NLcpJgjIieIJvenUTNPn0TimZDUi0OtYeiSQ_s/edit?usp=share_link"",""กาฬสินธุ์!N554"")+IMPORTRANGE(""https://docs.google.com/spreadsheets/d/1SaMnqrwRGmFYNR0MhpWmHuL5niYUd5E7vDq8X7whAlI/edit?usp=share_li"&amp;"nk"",""ขอนแก่น!N554"")
+IMPORTRANGE(""https://docs.google.com/spreadsheets/d/1xQzEtGHhTTgxHh6YUkKY1P4dRyjVhS74dGswLfAASA4/edit?usp=share_link"",""ชัยภูมิ!N554"")+IMPORTRANGE(""https://docs.google.com/spreadsheets/d/1EXMBoBxU3OFbjT2TRpneM33qFjqDzrKmn9ydcfl"&amp;"fI0o/edit?usp=share_link"",""นครพนม!N554"")+IMPORTRANGE(""https://docs.google.com/spreadsheets/d/1bDQrolntRWtHumK8W-x-HXKntwxB9S3sF5aDeRS66Ko/edit?usp=share_link"",""นครราชสีมา!N554"")+IMPORTRANGE(""https://docs.google.com/spreadsheets/d/1_MzZ-2gVPiCW-d2V"&amp;"cafoCmFJQTSrZ6SQyFcMqRRQQ2w/edit?usp=share_link"",""บึงกาฬ!N554"")
+IMPORTRANGE(""https://docs.google.com/spreadsheets/d/1B3lPpzOuaNwVItLwLEZYl_qEblfcx7dRnbRkAw0l-pE/edit?usp=share_link"",""บุรีรัมย์!N554"")+IMPORTRANGE(""https://docs.google.com/spreadshe"&amp;"ets/d/19GOkiOqnzYbevLYWrMk4qFOXe3rX14BkSA8X-mq-a40/edit?usp=share_link"",""มหาสารคาม!N554"")+IMPORTRANGE(""https://docs.google.com/spreadsheets/d/1uMKqWwuNQ-TCKboGA3Bb1qXb5uj2-faACNUINCz8PN4/edit?usp=share_link"",""มุกดาหาร!N554"")+IMPORTRANGE(""https://d"&amp;"ocs.google.com/spreadsheets/d/1oKaccgDdQABndOzGr688Dbfxb_V3YcF67VqEPBtdzsc/edit?usp=share_link"",""ยโสธร!N554"")+IMPORTRANGE(""https://docs.google.com/spreadsheets/d/1BRgc8xKpxZ0PX-gauieMVkV_IOxKSotf0yW8MabGprQ/edit?usp=share_link"",""ร้อยเอ็ด!N554"")+IMP"&amp;"ORTRANGE(""https://docs.google.com/spreadsheets/d/1IdolZc-dfdgMwAm_KZxYJl1sUOcIgnbGQzbWOlddedo/edit?usp=share_link"",""เลย!N554"")+IMPORTRANGE(""https://docs.google.com/spreadsheets/d/1tZ0nmtGuIRCaGAMXHlQU8EpR9LOAJvyKfc4f7EFmE34/edit?usp=share_link"",""ศร"&amp;"ีสะเกษ!N554"")+IMPORTRANGE(""https://docs.google.com/spreadsheets/d/1QC8psz9w0f9IVE9Xuc2FT_btkaOzZbbUSgYObpBuetM/edit?usp=share_link"",""สกลนคร!N554"")+IMPORTRANGE(""https://docs.google.com/spreadsheets/d/1wPdvRbu02d33MYVlbsCnyTiZpefEBs9NNktAnT1HZvw/edit?"&amp;"usp=share_link"",""สุรินทร์!N554"")+IMPORTRANGE(""https://docs.google.com/spreadsheets/d/1GVExpf-Exi_2gmuqTYH28fseTB9MoKPXWcXCbSt_YrM/edit?usp=share_link"",""หนองคาย!N554"")+IMPORTRANGE(""https://docs.google.com/spreadsheets/d/16UeMz0UgOB5BZcoxP75eYGcLFtG"&amp;"YRn9GoesD4OX9m5U/edit?usp=share_link"",""หนองบัวลำภู!N554"")+IMPORTRANGE(""https://docs.google.com/spreadsheets/d/1uUP8Zo1-qaJLuIkRU0qlwLSE3DHkbdrrj2JGJiWBQZE/edit?usp=share_link"",""อำนาจเจริญ!N554"")+IMPORTRANGE(""https://docs.google.com/spreadsheets/d/"&amp;"1hb_taSOHanzRjqfzWPiFo8yiT83VV1L7vvUCLhOiHKc/edit?usp=share_link"",""อุดรธานี!N554"")+IMPORTRANGE(""https://docs.google.com/spreadsheets/d/17IOkEwkUd63EGNfyNDnM5de9YlZ7rwzTiW6-dokVjKI/edit?usp=share_link"",""อุบลราชธานี!N554"")
"),4500)</f>
        <v>4500</v>
      </c>
      <c r="O554" s="38"/>
      <c r="P554" s="3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</row>
    <row r="555" spans="1:26" ht="18.75">
      <c r="A555" s="597"/>
      <c r="B555" s="575"/>
      <c r="C555" s="575"/>
      <c r="D555" s="606" t="s">
        <v>21</v>
      </c>
      <c r="E555" s="576"/>
      <c r="F555" s="576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</row>
    <row r="556" spans="1:26" ht="18.75" hidden="1">
      <c r="A556" s="599"/>
      <c r="B556" s="605"/>
      <c r="C556" s="605"/>
      <c r="D556" s="600"/>
      <c r="E556" s="602" t="s">
        <v>18</v>
      </c>
      <c r="F556" s="600"/>
      <c r="G556" s="603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604"/>
      <c r="R556" s="604"/>
      <c r="S556" s="604"/>
      <c r="T556" s="604"/>
      <c r="U556" s="604"/>
      <c r="V556" s="604"/>
      <c r="W556" s="604"/>
      <c r="X556" s="604"/>
      <c r="Y556" s="604"/>
      <c r="Z556" s="604"/>
    </row>
    <row r="557" spans="1:26" ht="18.75" hidden="1">
      <c r="A557" s="599"/>
      <c r="B557" s="605"/>
      <c r="C557" s="605"/>
      <c r="D557" s="600"/>
      <c r="E557" s="602" t="s">
        <v>19</v>
      </c>
      <c r="F557" s="600"/>
      <c r="G557" s="603"/>
      <c r="H557" s="169" t="s">
        <v>12</v>
      </c>
      <c r="I557" s="166"/>
      <c r="J557" s="166"/>
      <c r="K557" s="167"/>
      <c r="L557" s="45">
        <f ca="1">IFERROR(__xludf.DUMMYFUNCTION("IMPORTRANGE(""https://docs.google.com/spreadsheets/d/1fb2B9NLcpJgjIieIJvenUTNPn0TimZDUi0OtYeiSQ_s/edit?usp=share_link"",""กาฬสินธุ์!N557"")+IMPORTRANGE(""https://docs.google.com/spreadsheets/d/1SaMnqrwRGmFYNR0MhpWmHuL5niYUd5E7vDq8X7whAlI/edit?usp=share_li"&amp;"nk"",""ขอนแก่น!N557"")
+IMPORTRANGE(""https://docs.google.com/spreadsheets/d/1xQzEtGHhTTgxHh6YUkKY1P4dRyjVhS74dGswLfAASA4/edit?usp=share_link"",""ชัยภูมิ!N557"")+IMPORTRANGE(""https://docs.google.com/spreadsheets/d/1EXMBoBxU3OFbjT2TRpneM33qFjqDzrKmn9ydcfl"&amp;"fI0o/edit?usp=share_link"",""นครพนม!N557"")+IMPORTRANGE(""https://docs.google.com/spreadsheets/d/1bDQrolntRWtHumK8W-x-HXKntwxB9S3sF5aDeRS66Ko/edit?usp=share_link"",""นครราชสีมา!N557"")+IMPORTRANGE(""https://docs.google.com/spreadsheets/d/1_MzZ-2gVPiCW-d2V"&amp;"cafoCmFJQTSrZ6SQyFcMqRRQQ2w/edit?usp=share_link"",""บึงกาฬ!N557"")
+IMPORTRANGE(""https://docs.google.com/spreadsheets/d/1B3lPpzOuaNwVItLwLEZYl_qEblfcx7dRnbRkAw0l-pE/edit?usp=share_link"",""บุรีรัมย์!N557"")+IMPORTRANGE(""https://docs.google.com/spreadshe"&amp;"ets/d/19GOkiOqnzYbevLYWrMk4qFOXe3rX14BkSA8X-mq-a40/edit?usp=share_link"",""มหาสารคาม!N557"")+IMPORTRANGE(""https://docs.google.com/spreadsheets/d/1uMKqWwuNQ-TCKboGA3Bb1qXb5uj2-faACNUINCz8PN4/edit?usp=share_link"",""มุกดาหาร!N557"")+IMPORTRANGE(""https://d"&amp;"ocs.google.com/spreadsheets/d/1oKaccgDdQABndOzGr688Dbfxb_V3YcF67VqEPBtdzsc/edit?usp=share_link"",""ยโสธร!N557"")+IMPORTRANGE(""https://docs.google.com/spreadsheets/d/1BRgc8xKpxZ0PX-gauieMVkV_IOxKSotf0yW8MabGprQ/edit?usp=share_link"",""ร้อยเอ็ด!N557"")+IMP"&amp;"ORTRANGE(""https://docs.google.com/spreadsheets/d/1IdolZc-dfdgMwAm_KZxYJl1sUOcIgnbGQzbWOlddedo/edit?usp=share_link"",""เลย!N557"")+IMPORTRANGE(""https://docs.google.com/spreadsheets/d/1tZ0nmtGuIRCaGAMXHlQU8EpR9LOAJvyKfc4f7EFmE34/edit?usp=share_link"",""ศร"&amp;"ีสะเกษ!N557"")+IMPORTRANGE(""https://docs.google.com/spreadsheets/d/1QC8psz9w0f9IVE9Xuc2FT_btkaOzZbbUSgYObpBuetM/edit?usp=share_link"",""สกลนคร!N557"")+IMPORTRANGE(""https://docs.google.com/spreadsheets/d/1wPdvRbu02d33MYVlbsCnyTiZpefEBs9NNktAnT1HZvw/edit?"&amp;"usp=share_link"",""สุรินทร์!N557"")+IMPORTRANGE(""https://docs.google.com/spreadsheets/d/1GVExpf-Exi_2gmuqTYH28fseTB9MoKPXWcXCbSt_YrM/edit?usp=share_link"",""หนองคาย!N557"")+IMPORTRANGE(""https://docs.google.com/spreadsheets/d/16UeMz0UgOB5BZcoxP75eYGcLFtG"&amp;"YRn9GoesD4OX9m5U/edit?usp=share_link"",""หนองบัวลำภู!N557"")+IMPORTRANGE(""https://docs.google.com/spreadsheets/d/1uUP8Zo1-qaJLuIkRU0qlwLSE3DHkbdrrj2JGJiWBQZE/edit?usp=share_link"",""อำนาจเจริญ!N557"")+IMPORTRANGE(""https://docs.google.com/spreadsheets/d/"&amp;"1hb_taSOHanzRjqfzWPiFo8yiT83VV1L7vvUCLhOiHKc/edit?usp=share_link"",""อุดรธานี!N557"")+IMPORTRANGE(""https://docs.google.com/spreadsheets/d/17IOkEwkUd63EGNfyNDnM5de9YlZ7rwzTiW6-dokVjKI/edit?usp=share_link"",""อุบลราชธานี!N557"")
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604"/>
      <c r="R557" s="604"/>
      <c r="S557" s="604"/>
      <c r="T557" s="604"/>
      <c r="U557" s="604"/>
      <c r="V557" s="604"/>
      <c r="W557" s="604"/>
      <c r="X557" s="604"/>
      <c r="Y557" s="604"/>
      <c r="Z557" s="604"/>
    </row>
    <row r="558" spans="1:26" ht="19.5">
      <c r="A558" s="608"/>
      <c r="B558" s="609"/>
      <c r="C558" s="575" t="s">
        <v>16</v>
      </c>
      <c r="D558" s="679" t="s">
        <v>38</v>
      </c>
      <c r="E558" s="612"/>
      <c r="F558" s="612"/>
      <c r="G558" s="613"/>
      <c r="H558" s="175"/>
      <c r="I558" s="162"/>
      <c r="J558" s="162"/>
      <c r="K558" s="163"/>
      <c r="L558" s="163"/>
      <c r="M558" s="163"/>
      <c r="N558" s="163"/>
      <c r="O558" s="163"/>
      <c r="P558" s="163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</row>
    <row r="559" spans="1:26" ht="19.5">
      <c r="A559" s="692"/>
      <c r="B559" s="693" t="s">
        <v>235</v>
      </c>
      <c r="C559" s="694"/>
      <c r="D559" s="694"/>
      <c r="E559" s="673"/>
      <c r="F559" s="673"/>
      <c r="G559" s="674"/>
      <c r="H559" s="695" t="s">
        <v>46</v>
      </c>
      <c r="I559" s="676">
        <f t="shared" ref="I559:J559" ca="1" si="281">I576</f>
        <v>1172961.4368</v>
      </c>
      <c r="J559" s="676">
        <f t="shared" ca="1" si="281"/>
        <v>1172960.0243000002</v>
      </c>
      <c r="K559" s="677">
        <f t="shared" ref="K559:K561" ca="1" si="282">IF(I559&gt;0,J559*100/I559,0)</f>
        <v>99.999879578308764</v>
      </c>
      <c r="L559" s="678"/>
      <c r="M559" s="678"/>
      <c r="N559" s="678"/>
      <c r="O559" s="678"/>
      <c r="P559" s="6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</row>
    <row r="560" spans="1:26" ht="19.5">
      <c r="A560" s="608"/>
      <c r="B560" s="609"/>
      <c r="C560" s="622" t="s">
        <v>236</v>
      </c>
      <c r="D560" s="609"/>
      <c r="E560" s="619"/>
      <c r="F560" s="619"/>
      <c r="G560" s="175"/>
      <c r="H560" s="192" t="s">
        <v>46</v>
      </c>
      <c r="I560" s="193">
        <f ca="1">IFERROR(__xludf.DUMMYFUNCTION("IMPORTRANGE(""https://docs.google.com/spreadsheets/d/1fb2B9NLcpJgjIieIJvenUTNPn0TimZDUi0OtYeiSQ_s/edit?usp=share_link"",""กาฬสินธุ์!I560"")+IMPORTRANGE(""https://docs.google.com/spreadsheets/d/1SaMnqrwRGmFYNR0MhpWmHuL5niYUd5E7vDq8X7whAlI/edit?usp=share_li"&amp;"nk"",""ขอนแก่น!I560"")
+IMPORTRANGE(""https://docs.google.com/spreadsheets/d/1xQzEtGHhTTgxHh6YUkKY1P4dRyjVhS74dGswLfAASA4/edit?usp=share_link"",""ชัยภูมิ!I560"")+IMPORTRANGE(""https://docs.google.com/spreadsheets/d/1EXMBoBxU3OFbjT2TRpneM33qFjqDzrKmn9ydcfl"&amp;"fI0o/edit?usp=share_link"",""นครพนม!I560"")+IMPORTRANGE(""https://docs.google.com/spreadsheets/d/1bDQrolntRWtHumK8W-x-HXKntwxB9S3sF5aDeRS66Ko/edit?usp=share_link"",""นครราชสีมา!I560"")+IMPORTRANGE(""https://docs.google.com/spreadsheets/d/1_MzZ-2gVPiCW-d2V"&amp;"cafoCmFJQTSrZ6SQyFcMqRRQQ2w/edit?usp=share_link"",""บึงกาฬ!I560"")
+IMPORTRANGE(""https://docs.google.com/spreadsheets/d/1B3lPpzOuaNwVItLwLEZYl_qEblfcx7dRnbRkAw0l-pE/edit?usp=share_link"",""บุรีรัมย์!I560"")+IMPORTRANGE(""https://docs.google.com/spreadshe"&amp;"ets/d/19GOkiOqnzYbevLYWrMk4qFOXe3rX14BkSA8X-mq-a40/edit?usp=share_link"",""มหาสารคาม!I560"")+IMPORTRANGE(""https://docs.google.com/spreadsheets/d/1uMKqWwuNQ-TCKboGA3Bb1qXb5uj2-faACNUINCz8PN4/edit?usp=share_link"",""มุกดาหาร!I560"")+IMPORTRANGE(""https://d"&amp;"ocs.google.com/spreadsheets/d/1oKaccgDdQABndOzGr688Dbfxb_V3YcF67VqEPBtdzsc/edit?usp=share_link"",""ยโสธร!I560"")+IMPORTRANGE(""https://docs.google.com/spreadsheets/d/1BRgc8xKpxZ0PX-gauieMVkV_IOxKSotf0yW8MabGprQ/edit?usp=share_link"",""ร้อยเอ็ด!I560"")+IMP"&amp;"ORTRANGE(""https://docs.google.com/spreadsheets/d/1IdolZc-dfdgMwAm_KZxYJl1sUOcIgnbGQzbWOlddedo/edit?usp=share_link"",""เลย!I560"")+IMPORTRANGE(""https://docs.google.com/spreadsheets/d/1tZ0nmtGuIRCaGAMXHlQU8EpR9LOAJvyKfc4f7EFmE34/edit?usp=share_link"",""ศร"&amp;"ีสะเกษ!I560"")+IMPORTRANGE(""https://docs.google.com/spreadsheets/d/1QC8psz9w0f9IVE9Xuc2FT_btkaOzZbbUSgYObpBuetM/edit?usp=share_link"",""สกลนคร!I560"")+IMPORTRANGE(""https://docs.google.com/spreadsheets/d/1wPdvRbu02d33MYVlbsCnyTiZpefEBs9NNktAnT1HZvw/edit?"&amp;"usp=share_link"",""สุรินทร์!I560"")+IMPORTRANGE(""https://docs.google.com/spreadsheets/d/1GVExpf-Exi_2gmuqTYH28fseTB9MoKPXWcXCbSt_YrM/edit?usp=share_link"",""หนองคาย!I560"")+IMPORTRANGE(""https://docs.google.com/spreadsheets/d/16UeMz0UgOB5BZcoxP75eYGcLFtG"&amp;"YRn9GoesD4OX9m5U/edit?usp=share_link"",""หนองบัวลำภู!I560"")+IMPORTRANGE(""https://docs.google.com/spreadsheets/d/1uUP8Zo1-qaJLuIkRU0qlwLSE3DHkbdrrj2JGJiWBQZE/edit?usp=share_link"",""อำนาจเจริญ!I560"")+IMPORTRANGE(""https://docs.google.com/spreadsheets/d/"&amp;"1hb_taSOHanzRjqfzWPiFo8yiT83VV1L7vvUCLhOiHKc/edit?usp=share_link"",""อุดรธานี!I560"")+IMPORTRANGE(""https://docs.google.com/spreadsheets/d/17IOkEwkUd63EGNfyNDnM5de9YlZ7rwzTiW6-dokVjKI/edit?usp=share_link"",""อุบลราชธานี!I560"")
"),1172961.4368)</f>
        <v>1172961.4368</v>
      </c>
      <c r="J560" s="193">
        <f t="shared" ref="J560:J561" ca="1" si="283">J562+J564+J566</f>
        <v>1173146.5699999991</v>
      </c>
      <c r="K560" s="411">
        <f t="shared" ca="1" si="282"/>
        <v>100.01578340039073</v>
      </c>
      <c r="L560" s="163"/>
      <c r="M560" s="163"/>
      <c r="N560" s="163"/>
      <c r="O560" s="163"/>
      <c r="P560" s="163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</row>
    <row r="561" spans="1:26" ht="19.5">
      <c r="A561" s="608"/>
      <c r="B561" s="609"/>
      <c r="C561" s="609"/>
      <c r="D561" s="619"/>
      <c r="E561" s="619"/>
      <c r="F561" s="619"/>
      <c r="G561" s="175"/>
      <c r="H561" s="192" t="s">
        <v>34</v>
      </c>
      <c r="I561" s="193">
        <f ca="1">IFERROR(__xludf.DUMMYFUNCTION("IMPORTRANGE(""https://docs.google.com/spreadsheets/d/1fb2B9NLcpJgjIieIJvenUTNPn0TimZDUi0OtYeiSQ_s/edit?usp=share_link"",""กาฬสินธุ์!I561"")+IMPORTRANGE(""https://docs.google.com/spreadsheets/d/1SaMnqrwRGmFYNR0MhpWmHuL5niYUd5E7vDq8X7whAlI/edit?usp=share_li"&amp;"nk"",""ขอนแก่น!I561"")
+IMPORTRANGE(""https://docs.google.com/spreadsheets/d/1xQzEtGHhTTgxHh6YUkKY1P4dRyjVhS74dGswLfAASA4/edit?usp=share_link"",""ชัยภูมิ!I561"")+IMPORTRANGE(""https://docs.google.com/spreadsheets/d/1EXMBoBxU3OFbjT2TRpneM33qFjqDzrKmn9ydcfl"&amp;"fI0o/edit?usp=share_link"",""นครพนม!I561"")+IMPORTRANGE(""https://docs.google.com/spreadsheets/d/1bDQrolntRWtHumK8W-x-HXKntwxB9S3sF5aDeRS66Ko/edit?usp=share_link"",""นครราชสีมา!I561"")+IMPORTRANGE(""https://docs.google.com/spreadsheets/d/1_MzZ-2gVPiCW-d2V"&amp;"cafoCmFJQTSrZ6SQyFcMqRRQQ2w/edit?usp=share_link"",""บึงกาฬ!I561"")
+IMPORTRANGE(""https://docs.google.com/spreadsheets/d/1B3lPpzOuaNwVItLwLEZYl_qEblfcx7dRnbRkAw0l-pE/edit?usp=share_link"",""บุรีรัมย์!I561"")+IMPORTRANGE(""https://docs.google.com/spreadshe"&amp;"ets/d/19GOkiOqnzYbevLYWrMk4qFOXe3rX14BkSA8X-mq-a40/edit?usp=share_link"",""มหาสารคาม!I561"")+IMPORTRANGE(""https://docs.google.com/spreadsheets/d/1uMKqWwuNQ-TCKboGA3Bb1qXb5uj2-faACNUINCz8PN4/edit?usp=share_link"",""มุกดาหาร!I561"")+IMPORTRANGE(""https://d"&amp;"ocs.google.com/spreadsheets/d/1oKaccgDdQABndOzGr688Dbfxb_V3YcF67VqEPBtdzsc/edit?usp=share_link"",""ยโสธร!I561"")+IMPORTRANGE(""https://docs.google.com/spreadsheets/d/1BRgc8xKpxZ0PX-gauieMVkV_IOxKSotf0yW8MabGprQ/edit?usp=share_link"",""ร้อยเอ็ด!I561"")+IMP"&amp;"ORTRANGE(""https://docs.google.com/spreadsheets/d/1IdolZc-dfdgMwAm_KZxYJl1sUOcIgnbGQzbWOlddedo/edit?usp=share_link"",""เลย!I561"")+IMPORTRANGE(""https://docs.google.com/spreadsheets/d/1tZ0nmtGuIRCaGAMXHlQU8EpR9LOAJvyKfc4f7EFmE34/edit?usp=share_link"",""ศร"&amp;"ีสะเกษ!I561"")+IMPORTRANGE(""https://docs.google.com/spreadsheets/d/1QC8psz9w0f9IVE9Xuc2FT_btkaOzZbbUSgYObpBuetM/edit?usp=share_link"",""สกลนคร!I561"")+IMPORTRANGE(""https://docs.google.com/spreadsheets/d/1wPdvRbu02d33MYVlbsCnyTiZpefEBs9NNktAnT1HZvw/edit?"&amp;"usp=share_link"",""สุรินทร์!I561"")+IMPORTRANGE(""https://docs.google.com/spreadsheets/d/1GVExpf-Exi_2gmuqTYH28fseTB9MoKPXWcXCbSt_YrM/edit?usp=share_link"",""หนองคาย!I561"")+IMPORTRANGE(""https://docs.google.com/spreadsheets/d/16UeMz0UgOB5BZcoxP75eYGcLFtG"&amp;"YRn9GoesD4OX9m5U/edit?usp=share_link"",""หนองบัวลำภู!I561"")+IMPORTRANGE(""https://docs.google.com/spreadsheets/d/1uUP8Zo1-qaJLuIkRU0qlwLSE3DHkbdrrj2JGJiWBQZE/edit?usp=share_link"",""อำนาจเจริญ!I561"")+IMPORTRANGE(""https://docs.google.com/spreadsheets/d/"&amp;"1hb_taSOHanzRjqfzWPiFo8yiT83VV1L7vvUCLhOiHKc/edit?usp=share_link"",""อุดรธานี!I561"")+IMPORTRANGE(""https://docs.google.com/spreadsheets/d/17IOkEwkUd63EGNfyNDnM5de9YlZ7rwzTiW6-dokVjKI/edit?usp=share_link"",""อุบลราชธานี!I561"")
"),126167)</f>
        <v>126167</v>
      </c>
      <c r="J561" s="193">
        <f t="shared" ca="1" si="283"/>
        <v>126190</v>
      </c>
      <c r="K561" s="411">
        <f t="shared" ca="1" si="282"/>
        <v>100.01822980652626</v>
      </c>
      <c r="L561" s="163"/>
      <c r="M561" s="163"/>
      <c r="N561" s="163"/>
      <c r="O561" s="163"/>
      <c r="P561" s="163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</row>
    <row r="562" spans="1:26" ht="18.75">
      <c r="A562" s="608"/>
      <c r="B562" s="609"/>
      <c r="C562" s="609"/>
      <c r="D562" s="187" t="s">
        <v>237</v>
      </c>
      <c r="E562" s="619"/>
      <c r="F562" s="619"/>
      <c r="G562" s="175"/>
      <c r="H562" s="182" t="s">
        <v>46</v>
      </c>
      <c r="I562" s="162"/>
      <c r="J562" s="183">
        <f ca="1">IFERROR(__xludf.DUMMYFUNCTION("IMPORTRANGE(""https://docs.google.com/spreadsheets/d/1fb2B9NLcpJgjIieIJvenUTNPn0TimZDUi0OtYeiSQ_s/edit?usp=share_link"",""กาฬสินธุ์!J562"")+IMPORTRANGE(""https://docs.google.com/spreadsheets/d/1SaMnqrwRGmFYNR0MhpWmHuL5niYUd5E7vDq8X7whAlI/edit?usp=share_li"&amp;"nk"",""ขอนแก่น!J562"")
+IMPORTRANGE(""https://docs.google.com/spreadsheets/d/1xQzEtGHhTTgxHh6YUkKY1P4dRyjVhS74dGswLfAASA4/edit?usp=share_link"",""ชัยภูมิ!J562"")+IMPORTRANGE(""https://docs.google.com/spreadsheets/d/1EXMBoBxU3OFbjT2TRpneM33qFjqDzrKmn9ydcfl"&amp;"fI0o/edit?usp=share_link"",""นครพนม!J562"")+IMPORTRANGE(""https://docs.google.com/spreadsheets/d/1bDQrolntRWtHumK8W-x-HXKntwxB9S3sF5aDeRS66Ko/edit?usp=share_link"",""นครราชสีมา!J562"")+IMPORTRANGE(""https://docs.google.com/spreadsheets/d/1_MzZ-2gVPiCW-d2V"&amp;"cafoCmFJQTSrZ6SQyFcMqRRQQ2w/edit?usp=share_link"",""บึงกาฬ!J562"")
+IMPORTRANGE(""https://docs.google.com/spreadsheets/d/1B3lPpzOuaNwVItLwLEZYl_qEblfcx7dRnbRkAw0l-pE/edit?usp=share_link"",""บุรีรัมย์!J562"")+IMPORTRANGE(""https://docs.google.com/spreadshe"&amp;"ets/d/19GOkiOqnzYbevLYWrMk4qFOXe3rX14BkSA8X-mq-a40/edit?usp=share_link"",""มหาสารคาม!J562"")+IMPORTRANGE(""https://docs.google.com/spreadsheets/d/1uMKqWwuNQ-TCKboGA3Bb1qXb5uj2-faACNUINCz8PN4/edit?usp=share_link"",""มุกดาหาร!J562"")+IMPORTRANGE(""https://d"&amp;"ocs.google.com/spreadsheets/d/1oKaccgDdQABndOzGr688Dbfxb_V3YcF67VqEPBtdzsc/edit?usp=share_link"",""ยโสธร!J562"")+IMPORTRANGE(""https://docs.google.com/spreadsheets/d/1BRgc8xKpxZ0PX-gauieMVkV_IOxKSotf0yW8MabGprQ/edit?usp=share_link"",""ร้อยเอ็ด!J562"")+IMP"&amp;"ORTRANGE(""https://docs.google.com/spreadsheets/d/1IdolZc-dfdgMwAm_KZxYJl1sUOcIgnbGQzbWOlddedo/edit?usp=share_link"",""เลย!J562"")+IMPORTRANGE(""https://docs.google.com/spreadsheets/d/1tZ0nmtGuIRCaGAMXHlQU8EpR9LOAJvyKfc4f7EFmE34/edit?usp=share_link"",""ศร"&amp;"ีสะเกษ!J562"")+IMPORTRANGE(""https://docs.google.com/spreadsheets/d/1QC8psz9w0f9IVE9Xuc2FT_btkaOzZbbUSgYObpBuetM/edit?usp=share_link"",""สกลนคร!J562"")+IMPORTRANGE(""https://docs.google.com/spreadsheets/d/1wPdvRbu02d33MYVlbsCnyTiZpefEBs9NNktAnT1HZvw/edit?"&amp;"usp=share_link"",""สุรินทร์!J562"")+IMPORTRANGE(""https://docs.google.com/spreadsheets/d/1GVExpf-Exi_2gmuqTYH28fseTB9MoKPXWcXCbSt_YrM/edit?usp=share_link"",""หนองคาย!J562"")+IMPORTRANGE(""https://docs.google.com/spreadsheets/d/16UeMz0UgOB5BZcoxP75eYGcLFtG"&amp;"YRn9GoesD4OX9m5U/edit?usp=share_link"",""หนองบัวลำภู!J562"")+IMPORTRANGE(""https://docs.google.com/spreadsheets/d/1uUP8Zo1-qaJLuIkRU0qlwLSE3DHkbdrrj2JGJiWBQZE/edit?usp=share_link"",""อำนาจเจริญ!J562"")+IMPORTRANGE(""https://docs.google.com/spreadsheets/d/"&amp;"1hb_taSOHanzRjqfzWPiFo8yiT83VV1L7vvUCLhOiHKc/edit?usp=share_link"",""อุดรธานี!J562"")+IMPORTRANGE(""https://docs.google.com/spreadsheets/d/17IOkEwkUd63EGNfyNDnM5de9YlZ7rwzTiW6-dokVjKI/edit?usp=share_link"",""อุบลราชธานี!J562"")
"),930045.889999999)</f>
        <v>930045.88999999897</v>
      </c>
      <c r="K562" s="163"/>
      <c r="L562" s="163"/>
      <c r="M562" s="163"/>
      <c r="N562" s="163"/>
      <c r="O562" s="163"/>
      <c r="P562" s="163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</row>
    <row r="563" spans="1:26" ht="18.75">
      <c r="A563" s="608"/>
      <c r="B563" s="609"/>
      <c r="C563" s="609"/>
      <c r="D563" s="609"/>
      <c r="E563" s="619"/>
      <c r="F563" s="619"/>
      <c r="G563" s="175"/>
      <c r="H563" s="182" t="s">
        <v>34</v>
      </c>
      <c r="I563" s="162"/>
      <c r="J563" s="183">
        <f ca="1">IFERROR(__xludf.DUMMYFUNCTION("IMPORTRANGE(""https://docs.google.com/spreadsheets/d/1fb2B9NLcpJgjIieIJvenUTNPn0TimZDUi0OtYeiSQ_s/edit?usp=share_link"",""กาฬสินธุ์!J563"")+IMPORTRANGE(""https://docs.google.com/spreadsheets/d/1SaMnqrwRGmFYNR0MhpWmHuL5niYUd5E7vDq8X7whAlI/edit?usp=share_li"&amp;"nk"",""ขอนแก่น!J563"")
+IMPORTRANGE(""https://docs.google.com/spreadsheets/d/1xQzEtGHhTTgxHh6YUkKY1P4dRyjVhS74dGswLfAASA4/edit?usp=share_link"",""ชัยภูมิ!J563"")+IMPORTRANGE(""https://docs.google.com/spreadsheets/d/1EXMBoBxU3OFbjT2TRpneM33qFjqDzrKmn9ydcfl"&amp;"fI0o/edit?usp=share_link"",""นครพนม!J563"")+IMPORTRANGE(""https://docs.google.com/spreadsheets/d/1bDQrolntRWtHumK8W-x-HXKntwxB9S3sF5aDeRS66Ko/edit?usp=share_link"",""นครราชสีมา!J563"")+IMPORTRANGE(""https://docs.google.com/spreadsheets/d/1_MzZ-2gVPiCW-d2V"&amp;"cafoCmFJQTSrZ6SQyFcMqRRQQ2w/edit?usp=share_link"",""บึงกาฬ!J563"")
+IMPORTRANGE(""https://docs.google.com/spreadsheets/d/1B3lPpzOuaNwVItLwLEZYl_qEblfcx7dRnbRkAw0l-pE/edit?usp=share_link"",""บุรีรัมย์!J563"")+IMPORTRANGE(""https://docs.google.com/spreadshe"&amp;"ets/d/19GOkiOqnzYbevLYWrMk4qFOXe3rX14BkSA8X-mq-a40/edit?usp=share_link"",""มหาสารคาม!J563"")+IMPORTRANGE(""https://docs.google.com/spreadsheets/d/1uMKqWwuNQ-TCKboGA3Bb1qXb5uj2-faACNUINCz8PN4/edit?usp=share_link"",""มุกดาหาร!J563"")+IMPORTRANGE(""https://d"&amp;"ocs.google.com/spreadsheets/d/1oKaccgDdQABndOzGr688Dbfxb_V3YcF67VqEPBtdzsc/edit?usp=share_link"",""ยโสธร!J563"")+IMPORTRANGE(""https://docs.google.com/spreadsheets/d/1BRgc8xKpxZ0PX-gauieMVkV_IOxKSotf0yW8MabGprQ/edit?usp=share_link"",""ร้อยเอ็ด!J563"")+IMP"&amp;"ORTRANGE(""https://docs.google.com/spreadsheets/d/1IdolZc-dfdgMwAm_KZxYJl1sUOcIgnbGQzbWOlddedo/edit?usp=share_link"",""เลย!J563"")+IMPORTRANGE(""https://docs.google.com/spreadsheets/d/1tZ0nmtGuIRCaGAMXHlQU8EpR9LOAJvyKfc4f7EFmE34/edit?usp=share_link"",""ศร"&amp;"ีสะเกษ!J563"")+IMPORTRANGE(""https://docs.google.com/spreadsheets/d/1QC8psz9w0f9IVE9Xuc2FT_btkaOzZbbUSgYObpBuetM/edit?usp=share_link"",""สกลนคร!J563"")+IMPORTRANGE(""https://docs.google.com/spreadsheets/d/1wPdvRbu02d33MYVlbsCnyTiZpefEBs9NNktAnT1HZvw/edit?"&amp;"usp=share_link"",""สุรินทร์!J563"")+IMPORTRANGE(""https://docs.google.com/spreadsheets/d/1GVExpf-Exi_2gmuqTYH28fseTB9MoKPXWcXCbSt_YrM/edit?usp=share_link"",""หนองคาย!J563"")+IMPORTRANGE(""https://docs.google.com/spreadsheets/d/16UeMz0UgOB5BZcoxP75eYGcLFtG"&amp;"YRn9GoesD4OX9m5U/edit?usp=share_link"",""หนองบัวลำภู!J563"")+IMPORTRANGE(""https://docs.google.com/spreadsheets/d/1uUP8Zo1-qaJLuIkRU0qlwLSE3DHkbdrrj2JGJiWBQZE/edit?usp=share_link"",""อำนาจเจริญ!J563"")+IMPORTRANGE(""https://docs.google.com/spreadsheets/d/"&amp;"1hb_taSOHanzRjqfzWPiFo8yiT83VV1L7vvUCLhOiHKc/edit?usp=share_link"",""อุดรธานี!J563"")+IMPORTRANGE(""https://docs.google.com/spreadsheets/d/17IOkEwkUd63EGNfyNDnM5de9YlZ7rwzTiW6-dokVjKI/edit?usp=share_link"",""อุบลราชธานี!J563"")
"),105007)</f>
        <v>105007</v>
      </c>
      <c r="K563" s="163"/>
      <c r="L563" s="163"/>
      <c r="M563" s="163"/>
      <c r="N563" s="163"/>
      <c r="O563" s="163"/>
      <c r="P563" s="163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</row>
    <row r="564" spans="1:26" ht="18.75">
      <c r="A564" s="608"/>
      <c r="B564" s="609"/>
      <c r="C564" s="609"/>
      <c r="D564" s="187" t="s">
        <v>238</v>
      </c>
      <c r="E564" s="619"/>
      <c r="F564" s="619"/>
      <c r="G564" s="175"/>
      <c r="H564" s="182" t="s">
        <v>46</v>
      </c>
      <c r="I564" s="162"/>
      <c r="J564" s="183">
        <f ca="1">IFERROR(__xludf.DUMMYFUNCTION("IMPORTRANGE(""https://docs.google.com/spreadsheets/d/1fb2B9NLcpJgjIieIJvenUTNPn0TimZDUi0OtYeiSQ_s/edit?usp=share_link"",""กาฬสินธุ์!J564"")+IMPORTRANGE(""https://docs.google.com/spreadsheets/d/1SaMnqrwRGmFYNR0MhpWmHuL5niYUd5E7vDq8X7whAlI/edit?usp=share_li"&amp;"nk"",""ขอนแก่น!J564"")
+IMPORTRANGE(""https://docs.google.com/spreadsheets/d/1xQzEtGHhTTgxHh6YUkKY1P4dRyjVhS74dGswLfAASA4/edit?usp=share_link"",""ชัยภูมิ!J564"")+IMPORTRANGE(""https://docs.google.com/spreadsheets/d/1EXMBoBxU3OFbjT2TRpneM33qFjqDzrKmn9ydcfl"&amp;"fI0o/edit?usp=share_link"",""นครพนม!J564"")+IMPORTRANGE(""https://docs.google.com/spreadsheets/d/1bDQrolntRWtHumK8W-x-HXKntwxB9S3sF5aDeRS66Ko/edit?usp=share_link"",""นครราชสีมา!J564"")+IMPORTRANGE(""https://docs.google.com/spreadsheets/d/1_MzZ-2gVPiCW-d2V"&amp;"cafoCmFJQTSrZ6SQyFcMqRRQQ2w/edit?usp=share_link"",""บึงกาฬ!J564"")
+IMPORTRANGE(""https://docs.google.com/spreadsheets/d/1B3lPpzOuaNwVItLwLEZYl_qEblfcx7dRnbRkAw0l-pE/edit?usp=share_link"",""บุรีรัมย์!J564"")+IMPORTRANGE(""https://docs.google.com/spreadshe"&amp;"ets/d/19GOkiOqnzYbevLYWrMk4qFOXe3rX14BkSA8X-mq-a40/edit?usp=share_link"",""มหาสารคาม!J564"")+IMPORTRANGE(""https://docs.google.com/spreadsheets/d/1uMKqWwuNQ-TCKboGA3Bb1qXb5uj2-faACNUINCz8PN4/edit?usp=share_link"",""มุกดาหาร!J564"")+IMPORTRANGE(""https://d"&amp;"ocs.google.com/spreadsheets/d/1oKaccgDdQABndOzGr688Dbfxb_V3YcF67VqEPBtdzsc/edit?usp=share_link"",""ยโสธร!J564"")+IMPORTRANGE(""https://docs.google.com/spreadsheets/d/1BRgc8xKpxZ0PX-gauieMVkV_IOxKSotf0yW8MabGprQ/edit?usp=share_link"",""ร้อยเอ็ด!J564"")+IMP"&amp;"ORTRANGE(""https://docs.google.com/spreadsheets/d/1IdolZc-dfdgMwAm_KZxYJl1sUOcIgnbGQzbWOlddedo/edit?usp=share_link"",""เลย!J564"")+IMPORTRANGE(""https://docs.google.com/spreadsheets/d/1tZ0nmtGuIRCaGAMXHlQU8EpR9LOAJvyKfc4f7EFmE34/edit?usp=share_link"",""ศร"&amp;"ีสะเกษ!J564"")+IMPORTRANGE(""https://docs.google.com/spreadsheets/d/1QC8psz9w0f9IVE9Xuc2FT_btkaOzZbbUSgYObpBuetM/edit?usp=share_link"",""สกลนคร!J564"")+IMPORTRANGE(""https://docs.google.com/spreadsheets/d/1wPdvRbu02d33MYVlbsCnyTiZpefEBs9NNktAnT1HZvw/edit?"&amp;"usp=share_link"",""สุรินทร์!J564"")+IMPORTRANGE(""https://docs.google.com/spreadsheets/d/1GVExpf-Exi_2gmuqTYH28fseTB9MoKPXWcXCbSt_YrM/edit?usp=share_link"",""หนองคาย!J564"")+IMPORTRANGE(""https://docs.google.com/spreadsheets/d/16UeMz0UgOB5BZcoxP75eYGcLFtG"&amp;"YRn9GoesD4OX9m5U/edit?usp=share_link"",""หนองบัวลำภู!J564"")+IMPORTRANGE(""https://docs.google.com/spreadsheets/d/1uUP8Zo1-qaJLuIkRU0qlwLSE3DHkbdrrj2JGJiWBQZE/edit?usp=share_link"",""อำนาจเจริญ!J564"")+IMPORTRANGE(""https://docs.google.com/spreadsheets/d/"&amp;"1hb_taSOHanzRjqfzWPiFo8yiT83VV1L7vvUCLhOiHKc/edit?usp=share_link"",""อุดรธานี!J564"")+IMPORTRANGE(""https://docs.google.com/spreadsheets/d/17IOkEwkUd63EGNfyNDnM5de9YlZ7rwzTiW6-dokVjKI/edit?usp=share_link"",""อุบลราชธานี!J564"")
"),203884.975)</f>
        <v>203884.97500000001</v>
      </c>
      <c r="K564" s="163"/>
      <c r="L564" s="163"/>
      <c r="M564" s="163"/>
      <c r="N564" s="163"/>
      <c r="O564" s="163"/>
      <c r="P564" s="163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</row>
    <row r="565" spans="1:26" ht="18.75">
      <c r="A565" s="608"/>
      <c r="B565" s="609"/>
      <c r="C565" s="609"/>
      <c r="D565" s="619"/>
      <c r="E565" s="619"/>
      <c r="F565" s="619"/>
      <c r="G565" s="175"/>
      <c r="H565" s="182" t="s">
        <v>34</v>
      </c>
      <c r="I565" s="162"/>
      <c r="J565" s="183">
        <f ca="1">IFERROR(__xludf.DUMMYFUNCTION("IMPORTRANGE(""https://docs.google.com/spreadsheets/d/1fb2B9NLcpJgjIieIJvenUTNPn0TimZDUi0OtYeiSQ_s/edit?usp=share_link"",""กาฬสินธุ์!J565"")+IMPORTRANGE(""https://docs.google.com/spreadsheets/d/1SaMnqrwRGmFYNR0MhpWmHuL5niYUd5E7vDq8X7whAlI/edit?usp=share_li"&amp;"nk"",""ขอนแก่น!J565"")
+IMPORTRANGE(""https://docs.google.com/spreadsheets/d/1xQzEtGHhTTgxHh6YUkKY1P4dRyjVhS74dGswLfAASA4/edit?usp=share_link"",""ชัยภูมิ!J565"")+IMPORTRANGE(""https://docs.google.com/spreadsheets/d/1EXMBoBxU3OFbjT2TRpneM33qFjqDzrKmn9ydcfl"&amp;"fI0o/edit?usp=share_link"",""นครพนม!J565"")+IMPORTRANGE(""https://docs.google.com/spreadsheets/d/1bDQrolntRWtHumK8W-x-HXKntwxB9S3sF5aDeRS66Ko/edit?usp=share_link"",""นครราชสีมา!J565"")+IMPORTRANGE(""https://docs.google.com/spreadsheets/d/1_MzZ-2gVPiCW-d2V"&amp;"cafoCmFJQTSrZ6SQyFcMqRRQQ2w/edit?usp=share_link"",""บึงกาฬ!J565"")
+IMPORTRANGE(""https://docs.google.com/spreadsheets/d/1B3lPpzOuaNwVItLwLEZYl_qEblfcx7dRnbRkAw0l-pE/edit?usp=share_link"",""บุรีรัมย์!J565"")+IMPORTRANGE(""https://docs.google.com/spreadshe"&amp;"ets/d/19GOkiOqnzYbevLYWrMk4qFOXe3rX14BkSA8X-mq-a40/edit?usp=share_link"",""มหาสารคาม!J565"")+IMPORTRANGE(""https://docs.google.com/spreadsheets/d/1uMKqWwuNQ-TCKboGA3Bb1qXb5uj2-faACNUINCz8PN4/edit?usp=share_link"",""มุกดาหาร!J565"")+IMPORTRANGE(""https://d"&amp;"ocs.google.com/spreadsheets/d/1oKaccgDdQABndOzGr688Dbfxb_V3YcF67VqEPBtdzsc/edit?usp=share_link"",""ยโสธร!J565"")+IMPORTRANGE(""https://docs.google.com/spreadsheets/d/1BRgc8xKpxZ0PX-gauieMVkV_IOxKSotf0yW8MabGprQ/edit?usp=share_link"",""ร้อยเอ็ด!J565"")+IMP"&amp;"ORTRANGE(""https://docs.google.com/spreadsheets/d/1IdolZc-dfdgMwAm_KZxYJl1sUOcIgnbGQzbWOlddedo/edit?usp=share_link"",""เลย!J565"")+IMPORTRANGE(""https://docs.google.com/spreadsheets/d/1tZ0nmtGuIRCaGAMXHlQU8EpR9LOAJvyKfc4f7EFmE34/edit?usp=share_link"",""ศร"&amp;"ีสะเกษ!J565"")+IMPORTRANGE(""https://docs.google.com/spreadsheets/d/1QC8psz9w0f9IVE9Xuc2FT_btkaOzZbbUSgYObpBuetM/edit?usp=share_link"",""สกลนคร!J565"")+IMPORTRANGE(""https://docs.google.com/spreadsheets/d/1wPdvRbu02d33MYVlbsCnyTiZpefEBs9NNktAnT1HZvw/edit?"&amp;"usp=share_link"",""สุรินทร์!J565"")+IMPORTRANGE(""https://docs.google.com/spreadsheets/d/1GVExpf-Exi_2gmuqTYH28fseTB9MoKPXWcXCbSt_YrM/edit?usp=share_link"",""หนองคาย!J565"")+IMPORTRANGE(""https://docs.google.com/spreadsheets/d/16UeMz0UgOB5BZcoxP75eYGcLFtG"&amp;"YRn9GoesD4OX9m5U/edit?usp=share_link"",""หนองบัวลำภู!J565"")+IMPORTRANGE(""https://docs.google.com/spreadsheets/d/1uUP8Zo1-qaJLuIkRU0qlwLSE3DHkbdrrj2JGJiWBQZE/edit?usp=share_link"",""อำนาจเจริญ!J565"")+IMPORTRANGE(""https://docs.google.com/spreadsheets/d/"&amp;"1hb_taSOHanzRjqfzWPiFo8yiT83VV1L7vvUCLhOiHKc/edit?usp=share_link"",""อุดรธานี!J565"")+IMPORTRANGE(""https://docs.google.com/spreadsheets/d/17IOkEwkUd63EGNfyNDnM5de9YlZ7rwzTiW6-dokVjKI/edit?usp=share_link"",""อุบลราชธานี!J565"")
"),17194)</f>
        <v>17194</v>
      </c>
      <c r="K565" s="163"/>
      <c r="L565" s="163"/>
      <c r="M565" s="163"/>
      <c r="N565" s="163"/>
      <c r="O565" s="163"/>
      <c r="P565" s="163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</row>
    <row r="566" spans="1:26" ht="18.75">
      <c r="A566" s="608"/>
      <c r="B566" s="609"/>
      <c r="C566" s="609"/>
      <c r="D566" s="187" t="s">
        <v>239</v>
      </c>
      <c r="E566" s="619"/>
      <c r="F566" s="619"/>
      <c r="G566" s="175"/>
      <c r="H566" s="182" t="s">
        <v>46</v>
      </c>
      <c r="I566" s="162"/>
      <c r="J566" s="183">
        <f ca="1">IFERROR(__xludf.DUMMYFUNCTION("IMPORTRANGE(""https://docs.google.com/spreadsheets/d/1fb2B9NLcpJgjIieIJvenUTNPn0TimZDUi0OtYeiSQ_s/edit?usp=share_link"",""กาฬสินธุ์!J566"")+IMPORTRANGE(""https://docs.google.com/spreadsheets/d/1SaMnqrwRGmFYNR0MhpWmHuL5niYUd5E7vDq8X7whAlI/edit?usp=share_li"&amp;"nk"",""ขอนแก่น!J566"")
+IMPORTRANGE(""https://docs.google.com/spreadsheets/d/1xQzEtGHhTTgxHh6YUkKY1P4dRyjVhS74dGswLfAASA4/edit?usp=share_link"",""ชัยภูมิ!J566"")+IMPORTRANGE(""https://docs.google.com/spreadsheets/d/1EXMBoBxU3OFbjT2TRpneM33qFjqDzrKmn9ydcfl"&amp;"fI0o/edit?usp=share_link"",""นครพนม!J566"")+IMPORTRANGE(""https://docs.google.com/spreadsheets/d/1bDQrolntRWtHumK8W-x-HXKntwxB9S3sF5aDeRS66Ko/edit?usp=share_link"",""นครราชสีมา!J566"")+IMPORTRANGE(""https://docs.google.com/spreadsheets/d/1_MzZ-2gVPiCW-d2V"&amp;"cafoCmFJQTSrZ6SQyFcMqRRQQ2w/edit?usp=share_link"",""บึงกาฬ!J566"")
+IMPORTRANGE(""https://docs.google.com/spreadsheets/d/1B3lPpzOuaNwVItLwLEZYl_qEblfcx7dRnbRkAw0l-pE/edit?usp=share_link"",""บุรีรัมย์!J566"")+IMPORTRANGE(""https://docs.google.com/spreadshe"&amp;"ets/d/19GOkiOqnzYbevLYWrMk4qFOXe3rX14BkSA8X-mq-a40/edit?usp=share_link"",""มหาสารคาม!J566"")+IMPORTRANGE(""https://docs.google.com/spreadsheets/d/1uMKqWwuNQ-TCKboGA3Bb1qXb5uj2-faACNUINCz8PN4/edit?usp=share_link"",""มุกดาหาร!J566"")+IMPORTRANGE(""https://d"&amp;"ocs.google.com/spreadsheets/d/1oKaccgDdQABndOzGr688Dbfxb_V3YcF67VqEPBtdzsc/edit?usp=share_link"",""ยโสธร!J566"")+IMPORTRANGE(""https://docs.google.com/spreadsheets/d/1BRgc8xKpxZ0PX-gauieMVkV_IOxKSotf0yW8MabGprQ/edit?usp=share_link"",""ร้อยเอ็ด!J566"")+IMP"&amp;"ORTRANGE(""https://docs.google.com/spreadsheets/d/1IdolZc-dfdgMwAm_KZxYJl1sUOcIgnbGQzbWOlddedo/edit?usp=share_link"",""เลย!J566"")+IMPORTRANGE(""https://docs.google.com/spreadsheets/d/1tZ0nmtGuIRCaGAMXHlQU8EpR9LOAJvyKfc4f7EFmE34/edit?usp=share_link"",""ศร"&amp;"ีสะเกษ!J566"")+IMPORTRANGE(""https://docs.google.com/spreadsheets/d/1QC8psz9w0f9IVE9Xuc2FT_btkaOzZbbUSgYObpBuetM/edit?usp=share_link"",""สกลนคร!J566"")+IMPORTRANGE(""https://docs.google.com/spreadsheets/d/1wPdvRbu02d33MYVlbsCnyTiZpefEBs9NNktAnT1HZvw/edit?"&amp;"usp=share_link"",""สุรินทร์!J566"")+IMPORTRANGE(""https://docs.google.com/spreadsheets/d/1GVExpf-Exi_2gmuqTYH28fseTB9MoKPXWcXCbSt_YrM/edit?usp=share_link"",""หนองคาย!J566"")+IMPORTRANGE(""https://docs.google.com/spreadsheets/d/16UeMz0UgOB5BZcoxP75eYGcLFtG"&amp;"YRn9GoesD4OX9m5U/edit?usp=share_link"",""หนองบัวลำภู!J566"")+IMPORTRANGE(""https://docs.google.com/spreadsheets/d/1uUP8Zo1-qaJLuIkRU0qlwLSE3DHkbdrrj2JGJiWBQZE/edit?usp=share_link"",""อำนาจเจริญ!J566"")+IMPORTRANGE(""https://docs.google.com/spreadsheets/d/"&amp;"1hb_taSOHanzRjqfzWPiFo8yiT83VV1L7vvUCLhOiHKc/edit?usp=share_link"",""อุดรธานี!J566"")+IMPORTRANGE(""https://docs.google.com/spreadsheets/d/17IOkEwkUd63EGNfyNDnM5de9YlZ7rwzTiW6-dokVjKI/edit?usp=share_link"",""อุบลราชธานี!J566"")
"),39215.705)</f>
        <v>39215.705000000002</v>
      </c>
      <c r="K566" s="163"/>
      <c r="L566" s="163"/>
      <c r="M566" s="163"/>
      <c r="N566" s="163"/>
      <c r="O566" s="163"/>
      <c r="P566" s="163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</row>
    <row r="567" spans="1:26" ht="18.75">
      <c r="A567" s="608"/>
      <c r="B567" s="609"/>
      <c r="C567" s="609"/>
      <c r="D567" s="619"/>
      <c r="E567" s="619"/>
      <c r="F567" s="619"/>
      <c r="G567" s="175"/>
      <c r="H567" s="182" t="s">
        <v>34</v>
      </c>
      <c r="I567" s="162"/>
      <c r="J567" s="183">
        <f ca="1">IFERROR(__xludf.DUMMYFUNCTION("IMPORTRANGE(""https://docs.google.com/spreadsheets/d/1fb2B9NLcpJgjIieIJvenUTNPn0TimZDUi0OtYeiSQ_s/edit?usp=share_link"",""กาฬสินธุ์!J567"")+IMPORTRANGE(""https://docs.google.com/spreadsheets/d/1SaMnqrwRGmFYNR0MhpWmHuL5niYUd5E7vDq8X7whAlI/edit?usp=share_li"&amp;"nk"",""ขอนแก่น!J567"")
+IMPORTRANGE(""https://docs.google.com/spreadsheets/d/1xQzEtGHhTTgxHh6YUkKY1P4dRyjVhS74dGswLfAASA4/edit?usp=share_link"",""ชัยภูมิ!J567"")+IMPORTRANGE(""https://docs.google.com/spreadsheets/d/1EXMBoBxU3OFbjT2TRpneM33qFjqDzrKmn9ydcfl"&amp;"fI0o/edit?usp=share_link"",""นครพนม!J567"")+IMPORTRANGE(""https://docs.google.com/spreadsheets/d/1bDQrolntRWtHumK8W-x-HXKntwxB9S3sF5aDeRS66Ko/edit?usp=share_link"",""นครราชสีมา!J567"")+IMPORTRANGE(""https://docs.google.com/spreadsheets/d/1_MzZ-2gVPiCW-d2V"&amp;"cafoCmFJQTSrZ6SQyFcMqRRQQ2w/edit?usp=share_link"",""บึงกาฬ!J567"")
+IMPORTRANGE(""https://docs.google.com/spreadsheets/d/1B3lPpzOuaNwVItLwLEZYl_qEblfcx7dRnbRkAw0l-pE/edit?usp=share_link"",""บุรีรัมย์!J567"")+IMPORTRANGE(""https://docs.google.com/spreadshe"&amp;"ets/d/19GOkiOqnzYbevLYWrMk4qFOXe3rX14BkSA8X-mq-a40/edit?usp=share_link"",""มหาสารคาม!J567"")+IMPORTRANGE(""https://docs.google.com/spreadsheets/d/1uMKqWwuNQ-TCKboGA3Bb1qXb5uj2-faACNUINCz8PN4/edit?usp=share_link"",""มุกดาหาร!J567"")+IMPORTRANGE(""https://d"&amp;"ocs.google.com/spreadsheets/d/1oKaccgDdQABndOzGr688Dbfxb_V3YcF67VqEPBtdzsc/edit?usp=share_link"",""ยโสธร!J567"")+IMPORTRANGE(""https://docs.google.com/spreadsheets/d/1BRgc8xKpxZ0PX-gauieMVkV_IOxKSotf0yW8MabGprQ/edit?usp=share_link"",""ร้อยเอ็ด!J567"")+IMP"&amp;"ORTRANGE(""https://docs.google.com/spreadsheets/d/1IdolZc-dfdgMwAm_KZxYJl1sUOcIgnbGQzbWOlddedo/edit?usp=share_link"",""เลย!J567"")+IMPORTRANGE(""https://docs.google.com/spreadsheets/d/1tZ0nmtGuIRCaGAMXHlQU8EpR9LOAJvyKfc4f7EFmE34/edit?usp=share_link"",""ศร"&amp;"ีสะเกษ!J567"")+IMPORTRANGE(""https://docs.google.com/spreadsheets/d/1QC8psz9w0f9IVE9Xuc2FT_btkaOzZbbUSgYObpBuetM/edit?usp=share_link"",""สกลนคร!J567"")+IMPORTRANGE(""https://docs.google.com/spreadsheets/d/1wPdvRbu02d33MYVlbsCnyTiZpefEBs9NNktAnT1HZvw/edit?"&amp;"usp=share_link"",""สุรินทร์!J567"")+IMPORTRANGE(""https://docs.google.com/spreadsheets/d/1GVExpf-Exi_2gmuqTYH28fseTB9MoKPXWcXCbSt_YrM/edit?usp=share_link"",""หนองคาย!J567"")+IMPORTRANGE(""https://docs.google.com/spreadsheets/d/16UeMz0UgOB5BZcoxP75eYGcLFtG"&amp;"YRn9GoesD4OX9m5U/edit?usp=share_link"",""หนองบัวลำภู!J567"")+IMPORTRANGE(""https://docs.google.com/spreadsheets/d/1uUP8Zo1-qaJLuIkRU0qlwLSE3DHkbdrrj2JGJiWBQZE/edit?usp=share_link"",""อำนาจเจริญ!J567"")+IMPORTRANGE(""https://docs.google.com/spreadsheets/d/"&amp;"1hb_taSOHanzRjqfzWPiFo8yiT83VV1L7vvUCLhOiHKc/edit?usp=share_link"",""อุดรธานี!J567"")+IMPORTRANGE(""https://docs.google.com/spreadsheets/d/17IOkEwkUd63EGNfyNDnM5de9YlZ7rwzTiW6-dokVjKI/edit?usp=share_link"",""อุบลราชธานี!J567"")
"),3989)</f>
        <v>3989</v>
      </c>
      <c r="K567" s="163"/>
      <c r="L567" s="163"/>
      <c r="M567" s="163"/>
      <c r="N567" s="163"/>
      <c r="O567" s="163"/>
      <c r="P567" s="163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</row>
    <row r="568" spans="1:26" ht="19.5">
      <c r="A568" s="608"/>
      <c r="B568" s="609"/>
      <c r="C568" s="622" t="s">
        <v>240</v>
      </c>
      <c r="D568" s="619"/>
      <c r="E568" s="619"/>
      <c r="F568" s="619"/>
      <c r="G568" s="175"/>
      <c r="H568" s="192" t="s">
        <v>46</v>
      </c>
      <c r="I568" s="193">
        <f ca="1">IFERROR(__xludf.DUMMYFUNCTION("IMPORTRANGE(""https://docs.google.com/spreadsheets/d/1fb2B9NLcpJgjIieIJvenUTNPn0TimZDUi0OtYeiSQ_s/edit?usp=share_link"",""กาฬสินธุ์!I568"")+IMPORTRANGE(""https://docs.google.com/spreadsheets/d/1SaMnqrwRGmFYNR0MhpWmHuL5niYUd5E7vDq8X7whAlI/edit?usp=share_li"&amp;"nk"",""ขอนแก่น!I568"")
+IMPORTRANGE(""https://docs.google.com/spreadsheets/d/1xQzEtGHhTTgxHh6YUkKY1P4dRyjVhS74dGswLfAASA4/edit?usp=share_link"",""ชัยภูมิ!I568"")+IMPORTRANGE(""https://docs.google.com/spreadsheets/d/1EXMBoBxU3OFbjT2TRpneM33qFjqDzrKmn9ydcfl"&amp;"fI0o/edit?usp=share_link"",""นครพนม!I568"")+IMPORTRANGE(""https://docs.google.com/spreadsheets/d/1bDQrolntRWtHumK8W-x-HXKntwxB9S3sF5aDeRS66Ko/edit?usp=share_link"",""นครราชสีมา!I568"")+IMPORTRANGE(""https://docs.google.com/spreadsheets/d/1_MzZ-2gVPiCW-d2V"&amp;"cafoCmFJQTSrZ6SQyFcMqRRQQ2w/edit?usp=share_link"",""บึงกาฬ!I568"")
+IMPORTRANGE(""https://docs.google.com/spreadsheets/d/1B3lPpzOuaNwVItLwLEZYl_qEblfcx7dRnbRkAw0l-pE/edit?usp=share_link"",""บุรีรัมย์!I568"")+IMPORTRANGE(""https://docs.google.com/spreadshe"&amp;"ets/d/19GOkiOqnzYbevLYWrMk4qFOXe3rX14BkSA8X-mq-a40/edit?usp=share_link"",""มหาสารคาม!I568"")+IMPORTRANGE(""https://docs.google.com/spreadsheets/d/1uMKqWwuNQ-TCKboGA3Bb1qXb5uj2-faACNUINCz8PN4/edit?usp=share_link"",""มุกดาหาร!I568"")+IMPORTRANGE(""https://d"&amp;"ocs.google.com/spreadsheets/d/1oKaccgDdQABndOzGr688Dbfxb_V3YcF67VqEPBtdzsc/edit?usp=share_link"",""ยโสธร!I568"")+IMPORTRANGE(""https://docs.google.com/spreadsheets/d/1BRgc8xKpxZ0PX-gauieMVkV_IOxKSotf0yW8MabGprQ/edit?usp=share_link"",""ร้อยเอ็ด!I568"")+IMP"&amp;"ORTRANGE(""https://docs.google.com/spreadsheets/d/1IdolZc-dfdgMwAm_KZxYJl1sUOcIgnbGQzbWOlddedo/edit?usp=share_link"",""เลย!I568"")+IMPORTRANGE(""https://docs.google.com/spreadsheets/d/1tZ0nmtGuIRCaGAMXHlQU8EpR9LOAJvyKfc4f7EFmE34/edit?usp=share_link"",""ศร"&amp;"ีสะเกษ!I568"")+IMPORTRANGE(""https://docs.google.com/spreadsheets/d/1QC8psz9w0f9IVE9Xuc2FT_btkaOzZbbUSgYObpBuetM/edit?usp=share_link"",""สกลนคร!I568"")+IMPORTRANGE(""https://docs.google.com/spreadsheets/d/1wPdvRbu02d33MYVlbsCnyTiZpefEBs9NNktAnT1HZvw/edit?"&amp;"usp=share_link"",""สุรินทร์!I568"")+IMPORTRANGE(""https://docs.google.com/spreadsheets/d/1GVExpf-Exi_2gmuqTYH28fseTB9MoKPXWcXCbSt_YrM/edit?usp=share_link"",""หนองคาย!I568"")+IMPORTRANGE(""https://docs.google.com/spreadsheets/d/16UeMz0UgOB5BZcoxP75eYGcLFtG"&amp;"YRn9GoesD4OX9m5U/edit?usp=share_link"",""หนองบัวลำภู!I568"")+IMPORTRANGE(""https://docs.google.com/spreadsheets/d/1uUP8Zo1-qaJLuIkRU0qlwLSE3DHkbdrrj2JGJiWBQZE/edit?usp=share_link"",""อำนาจเจริญ!I568"")+IMPORTRANGE(""https://docs.google.com/spreadsheets/d/"&amp;"1hb_taSOHanzRjqfzWPiFo8yiT83VV1L7vvUCLhOiHKc/edit?usp=share_link"",""อุดรธานี!I568"")+IMPORTRANGE(""https://docs.google.com/spreadsheets/d/17IOkEwkUd63EGNfyNDnM5de9YlZ7rwzTiW6-dokVjKI/edit?usp=share_link"",""อุบลราชธานี!I568"")
"),1172961.4368)</f>
        <v>1172961.4368</v>
      </c>
      <c r="J568" s="194">
        <f t="shared" ref="J568:J569" ca="1" si="284">J570+J572+J574</f>
        <v>1172976.1894999992</v>
      </c>
      <c r="K568" s="411">
        <f t="shared" ref="K568:K569" ca="1" si="285">IF(I568&gt;0,J568*100/I568,0)</f>
        <v>100.00125773103329</v>
      </c>
      <c r="L568" s="163"/>
      <c r="M568" s="163"/>
      <c r="N568" s="163"/>
      <c r="O568" s="163"/>
      <c r="P568" s="163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</row>
    <row r="569" spans="1:26" ht="19.5">
      <c r="A569" s="608"/>
      <c r="B569" s="609"/>
      <c r="C569" s="609"/>
      <c r="D569" s="609"/>
      <c r="E569" s="619"/>
      <c r="F569" s="619"/>
      <c r="G569" s="175"/>
      <c r="H569" s="192" t="s">
        <v>34</v>
      </c>
      <c r="I569" s="193">
        <f ca="1">IFERROR(__xludf.DUMMYFUNCTION("IMPORTRANGE(""https://docs.google.com/spreadsheets/d/1fb2B9NLcpJgjIieIJvenUTNPn0TimZDUi0OtYeiSQ_s/edit?usp=share_link"",""กาฬสินธุ์!I569"")+IMPORTRANGE(""https://docs.google.com/spreadsheets/d/1SaMnqrwRGmFYNR0MhpWmHuL5niYUd5E7vDq8X7whAlI/edit?usp=share_li"&amp;"nk"",""ขอนแก่น!I569"")
+IMPORTRANGE(""https://docs.google.com/spreadsheets/d/1xQzEtGHhTTgxHh6YUkKY1P4dRyjVhS74dGswLfAASA4/edit?usp=share_link"",""ชัยภูมิ!I569"")+IMPORTRANGE(""https://docs.google.com/spreadsheets/d/1EXMBoBxU3OFbjT2TRpneM33qFjqDzrKmn9ydcfl"&amp;"fI0o/edit?usp=share_link"",""นครพนม!I569"")+IMPORTRANGE(""https://docs.google.com/spreadsheets/d/1bDQrolntRWtHumK8W-x-HXKntwxB9S3sF5aDeRS66Ko/edit?usp=share_link"",""นครราชสีมา!I569"")+IMPORTRANGE(""https://docs.google.com/spreadsheets/d/1_MzZ-2gVPiCW-d2V"&amp;"cafoCmFJQTSrZ6SQyFcMqRRQQ2w/edit?usp=share_link"",""บึงกาฬ!I569"")
+IMPORTRANGE(""https://docs.google.com/spreadsheets/d/1B3lPpzOuaNwVItLwLEZYl_qEblfcx7dRnbRkAw0l-pE/edit?usp=share_link"",""บุรีรัมย์!I569"")+IMPORTRANGE(""https://docs.google.com/spreadshe"&amp;"ets/d/19GOkiOqnzYbevLYWrMk4qFOXe3rX14BkSA8X-mq-a40/edit?usp=share_link"",""มหาสารคาม!I569"")+IMPORTRANGE(""https://docs.google.com/spreadsheets/d/1uMKqWwuNQ-TCKboGA3Bb1qXb5uj2-faACNUINCz8PN4/edit?usp=share_link"",""มุกดาหาร!I569"")+IMPORTRANGE(""https://d"&amp;"ocs.google.com/spreadsheets/d/1oKaccgDdQABndOzGr688Dbfxb_V3YcF67VqEPBtdzsc/edit?usp=share_link"",""ยโสธร!I569"")+IMPORTRANGE(""https://docs.google.com/spreadsheets/d/1BRgc8xKpxZ0PX-gauieMVkV_IOxKSotf0yW8MabGprQ/edit?usp=share_link"",""ร้อยเอ็ด!I569"")+IMP"&amp;"ORTRANGE(""https://docs.google.com/spreadsheets/d/1IdolZc-dfdgMwAm_KZxYJl1sUOcIgnbGQzbWOlddedo/edit?usp=share_link"",""เลย!I569"")+IMPORTRANGE(""https://docs.google.com/spreadsheets/d/1tZ0nmtGuIRCaGAMXHlQU8EpR9LOAJvyKfc4f7EFmE34/edit?usp=share_link"",""ศร"&amp;"ีสะเกษ!I569"")+IMPORTRANGE(""https://docs.google.com/spreadsheets/d/1QC8psz9w0f9IVE9Xuc2FT_btkaOzZbbUSgYObpBuetM/edit?usp=share_link"",""สกลนคร!I569"")+IMPORTRANGE(""https://docs.google.com/spreadsheets/d/1wPdvRbu02d33MYVlbsCnyTiZpefEBs9NNktAnT1HZvw/edit?"&amp;"usp=share_link"",""สุรินทร์!I569"")+IMPORTRANGE(""https://docs.google.com/spreadsheets/d/1GVExpf-Exi_2gmuqTYH28fseTB9MoKPXWcXCbSt_YrM/edit?usp=share_link"",""หนองคาย!I569"")+IMPORTRANGE(""https://docs.google.com/spreadsheets/d/16UeMz0UgOB5BZcoxP75eYGcLFtG"&amp;"YRn9GoesD4OX9m5U/edit?usp=share_link"",""หนองบัวลำภู!I569"")+IMPORTRANGE(""https://docs.google.com/spreadsheets/d/1uUP8Zo1-qaJLuIkRU0qlwLSE3DHkbdrrj2JGJiWBQZE/edit?usp=share_link"",""อำนาจเจริญ!I569"")+IMPORTRANGE(""https://docs.google.com/spreadsheets/d/"&amp;"1hb_taSOHanzRjqfzWPiFo8yiT83VV1L7vvUCLhOiHKc/edit?usp=share_link"",""อุดรธานี!I569"")+IMPORTRANGE(""https://docs.google.com/spreadsheets/d/17IOkEwkUd63EGNfyNDnM5de9YlZ7rwzTiW6-dokVjKI/edit?usp=share_link"",""อุบลราชธานี!I569"")
"),126167)</f>
        <v>126167</v>
      </c>
      <c r="J569" s="194">
        <f t="shared" ca="1" si="284"/>
        <v>126148</v>
      </c>
      <c r="K569" s="411">
        <f t="shared" ca="1" si="285"/>
        <v>99.98494059460873</v>
      </c>
      <c r="L569" s="163"/>
      <c r="M569" s="163"/>
      <c r="N569" s="163"/>
      <c r="O569" s="163"/>
      <c r="P569" s="163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</row>
    <row r="570" spans="1:26" ht="18.75">
      <c r="A570" s="608"/>
      <c r="B570" s="609"/>
      <c r="C570" s="609"/>
      <c r="D570" s="187" t="s">
        <v>241</v>
      </c>
      <c r="E570" s="609"/>
      <c r="F570" s="619"/>
      <c r="G570" s="175"/>
      <c r="H570" s="182" t="s">
        <v>46</v>
      </c>
      <c r="I570" s="162"/>
      <c r="J570" s="183">
        <f ca="1">IFERROR(__xludf.DUMMYFUNCTION("IMPORTRANGE(""https://docs.google.com/spreadsheets/d/1fb2B9NLcpJgjIieIJvenUTNPn0TimZDUi0OtYeiSQ_s/edit?usp=share_link"",""กาฬสินธุ์!J570"")+IMPORTRANGE(""https://docs.google.com/spreadsheets/d/1SaMnqrwRGmFYNR0MhpWmHuL5niYUd5E7vDq8X7whAlI/edit?usp=share_li"&amp;"nk"",""ขอนแก่น!J570"")
+IMPORTRANGE(""https://docs.google.com/spreadsheets/d/1xQzEtGHhTTgxHh6YUkKY1P4dRyjVhS74dGswLfAASA4/edit?usp=share_link"",""ชัยภูมิ!J570"")+IMPORTRANGE(""https://docs.google.com/spreadsheets/d/1EXMBoBxU3OFbjT2TRpneM33qFjqDzrKmn9ydcfl"&amp;"fI0o/edit?usp=share_link"",""นครพนม!J570"")+IMPORTRANGE(""https://docs.google.com/spreadsheets/d/1bDQrolntRWtHumK8W-x-HXKntwxB9S3sF5aDeRS66Ko/edit?usp=share_link"",""นครราชสีมา!J570"")+IMPORTRANGE(""https://docs.google.com/spreadsheets/d/1_MzZ-2gVPiCW-d2V"&amp;"cafoCmFJQTSrZ6SQyFcMqRRQQ2w/edit?usp=share_link"",""บึงกาฬ!J570"")
+IMPORTRANGE(""https://docs.google.com/spreadsheets/d/1B3lPpzOuaNwVItLwLEZYl_qEblfcx7dRnbRkAw0l-pE/edit?usp=share_link"",""บุรีรัมย์!J570"")+IMPORTRANGE(""https://docs.google.com/spreadshe"&amp;"ets/d/19GOkiOqnzYbevLYWrMk4qFOXe3rX14BkSA8X-mq-a40/edit?usp=share_link"",""มหาสารคาม!J570"")+IMPORTRANGE(""https://docs.google.com/spreadsheets/d/1uMKqWwuNQ-TCKboGA3Bb1qXb5uj2-faACNUINCz8PN4/edit?usp=share_link"",""มุกดาหาร!J570"")+IMPORTRANGE(""https://d"&amp;"ocs.google.com/spreadsheets/d/1oKaccgDdQABndOzGr688Dbfxb_V3YcF67VqEPBtdzsc/edit?usp=share_link"",""ยโสธร!J570"")+IMPORTRANGE(""https://docs.google.com/spreadsheets/d/1BRgc8xKpxZ0PX-gauieMVkV_IOxKSotf0yW8MabGprQ/edit?usp=share_link"",""ร้อยเอ็ด!J570"")+IMP"&amp;"ORTRANGE(""https://docs.google.com/spreadsheets/d/1IdolZc-dfdgMwAm_KZxYJl1sUOcIgnbGQzbWOlddedo/edit?usp=share_link"",""เลย!J570"")+IMPORTRANGE(""https://docs.google.com/spreadsheets/d/1tZ0nmtGuIRCaGAMXHlQU8EpR9LOAJvyKfc4f7EFmE34/edit?usp=share_link"",""ศร"&amp;"ีสะเกษ!J570"")+IMPORTRANGE(""https://docs.google.com/spreadsheets/d/1QC8psz9w0f9IVE9Xuc2FT_btkaOzZbbUSgYObpBuetM/edit?usp=share_link"",""สกลนคร!J570"")+IMPORTRANGE(""https://docs.google.com/spreadsheets/d/1wPdvRbu02d33MYVlbsCnyTiZpefEBs9NNktAnT1HZvw/edit?"&amp;"usp=share_link"",""สุรินทร์!J570"")+IMPORTRANGE(""https://docs.google.com/spreadsheets/d/1GVExpf-Exi_2gmuqTYH28fseTB9MoKPXWcXCbSt_YrM/edit?usp=share_link"",""หนองคาย!J570"")+IMPORTRANGE(""https://docs.google.com/spreadsheets/d/16UeMz0UgOB5BZcoxP75eYGcLFtG"&amp;"YRn9GoesD4OX9m5U/edit?usp=share_link"",""หนองบัวลำภู!J570"")+IMPORTRANGE(""https://docs.google.com/spreadsheets/d/1uUP8Zo1-qaJLuIkRU0qlwLSE3DHkbdrrj2JGJiWBQZE/edit?usp=share_link"",""อำนาจเจริญ!J570"")+IMPORTRANGE(""https://docs.google.com/spreadsheets/d/"&amp;"1hb_taSOHanzRjqfzWPiFo8yiT83VV1L7vvUCLhOiHKc/edit?usp=share_link"",""อุดรธานี!J570"")+IMPORTRANGE(""https://docs.google.com/spreadsheets/d/17IOkEwkUd63EGNfyNDnM5de9YlZ7rwzTiW6-dokVjKI/edit?usp=share_link"",""อุบลราชธานี!J570"")
"),969937.863499999)</f>
        <v>969937.86349999905</v>
      </c>
      <c r="K570" s="163"/>
      <c r="L570" s="163"/>
      <c r="M570" s="163"/>
      <c r="N570" s="163"/>
      <c r="O570" s="163"/>
      <c r="P570" s="163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</row>
    <row r="571" spans="1:26" ht="18.75">
      <c r="A571" s="608"/>
      <c r="B571" s="609"/>
      <c r="C571" s="609"/>
      <c r="D571" s="609"/>
      <c r="E571" s="619"/>
      <c r="F571" s="619"/>
      <c r="G571" s="175"/>
      <c r="H571" s="182" t="s">
        <v>34</v>
      </c>
      <c r="I571" s="162"/>
      <c r="J571" s="183">
        <f ca="1">IFERROR(__xludf.DUMMYFUNCTION("IMPORTRANGE(""https://docs.google.com/spreadsheets/d/1fb2B9NLcpJgjIieIJvenUTNPn0TimZDUi0OtYeiSQ_s/edit?usp=share_link"",""กาฬสินธุ์!J571"")+IMPORTRANGE(""https://docs.google.com/spreadsheets/d/1SaMnqrwRGmFYNR0MhpWmHuL5niYUd5E7vDq8X7whAlI/edit?usp=share_li"&amp;"nk"",""ขอนแก่น!J571"")
+IMPORTRANGE(""https://docs.google.com/spreadsheets/d/1xQzEtGHhTTgxHh6YUkKY1P4dRyjVhS74dGswLfAASA4/edit?usp=share_link"",""ชัยภูมิ!J571"")+IMPORTRANGE(""https://docs.google.com/spreadsheets/d/1EXMBoBxU3OFbjT2TRpneM33qFjqDzrKmn9ydcfl"&amp;"fI0o/edit?usp=share_link"",""นครพนม!J571"")+IMPORTRANGE(""https://docs.google.com/spreadsheets/d/1bDQrolntRWtHumK8W-x-HXKntwxB9S3sF5aDeRS66Ko/edit?usp=share_link"",""นครราชสีมา!J571"")+IMPORTRANGE(""https://docs.google.com/spreadsheets/d/1_MzZ-2gVPiCW-d2V"&amp;"cafoCmFJQTSrZ6SQyFcMqRRQQ2w/edit?usp=share_link"",""บึงกาฬ!J571"")
+IMPORTRANGE(""https://docs.google.com/spreadsheets/d/1B3lPpzOuaNwVItLwLEZYl_qEblfcx7dRnbRkAw0l-pE/edit?usp=share_link"",""บุรีรัมย์!J571"")+IMPORTRANGE(""https://docs.google.com/spreadshe"&amp;"ets/d/19GOkiOqnzYbevLYWrMk4qFOXe3rX14BkSA8X-mq-a40/edit?usp=share_link"",""มหาสารคาม!J571"")+IMPORTRANGE(""https://docs.google.com/spreadsheets/d/1uMKqWwuNQ-TCKboGA3Bb1qXb5uj2-faACNUINCz8PN4/edit?usp=share_link"",""มุกดาหาร!J571"")+IMPORTRANGE(""https://d"&amp;"ocs.google.com/spreadsheets/d/1oKaccgDdQABndOzGr688Dbfxb_V3YcF67VqEPBtdzsc/edit?usp=share_link"",""ยโสธร!J571"")+IMPORTRANGE(""https://docs.google.com/spreadsheets/d/1BRgc8xKpxZ0PX-gauieMVkV_IOxKSotf0yW8MabGprQ/edit?usp=share_link"",""ร้อยเอ็ด!J571"")+IMP"&amp;"ORTRANGE(""https://docs.google.com/spreadsheets/d/1IdolZc-dfdgMwAm_KZxYJl1sUOcIgnbGQzbWOlddedo/edit?usp=share_link"",""เลย!J571"")+IMPORTRANGE(""https://docs.google.com/spreadsheets/d/1tZ0nmtGuIRCaGAMXHlQU8EpR9LOAJvyKfc4f7EFmE34/edit?usp=share_link"",""ศร"&amp;"ีสะเกษ!J571"")+IMPORTRANGE(""https://docs.google.com/spreadsheets/d/1QC8psz9w0f9IVE9Xuc2FT_btkaOzZbbUSgYObpBuetM/edit?usp=share_link"",""สกลนคร!J571"")+IMPORTRANGE(""https://docs.google.com/spreadsheets/d/1wPdvRbu02d33MYVlbsCnyTiZpefEBs9NNktAnT1HZvw/edit?"&amp;"usp=share_link"",""สุรินทร์!J571"")+IMPORTRANGE(""https://docs.google.com/spreadsheets/d/1GVExpf-Exi_2gmuqTYH28fseTB9MoKPXWcXCbSt_YrM/edit?usp=share_link"",""หนองคาย!J571"")+IMPORTRANGE(""https://docs.google.com/spreadsheets/d/16UeMz0UgOB5BZcoxP75eYGcLFtG"&amp;"YRn9GoesD4OX9m5U/edit?usp=share_link"",""หนองบัวลำภู!J571"")+IMPORTRANGE(""https://docs.google.com/spreadsheets/d/1uUP8Zo1-qaJLuIkRU0qlwLSE3DHkbdrrj2JGJiWBQZE/edit?usp=share_link"",""อำนาจเจริญ!J571"")+IMPORTRANGE(""https://docs.google.com/spreadsheets/d/"&amp;"1hb_taSOHanzRjqfzWPiFo8yiT83VV1L7vvUCLhOiHKc/edit?usp=share_link"",""อุดรธานี!J571"")+IMPORTRANGE(""https://docs.google.com/spreadsheets/d/17IOkEwkUd63EGNfyNDnM5de9YlZ7rwzTiW6-dokVjKI/edit?usp=share_link"",""อุบลราชธานี!J571"")
"),108676)</f>
        <v>108676</v>
      </c>
      <c r="K571" s="163"/>
      <c r="L571" s="163"/>
      <c r="M571" s="163"/>
      <c r="N571" s="163"/>
      <c r="O571" s="163"/>
      <c r="P571" s="163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</row>
    <row r="572" spans="1:26" ht="18.75">
      <c r="A572" s="608"/>
      <c r="B572" s="609"/>
      <c r="C572" s="609"/>
      <c r="D572" s="187" t="s">
        <v>242</v>
      </c>
      <c r="E572" s="619"/>
      <c r="F572" s="619"/>
      <c r="G572" s="175"/>
      <c r="H572" s="182" t="s">
        <v>46</v>
      </c>
      <c r="I572" s="162"/>
      <c r="J572" s="183">
        <f ca="1">IFERROR(__xludf.DUMMYFUNCTION("IMPORTRANGE(""https://docs.google.com/spreadsheets/d/1fb2B9NLcpJgjIieIJvenUTNPn0TimZDUi0OtYeiSQ_s/edit?usp=share_link"",""กาฬสินธุ์!J572"")+IMPORTRANGE(""https://docs.google.com/spreadsheets/d/1SaMnqrwRGmFYNR0MhpWmHuL5niYUd5E7vDq8X7whAlI/edit?usp=share_li"&amp;"nk"",""ขอนแก่น!J572"")
+IMPORTRANGE(""https://docs.google.com/spreadsheets/d/1xQzEtGHhTTgxHh6YUkKY1P4dRyjVhS74dGswLfAASA4/edit?usp=share_link"",""ชัยภูมิ!J572"")+IMPORTRANGE(""https://docs.google.com/spreadsheets/d/1EXMBoBxU3OFbjT2TRpneM33qFjqDzrKmn9ydcfl"&amp;"fI0o/edit?usp=share_link"",""นครพนม!J572"")+IMPORTRANGE(""https://docs.google.com/spreadsheets/d/1bDQrolntRWtHumK8W-x-HXKntwxB9S3sF5aDeRS66Ko/edit?usp=share_link"",""นครราชสีมา!J572"")+IMPORTRANGE(""https://docs.google.com/spreadsheets/d/1_MzZ-2gVPiCW-d2V"&amp;"cafoCmFJQTSrZ6SQyFcMqRRQQ2w/edit?usp=share_link"",""บึงกาฬ!J572"")
+IMPORTRANGE(""https://docs.google.com/spreadsheets/d/1B3lPpzOuaNwVItLwLEZYl_qEblfcx7dRnbRkAw0l-pE/edit?usp=share_link"",""บุรีรัมย์!J572"")+IMPORTRANGE(""https://docs.google.com/spreadshe"&amp;"ets/d/19GOkiOqnzYbevLYWrMk4qFOXe3rX14BkSA8X-mq-a40/edit?usp=share_link"",""มหาสารคาม!J572"")+IMPORTRANGE(""https://docs.google.com/spreadsheets/d/1uMKqWwuNQ-TCKboGA3Bb1qXb5uj2-faACNUINCz8PN4/edit?usp=share_link"",""มุกดาหาร!J572"")+IMPORTRANGE(""https://d"&amp;"ocs.google.com/spreadsheets/d/1oKaccgDdQABndOzGr688Dbfxb_V3YcF67VqEPBtdzsc/edit?usp=share_link"",""ยโสธร!J572"")+IMPORTRANGE(""https://docs.google.com/spreadsheets/d/1BRgc8xKpxZ0PX-gauieMVkV_IOxKSotf0yW8MabGprQ/edit?usp=share_link"",""ร้อยเอ็ด!J572"")+IMP"&amp;"ORTRANGE(""https://docs.google.com/spreadsheets/d/1IdolZc-dfdgMwAm_KZxYJl1sUOcIgnbGQzbWOlddedo/edit?usp=share_link"",""เลย!J572"")+IMPORTRANGE(""https://docs.google.com/spreadsheets/d/1tZ0nmtGuIRCaGAMXHlQU8EpR9LOAJvyKfc4f7EFmE34/edit?usp=share_link"",""ศร"&amp;"ีสะเกษ!J572"")+IMPORTRANGE(""https://docs.google.com/spreadsheets/d/1QC8psz9w0f9IVE9Xuc2FT_btkaOzZbbUSgYObpBuetM/edit?usp=share_link"",""สกลนคร!J572"")+IMPORTRANGE(""https://docs.google.com/spreadsheets/d/1wPdvRbu02d33MYVlbsCnyTiZpefEBs9NNktAnT1HZvw/edit?"&amp;"usp=share_link"",""สุรินทร์!J572"")+IMPORTRANGE(""https://docs.google.com/spreadsheets/d/1GVExpf-Exi_2gmuqTYH28fseTB9MoKPXWcXCbSt_YrM/edit?usp=share_link"",""หนองคาย!J572"")+IMPORTRANGE(""https://docs.google.com/spreadsheets/d/16UeMz0UgOB5BZcoxP75eYGcLFtG"&amp;"YRn9GoesD4OX9m5U/edit?usp=share_link"",""หนองบัวลำภู!J572"")+IMPORTRANGE(""https://docs.google.com/spreadsheets/d/1uUP8Zo1-qaJLuIkRU0qlwLSE3DHkbdrrj2JGJiWBQZE/edit?usp=share_link"",""อำนาจเจริญ!J572"")+IMPORTRANGE(""https://docs.google.com/spreadsheets/d/"&amp;"1hb_taSOHanzRjqfzWPiFo8yiT83VV1L7vvUCLhOiHKc/edit?usp=share_link"",""อุดรธานี!J572"")+IMPORTRANGE(""https://docs.google.com/spreadsheets/d/17IOkEwkUd63EGNfyNDnM5de9YlZ7rwzTiW6-dokVjKI/edit?usp=share_link"",""อุบลราชธานี!J572"")
"),160675.938)</f>
        <v>160675.93799999999</v>
      </c>
      <c r="K572" s="163"/>
      <c r="L572" s="163"/>
      <c r="M572" s="163"/>
      <c r="N572" s="163"/>
      <c r="O572" s="163"/>
      <c r="P572" s="163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</row>
    <row r="573" spans="1:26" ht="18.75">
      <c r="A573" s="608"/>
      <c r="B573" s="609"/>
      <c r="C573" s="609"/>
      <c r="D573" s="619"/>
      <c r="E573" s="619"/>
      <c r="F573" s="619"/>
      <c r="G573" s="175"/>
      <c r="H573" s="182" t="s">
        <v>34</v>
      </c>
      <c r="I573" s="162"/>
      <c r="J573" s="183">
        <f ca="1">IFERROR(__xludf.DUMMYFUNCTION("IMPORTRANGE(""https://docs.google.com/spreadsheets/d/1fb2B9NLcpJgjIieIJvenUTNPn0TimZDUi0OtYeiSQ_s/edit?usp=share_link"",""กาฬสินธุ์!J573"")+IMPORTRANGE(""https://docs.google.com/spreadsheets/d/1SaMnqrwRGmFYNR0MhpWmHuL5niYUd5E7vDq8X7whAlI/edit?usp=share_li"&amp;"nk"",""ขอนแก่น!J573"")
+IMPORTRANGE(""https://docs.google.com/spreadsheets/d/1xQzEtGHhTTgxHh6YUkKY1P4dRyjVhS74dGswLfAASA4/edit?usp=share_link"",""ชัยภูมิ!J573"")+IMPORTRANGE(""https://docs.google.com/spreadsheets/d/1EXMBoBxU3OFbjT2TRpneM33qFjqDzrKmn9ydcfl"&amp;"fI0o/edit?usp=share_link"",""นครพนม!J573"")+IMPORTRANGE(""https://docs.google.com/spreadsheets/d/1bDQrolntRWtHumK8W-x-HXKntwxB9S3sF5aDeRS66Ko/edit?usp=share_link"",""นครราชสีมา!J573"")+IMPORTRANGE(""https://docs.google.com/spreadsheets/d/1_MzZ-2gVPiCW-d2V"&amp;"cafoCmFJQTSrZ6SQyFcMqRRQQ2w/edit?usp=share_link"",""บึงกาฬ!J573"")
+IMPORTRANGE(""https://docs.google.com/spreadsheets/d/1B3lPpzOuaNwVItLwLEZYl_qEblfcx7dRnbRkAw0l-pE/edit?usp=share_link"",""บุรีรัมย์!J573"")+IMPORTRANGE(""https://docs.google.com/spreadshe"&amp;"ets/d/19GOkiOqnzYbevLYWrMk4qFOXe3rX14BkSA8X-mq-a40/edit?usp=share_link"",""มหาสารคาม!J573"")+IMPORTRANGE(""https://docs.google.com/spreadsheets/d/1uMKqWwuNQ-TCKboGA3Bb1qXb5uj2-faACNUINCz8PN4/edit?usp=share_link"",""มุกดาหาร!J573"")+IMPORTRANGE(""https://d"&amp;"ocs.google.com/spreadsheets/d/1oKaccgDdQABndOzGr688Dbfxb_V3YcF67VqEPBtdzsc/edit?usp=share_link"",""ยโสธร!J573"")+IMPORTRANGE(""https://docs.google.com/spreadsheets/d/1BRgc8xKpxZ0PX-gauieMVkV_IOxKSotf0yW8MabGprQ/edit?usp=share_link"",""ร้อยเอ็ด!J573"")+IMP"&amp;"ORTRANGE(""https://docs.google.com/spreadsheets/d/1IdolZc-dfdgMwAm_KZxYJl1sUOcIgnbGQzbWOlddedo/edit?usp=share_link"",""เลย!J573"")+IMPORTRANGE(""https://docs.google.com/spreadsheets/d/1tZ0nmtGuIRCaGAMXHlQU8EpR9LOAJvyKfc4f7EFmE34/edit?usp=share_link"",""ศร"&amp;"ีสะเกษ!J573"")+IMPORTRANGE(""https://docs.google.com/spreadsheets/d/1QC8psz9w0f9IVE9Xuc2FT_btkaOzZbbUSgYObpBuetM/edit?usp=share_link"",""สกลนคร!J573"")+IMPORTRANGE(""https://docs.google.com/spreadsheets/d/1wPdvRbu02d33MYVlbsCnyTiZpefEBs9NNktAnT1HZvw/edit?"&amp;"usp=share_link"",""สุรินทร์!J573"")+IMPORTRANGE(""https://docs.google.com/spreadsheets/d/1GVExpf-Exi_2gmuqTYH28fseTB9MoKPXWcXCbSt_YrM/edit?usp=share_link"",""หนองคาย!J573"")+IMPORTRANGE(""https://docs.google.com/spreadsheets/d/16UeMz0UgOB5BZcoxP75eYGcLFtG"&amp;"YRn9GoesD4OX9m5U/edit?usp=share_link"",""หนองบัวลำภู!J573"")+IMPORTRANGE(""https://docs.google.com/spreadsheets/d/1uUP8Zo1-qaJLuIkRU0qlwLSE3DHkbdrrj2JGJiWBQZE/edit?usp=share_link"",""อำนาจเจริญ!J573"")+IMPORTRANGE(""https://docs.google.com/spreadsheets/d/"&amp;"1hb_taSOHanzRjqfzWPiFo8yiT83VV1L7vvUCLhOiHKc/edit?usp=share_link"",""อุดรธานี!J573"")+IMPORTRANGE(""https://docs.google.com/spreadsheets/d/17IOkEwkUd63EGNfyNDnM5de9YlZ7rwzTiW6-dokVjKI/edit?usp=share_link"",""อุบลราชธานี!J573"")
"),13075)</f>
        <v>13075</v>
      </c>
      <c r="K573" s="163"/>
      <c r="L573" s="163"/>
      <c r="M573" s="163"/>
      <c r="N573" s="163"/>
      <c r="O573" s="163"/>
      <c r="P573" s="163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</row>
    <row r="574" spans="1:26" ht="18.75">
      <c r="A574" s="608"/>
      <c r="B574" s="609"/>
      <c r="C574" s="609"/>
      <c r="D574" s="187" t="s">
        <v>243</v>
      </c>
      <c r="E574" s="619"/>
      <c r="F574" s="619"/>
      <c r="G574" s="175"/>
      <c r="H574" s="182" t="s">
        <v>46</v>
      </c>
      <c r="I574" s="162"/>
      <c r="J574" s="183">
        <f ca="1">IFERROR(__xludf.DUMMYFUNCTION("IMPORTRANGE(""https://docs.google.com/spreadsheets/d/1fb2B9NLcpJgjIieIJvenUTNPn0TimZDUi0OtYeiSQ_s/edit?usp=share_link"",""กาฬสินธุ์!J574"")+IMPORTRANGE(""https://docs.google.com/spreadsheets/d/1SaMnqrwRGmFYNR0MhpWmHuL5niYUd5E7vDq8X7whAlI/edit?usp=share_li"&amp;"nk"",""ขอนแก่น!J574"")
+IMPORTRANGE(""https://docs.google.com/spreadsheets/d/1xQzEtGHhTTgxHh6YUkKY1P4dRyjVhS74dGswLfAASA4/edit?usp=share_link"",""ชัยภูมิ!J574"")+IMPORTRANGE(""https://docs.google.com/spreadsheets/d/1EXMBoBxU3OFbjT2TRpneM33qFjqDzrKmn9ydcfl"&amp;"fI0o/edit?usp=share_link"",""นครพนม!J574"")+IMPORTRANGE(""https://docs.google.com/spreadsheets/d/1bDQrolntRWtHumK8W-x-HXKntwxB9S3sF5aDeRS66Ko/edit?usp=share_link"",""นครราชสีมา!J574"")+IMPORTRANGE(""https://docs.google.com/spreadsheets/d/1_MzZ-2gVPiCW-d2V"&amp;"cafoCmFJQTSrZ6SQyFcMqRRQQ2w/edit?usp=share_link"",""บึงกาฬ!J574"")
+IMPORTRANGE(""https://docs.google.com/spreadsheets/d/1B3lPpzOuaNwVItLwLEZYl_qEblfcx7dRnbRkAw0l-pE/edit?usp=share_link"",""บุรีรัมย์!J574"")+IMPORTRANGE(""https://docs.google.com/spreadshe"&amp;"ets/d/19GOkiOqnzYbevLYWrMk4qFOXe3rX14BkSA8X-mq-a40/edit?usp=share_link"",""มหาสารคาม!J574"")+IMPORTRANGE(""https://docs.google.com/spreadsheets/d/1uMKqWwuNQ-TCKboGA3Bb1qXb5uj2-faACNUINCz8PN4/edit?usp=share_link"",""มุกดาหาร!J574"")+IMPORTRANGE(""https://d"&amp;"ocs.google.com/spreadsheets/d/1oKaccgDdQABndOzGr688Dbfxb_V3YcF67VqEPBtdzsc/edit?usp=share_link"",""ยโสธร!J574"")+IMPORTRANGE(""https://docs.google.com/spreadsheets/d/1BRgc8xKpxZ0PX-gauieMVkV_IOxKSotf0yW8MabGprQ/edit?usp=share_link"",""ร้อยเอ็ด!J574"")+IMP"&amp;"ORTRANGE(""https://docs.google.com/spreadsheets/d/1IdolZc-dfdgMwAm_KZxYJl1sUOcIgnbGQzbWOlddedo/edit?usp=share_link"",""เลย!J574"")+IMPORTRANGE(""https://docs.google.com/spreadsheets/d/1tZ0nmtGuIRCaGAMXHlQU8EpR9LOAJvyKfc4f7EFmE34/edit?usp=share_link"",""ศร"&amp;"ีสะเกษ!J574"")+IMPORTRANGE(""https://docs.google.com/spreadsheets/d/1QC8psz9w0f9IVE9Xuc2FT_btkaOzZbbUSgYObpBuetM/edit?usp=share_link"",""สกลนคร!J574"")+IMPORTRANGE(""https://docs.google.com/spreadsheets/d/1wPdvRbu02d33MYVlbsCnyTiZpefEBs9NNktAnT1HZvw/edit?"&amp;"usp=share_link"",""สุรินทร์!J574"")+IMPORTRANGE(""https://docs.google.com/spreadsheets/d/1GVExpf-Exi_2gmuqTYH28fseTB9MoKPXWcXCbSt_YrM/edit?usp=share_link"",""หนองคาย!J574"")+IMPORTRANGE(""https://docs.google.com/spreadsheets/d/16UeMz0UgOB5BZcoxP75eYGcLFtG"&amp;"YRn9GoesD4OX9m5U/edit?usp=share_link"",""หนองบัวลำภู!J574"")+IMPORTRANGE(""https://docs.google.com/spreadsheets/d/1uUP8Zo1-qaJLuIkRU0qlwLSE3DHkbdrrj2JGJiWBQZE/edit?usp=share_link"",""อำนาจเจริญ!J574"")+IMPORTRANGE(""https://docs.google.com/spreadsheets/d/"&amp;"1hb_taSOHanzRjqfzWPiFo8yiT83VV1L7vvUCLhOiHKc/edit?usp=share_link"",""อุดรธานี!J574"")+IMPORTRANGE(""https://docs.google.com/spreadsheets/d/17IOkEwkUd63EGNfyNDnM5de9YlZ7rwzTiW6-dokVjKI/edit?usp=share_link"",""อุบลราชธานี!J574"")
"),42362.388)</f>
        <v>42362.387999999999</v>
      </c>
      <c r="K574" s="163"/>
      <c r="L574" s="163"/>
      <c r="M574" s="163"/>
      <c r="N574" s="163"/>
      <c r="O574" s="163"/>
      <c r="P574" s="163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</row>
    <row r="575" spans="1:26" ht="18.75">
      <c r="A575" s="608"/>
      <c r="B575" s="609"/>
      <c r="C575" s="609"/>
      <c r="D575" s="609"/>
      <c r="E575" s="619"/>
      <c r="F575" s="619"/>
      <c r="G575" s="175"/>
      <c r="H575" s="182" t="s">
        <v>34</v>
      </c>
      <c r="I575" s="162"/>
      <c r="J575" s="183">
        <f ca="1">IFERROR(__xludf.DUMMYFUNCTION("IMPORTRANGE(""https://docs.google.com/spreadsheets/d/1fb2B9NLcpJgjIieIJvenUTNPn0TimZDUi0OtYeiSQ_s/edit?usp=share_link"",""กาฬสินธุ์!J575"")+IMPORTRANGE(""https://docs.google.com/spreadsheets/d/1SaMnqrwRGmFYNR0MhpWmHuL5niYUd5E7vDq8X7whAlI/edit?usp=share_li"&amp;"nk"",""ขอนแก่น!J575"")
+IMPORTRANGE(""https://docs.google.com/spreadsheets/d/1xQzEtGHhTTgxHh6YUkKY1P4dRyjVhS74dGswLfAASA4/edit?usp=share_link"",""ชัยภูมิ!J575"")+IMPORTRANGE(""https://docs.google.com/spreadsheets/d/1EXMBoBxU3OFbjT2TRpneM33qFjqDzrKmn9ydcfl"&amp;"fI0o/edit?usp=share_link"",""นครพนม!J575"")+IMPORTRANGE(""https://docs.google.com/spreadsheets/d/1bDQrolntRWtHumK8W-x-HXKntwxB9S3sF5aDeRS66Ko/edit?usp=share_link"",""นครราชสีมา!J575"")+IMPORTRANGE(""https://docs.google.com/spreadsheets/d/1_MzZ-2gVPiCW-d2V"&amp;"cafoCmFJQTSrZ6SQyFcMqRRQQ2w/edit?usp=share_link"",""บึงกาฬ!J575"")
+IMPORTRANGE(""https://docs.google.com/spreadsheets/d/1B3lPpzOuaNwVItLwLEZYl_qEblfcx7dRnbRkAw0l-pE/edit?usp=share_link"",""บุรีรัมย์!J575"")+IMPORTRANGE(""https://docs.google.com/spreadshe"&amp;"ets/d/19GOkiOqnzYbevLYWrMk4qFOXe3rX14BkSA8X-mq-a40/edit?usp=share_link"",""มหาสารคาม!J575"")+IMPORTRANGE(""https://docs.google.com/spreadsheets/d/1uMKqWwuNQ-TCKboGA3Bb1qXb5uj2-faACNUINCz8PN4/edit?usp=share_link"",""มุกดาหาร!J575"")+IMPORTRANGE(""https://d"&amp;"ocs.google.com/spreadsheets/d/1oKaccgDdQABndOzGr688Dbfxb_V3YcF67VqEPBtdzsc/edit?usp=share_link"",""ยโสธร!J575"")+IMPORTRANGE(""https://docs.google.com/spreadsheets/d/1BRgc8xKpxZ0PX-gauieMVkV_IOxKSotf0yW8MabGprQ/edit?usp=share_link"",""ร้อยเอ็ด!J575"")+IMP"&amp;"ORTRANGE(""https://docs.google.com/spreadsheets/d/1IdolZc-dfdgMwAm_KZxYJl1sUOcIgnbGQzbWOlddedo/edit?usp=share_link"",""เลย!J575"")+IMPORTRANGE(""https://docs.google.com/spreadsheets/d/1tZ0nmtGuIRCaGAMXHlQU8EpR9LOAJvyKfc4f7EFmE34/edit?usp=share_link"",""ศร"&amp;"ีสะเกษ!J575"")+IMPORTRANGE(""https://docs.google.com/spreadsheets/d/1QC8psz9w0f9IVE9Xuc2FT_btkaOzZbbUSgYObpBuetM/edit?usp=share_link"",""สกลนคร!J575"")+IMPORTRANGE(""https://docs.google.com/spreadsheets/d/1wPdvRbu02d33MYVlbsCnyTiZpefEBs9NNktAnT1HZvw/edit?"&amp;"usp=share_link"",""สุรินทร์!J575"")+IMPORTRANGE(""https://docs.google.com/spreadsheets/d/1GVExpf-Exi_2gmuqTYH28fseTB9MoKPXWcXCbSt_YrM/edit?usp=share_link"",""หนองคาย!J575"")+IMPORTRANGE(""https://docs.google.com/spreadsheets/d/16UeMz0UgOB5BZcoxP75eYGcLFtG"&amp;"YRn9GoesD4OX9m5U/edit?usp=share_link"",""หนองบัวลำภู!J575"")+IMPORTRANGE(""https://docs.google.com/spreadsheets/d/1uUP8Zo1-qaJLuIkRU0qlwLSE3DHkbdrrj2JGJiWBQZE/edit?usp=share_link"",""อำนาจเจริญ!J575"")+IMPORTRANGE(""https://docs.google.com/spreadsheets/d/"&amp;"1hb_taSOHanzRjqfzWPiFo8yiT83VV1L7vvUCLhOiHKc/edit?usp=share_link"",""อุดรธานี!J575"")+IMPORTRANGE(""https://docs.google.com/spreadsheets/d/17IOkEwkUd63EGNfyNDnM5de9YlZ7rwzTiW6-dokVjKI/edit?usp=share_link"",""อุบลราชธานี!J575"")
"),4397)</f>
        <v>4397</v>
      </c>
      <c r="K575" s="163"/>
      <c r="L575" s="163"/>
      <c r="M575" s="163"/>
      <c r="N575" s="163"/>
      <c r="O575" s="163"/>
      <c r="P575" s="163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</row>
    <row r="576" spans="1:26" ht="19.5">
      <c r="A576" s="608"/>
      <c r="B576" s="609"/>
      <c r="C576" s="622" t="s">
        <v>244</v>
      </c>
      <c r="D576" s="609"/>
      <c r="E576" s="609"/>
      <c r="F576" s="619"/>
      <c r="G576" s="175"/>
      <c r="H576" s="192" t="s">
        <v>46</v>
      </c>
      <c r="I576" s="193">
        <f ca="1">IFERROR(__xludf.DUMMYFUNCTION("IMPORTRANGE(""https://docs.google.com/spreadsheets/d/1fb2B9NLcpJgjIieIJvenUTNPn0TimZDUi0OtYeiSQ_s/edit?usp=share_link"",""กาฬสินธุ์!I576"")+IMPORTRANGE(""https://docs.google.com/spreadsheets/d/1SaMnqrwRGmFYNR0MhpWmHuL5niYUd5E7vDq8X7whAlI/edit?usp=share_li"&amp;"nk"",""ขอนแก่น!I576"")
+IMPORTRANGE(""https://docs.google.com/spreadsheets/d/1xQzEtGHhTTgxHh6YUkKY1P4dRyjVhS74dGswLfAASA4/edit?usp=share_link"",""ชัยภูมิ!I576"")+IMPORTRANGE(""https://docs.google.com/spreadsheets/d/1EXMBoBxU3OFbjT2TRpneM33qFjqDzrKmn9ydcfl"&amp;"fI0o/edit?usp=share_link"",""นครพนม!I576"")+IMPORTRANGE(""https://docs.google.com/spreadsheets/d/1bDQrolntRWtHumK8W-x-HXKntwxB9S3sF5aDeRS66Ko/edit?usp=share_link"",""นครราชสีมา!I576"")+IMPORTRANGE(""https://docs.google.com/spreadsheets/d/1_MzZ-2gVPiCW-d2V"&amp;"cafoCmFJQTSrZ6SQyFcMqRRQQ2w/edit?usp=share_link"",""บึงกาฬ!I576"")
+IMPORTRANGE(""https://docs.google.com/spreadsheets/d/1B3lPpzOuaNwVItLwLEZYl_qEblfcx7dRnbRkAw0l-pE/edit?usp=share_link"",""บุรีรัมย์!I576"")+IMPORTRANGE(""https://docs.google.com/spreadshe"&amp;"ets/d/19GOkiOqnzYbevLYWrMk4qFOXe3rX14BkSA8X-mq-a40/edit?usp=share_link"",""มหาสารคาม!I576"")+IMPORTRANGE(""https://docs.google.com/spreadsheets/d/1uMKqWwuNQ-TCKboGA3Bb1qXb5uj2-faACNUINCz8PN4/edit?usp=share_link"",""มุกดาหาร!I576"")+IMPORTRANGE(""https://d"&amp;"ocs.google.com/spreadsheets/d/1oKaccgDdQABndOzGr688Dbfxb_V3YcF67VqEPBtdzsc/edit?usp=share_link"",""ยโสธร!I576"")+IMPORTRANGE(""https://docs.google.com/spreadsheets/d/1BRgc8xKpxZ0PX-gauieMVkV_IOxKSotf0yW8MabGprQ/edit?usp=share_link"",""ร้อยเอ็ด!I576"")+IMP"&amp;"ORTRANGE(""https://docs.google.com/spreadsheets/d/1IdolZc-dfdgMwAm_KZxYJl1sUOcIgnbGQzbWOlddedo/edit?usp=share_link"",""เลย!I576"")+IMPORTRANGE(""https://docs.google.com/spreadsheets/d/1tZ0nmtGuIRCaGAMXHlQU8EpR9LOAJvyKfc4f7EFmE34/edit?usp=share_link"",""ศร"&amp;"ีสะเกษ!I576"")+IMPORTRANGE(""https://docs.google.com/spreadsheets/d/1QC8psz9w0f9IVE9Xuc2FT_btkaOzZbbUSgYObpBuetM/edit?usp=share_link"",""สกลนคร!I576"")+IMPORTRANGE(""https://docs.google.com/spreadsheets/d/1wPdvRbu02d33MYVlbsCnyTiZpefEBs9NNktAnT1HZvw/edit?"&amp;"usp=share_link"",""สุรินทร์!I576"")+IMPORTRANGE(""https://docs.google.com/spreadsheets/d/1GVExpf-Exi_2gmuqTYH28fseTB9MoKPXWcXCbSt_YrM/edit?usp=share_link"",""หนองคาย!I576"")+IMPORTRANGE(""https://docs.google.com/spreadsheets/d/16UeMz0UgOB5BZcoxP75eYGcLFtG"&amp;"YRn9GoesD4OX9m5U/edit?usp=share_link"",""หนองบัวลำภู!I576"")+IMPORTRANGE(""https://docs.google.com/spreadsheets/d/1uUP8Zo1-qaJLuIkRU0qlwLSE3DHkbdrrj2JGJiWBQZE/edit?usp=share_link"",""อำนาจเจริญ!I576"")+IMPORTRANGE(""https://docs.google.com/spreadsheets/d/"&amp;"1hb_taSOHanzRjqfzWPiFo8yiT83VV1L7vvUCLhOiHKc/edit?usp=share_link"",""อุดรธานี!I576"")+IMPORTRANGE(""https://docs.google.com/spreadsheets/d/17IOkEwkUd63EGNfyNDnM5de9YlZ7rwzTiW6-dokVjKI/edit?usp=share_link"",""อุบลราชธานี!I576"")
"),1172961.4368)</f>
        <v>1172961.4368</v>
      </c>
      <c r="J576" s="194">
        <f t="shared" ref="J576:J577" ca="1" si="286">J578+J580+J582+J588+J590</f>
        <v>1172960.0243000002</v>
      </c>
      <c r="K576" s="411">
        <f t="shared" ref="K576:K577" ca="1" si="287">IF(I576&gt;0,J576*100/I576,0)</f>
        <v>99.999879578308764</v>
      </c>
      <c r="L576" s="163"/>
      <c r="M576" s="163"/>
      <c r="N576" s="163"/>
      <c r="O576" s="163"/>
      <c r="P576" s="163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</row>
    <row r="577" spans="1:26" ht="19.5">
      <c r="A577" s="608"/>
      <c r="B577" s="609"/>
      <c r="C577" s="609"/>
      <c r="D577" s="609"/>
      <c r="E577" s="619"/>
      <c r="F577" s="619"/>
      <c r="G577" s="175"/>
      <c r="H577" s="192" t="s">
        <v>34</v>
      </c>
      <c r="I577" s="193">
        <f ca="1">IFERROR(__xludf.DUMMYFUNCTION("IMPORTRANGE(""https://docs.google.com/spreadsheets/d/1fb2B9NLcpJgjIieIJvenUTNPn0TimZDUi0OtYeiSQ_s/edit?usp=share_link"",""กาฬสินธุ์!I577"")+IMPORTRANGE(""https://docs.google.com/spreadsheets/d/1SaMnqrwRGmFYNR0MhpWmHuL5niYUd5E7vDq8X7whAlI/edit?usp=share_li"&amp;"nk"",""ขอนแก่น!I577"")
+IMPORTRANGE(""https://docs.google.com/spreadsheets/d/1xQzEtGHhTTgxHh6YUkKY1P4dRyjVhS74dGswLfAASA4/edit?usp=share_link"",""ชัยภูมิ!I577"")+IMPORTRANGE(""https://docs.google.com/spreadsheets/d/1EXMBoBxU3OFbjT2TRpneM33qFjqDzrKmn9ydcfl"&amp;"fI0o/edit?usp=share_link"",""นครพนม!I577"")+IMPORTRANGE(""https://docs.google.com/spreadsheets/d/1bDQrolntRWtHumK8W-x-HXKntwxB9S3sF5aDeRS66Ko/edit?usp=share_link"",""นครราชสีมา!I577"")+IMPORTRANGE(""https://docs.google.com/spreadsheets/d/1_MzZ-2gVPiCW-d2V"&amp;"cafoCmFJQTSrZ6SQyFcMqRRQQ2w/edit?usp=share_link"",""บึงกาฬ!I577"")
+IMPORTRANGE(""https://docs.google.com/spreadsheets/d/1B3lPpzOuaNwVItLwLEZYl_qEblfcx7dRnbRkAw0l-pE/edit?usp=share_link"",""บุรีรัมย์!I577"")+IMPORTRANGE(""https://docs.google.com/spreadshe"&amp;"ets/d/19GOkiOqnzYbevLYWrMk4qFOXe3rX14BkSA8X-mq-a40/edit?usp=share_link"",""มหาสารคาม!I577"")+IMPORTRANGE(""https://docs.google.com/spreadsheets/d/1uMKqWwuNQ-TCKboGA3Bb1qXb5uj2-faACNUINCz8PN4/edit?usp=share_link"",""มุกดาหาร!I577"")+IMPORTRANGE(""https://d"&amp;"ocs.google.com/spreadsheets/d/1oKaccgDdQABndOzGr688Dbfxb_V3YcF67VqEPBtdzsc/edit?usp=share_link"",""ยโสธร!I577"")+IMPORTRANGE(""https://docs.google.com/spreadsheets/d/1BRgc8xKpxZ0PX-gauieMVkV_IOxKSotf0yW8MabGprQ/edit?usp=share_link"",""ร้อยเอ็ด!I577"")+IMP"&amp;"ORTRANGE(""https://docs.google.com/spreadsheets/d/1IdolZc-dfdgMwAm_KZxYJl1sUOcIgnbGQzbWOlddedo/edit?usp=share_link"",""เลย!I577"")+IMPORTRANGE(""https://docs.google.com/spreadsheets/d/1tZ0nmtGuIRCaGAMXHlQU8EpR9LOAJvyKfc4f7EFmE34/edit?usp=share_link"",""ศร"&amp;"ีสะเกษ!I577"")+IMPORTRANGE(""https://docs.google.com/spreadsheets/d/1QC8psz9w0f9IVE9Xuc2FT_btkaOzZbbUSgYObpBuetM/edit?usp=share_link"",""สกลนคร!I577"")+IMPORTRANGE(""https://docs.google.com/spreadsheets/d/1wPdvRbu02d33MYVlbsCnyTiZpefEBs9NNktAnT1HZvw/edit?"&amp;"usp=share_link"",""สุรินทร์!I577"")+IMPORTRANGE(""https://docs.google.com/spreadsheets/d/1GVExpf-Exi_2gmuqTYH28fseTB9MoKPXWcXCbSt_YrM/edit?usp=share_link"",""หนองคาย!I577"")+IMPORTRANGE(""https://docs.google.com/spreadsheets/d/16UeMz0UgOB5BZcoxP75eYGcLFtG"&amp;"YRn9GoesD4OX9m5U/edit?usp=share_link"",""หนองบัวลำภู!I577"")+IMPORTRANGE(""https://docs.google.com/spreadsheets/d/1uUP8Zo1-qaJLuIkRU0qlwLSE3DHkbdrrj2JGJiWBQZE/edit?usp=share_link"",""อำนาจเจริญ!I577"")+IMPORTRANGE(""https://docs.google.com/spreadsheets/d/"&amp;"1hb_taSOHanzRjqfzWPiFo8yiT83VV1L7vvUCLhOiHKc/edit?usp=share_link"",""อุดรธานี!I577"")+IMPORTRANGE(""https://docs.google.com/spreadsheets/d/17IOkEwkUd63EGNfyNDnM5de9YlZ7rwzTiW6-dokVjKI/edit?usp=share_link"",""อุบลราชธานี!I577"")
"),126167)</f>
        <v>126167</v>
      </c>
      <c r="J577" s="194">
        <f t="shared" ca="1" si="286"/>
        <v>126148</v>
      </c>
      <c r="K577" s="411">
        <f t="shared" ca="1" si="287"/>
        <v>99.98494059460873</v>
      </c>
      <c r="L577" s="163"/>
      <c r="M577" s="163"/>
      <c r="N577" s="163"/>
      <c r="O577" s="163"/>
      <c r="P577" s="163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</row>
    <row r="578" spans="1:26" ht="18.75">
      <c r="A578" s="608"/>
      <c r="B578" s="609"/>
      <c r="C578" s="609"/>
      <c r="D578" s="187" t="s">
        <v>245</v>
      </c>
      <c r="E578" s="619"/>
      <c r="F578" s="619"/>
      <c r="G578" s="175"/>
      <c r="H578" s="182" t="s">
        <v>46</v>
      </c>
      <c r="I578" s="162"/>
      <c r="J578" s="183">
        <f ca="1">IFERROR(__xludf.DUMMYFUNCTION("IMPORTRANGE(""https://docs.google.com/spreadsheets/d/1fb2B9NLcpJgjIieIJvenUTNPn0TimZDUi0OtYeiSQ_s/edit?usp=share_link"",""กาฬสินธุ์!J578"")+IMPORTRANGE(""https://docs.google.com/spreadsheets/d/1SaMnqrwRGmFYNR0MhpWmHuL5niYUd5E7vDq8X7whAlI/edit?usp=share_li"&amp;"nk"",""ขอนแก่น!J578"")
+IMPORTRANGE(""https://docs.google.com/spreadsheets/d/1xQzEtGHhTTgxHh6YUkKY1P4dRyjVhS74dGswLfAASA4/edit?usp=share_link"",""ชัยภูมิ!J578"")+IMPORTRANGE(""https://docs.google.com/spreadsheets/d/1EXMBoBxU3OFbjT2TRpneM33qFjqDzrKmn9ydcfl"&amp;"fI0o/edit?usp=share_link"",""นครพนม!J578"")+IMPORTRANGE(""https://docs.google.com/spreadsheets/d/1bDQrolntRWtHumK8W-x-HXKntwxB9S3sF5aDeRS66Ko/edit?usp=share_link"",""นครราชสีมา!J578"")+IMPORTRANGE(""https://docs.google.com/spreadsheets/d/1_MzZ-2gVPiCW-d2V"&amp;"cafoCmFJQTSrZ6SQyFcMqRRQQ2w/edit?usp=share_link"",""บึงกาฬ!J578"")
+IMPORTRANGE(""https://docs.google.com/spreadsheets/d/1B3lPpzOuaNwVItLwLEZYl_qEblfcx7dRnbRkAw0l-pE/edit?usp=share_link"",""บุรีรัมย์!J578"")+IMPORTRANGE(""https://docs.google.com/spreadshe"&amp;"ets/d/19GOkiOqnzYbevLYWrMk4qFOXe3rX14BkSA8X-mq-a40/edit?usp=share_link"",""มหาสารคาม!J578"")+IMPORTRANGE(""https://docs.google.com/spreadsheets/d/1uMKqWwuNQ-TCKboGA3Bb1qXb5uj2-faACNUINCz8PN4/edit?usp=share_link"",""มุกดาหาร!J578"")+IMPORTRANGE(""https://d"&amp;"ocs.google.com/spreadsheets/d/1oKaccgDdQABndOzGr688Dbfxb_V3YcF67VqEPBtdzsc/edit?usp=share_link"",""ยโสธร!J578"")+IMPORTRANGE(""https://docs.google.com/spreadsheets/d/1BRgc8xKpxZ0PX-gauieMVkV_IOxKSotf0yW8MabGprQ/edit?usp=share_link"",""ร้อยเอ็ด!J578"")+IMP"&amp;"ORTRANGE(""https://docs.google.com/spreadsheets/d/1IdolZc-dfdgMwAm_KZxYJl1sUOcIgnbGQzbWOlddedo/edit?usp=share_link"",""เลย!J578"")+IMPORTRANGE(""https://docs.google.com/spreadsheets/d/1tZ0nmtGuIRCaGAMXHlQU8EpR9LOAJvyKfc4f7EFmE34/edit?usp=share_link"",""ศร"&amp;"ีสะเกษ!J578"")+IMPORTRANGE(""https://docs.google.com/spreadsheets/d/1QC8psz9w0f9IVE9Xuc2FT_btkaOzZbbUSgYObpBuetM/edit?usp=share_link"",""สกลนคร!J578"")+IMPORTRANGE(""https://docs.google.com/spreadsheets/d/1wPdvRbu02d33MYVlbsCnyTiZpefEBs9NNktAnT1HZvw/edit?"&amp;"usp=share_link"",""สุรินทร์!J578"")+IMPORTRANGE(""https://docs.google.com/spreadsheets/d/1GVExpf-Exi_2gmuqTYH28fseTB9MoKPXWcXCbSt_YrM/edit?usp=share_link"",""หนองคาย!J578"")+IMPORTRANGE(""https://docs.google.com/spreadsheets/d/16UeMz0UgOB5BZcoxP75eYGcLFtG"&amp;"YRn9GoesD4OX9m5U/edit?usp=share_link"",""หนองบัวลำภู!J578"")+IMPORTRANGE(""https://docs.google.com/spreadsheets/d/1uUP8Zo1-qaJLuIkRU0qlwLSE3DHkbdrrj2JGJiWBQZE/edit?usp=share_link"",""อำนาจเจริญ!J578"")+IMPORTRANGE(""https://docs.google.com/spreadsheets/d/"&amp;"1hb_taSOHanzRjqfzWPiFo8yiT83VV1L7vvUCLhOiHKc/edit?usp=share_link"",""อุดรธานี!J578"")+IMPORTRANGE(""https://docs.google.com/spreadsheets/d/17IOkEwkUd63EGNfyNDnM5de9YlZ7rwzTiW6-dokVjKI/edit?usp=share_link"",""อุบลราชธานี!J578"")
"),1051046.589)</f>
        <v>1051046.5889999999</v>
      </c>
      <c r="K578" s="163"/>
      <c r="L578" s="163"/>
      <c r="M578" s="163"/>
      <c r="N578" s="163"/>
      <c r="O578" s="163"/>
      <c r="P578" s="163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</row>
    <row r="579" spans="1:26" ht="18.75">
      <c r="A579" s="608"/>
      <c r="B579" s="609"/>
      <c r="C579" s="609"/>
      <c r="D579" s="609"/>
      <c r="E579" s="619"/>
      <c r="F579" s="619"/>
      <c r="G579" s="175"/>
      <c r="H579" s="182" t="s">
        <v>34</v>
      </c>
      <c r="I579" s="162"/>
      <c r="J579" s="183">
        <f ca="1">IFERROR(__xludf.DUMMYFUNCTION("IMPORTRANGE(""https://docs.google.com/spreadsheets/d/1fb2B9NLcpJgjIieIJvenUTNPn0TimZDUi0OtYeiSQ_s/edit?usp=share_link"",""กาฬสินธุ์!J579"")+IMPORTRANGE(""https://docs.google.com/spreadsheets/d/1SaMnqrwRGmFYNR0MhpWmHuL5niYUd5E7vDq8X7whAlI/edit?usp=share_li"&amp;"nk"",""ขอนแก่น!J579"")
+IMPORTRANGE(""https://docs.google.com/spreadsheets/d/1xQzEtGHhTTgxHh6YUkKY1P4dRyjVhS74dGswLfAASA4/edit?usp=share_link"",""ชัยภูมิ!J579"")+IMPORTRANGE(""https://docs.google.com/spreadsheets/d/1EXMBoBxU3OFbjT2TRpneM33qFjqDzrKmn9ydcfl"&amp;"fI0o/edit?usp=share_link"",""นครพนม!J579"")+IMPORTRANGE(""https://docs.google.com/spreadsheets/d/1bDQrolntRWtHumK8W-x-HXKntwxB9S3sF5aDeRS66Ko/edit?usp=share_link"",""นครราชสีมา!J579"")+IMPORTRANGE(""https://docs.google.com/spreadsheets/d/1_MzZ-2gVPiCW-d2V"&amp;"cafoCmFJQTSrZ6SQyFcMqRRQQ2w/edit?usp=share_link"",""บึงกาฬ!J579"")
+IMPORTRANGE(""https://docs.google.com/spreadsheets/d/1B3lPpzOuaNwVItLwLEZYl_qEblfcx7dRnbRkAw0l-pE/edit?usp=share_link"",""บุรีรัมย์!J579"")+IMPORTRANGE(""https://docs.google.com/spreadshe"&amp;"ets/d/19GOkiOqnzYbevLYWrMk4qFOXe3rX14BkSA8X-mq-a40/edit?usp=share_link"",""มหาสารคาม!J579"")+IMPORTRANGE(""https://docs.google.com/spreadsheets/d/1uMKqWwuNQ-TCKboGA3Bb1qXb5uj2-faACNUINCz8PN4/edit?usp=share_link"",""มุกดาหาร!J579"")+IMPORTRANGE(""https://d"&amp;"ocs.google.com/spreadsheets/d/1oKaccgDdQABndOzGr688Dbfxb_V3YcF67VqEPBtdzsc/edit?usp=share_link"",""ยโสธร!J579"")+IMPORTRANGE(""https://docs.google.com/spreadsheets/d/1BRgc8xKpxZ0PX-gauieMVkV_IOxKSotf0yW8MabGprQ/edit?usp=share_link"",""ร้อยเอ็ด!J579"")+IMP"&amp;"ORTRANGE(""https://docs.google.com/spreadsheets/d/1IdolZc-dfdgMwAm_KZxYJl1sUOcIgnbGQzbWOlddedo/edit?usp=share_link"",""เลย!J579"")+IMPORTRANGE(""https://docs.google.com/spreadsheets/d/1tZ0nmtGuIRCaGAMXHlQU8EpR9LOAJvyKfc4f7EFmE34/edit?usp=share_link"",""ศร"&amp;"ีสะเกษ!J579"")+IMPORTRANGE(""https://docs.google.com/spreadsheets/d/1QC8psz9w0f9IVE9Xuc2FT_btkaOzZbbUSgYObpBuetM/edit?usp=share_link"",""สกลนคร!J579"")+IMPORTRANGE(""https://docs.google.com/spreadsheets/d/1wPdvRbu02d33MYVlbsCnyTiZpefEBs9NNktAnT1HZvw/edit?"&amp;"usp=share_link"",""สุรินทร์!J579"")+IMPORTRANGE(""https://docs.google.com/spreadsheets/d/1GVExpf-Exi_2gmuqTYH28fseTB9MoKPXWcXCbSt_YrM/edit?usp=share_link"",""หนองคาย!J579"")+IMPORTRANGE(""https://docs.google.com/spreadsheets/d/16UeMz0UgOB5BZcoxP75eYGcLFtG"&amp;"YRn9GoesD4OX9m5U/edit?usp=share_link"",""หนองบัวลำภู!J579"")+IMPORTRANGE(""https://docs.google.com/spreadsheets/d/1uUP8Zo1-qaJLuIkRU0qlwLSE3DHkbdrrj2JGJiWBQZE/edit?usp=share_link"",""อำนาจเจริญ!J579"")+IMPORTRANGE(""https://docs.google.com/spreadsheets/d/"&amp;"1hb_taSOHanzRjqfzWPiFo8yiT83VV1L7vvUCLhOiHKc/edit?usp=share_link"",""อุดรธานี!J579"")+IMPORTRANGE(""https://docs.google.com/spreadsheets/d/17IOkEwkUd63EGNfyNDnM5de9YlZ7rwzTiW6-dokVjKI/edit?usp=share_link"",""อุบลราชธานี!J579"")
"),115581)</f>
        <v>115581</v>
      </c>
      <c r="K579" s="163"/>
      <c r="L579" s="163"/>
      <c r="M579" s="163"/>
      <c r="N579" s="163"/>
      <c r="O579" s="163"/>
      <c r="P579" s="163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</row>
    <row r="580" spans="1:26" ht="18.75">
      <c r="A580" s="608"/>
      <c r="B580" s="609"/>
      <c r="C580" s="609"/>
      <c r="D580" s="187" t="s">
        <v>246</v>
      </c>
      <c r="E580" s="619"/>
      <c r="F580" s="619"/>
      <c r="G580" s="175"/>
      <c r="H580" s="182" t="s">
        <v>46</v>
      </c>
      <c r="I580" s="162"/>
      <c r="J580" s="183">
        <f ca="1">IFERROR(__xludf.DUMMYFUNCTION("IMPORTRANGE(""https://docs.google.com/spreadsheets/d/1fb2B9NLcpJgjIieIJvenUTNPn0TimZDUi0OtYeiSQ_s/edit?usp=share_link"",""กาฬสินธุ์!J580"")+IMPORTRANGE(""https://docs.google.com/spreadsheets/d/1SaMnqrwRGmFYNR0MhpWmHuL5niYUd5E7vDq8X7whAlI/edit?usp=share_li"&amp;"nk"",""ขอนแก่น!J580"")
+IMPORTRANGE(""https://docs.google.com/spreadsheets/d/1xQzEtGHhTTgxHh6YUkKY1P4dRyjVhS74dGswLfAASA4/edit?usp=share_link"",""ชัยภูมิ!J580"")+IMPORTRANGE(""https://docs.google.com/spreadsheets/d/1EXMBoBxU3OFbjT2TRpneM33qFjqDzrKmn9ydcfl"&amp;"fI0o/edit?usp=share_link"",""นครพนม!J580"")+IMPORTRANGE(""https://docs.google.com/spreadsheets/d/1bDQrolntRWtHumK8W-x-HXKntwxB9S3sF5aDeRS66Ko/edit?usp=share_link"",""นครราชสีมา!J580"")+IMPORTRANGE(""https://docs.google.com/spreadsheets/d/1_MzZ-2gVPiCW-d2V"&amp;"cafoCmFJQTSrZ6SQyFcMqRRQQ2w/edit?usp=share_link"",""บึงกาฬ!J580"")
+IMPORTRANGE(""https://docs.google.com/spreadsheets/d/1B3lPpzOuaNwVItLwLEZYl_qEblfcx7dRnbRkAw0l-pE/edit?usp=share_link"",""บุรีรัมย์!J580"")+IMPORTRANGE(""https://docs.google.com/spreadshe"&amp;"ets/d/19GOkiOqnzYbevLYWrMk4qFOXe3rX14BkSA8X-mq-a40/edit?usp=share_link"",""มหาสารคาม!J580"")+IMPORTRANGE(""https://docs.google.com/spreadsheets/d/1uMKqWwuNQ-TCKboGA3Bb1qXb5uj2-faACNUINCz8PN4/edit?usp=share_link"",""มุกดาหาร!J580"")+IMPORTRANGE(""https://d"&amp;"ocs.google.com/spreadsheets/d/1oKaccgDdQABndOzGr688Dbfxb_V3YcF67VqEPBtdzsc/edit?usp=share_link"",""ยโสธร!J580"")+IMPORTRANGE(""https://docs.google.com/spreadsheets/d/1BRgc8xKpxZ0PX-gauieMVkV_IOxKSotf0yW8MabGprQ/edit?usp=share_link"",""ร้อยเอ็ด!J580"")+IMP"&amp;"ORTRANGE(""https://docs.google.com/spreadsheets/d/1IdolZc-dfdgMwAm_KZxYJl1sUOcIgnbGQzbWOlddedo/edit?usp=share_link"",""เลย!J580"")+IMPORTRANGE(""https://docs.google.com/spreadsheets/d/1tZ0nmtGuIRCaGAMXHlQU8EpR9LOAJvyKfc4f7EFmE34/edit?usp=share_link"",""ศร"&amp;"ีสะเกษ!J580"")+IMPORTRANGE(""https://docs.google.com/spreadsheets/d/1QC8psz9w0f9IVE9Xuc2FT_btkaOzZbbUSgYObpBuetM/edit?usp=share_link"",""สกลนคร!J580"")+IMPORTRANGE(""https://docs.google.com/spreadsheets/d/1wPdvRbu02d33MYVlbsCnyTiZpefEBs9NNktAnT1HZvw/edit?"&amp;"usp=share_link"",""สุรินทร์!J580"")+IMPORTRANGE(""https://docs.google.com/spreadsheets/d/1GVExpf-Exi_2gmuqTYH28fseTB9MoKPXWcXCbSt_YrM/edit?usp=share_link"",""หนองคาย!J580"")+IMPORTRANGE(""https://docs.google.com/spreadsheets/d/16UeMz0UgOB5BZcoxP75eYGcLFtG"&amp;"YRn9GoesD4OX9m5U/edit?usp=share_link"",""หนองบัวลำภู!J580"")+IMPORTRANGE(""https://docs.google.com/spreadsheets/d/1uUP8Zo1-qaJLuIkRU0qlwLSE3DHkbdrrj2JGJiWBQZE/edit?usp=share_link"",""อำนาจเจริญ!J580"")+IMPORTRANGE(""https://docs.google.com/spreadsheets/d/"&amp;"1hb_taSOHanzRjqfzWPiFo8yiT83VV1L7vvUCLhOiHKc/edit?usp=share_link"",""อุดรธานี!J580"")+IMPORTRANGE(""https://docs.google.com/spreadsheets/d/17IOkEwkUd63EGNfyNDnM5de9YlZ7rwzTiW6-dokVjKI/edit?usp=share_link"",""อุบลราชธานี!J580"")
"),801.11)</f>
        <v>801.11</v>
      </c>
      <c r="K580" s="163"/>
      <c r="L580" s="163"/>
      <c r="M580" s="163"/>
      <c r="N580" s="163"/>
      <c r="O580" s="163"/>
      <c r="P580" s="163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</row>
    <row r="581" spans="1:26" ht="18.75">
      <c r="A581" s="608"/>
      <c r="B581" s="609"/>
      <c r="C581" s="609"/>
      <c r="D581" s="609"/>
      <c r="E581" s="619"/>
      <c r="F581" s="619"/>
      <c r="G581" s="175"/>
      <c r="H581" s="182" t="s">
        <v>34</v>
      </c>
      <c r="I581" s="162"/>
      <c r="J581" s="183">
        <f ca="1">IFERROR(__xludf.DUMMYFUNCTION("IMPORTRANGE(""https://docs.google.com/spreadsheets/d/1fb2B9NLcpJgjIieIJvenUTNPn0TimZDUi0OtYeiSQ_s/edit?usp=share_link"",""กาฬสินธุ์!J581"")+IMPORTRANGE(""https://docs.google.com/spreadsheets/d/1SaMnqrwRGmFYNR0MhpWmHuL5niYUd5E7vDq8X7whAlI/edit?usp=share_li"&amp;"nk"",""ขอนแก่น!J581"")
+IMPORTRANGE(""https://docs.google.com/spreadsheets/d/1xQzEtGHhTTgxHh6YUkKY1P4dRyjVhS74dGswLfAASA4/edit?usp=share_link"",""ชัยภูมิ!J581"")+IMPORTRANGE(""https://docs.google.com/spreadsheets/d/1EXMBoBxU3OFbjT2TRpneM33qFjqDzrKmn9ydcfl"&amp;"fI0o/edit?usp=share_link"",""นครพนม!J581"")+IMPORTRANGE(""https://docs.google.com/spreadsheets/d/1bDQrolntRWtHumK8W-x-HXKntwxB9S3sF5aDeRS66Ko/edit?usp=share_link"",""นครราชสีมา!J581"")+IMPORTRANGE(""https://docs.google.com/spreadsheets/d/1_MzZ-2gVPiCW-d2V"&amp;"cafoCmFJQTSrZ6SQyFcMqRRQQ2w/edit?usp=share_link"",""บึงกาฬ!J581"")
+IMPORTRANGE(""https://docs.google.com/spreadsheets/d/1B3lPpzOuaNwVItLwLEZYl_qEblfcx7dRnbRkAw0l-pE/edit?usp=share_link"",""บุรีรัมย์!J581"")+IMPORTRANGE(""https://docs.google.com/spreadshe"&amp;"ets/d/19GOkiOqnzYbevLYWrMk4qFOXe3rX14BkSA8X-mq-a40/edit?usp=share_link"",""มหาสารคาม!J581"")+IMPORTRANGE(""https://docs.google.com/spreadsheets/d/1uMKqWwuNQ-TCKboGA3Bb1qXb5uj2-faACNUINCz8PN4/edit?usp=share_link"",""มุกดาหาร!J581"")+IMPORTRANGE(""https://d"&amp;"ocs.google.com/spreadsheets/d/1oKaccgDdQABndOzGr688Dbfxb_V3YcF67VqEPBtdzsc/edit?usp=share_link"",""ยโสธร!J581"")+IMPORTRANGE(""https://docs.google.com/spreadsheets/d/1BRgc8xKpxZ0PX-gauieMVkV_IOxKSotf0yW8MabGprQ/edit?usp=share_link"",""ร้อยเอ็ด!J581"")+IMP"&amp;"ORTRANGE(""https://docs.google.com/spreadsheets/d/1IdolZc-dfdgMwAm_KZxYJl1sUOcIgnbGQzbWOlddedo/edit?usp=share_link"",""เลย!J581"")+IMPORTRANGE(""https://docs.google.com/spreadsheets/d/1tZ0nmtGuIRCaGAMXHlQU8EpR9LOAJvyKfc4f7EFmE34/edit?usp=share_link"",""ศร"&amp;"ีสะเกษ!J581"")+IMPORTRANGE(""https://docs.google.com/spreadsheets/d/1QC8psz9w0f9IVE9Xuc2FT_btkaOzZbbUSgYObpBuetM/edit?usp=share_link"",""สกลนคร!J581"")+IMPORTRANGE(""https://docs.google.com/spreadsheets/d/1wPdvRbu02d33MYVlbsCnyTiZpefEBs9NNktAnT1HZvw/edit?"&amp;"usp=share_link"",""สุรินทร์!J581"")+IMPORTRANGE(""https://docs.google.com/spreadsheets/d/1GVExpf-Exi_2gmuqTYH28fseTB9MoKPXWcXCbSt_YrM/edit?usp=share_link"",""หนองคาย!J581"")+IMPORTRANGE(""https://docs.google.com/spreadsheets/d/16UeMz0UgOB5BZcoxP75eYGcLFtG"&amp;"YRn9GoesD4OX9m5U/edit?usp=share_link"",""หนองบัวลำภู!J581"")+IMPORTRANGE(""https://docs.google.com/spreadsheets/d/1uUP8Zo1-qaJLuIkRU0qlwLSE3DHkbdrrj2JGJiWBQZE/edit?usp=share_link"",""อำนาจเจริญ!J581"")+IMPORTRANGE(""https://docs.google.com/spreadsheets/d/"&amp;"1hb_taSOHanzRjqfzWPiFo8yiT83VV1L7vvUCLhOiHKc/edit?usp=share_link"",""อุดรธานี!J581"")+IMPORTRANGE(""https://docs.google.com/spreadsheets/d/17IOkEwkUd63EGNfyNDnM5de9YlZ7rwzTiW6-dokVjKI/edit?usp=share_link"",""อุบลราชธานี!J581"")
"),143)</f>
        <v>143</v>
      </c>
      <c r="K581" s="163"/>
      <c r="L581" s="163"/>
      <c r="M581" s="163"/>
      <c r="N581" s="163"/>
      <c r="O581" s="163"/>
      <c r="P581" s="163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</row>
    <row r="582" spans="1:26" ht="19.5">
      <c r="A582" s="608"/>
      <c r="B582" s="609"/>
      <c r="C582" s="609"/>
      <c r="D582" s="187" t="s">
        <v>247</v>
      </c>
      <c r="E582" s="619"/>
      <c r="F582" s="619"/>
      <c r="G582" s="175"/>
      <c r="H582" s="182" t="s">
        <v>46</v>
      </c>
      <c r="I582" s="162"/>
      <c r="J582" s="194">
        <f t="shared" ref="J582:J583" ca="1" si="288">J584+J586</f>
        <v>43362.654999999999</v>
      </c>
      <c r="K582" s="411"/>
      <c r="L582" s="163"/>
      <c r="M582" s="163"/>
      <c r="N582" s="163"/>
      <c r="O582" s="163"/>
      <c r="P582" s="163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</row>
    <row r="583" spans="1:26" ht="19.5">
      <c r="A583" s="608"/>
      <c r="B583" s="609"/>
      <c r="C583" s="609"/>
      <c r="D583" s="609"/>
      <c r="E583" s="619"/>
      <c r="F583" s="619"/>
      <c r="G583" s="175"/>
      <c r="H583" s="182" t="s">
        <v>34</v>
      </c>
      <c r="I583" s="162"/>
      <c r="J583" s="194">
        <f t="shared" ca="1" si="288"/>
        <v>4433</v>
      </c>
      <c r="K583" s="411"/>
      <c r="L583" s="163"/>
      <c r="M583" s="163"/>
      <c r="N583" s="163"/>
      <c r="O583" s="163"/>
      <c r="P583" s="163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</row>
    <row r="584" spans="1:26" ht="18.75">
      <c r="A584" s="608"/>
      <c r="B584" s="609"/>
      <c r="C584" s="609"/>
      <c r="D584" s="609"/>
      <c r="E584" s="187" t="s">
        <v>248</v>
      </c>
      <c r="F584" s="619"/>
      <c r="G584" s="175"/>
      <c r="H584" s="182" t="s">
        <v>46</v>
      </c>
      <c r="I584" s="162"/>
      <c r="J584" s="183">
        <f ca="1">IFERROR(__xludf.DUMMYFUNCTION("IMPORTRANGE(""https://docs.google.com/spreadsheets/d/1fb2B9NLcpJgjIieIJvenUTNPn0TimZDUi0OtYeiSQ_s/edit?usp=share_link"",""กาฬสินธุ์!J584"")+IMPORTRANGE(""https://docs.google.com/spreadsheets/d/1SaMnqrwRGmFYNR0MhpWmHuL5niYUd5E7vDq8X7whAlI/edit?usp=share_li"&amp;"nk"",""ขอนแก่น!J584"")
+IMPORTRANGE(""https://docs.google.com/spreadsheets/d/1xQzEtGHhTTgxHh6YUkKY1P4dRyjVhS74dGswLfAASA4/edit?usp=share_link"",""ชัยภูมิ!J584"")+IMPORTRANGE(""https://docs.google.com/spreadsheets/d/1EXMBoBxU3OFbjT2TRpneM33qFjqDzrKmn9ydcfl"&amp;"fI0o/edit?usp=share_link"",""นครพนม!J584"")+IMPORTRANGE(""https://docs.google.com/spreadsheets/d/1bDQrolntRWtHumK8W-x-HXKntwxB9S3sF5aDeRS66Ko/edit?usp=share_link"",""นครราชสีมา!J584"")+IMPORTRANGE(""https://docs.google.com/spreadsheets/d/1_MzZ-2gVPiCW-d2V"&amp;"cafoCmFJQTSrZ6SQyFcMqRRQQ2w/edit?usp=share_link"",""บึงกาฬ!J584"")
+IMPORTRANGE(""https://docs.google.com/spreadsheets/d/1B3lPpzOuaNwVItLwLEZYl_qEblfcx7dRnbRkAw0l-pE/edit?usp=share_link"",""บุรีรัมย์!J584"")+IMPORTRANGE(""https://docs.google.com/spreadshe"&amp;"ets/d/19GOkiOqnzYbevLYWrMk4qFOXe3rX14BkSA8X-mq-a40/edit?usp=share_link"",""มหาสารคาม!J584"")+IMPORTRANGE(""https://docs.google.com/spreadsheets/d/1uMKqWwuNQ-TCKboGA3Bb1qXb5uj2-faACNUINCz8PN4/edit?usp=share_link"",""มุกดาหาร!J584"")+IMPORTRANGE(""https://d"&amp;"ocs.google.com/spreadsheets/d/1oKaccgDdQABndOzGr688Dbfxb_V3YcF67VqEPBtdzsc/edit?usp=share_link"",""ยโสธร!J584"")+IMPORTRANGE(""https://docs.google.com/spreadsheets/d/1BRgc8xKpxZ0PX-gauieMVkV_IOxKSotf0yW8MabGprQ/edit?usp=share_link"",""ร้อยเอ็ด!J584"")+IMP"&amp;"ORTRANGE(""https://docs.google.com/spreadsheets/d/1IdolZc-dfdgMwAm_KZxYJl1sUOcIgnbGQzbWOlddedo/edit?usp=share_link"",""เลย!J584"")+IMPORTRANGE(""https://docs.google.com/spreadsheets/d/1tZ0nmtGuIRCaGAMXHlQU8EpR9LOAJvyKfc4f7EFmE34/edit?usp=share_link"",""ศร"&amp;"ีสะเกษ!J584"")+IMPORTRANGE(""https://docs.google.com/spreadsheets/d/1QC8psz9w0f9IVE9Xuc2FT_btkaOzZbbUSgYObpBuetM/edit?usp=share_link"",""สกลนคร!J584"")+IMPORTRANGE(""https://docs.google.com/spreadsheets/d/1wPdvRbu02d33MYVlbsCnyTiZpefEBs9NNktAnT1HZvw/edit?"&amp;"usp=share_link"",""สุรินทร์!J584"")+IMPORTRANGE(""https://docs.google.com/spreadsheets/d/1GVExpf-Exi_2gmuqTYH28fseTB9MoKPXWcXCbSt_YrM/edit?usp=share_link"",""หนองคาย!J584"")+IMPORTRANGE(""https://docs.google.com/spreadsheets/d/16UeMz0UgOB5BZcoxP75eYGcLFtG"&amp;"YRn9GoesD4OX9m5U/edit?usp=share_link"",""หนองบัวลำภู!J584"")+IMPORTRANGE(""https://docs.google.com/spreadsheets/d/1uUP8Zo1-qaJLuIkRU0qlwLSE3DHkbdrrj2JGJiWBQZE/edit?usp=share_link"",""อำนาจเจริญ!J584"")+IMPORTRANGE(""https://docs.google.com/spreadsheets/d/"&amp;"1hb_taSOHanzRjqfzWPiFo8yiT83VV1L7vvUCLhOiHKc/edit?usp=share_link"",""อุดรธานี!J584"")+IMPORTRANGE(""https://docs.google.com/spreadsheets/d/17IOkEwkUd63EGNfyNDnM5de9YlZ7rwzTiW6-dokVjKI/edit?usp=share_link"",""อุบลราชธานี!J584"")
"),43056.27)</f>
        <v>43056.27</v>
      </c>
      <c r="K584" s="163"/>
      <c r="L584" s="163"/>
      <c r="M584" s="163"/>
      <c r="N584" s="163"/>
      <c r="O584" s="163"/>
      <c r="P584" s="163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</row>
    <row r="585" spans="1:26" ht="18.75">
      <c r="A585" s="608"/>
      <c r="B585" s="609"/>
      <c r="C585" s="609"/>
      <c r="D585" s="609"/>
      <c r="E585" s="619"/>
      <c r="F585" s="619"/>
      <c r="G585" s="175"/>
      <c r="H585" s="182" t="s">
        <v>34</v>
      </c>
      <c r="I585" s="162"/>
      <c r="J585" s="183">
        <f ca="1">IFERROR(__xludf.DUMMYFUNCTION("IMPORTRANGE(""https://docs.google.com/spreadsheets/d/1fb2B9NLcpJgjIieIJvenUTNPn0TimZDUi0OtYeiSQ_s/edit?usp=share_link"",""กาฬสินธุ์!J585"")+IMPORTRANGE(""https://docs.google.com/spreadsheets/d/1SaMnqrwRGmFYNR0MhpWmHuL5niYUd5E7vDq8X7whAlI/edit?usp=share_li"&amp;"nk"",""ขอนแก่น!J585"")
+IMPORTRANGE(""https://docs.google.com/spreadsheets/d/1xQzEtGHhTTgxHh6YUkKY1P4dRyjVhS74dGswLfAASA4/edit?usp=share_link"",""ชัยภูมิ!J585"")+IMPORTRANGE(""https://docs.google.com/spreadsheets/d/1EXMBoBxU3OFbjT2TRpneM33qFjqDzrKmn9ydcfl"&amp;"fI0o/edit?usp=share_link"",""นครพนม!J585"")+IMPORTRANGE(""https://docs.google.com/spreadsheets/d/1bDQrolntRWtHumK8W-x-HXKntwxB9S3sF5aDeRS66Ko/edit?usp=share_link"",""นครราชสีมา!J585"")+IMPORTRANGE(""https://docs.google.com/spreadsheets/d/1_MzZ-2gVPiCW-d2V"&amp;"cafoCmFJQTSrZ6SQyFcMqRRQQ2w/edit?usp=share_link"",""บึงกาฬ!J585"")
+IMPORTRANGE(""https://docs.google.com/spreadsheets/d/1B3lPpzOuaNwVItLwLEZYl_qEblfcx7dRnbRkAw0l-pE/edit?usp=share_link"",""บุรีรัมย์!J585"")+IMPORTRANGE(""https://docs.google.com/spreadshe"&amp;"ets/d/19GOkiOqnzYbevLYWrMk4qFOXe3rX14BkSA8X-mq-a40/edit?usp=share_link"",""มหาสารคาม!J585"")+IMPORTRANGE(""https://docs.google.com/spreadsheets/d/1uMKqWwuNQ-TCKboGA3Bb1qXb5uj2-faACNUINCz8PN4/edit?usp=share_link"",""มุกดาหาร!J585"")+IMPORTRANGE(""https://d"&amp;"ocs.google.com/spreadsheets/d/1oKaccgDdQABndOzGr688Dbfxb_V3YcF67VqEPBtdzsc/edit?usp=share_link"",""ยโสธร!J585"")+IMPORTRANGE(""https://docs.google.com/spreadsheets/d/1BRgc8xKpxZ0PX-gauieMVkV_IOxKSotf0yW8MabGprQ/edit?usp=share_link"",""ร้อยเอ็ด!J585"")+IMP"&amp;"ORTRANGE(""https://docs.google.com/spreadsheets/d/1IdolZc-dfdgMwAm_KZxYJl1sUOcIgnbGQzbWOlddedo/edit?usp=share_link"",""เลย!J585"")+IMPORTRANGE(""https://docs.google.com/spreadsheets/d/1tZ0nmtGuIRCaGAMXHlQU8EpR9LOAJvyKfc4f7EFmE34/edit?usp=share_link"",""ศร"&amp;"ีสะเกษ!J585"")+IMPORTRANGE(""https://docs.google.com/spreadsheets/d/1QC8psz9w0f9IVE9Xuc2FT_btkaOzZbbUSgYObpBuetM/edit?usp=share_link"",""สกลนคร!J585"")+IMPORTRANGE(""https://docs.google.com/spreadsheets/d/1wPdvRbu02d33MYVlbsCnyTiZpefEBs9NNktAnT1HZvw/edit?"&amp;"usp=share_link"",""สุรินทร์!J585"")+IMPORTRANGE(""https://docs.google.com/spreadsheets/d/1GVExpf-Exi_2gmuqTYH28fseTB9MoKPXWcXCbSt_YrM/edit?usp=share_link"",""หนองคาย!J585"")+IMPORTRANGE(""https://docs.google.com/spreadsheets/d/16UeMz0UgOB5BZcoxP75eYGcLFtG"&amp;"YRn9GoesD4OX9m5U/edit?usp=share_link"",""หนองบัวลำภู!J585"")+IMPORTRANGE(""https://docs.google.com/spreadsheets/d/1uUP8Zo1-qaJLuIkRU0qlwLSE3DHkbdrrj2JGJiWBQZE/edit?usp=share_link"",""อำนาจเจริญ!J585"")+IMPORTRANGE(""https://docs.google.com/spreadsheets/d/"&amp;"1hb_taSOHanzRjqfzWPiFo8yiT83VV1L7vvUCLhOiHKc/edit?usp=share_link"",""อุดรธานี!J585"")+IMPORTRANGE(""https://docs.google.com/spreadsheets/d/17IOkEwkUd63EGNfyNDnM5de9YlZ7rwzTiW6-dokVjKI/edit?usp=share_link"",""อุบลราชธานี!J585"")
"),4411)</f>
        <v>4411</v>
      </c>
      <c r="K585" s="163"/>
      <c r="L585" s="163"/>
      <c r="M585" s="163"/>
      <c r="N585" s="163"/>
      <c r="O585" s="163"/>
      <c r="P585" s="163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</row>
    <row r="586" spans="1:26" ht="18.75">
      <c r="A586" s="608"/>
      <c r="B586" s="609"/>
      <c r="C586" s="609"/>
      <c r="D586" s="609"/>
      <c r="E586" s="187" t="s">
        <v>249</v>
      </c>
      <c r="F586" s="619"/>
      <c r="G586" s="175"/>
      <c r="H586" s="182" t="s">
        <v>46</v>
      </c>
      <c r="I586" s="162"/>
      <c r="J586" s="183">
        <f ca="1">IFERROR(__xludf.DUMMYFUNCTION("IMPORTRANGE(""https://docs.google.com/spreadsheets/d/1fb2B9NLcpJgjIieIJvenUTNPn0TimZDUi0OtYeiSQ_s/edit?usp=share_link"",""กาฬสินธุ์!J586"")+IMPORTRANGE(""https://docs.google.com/spreadsheets/d/1SaMnqrwRGmFYNR0MhpWmHuL5niYUd5E7vDq8X7whAlI/edit?usp=share_li"&amp;"nk"",""ขอนแก่น!J586"")
+IMPORTRANGE(""https://docs.google.com/spreadsheets/d/1xQzEtGHhTTgxHh6YUkKY1P4dRyjVhS74dGswLfAASA4/edit?usp=share_link"",""ชัยภูมิ!J586"")+IMPORTRANGE(""https://docs.google.com/spreadsheets/d/1EXMBoBxU3OFbjT2TRpneM33qFjqDzrKmn9ydcfl"&amp;"fI0o/edit?usp=share_link"",""นครพนม!J586"")+IMPORTRANGE(""https://docs.google.com/spreadsheets/d/1bDQrolntRWtHumK8W-x-HXKntwxB9S3sF5aDeRS66Ko/edit?usp=share_link"",""นครราชสีมา!J586"")+IMPORTRANGE(""https://docs.google.com/spreadsheets/d/1_MzZ-2gVPiCW-d2V"&amp;"cafoCmFJQTSrZ6SQyFcMqRRQQ2w/edit?usp=share_link"",""บึงกาฬ!J586"")
+IMPORTRANGE(""https://docs.google.com/spreadsheets/d/1B3lPpzOuaNwVItLwLEZYl_qEblfcx7dRnbRkAw0l-pE/edit?usp=share_link"",""บุรีรัมย์!J586"")+IMPORTRANGE(""https://docs.google.com/spreadshe"&amp;"ets/d/19GOkiOqnzYbevLYWrMk4qFOXe3rX14BkSA8X-mq-a40/edit?usp=share_link"",""มหาสารคาม!J586"")+IMPORTRANGE(""https://docs.google.com/spreadsheets/d/1uMKqWwuNQ-TCKboGA3Bb1qXb5uj2-faACNUINCz8PN4/edit?usp=share_link"",""มุกดาหาร!J586"")+IMPORTRANGE(""https://d"&amp;"ocs.google.com/spreadsheets/d/1oKaccgDdQABndOzGr688Dbfxb_V3YcF67VqEPBtdzsc/edit?usp=share_link"",""ยโสธร!J586"")+IMPORTRANGE(""https://docs.google.com/spreadsheets/d/1BRgc8xKpxZ0PX-gauieMVkV_IOxKSotf0yW8MabGprQ/edit?usp=share_link"",""ร้อยเอ็ด!J586"")+IMP"&amp;"ORTRANGE(""https://docs.google.com/spreadsheets/d/1IdolZc-dfdgMwAm_KZxYJl1sUOcIgnbGQzbWOlddedo/edit?usp=share_link"",""เลย!J586"")+IMPORTRANGE(""https://docs.google.com/spreadsheets/d/1tZ0nmtGuIRCaGAMXHlQU8EpR9LOAJvyKfc4f7EFmE34/edit?usp=share_link"",""ศร"&amp;"ีสะเกษ!J586"")+IMPORTRANGE(""https://docs.google.com/spreadsheets/d/1QC8psz9w0f9IVE9Xuc2FT_btkaOzZbbUSgYObpBuetM/edit?usp=share_link"",""สกลนคร!J586"")+IMPORTRANGE(""https://docs.google.com/spreadsheets/d/1wPdvRbu02d33MYVlbsCnyTiZpefEBs9NNktAnT1HZvw/edit?"&amp;"usp=share_link"",""สุรินทร์!J586"")+IMPORTRANGE(""https://docs.google.com/spreadsheets/d/1GVExpf-Exi_2gmuqTYH28fseTB9MoKPXWcXCbSt_YrM/edit?usp=share_link"",""หนองคาย!J586"")+IMPORTRANGE(""https://docs.google.com/spreadsheets/d/16UeMz0UgOB5BZcoxP75eYGcLFtG"&amp;"YRn9GoesD4OX9m5U/edit?usp=share_link"",""หนองบัวลำภู!J586"")+IMPORTRANGE(""https://docs.google.com/spreadsheets/d/1uUP8Zo1-qaJLuIkRU0qlwLSE3DHkbdrrj2JGJiWBQZE/edit?usp=share_link"",""อำนาจเจริญ!J586"")+IMPORTRANGE(""https://docs.google.com/spreadsheets/d/"&amp;"1hb_taSOHanzRjqfzWPiFo8yiT83VV1L7vvUCLhOiHKc/edit?usp=share_link"",""อุดรธานี!J586"")+IMPORTRANGE(""https://docs.google.com/spreadsheets/d/17IOkEwkUd63EGNfyNDnM5de9YlZ7rwzTiW6-dokVjKI/edit?usp=share_link"",""อุบลราชธานี!J586"")
"),306.384999999999)</f>
        <v>306.38499999999902</v>
      </c>
      <c r="K586" s="163"/>
      <c r="L586" s="163"/>
      <c r="M586" s="163"/>
      <c r="N586" s="163"/>
      <c r="O586" s="163"/>
      <c r="P586" s="163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</row>
    <row r="587" spans="1:26" ht="18.75">
      <c r="A587" s="608"/>
      <c r="B587" s="609"/>
      <c r="C587" s="609"/>
      <c r="D587" s="609"/>
      <c r="E587" s="609"/>
      <c r="F587" s="619"/>
      <c r="G587" s="175"/>
      <c r="H587" s="182" t="s">
        <v>34</v>
      </c>
      <c r="I587" s="162"/>
      <c r="J587" s="183">
        <f ca="1">IFERROR(__xludf.DUMMYFUNCTION("IMPORTRANGE(""https://docs.google.com/spreadsheets/d/1fb2B9NLcpJgjIieIJvenUTNPn0TimZDUi0OtYeiSQ_s/edit?usp=share_link"",""กาฬสินธุ์!J587"")+IMPORTRANGE(""https://docs.google.com/spreadsheets/d/1SaMnqrwRGmFYNR0MhpWmHuL5niYUd5E7vDq8X7whAlI/edit?usp=share_li"&amp;"nk"",""ขอนแก่น!J587"")
+IMPORTRANGE(""https://docs.google.com/spreadsheets/d/1xQzEtGHhTTgxHh6YUkKY1P4dRyjVhS74dGswLfAASA4/edit?usp=share_link"",""ชัยภูมิ!J587"")+IMPORTRANGE(""https://docs.google.com/spreadsheets/d/1EXMBoBxU3OFbjT2TRpneM33qFjqDzrKmn9ydcfl"&amp;"fI0o/edit?usp=share_link"",""นครพนม!J587"")+IMPORTRANGE(""https://docs.google.com/spreadsheets/d/1bDQrolntRWtHumK8W-x-HXKntwxB9S3sF5aDeRS66Ko/edit?usp=share_link"",""นครราชสีมา!J587"")+IMPORTRANGE(""https://docs.google.com/spreadsheets/d/1_MzZ-2gVPiCW-d2V"&amp;"cafoCmFJQTSrZ6SQyFcMqRRQQ2w/edit?usp=share_link"",""บึงกาฬ!J587"")
+IMPORTRANGE(""https://docs.google.com/spreadsheets/d/1B3lPpzOuaNwVItLwLEZYl_qEblfcx7dRnbRkAw0l-pE/edit?usp=share_link"",""บุรีรัมย์!J587"")+IMPORTRANGE(""https://docs.google.com/spreadshe"&amp;"ets/d/19GOkiOqnzYbevLYWrMk4qFOXe3rX14BkSA8X-mq-a40/edit?usp=share_link"",""มหาสารคาม!J587"")+IMPORTRANGE(""https://docs.google.com/spreadsheets/d/1uMKqWwuNQ-TCKboGA3Bb1qXb5uj2-faACNUINCz8PN4/edit?usp=share_link"",""มุกดาหาร!J587"")+IMPORTRANGE(""https://d"&amp;"ocs.google.com/spreadsheets/d/1oKaccgDdQABndOzGr688Dbfxb_V3YcF67VqEPBtdzsc/edit?usp=share_link"",""ยโสธร!J587"")+IMPORTRANGE(""https://docs.google.com/spreadsheets/d/1BRgc8xKpxZ0PX-gauieMVkV_IOxKSotf0yW8MabGprQ/edit?usp=share_link"",""ร้อยเอ็ด!J587"")+IMP"&amp;"ORTRANGE(""https://docs.google.com/spreadsheets/d/1IdolZc-dfdgMwAm_KZxYJl1sUOcIgnbGQzbWOlddedo/edit?usp=share_link"",""เลย!J587"")+IMPORTRANGE(""https://docs.google.com/spreadsheets/d/1tZ0nmtGuIRCaGAMXHlQU8EpR9LOAJvyKfc4f7EFmE34/edit?usp=share_link"",""ศร"&amp;"ีสะเกษ!J587"")+IMPORTRANGE(""https://docs.google.com/spreadsheets/d/1QC8psz9w0f9IVE9Xuc2FT_btkaOzZbbUSgYObpBuetM/edit?usp=share_link"",""สกลนคร!J587"")+IMPORTRANGE(""https://docs.google.com/spreadsheets/d/1wPdvRbu02d33MYVlbsCnyTiZpefEBs9NNktAnT1HZvw/edit?"&amp;"usp=share_link"",""สุรินทร์!J587"")+IMPORTRANGE(""https://docs.google.com/spreadsheets/d/1GVExpf-Exi_2gmuqTYH28fseTB9MoKPXWcXCbSt_YrM/edit?usp=share_link"",""หนองคาย!J587"")+IMPORTRANGE(""https://docs.google.com/spreadsheets/d/16UeMz0UgOB5BZcoxP75eYGcLFtG"&amp;"YRn9GoesD4OX9m5U/edit?usp=share_link"",""หนองบัวลำภู!J587"")+IMPORTRANGE(""https://docs.google.com/spreadsheets/d/1uUP8Zo1-qaJLuIkRU0qlwLSE3DHkbdrrj2JGJiWBQZE/edit?usp=share_link"",""อำนาจเจริญ!J587"")+IMPORTRANGE(""https://docs.google.com/spreadsheets/d/"&amp;"1hb_taSOHanzRjqfzWPiFo8yiT83VV1L7vvUCLhOiHKc/edit?usp=share_link"",""อุดรธานี!J587"")+IMPORTRANGE(""https://docs.google.com/spreadsheets/d/17IOkEwkUd63EGNfyNDnM5de9YlZ7rwzTiW6-dokVjKI/edit?usp=share_link"",""อุบลราชธานี!J587"")
"),22)</f>
        <v>22</v>
      </c>
      <c r="K587" s="163"/>
      <c r="L587" s="163"/>
      <c r="M587" s="163"/>
      <c r="N587" s="163"/>
      <c r="O587" s="163"/>
      <c r="P587" s="163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</row>
    <row r="588" spans="1:26" ht="18.75">
      <c r="A588" s="608"/>
      <c r="B588" s="609"/>
      <c r="C588" s="609"/>
      <c r="D588" s="187" t="s">
        <v>250</v>
      </c>
      <c r="E588" s="619"/>
      <c r="F588" s="619"/>
      <c r="G588" s="175"/>
      <c r="H588" s="182" t="s">
        <v>46</v>
      </c>
      <c r="I588" s="162"/>
      <c r="J588" s="183">
        <f ca="1">IFERROR(__xludf.DUMMYFUNCTION("IMPORTRANGE(""https://docs.google.com/spreadsheets/d/1fb2B9NLcpJgjIieIJvenUTNPn0TimZDUi0OtYeiSQ_s/edit?usp=share_link"",""กาฬสินธุ์!J588"")+IMPORTRANGE(""https://docs.google.com/spreadsheets/d/1SaMnqrwRGmFYNR0MhpWmHuL5niYUd5E7vDq8X7whAlI/edit?usp=share_li"&amp;"nk"",""ขอนแก่น!J588"")
+IMPORTRANGE(""https://docs.google.com/spreadsheets/d/1xQzEtGHhTTgxHh6YUkKY1P4dRyjVhS74dGswLfAASA4/edit?usp=share_link"",""ชัยภูมิ!J588"")+IMPORTRANGE(""https://docs.google.com/spreadsheets/d/1EXMBoBxU3OFbjT2TRpneM33qFjqDzrKmn9ydcfl"&amp;"fI0o/edit?usp=share_link"",""นครพนม!J588"")+IMPORTRANGE(""https://docs.google.com/spreadsheets/d/1bDQrolntRWtHumK8W-x-HXKntwxB9S3sF5aDeRS66Ko/edit?usp=share_link"",""นครราชสีมา!J588"")+IMPORTRANGE(""https://docs.google.com/spreadsheets/d/1_MzZ-2gVPiCW-d2V"&amp;"cafoCmFJQTSrZ6SQyFcMqRRQQ2w/edit?usp=share_link"",""บึงกาฬ!J588"")
+IMPORTRANGE(""https://docs.google.com/spreadsheets/d/1B3lPpzOuaNwVItLwLEZYl_qEblfcx7dRnbRkAw0l-pE/edit?usp=share_link"",""บุรีรัมย์!J588"")+IMPORTRANGE(""https://docs.google.com/spreadshe"&amp;"ets/d/19GOkiOqnzYbevLYWrMk4qFOXe3rX14BkSA8X-mq-a40/edit?usp=share_link"",""มหาสารคาม!J588"")+IMPORTRANGE(""https://docs.google.com/spreadsheets/d/1uMKqWwuNQ-TCKboGA3Bb1qXb5uj2-faACNUINCz8PN4/edit?usp=share_link"",""มุกดาหาร!J588"")+IMPORTRANGE(""https://d"&amp;"ocs.google.com/spreadsheets/d/1oKaccgDdQABndOzGr688Dbfxb_V3YcF67VqEPBtdzsc/edit?usp=share_link"",""ยโสธร!J588"")+IMPORTRANGE(""https://docs.google.com/spreadsheets/d/1BRgc8xKpxZ0PX-gauieMVkV_IOxKSotf0yW8MabGprQ/edit?usp=share_link"",""ร้อยเอ็ด!J588"")+IMP"&amp;"ORTRANGE(""https://docs.google.com/spreadsheets/d/1IdolZc-dfdgMwAm_KZxYJl1sUOcIgnbGQzbWOlddedo/edit?usp=share_link"",""เลย!J588"")+IMPORTRANGE(""https://docs.google.com/spreadsheets/d/1tZ0nmtGuIRCaGAMXHlQU8EpR9LOAJvyKfc4f7EFmE34/edit?usp=share_link"",""ศร"&amp;"ีสะเกษ!J588"")+IMPORTRANGE(""https://docs.google.com/spreadsheets/d/1QC8psz9w0f9IVE9Xuc2FT_btkaOzZbbUSgYObpBuetM/edit?usp=share_link"",""สกลนคร!J588"")+IMPORTRANGE(""https://docs.google.com/spreadsheets/d/1wPdvRbu02d33MYVlbsCnyTiZpefEBs9NNktAnT1HZvw/edit?"&amp;"usp=share_link"",""สุรินทร์!J588"")+IMPORTRANGE(""https://docs.google.com/spreadsheets/d/1GVExpf-Exi_2gmuqTYH28fseTB9MoKPXWcXCbSt_YrM/edit?usp=share_link"",""หนองคาย!J588"")+IMPORTRANGE(""https://docs.google.com/spreadsheets/d/16UeMz0UgOB5BZcoxP75eYGcLFtG"&amp;"YRn9GoesD4OX9m5U/edit?usp=share_link"",""หนองบัวลำภู!J588"")+IMPORTRANGE(""https://docs.google.com/spreadsheets/d/1uUP8Zo1-qaJLuIkRU0qlwLSE3DHkbdrrj2JGJiWBQZE/edit?usp=share_link"",""อำนาจเจริญ!J588"")+IMPORTRANGE(""https://docs.google.com/spreadsheets/d/"&amp;"1hb_taSOHanzRjqfzWPiFo8yiT83VV1L7vvUCLhOiHKc/edit?usp=share_link"",""อุดรธานี!J588"")+IMPORTRANGE(""https://docs.google.com/spreadsheets/d/17IOkEwkUd63EGNfyNDnM5de9YlZ7rwzTiW6-dokVjKI/edit?usp=share_link"",""อุบลราชธานี!J588"")
"),77749.6703)</f>
        <v>77749.670299999998</v>
      </c>
      <c r="K588" s="163"/>
      <c r="L588" s="163"/>
      <c r="M588" s="163"/>
      <c r="N588" s="163"/>
      <c r="O588" s="163"/>
      <c r="P588" s="163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</row>
    <row r="589" spans="1:26" ht="18.75">
      <c r="A589" s="608"/>
      <c r="B589" s="609"/>
      <c r="C589" s="609"/>
      <c r="D589" s="609"/>
      <c r="E589" s="609"/>
      <c r="F589" s="619"/>
      <c r="G589" s="175"/>
      <c r="H589" s="182" t="s">
        <v>34</v>
      </c>
      <c r="I589" s="162"/>
      <c r="J589" s="183">
        <f ca="1">IFERROR(__xludf.DUMMYFUNCTION("IMPORTRANGE(""https://docs.google.com/spreadsheets/d/1fb2B9NLcpJgjIieIJvenUTNPn0TimZDUi0OtYeiSQ_s/edit?usp=share_link"",""กาฬสินธุ์!J589"")+IMPORTRANGE(""https://docs.google.com/spreadsheets/d/1SaMnqrwRGmFYNR0MhpWmHuL5niYUd5E7vDq8X7whAlI/edit?usp=share_li"&amp;"nk"",""ขอนแก่น!J589"")
+IMPORTRANGE(""https://docs.google.com/spreadsheets/d/1xQzEtGHhTTgxHh6YUkKY1P4dRyjVhS74dGswLfAASA4/edit?usp=share_link"",""ชัยภูมิ!J589"")+IMPORTRANGE(""https://docs.google.com/spreadsheets/d/1EXMBoBxU3OFbjT2TRpneM33qFjqDzrKmn9ydcfl"&amp;"fI0o/edit?usp=share_link"",""นครพนม!J589"")+IMPORTRANGE(""https://docs.google.com/spreadsheets/d/1bDQrolntRWtHumK8W-x-HXKntwxB9S3sF5aDeRS66Ko/edit?usp=share_link"",""นครราชสีมา!J589"")+IMPORTRANGE(""https://docs.google.com/spreadsheets/d/1_MzZ-2gVPiCW-d2V"&amp;"cafoCmFJQTSrZ6SQyFcMqRRQQ2w/edit?usp=share_link"",""บึงกาฬ!J589"")
+IMPORTRANGE(""https://docs.google.com/spreadsheets/d/1B3lPpzOuaNwVItLwLEZYl_qEblfcx7dRnbRkAw0l-pE/edit?usp=share_link"",""บุรีรัมย์!J589"")+IMPORTRANGE(""https://docs.google.com/spreadshe"&amp;"ets/d/19GOkiOqnzYbevLYWrMk4qFOXe3rX14BkSA8X-mq-a40/edit?usp=share_link"",""มหาสารคาม!J589"")+IMPORTRANGE(""https://docs.google.com/spreadsheets/d/1uMKqWwuNQ-TCKboGA3Bb1qXb5uj2-faACNUINCz8PN4/edit?usp=share_link"",""มุกดาหาร!J589"")+IMPORTRANGE(""https://d"&amp;"ocs.google.com/spreadsheets/d/1oKaccgDdQABndOzGr688Dbfxb_V3YcF67VqEPBtdzsc/edit?usp=share_link"",""ยโสธร!J589"")+IMPORTRANGE(""https://docs.google.com/spreadsheets/d/1BRgc8xKpxZ0PX-gauieMVkV_IOxKSotf0yW8MabGprQ/edit?usp=share_link"",""ร้อยเอ็ด!J589"")+IMP"&amp;"ORTRANGE(""https://docs.google.com/spreadsheets/d/1IdolZc-dfdgMwAm_KZxYJl1sUOcIgnbGQzbWOlddedo/edit?usp=share_link"",""เลย!J589"")+IMPORTRANGE(""https://docs.google.com/spreadsheets/d/1tZ0nmtGuIRCaGAMXHlQU8EpR9LOAJvyKfc4f7EFmE34/edit?usp=share_link"",""ศร"&amp;"ีสะเกษ!J589"")+IMPORTRANGE(""https://docs.google.com/spreadsheets/d/1QC8psz9w0f9IVE9Xuc2FT_btkaOzZbbUSgYObpBuetM/edit?usp=share_link"",""สกลนคร!J589"")+IMPORTRANGE(""https://docs.google.com/spreadsheets/d/1wPdvRbu02d33MYVlbsCnyTiZpefEBs9NNktAnT1HZvw/edit?"&amp;"usp=share_link"",""สุรินทร์!J589"")+IMPORTRANGE(""https://docs.google.com/spreadsheets/d/1GVExpf-Exi_2gmuqTYH28fseTB9MoKPXWcXCbSt_YrM/edit?usp=share_link"",""หนองคาย!J589"")+IMPORTRANGE(""https://docs.google.com/spreadsheets/d/16UeMz0UgOB5BZcoxP75eYGcLFtG"&amp;"YRn9GoesD4OX9m5U/edit?usp=share_link"",""หนองบัวลำภู!J589"")+IMPORTRANGE(""https://docs.google.com/spreadsheets/d/1uUP8Zo1-qaJLuIkRU0qlwLSE3DHkbdrrj2JGJiWBQZE/edit?usp=share_link"",""อำนาจเจริญ!J589"")+IMPORTRANGE(""https://docs.google.com/spreadsheets/d/"&amp;"1hb_taSOHanzRjqfzWPiFo8yiT83VV1L7vvUCLhOiHKc/edit?usp=share_link"",""อุดรธานี!J589"")+IMPORTRANGE(""https://docs.google.com/spreadsheets/d/17IOkEwkUd63EGNfyNDnM5de9YlZ7rwzTiW6-dokVjKI/edit?usp=share_link"",""อุบลราชธานี!J589"")
"),5991)</f>
        <v>5991</v>
      </c>
      <c r="K589" s="163"/>
      <c r="L589" s="163"/>
      <c r="M589" s="163"/>
      <c r="N589" s="163"/>
      <c r="O589" s="163"/>
      <c r="P589" s="163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</row>
    <row r="590" spans="1:26" ht="18.75">
      <c r="A590" s="608"/>
      <c r="B590" s="609"/>
      <c r="C590" s="609"/>
      <c r="D590" s="187" t="s">
        <v>251</v>
      </c>
      <c r="E590" s="619"/>
      <c r="F590" s="619"/>
      <c r="G590" s="175"/>
      <c r="H590" s="182" t="s">
        <v>46</v>
      </c>
      <c r="I590" s="162"/>
      <c r="J590" s="183">
        <f ca="1">IFERROR(__xludf.DUMMYFUNCTION("IMPORTRANGE(""https://docs.google.com/spreadsheets/d/1fb2B9NLcpJgjIieIJvenUTNPn0TimZDUi0OtYeiSQ_s/edit?usp=share_link"",""กาฬสินธุ์!J590"")+IMPORTRANGE(""https://docs.google.com/spreadsheets/d/1SaMnqrwRGmFYNR0MhpWmHuL5niYUd5E7vDq8X7whAlI/edit?usp=share_li"&amp;"nk"",""ขอนแก่น!J590"")
+IMPORTRANGE(""https://docs.google.com/spreadsheets/d/1xQzEtGHhTTgxHh6YUkKY1P4dRyjVhS74dGswLfAASA4/edit?usp=share_link"",""ชัยภูมิ!J590"")+IMPORTRANGE(""https://docs.google.com/spreadsheets/d/1EXMBoBxU3OFbjT2TRpneM33qFjqDzrKmn9ydcfl"&amp;"fI0o/edit?usp=share_link"",""นครพนม!J590"")+IMPORTRANGE(""https://docs.google.com/spreadsheets/d/1bDQrolntRWtHumK8W-x-HXKntwxB9S3sF5aDeRS66Ko/edit?usp=share_link"",""นครราชสีมา!J590"")+IMPORTRANGE(""https://docs.google.com/spreadsheets/d/1_MzZ-2gVPiCW-d2V"&amp;"cafoCmFJQTSrZ6SQyFcMqRRQQ2w/edit?usp=share_link"",""บึงกาฬ!J590"")
+IMPORTRANGE(""https://docs.google.com/spreadsheets/d/1B3lPpzOuaNwVItLwLEZYl_qEblfcx7dRnbRkAw0l-pE/edit?usp=share_link"",""บุรีรัมย์!J590"")+IMPORTRANGE(""https://docs.google.com/spreadshe"&amp;"ets/d/19GOkiOqnzYbevLYWrMk4qFOXe3rX14BkSA8X-mq-a40/edit?usp=share_link"",""มหาสารคาม!J590"")+IMPORTRANGE(""https://docs.google.com/spreadsheets/d/1uMKqWwuNQ-TCKboGA3Bb1qXb5uj2-faACNUINCz8PN4/edit?usp=share_link"",""มุกดาหาร!J590"")+IMPORTRANGE(""https://d"&amp;"ocs.google.com/spreadsheets/d/1oKaccgDdQABndOzGr688Dbfxb_V3YcF67VqEPBtdzsc/edit?usp=share_link"",""ยโสธร!J590"")+IMPORTRANGE(""https://docs.google.com/spreadsheets/d/1BRgc8xKpxZ0PX-gauieMVkV_IOxKSotf0yW8MabGprQ/edit?usp=share_link"",""ร้อยเอ็ด!J590"")+IMP"&amp;"ORTRANGE(""https://docs.google.com/spreadsheets/d/1IdolZc-dfdgMwAm_KZxYJl1sUOcIgnbGQzbWOlddedo/edit?usp=share_link"",""เลย!J590"")+IMPORTRANGE(""https://docs.google.com/spreadsheets/d/1tZ0nmtGuIRCaGAMXHlQU8EpR9LOAJvyKfc4f7EFmE34/edit?usp=share_link"",""ศร"&amp;"ีสะเกษ!J590"")+IMPORTRANGE(""https://docs.google.com/spreadsheets/d/1QC8psz9w0f9IVE9Xuc2FT_btkaOzZbbUSgYObpBuetM/edit?usp=share_link"",""สกลนคร!J590"")+IMPORTRANGE(""https://docs.google.com/spreadsheets/d/1wPdvRbu02d33MYVlbsCnyTiZpefEBs9NNktAnT1HZvw/edit?"&amp;"usp=share_link"",""สุรินทร์!J590"")+IMPORTRANGE(""https://docs.google.com/spreadsheets/d/1GVExpf-Exi_2gmuqTYH28fseTB9MoKPXWcXCbSt_YrM/edit?usp=share_link"",""หนองคาย!J590"")+IMPORTRANGE(""https://docs.google.com/spreadsheets/d/16UeMz0UgOB5BZcoxP75eYGcLFtG"&amp;"YRn9GoesD4OX9m5U/edit?usp=share_link"",""หนองบัวลำภู!J590"")+IMPORTRANGE(""https://docs.google.com/spreadsheets/d/1uUP8Zo1-qaJLuIkRU0qlwLSE3DHkbdrrj2JGJiWBQZE/edit?usp=share_link"",""อำนาจเจริญ!J590"")+IMPORTRANGE(""https://docs.google.com/spreadsheets/d/"&amp;"1hb_taSOHanzRjqfzWPiFo8yiT83VV1L7vvUCLhOiHKc/edit?usp=share_link"",""อุดรธานี!J590"")+IMPORTRANGE(""https://docs.google.com/spreadsheets/d/17IOkEwkUd63EGNfyNDnM5de9YlZ7rwzTiW6-dokVjKI/edit?usp=share_link"",""อุบลราชธานี!J590"")
"),0)</f>
        <v>0</v>
      </c>
      <c r="K590" s="163"/>
      <c r="L590" s="163"/>
      <c r="M590" s="163"/>
      <c r="N590" s="163"/>
      <c r="O590" s="163"/>
      <c r="P590" s="163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</row>
    <row r="591" spans="1:26" ht="18.75">
      <c r="A591" s="696"/>
      <c r="B591" s="697"/>
      <c r="C591" s="697"/>
      <c r="D591" s="697"/>
      <c r="E591" s="578"/>
      <c r="F591" s="578"/>
      <c r="G591" s="698"/>
      <c r="H591" s="699" t="s">
        <v>34</v>
      </c>
      <c r="I591" s="700"/>
      <c r="J591" s="701">
        <f ca="1">IFERROR(__xludf.DUMMYFUNCTION("IMPORTRANGE(""https://docs.google.com/spreadsheets/d/1fb2B9NLcpJgjIieIJvenUTNPn0TimZDUi0OtYeiSQ_s/edit?usp=share_link"",""กาฬสินธุ์!J591"")+IMPORTRANGE(""https://docs.google.com/spreadsheets/d/1SaMnqrwRGmFYNR0MhpWmHuL5niYUd5E7vDq8X7whAlI/edit?usp=share_li"&amp;"nk"",""ขอนแก่น!J591"")
+IMPORTRANGE(""https://docs.google.com/spreadsheets/d/1xQzEtGHhTTgxHh6YUkKY1P4dRyjVhS74dGswLfAASA4/edit?usp=share_link"",""ชัยภูมิ!J591"")+IMPORTRANGE(""https://docs.google.com/spreadsheets/d/1EXMBoBxU3OFbjT2TRpneM33qFjqDzrKmn9ydcfl"&amp;"fI0o/edit?usp=share_link"",""นครพนม!J591"")+IMPORTRANGE(""https://docs.google.com/spreadsheets/d/1bDQrolntRWtHumK8W-x-HXKntwxB9S3sF5aDeRS66Ko/edit?usp=share_link"",""นครราชสีมา!J591"")+IMPORTRANGE(""https://docs.google.com/spreadsheets/d/1_MzZ-2gVPiCW-d2V"&amp;"cafoCmFJQTSrZ6SQyFcMqRRQQ2w/edit?usp=share_link"",""บึงกาฬ!J591"")
+IMPORTRANGE(""https://docs.google.com/spreadsheets/d/1B3lPpzOuaNwVItLwLEZYl_qEblfcx7dRnbRkAw0l-pE/edit?usp=share_link"",""บุรีรัมย์!J591"")+IMPORTRANGE(""https://docs.google.com/spreadshe"&amp;"ets/d/19GOkiOqnzYbevLYWrMk4qFOXe3rX14BkSA8X-mq-a40/edit?usp=share_link"",""มหาสารคาม!J591"")+IMPORTRANGE(""https://docs.google.com/spreadsheets/d/1uMKqWwuNQ-TCKboGA3Bb1qXb5uj2-faACNUINCz8PN4/edit?usp=share_link"",""มุกดาหาร!J591"")+IMPORTRANGE(""https://d"&amp;"ocs.google.com/spreadsheets/d/1oKaccgDdQABndOzGr688Dbfxb_V3YcF67VqEPBtdzsc/edit?usp=share_link"",""ยโสธร!J591"")+IMPORTRANGE(""https://docs.google.com/spreadsheets/d/1BRgc8xKpxZ0PX-gauieMVkV_IOxKSotf0yW8MabGprQ/edit?usp=share_link"",""ร้อยเอ็ด!J591"")+IMP"&amp;"ORTRANGE(""https://docs.google.com/spreadsheets/d/1IdolZc-dfdgMwAm_KZxYJl1sUOcIgnbGQzbWOlddedo/edit?usp=share_link"",""เลย!J591"")+IMPORTRANGE(""https://docs.google.com/spreadsheets/d/1tZ0nmtGuIRCaGAMXHlQU8EpR9LOAJvyKfc4f7EFmE34/edit?usp=share_link"",""ศร"&amp;"ีสะเกษ!J591"")+IMPORTRANGE(""https://docs.google.com/spreadsheets/d/1QC8psz9w0f9IVE9Xuc2FT_btkaOzZbbUSgYObpBuetM/edit?usp=share_link"",""สกลนคร!J591"")+IMPORTRANGE(""https://docs.google.com/spreadsheets/d/1wPdvRbu02d33MYVlbsCnyTiZpefEBs9NNktAnT1HZvw/edit?"&amp;"usp=share_link"",""สุรินทร์!J591"")+IMPORTRANGE(""https://docs.google.com/spreadsheets/d/1GVExpf-Exi_2gmuqTYH28fseTB9MoKPXWcXCbSt_YrM/edit?usp=share_link"",""หนองคาย!J591"")+IMPORTRANGE(""https://docs.google.com/spreadsheets/d/16UeMz0UgOB5BZcoxP75eYGcLFtG"&amp;"YRn9GoesD4OX9m5U/edit?usp=share_link"",""หนองบัวลำภู!J591"")+IMPORTRANGE(""https://docs.google.com/spreadsheets/d/1uUP8Zo1-qaJLuIkRU0qlwLSE3DHkbdrrj2JGJiWBQZE/edit?usp=share_link"",""อำนาจเจริญ!J591"")+IMPORTRANGE(""https://docs.google.com/spreadsheets/d/"&amp;"1hb_taSOHanzRjqfzWPiFo8yiT83VV1L7vvUCLhOiHKc/edit?usp=share_link"",""อุดรธานี!J591"")+IMPORTRANGE(""https://docs.google.com/spreadsheets/d/17IOkEwkUd63EGNfyNDnM5de9YlZ7rwzTiW6-dokVjKI/edit?usp=share_link"",""อุบลราชธานี!J591"")
"),0)</f>
        <v>0</v>
      </c>
      <c r="K591" s="702"/>
      <c r="L591" s="702"/>
      <c r="M591" s="702"/>
      <c r="N591" s="702"/>
      <c r="O591" s="702"/>
      <c r="P591" s="702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</row>
    <row r="592" spans="1:26" ht="19.5">
      <c r="A592" s="692"/>
      <c r="B592" s="693" t="s">
        <v>252</v>
      </c>
      <c r="C592" s="694"/>
      <c r="D592" s="694"/>
      <c r="E592" s="673"/>
      <c r="F592" s="673"/>
      <c r="G592" s="674"/>
      <c r="H592" s="695" t="s">
        <v>46</v>
      </c>
      <c r="I592" s="703">
        <f t="shared" ref="I592:J592" ca="1" si="289">I593</f>
        <v>78677.899999999994</v>
      </c>
      <c r="J592" s="676">
        <f t="shared" ca="1" si="289"/>
        <v>75551.112499999901</v>
      </c>
      <c r="K592" s="677">
        <f t="shared" ref="K592:K594" ca="1" si="290">IF(I592&gt;0,J592*100/I592,0)</f>
        <v>96.025837624034068</v>
      </c>
      <c r="L592" s="678"/>
      <c r="M592" s="678"/>
      <c r="N592" s="678"/>
      <c r="O592" s="678"/>
      <c r="P592" s="6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</row>
    <row r="593" spans="1:26" ht="19.5">
      <c r="A593" s="608"/>
      <c r="B593" s="609"/>
      <c r="C593" s="622" t="s">
        <v>253</v>
      </c>
      <c r="D593" s="609"/>
      <c r="E593" s="609"/>
      <c r="F593" s="619"/>
      <c r="G593" s="175"/>
      <c r="H593" s="192" t="s">
        <v>46</v>
      </c>
      <c r="I593" s="704">
        <f ca="1">IFERROR(__xludf.DUMMYFUNCTION("IMPORTRANGE(""https://docs.google.com/spreadsheets/d/1fb2B9NLcpJgjIieIJvenUTNPn0TimZDUi0OtYeiSQ_s/edit?usp=share_link"",""กาฬสินธุ์!I593"")+IMPORTRANGE(""https://docs.google.com/spreadsheets/d/1SaMnqrwRGmFYNR0MhpWmHuL5niYUd5E7vDq8X7whAlI/edit?usp=share_li"&amp;"nk"",""ขอนแก่น!I593"")
+IMPORTRANGE(""https://docs.google.com/spreadsheets/d/1xQzEtGHhTTgxHh6YUkKY1P4dRyjVhS74dGswLfAASA4/edit?usp=share_link"",""ชัยภูมิ!I593"")+IMPORTRANGE(""https://docs.google.com/spreadsheets/d/1EXMBoBxU3OFbjT2TRpneM33qFjqDzrKmn9ydcfl"&amp;"fI0o/edit?usp=share_link"",""นครพนม!I593"")+IMPORTRANGE(""https://docs.google.com/spreadsheets/d/1bDQrolntRWtHumK8W-x-HXKntwxB9S3sF5aDeRS66Ko/edit?usp=share_link"",""นครราชสีมา!I593"")+IMPORTRANGE(""https://docs.google.com/spreadsheets/d/1_MzZ-2gVPiCW-d2V"&amp;"cafoCmFJQTSrZ6SQyFcMqRRQQ2w/edit?usp=share_link"",""บึงกาฬ!I593"")
+IMPORTRANGE(""https://docs.google.com/spreadsheets/d/1B3lPpzOuaNwVItLwLEZYl_qEblfcx7dRnbRkAw0l-pE/edit?usp=share_link"",""บุรีรัมย์!I593"")+IMPORTRANGE(""https://docs.google.com/spreadshe"&amp;"ets/d/19GOkiOqnzYbevLYWrMk4qFOXe3rX14BkSA8X-mq-a40/edit?usp=share_link"",""มหาสารคาม!I593"")+IMPORTRANGE(""https://docs.google.com/spreadsheets/d/1uMKqWwuNQ-TCKboGA3Bb1qXb5uj2-faACNUINCz8PN4/edit?usp=share_link"",""มุกดาหาร!I593"")+IMPORTRANGE(""https://d"&amp;"ocs.google.com/spreadsheets/d/1oKaccgDdQABndOzGr688Dbfxb_V3YcF67VqEPBtdzsc/edit?usp=share_link"",""ยโสธร!I593"")+IMPORTRANGE(""https://docs.google.com/spreadsheets/d/1BRgc8xKpxZ0PX-gauieMVkV_IOxKSotf0yW8MabGprQ/edit?usp=share_link"",""ร้อยเอ็ด!I593"")+IMP"&amp;"ORTRANGE(""https://docs.google.com/spreadsheets/d/1IdolZc-dfdgMwAm_KZxYJl1sUOcIgnbGQzbWOlddedo/edit?usp=share_link"",""เลย!I593"")+IMPORTRANGE(""https://docs.google.com/spreadsheets/d/1tZ0nmtGuIRCaGAMXHlQU8EpR9LOAJvyKfc4f7EFmE34/edit?usp=share_link"",""ศร"&amp;"ีสะเกษ!I593"")+IMPORTRANGE(""https://docs.google.com/spreadsheets/d/1QC8psz9w0f9IVE9Xuc2FT_btkaOzZbbUSgYObpBuetM/edit?usp=share_link"",""สกลนคร!I593"")+IMPORTRANGE(""https://docs.google.com/spreadsheets/d/1wPdvRbu02d33MYVlbsCnyTiZpefEBs9NNktAnT1HZvw/edit?"&amp;"usp=share_link"",""สุรินทร์!I593"")+IMPORTRANGE(""https://docs.google.com/spreadsheets/d/1GVExpf-Exi_2gmuqTYH28fseTB9MoKPXWcXCbSt_YrM/edit?usp=share_link"",""หนองคาย!I593"")+IMPORTRANGE(""https://docs.google.com/spreadsheets/d/16UeMz0UgOB5BZcoxP75eYGcLFtG"&amp;"YRn9GoesD4OX9m5U/edit?usp=share_link"",""หนองบัวลำภู!I593"")+IMPORTRANGE(""https://docs.google.com/spreadsheets/d/1uUP8Zo1-qaJLuIkRU0qlwLSE3DHkbdrrj2JGJiWBQZE/edit?usp=share_link"",""อำนาจเจริญ!I593"")+IMPORTRANGE(""https://docs.google.com/spreadsheets/d/"&amp;"1hb_taSOHanzRjqfzWPiFo8yiT83VV1L7vvUCLhOiHKc/edit?usp=share_link"",""อุดรธานี!I593"")+IMPORTRANGE(""https://docs.google.com/spreadsheets/d/17IOkEwkUd63EGNfyNDnM5de9YlZ7rwzTiW6-dokVjKI/edit?usp=share_link"",""อุบลราชธานี!I593"")
"),78677.9)</f>
        <v>78677.899999999994</v>
      </c>
      <c r="J593" s="193">
        <f t="shared" ref="J593:J594" ca="1" si="291">J595+J603+J609</f>
        <v>75551.112499999901</v>
      </c>
      <c r="K593" s="411">
        <f t="shared" ca="1" si="290"/>
        <v>96.025837624034068</v>
      </c>
      <c r="L593" s="163"/>
      <c r="M593" s="163"/>
      <c r="N593" s="163"/>
      <c r="O593" s="163"/>
      <c r="P593" s="163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</row>
    <row r="594" spans="1:26" ht="19.5">
      <c r="A594" s="608"/>
      <c r="B594" s="609"/>
      <c r="C594" s="609"/>
      <c r="D594" s="609"/>
      <c r="E594" s="619"/>
      <c r="F594" s="619"/>
      <c r="G594" s="175"/>
      <c r="H594" s="192" t="s">
        <v>34</v>
      </c>
      <c r="I594" s="193">
        <f ca="1">IFERROR(__xludf.DUMMYFUNCTION("IMPORTRANGE(""https://docs.google.com/spreadsheets/d/1fb2B9NLcpJgjIieIJvenUTNPn0TimZDUi0OtYeiSQ_s/edit?usp=share_link"",""กาฬสินธุ์!I594"")+IMPORTRANGE(""https://docs.google.com/spreadsheets/d/1SaMnqrwRGmFYNR0MhpWmHuL5niYUd5E7vDq8X7whAlI/edit?usp=share_li"&amp;"nk"",""ขอนแก่น!I594"")
+IMPORTRANGE(""https://docs.google.com/spreadsheets/d/1xQzEtGHhTTgxHh6YUkKY1P4dRyjVhS74dGswLfAASA4/edit?usp=share_link"",""ชัยภูมิ!I594"")+IMPORTRANGE(""https://docs.google.com/spreadsheets/d/1EXMBoBxU3OFbjT2TRpneM33qFjqDzrKmn9ydcfl"&amp;"fI0o/edit?usp=share_link"",""นครพนม!I594"")+IMPORTRANGE(""https://docs.google.com/spreadsheets/d/1bDQrolntRWtHumK8W-x-HXKntwxB9S3sF5aDeRS66Ko/edit?usp=share_link"",""นครราชสีมา!I594"")+IMPORTRANGE(""https://docs.google.com/spreadsheets/d/1_MzZ-2gVPiCW-d2V"&amp;"cafoCmFJQTSrZ6SQyFcMqRRQQ2w/edit?usp=share_link"",""บึงกาฬ!I594"")
+IMPORTRANGE(""https://docs.google.com/spreadsheets/d/1B3lPpzOuaNwVItLwLEZYl_qEblfcx7dRnbRkAw0l-pE/edit?usp=share_link"",""บุรีรัมย์!I594"")+IMPORTRANGE(""https://docs.google.com/spreadshe"&amp;"ets/d/19GOkiOqnzYbevLYWrMk4qFOXe3rX14BkSA8X-mq-a40/edit?usp=share_link"",""มหาสารคาม!I594"")+IMPORTRANGE(""https://docs.google.com/spreadsheets/d/1uMKqWwuNQ-TCKboGA3Bb1qXb5uj2-faACNUINCz8PN4/edit?usp=share_link"",""มุกดาหาร!I594"")+IMPORTRANGE(""https://d"&amp;"ocs.google.com/spreadsheets/d/1oKaccgDdQABndOzGr688Dbfxb_V3YcF67VqEPBtdzsc/edit?usp=share_link"",""ยโสธร!I594"")+IMPORTRANGE(""https://docs.google.com/spreadsheets/d/1BRgc8xKpxZ0PX-gauieMVkV_IOxKSotf0yW8MabGprQ/edit?usp=share_link"",""ร้อยเอ็ด!I594"")+IMP"&amp;"ORTRANGE(""https://docs.google.com/spreadsheets/d/1IdolZc-dfdgMwAm_KZxYJl1sUOcIgnbGQzbWOlddedo/edit?usp=share_link"",""เลย!I594"")+IMPORTRANGE(""https://docs.google.com/spreadsheets/d/1tZ0nmtGuIRCaGAMXHlQU8EpR9LOAJvyKfc4f7EFmE34/edit?usp=share_link"",""ศร"&amp;"ีสะเกษ!I594"")+IMPORTRANGE(""https://docs.google.com/spreadsheets/d/1QC8psz9w0f9IVE9Xuc2FT_btkaOzZbbUSgYObpBuetM/edit?usp=share_link"",""สกลนคร!I594"")+IMPORTRANGE(""https://docs.google.com/spreadsheets/d/1wPdvRbu02d33MYVlbsCnyTiZpefEBs9NNktAnT1HZvw/edit?"&amp;"usp=share_link"",""สุรินทร์!I594"")+IMPORTRANGE(""https://docs.google.com/spreadsheets/d/1GVExpf-Exi_2gmuqTYH28fseTB9MoKPXWcXCbSt_YrM/edit?usp=share_link"",""หนองคาย!I594"")+IMPORTRANGE(""https://docs.google.com/spreadsheets/d/16UeMz0UgOB5BZcoxP75eYGcLFtG"&amp;"YRn9GoesD4OX9m5U/edit?usp=share_link"",""หนองบัวลำภู!I594"")+IMPORTRANGE(""https://docs.google.com/spreadsheets/d/1uUP8Zo1-qaJLuIkRU0qlwLSE3DHkbdrrj2JGJiWBQZE/edit?usp=share_link"",""อำนาจเจริญ!I594"")+IMPORTRANGE(""https://docs.google.com/spreadsheets/d/"&amp;"1hb_taSOHanzRjqfzWPiFo8yiT83VV1L7vvUCLhOiHKc/edit?usp=share_link"",""อุดรธานี!I594"")+IMPORTRANGE(""https://docs.google.com/spreadsheets/d/17IOkEwkUd63EGNfyNDnM5de9YlZ7rwzTiW6-dokVjKI/edit?usp=share_link"",""อุบลราชธานี!I594"")
"),6904)</f>
        <v>6904</v>
      </c>
      <c r="J594" s="193">
        <f t="shared" ca="1" si="291"/>
        <v>6647</v>
      </c>
      <c r="K594" s="411">
        <f t="shared" ca="1" si="290"/>
        <v>96.277520278099658</v>
      </c>
      <c r="L594" s="163"/>
      <c r="M594" s="163"/>
      <c r="N594" s="163"/>
      <c r="O594" s="163"/>
      <c r="P594" s="163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</row>
    <row r="595" spans="1:26" ht="18.75">
      <c r="A595" s="608"/>
      <c r="B595" s="609"/>
      <c r="C595" s="618" t="s">
        <v>254</v>
      </c>
      <c r="D595" s="609"/>
      <c r="E595" s="609"/>
      <c r="F595" s="619"/>
      <c r="G595" s="175"/>
      <c r="H595" s="182" t="s">
        <v>46</v>
      </c>
      <c r="I595" s="162"/>
      <c r="J595" s="162">
        <f t="shared" ref="J595:J596" ca="1" si="292">J597+J599</f>
        <v>50820.194999999898</v>
      </c>
      <c r="K595" s="163"/>
      <c r="L595" s="163"/>
      <c r="M595" s="163"/>
      <c r="N595" s="163"/>
      <c r="O595" s="163"/>
      <c r="P595" s="163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</row>
    <row r="596" spans="1:26" ht="18.75">
      <c r="A596" s="608"/>
      <c r="B596" s="609"/>
      <c r="C596" s="609"/>
      <c r="D596" s="609"/>
      <c r="E596" s="619"/>
      <c r="F596" s="619"/>
      <c r="G596" s="175"/>
      <c r="H596" s="182" t="s">
        <v>34</v>
      </c>
      <c r="I596" s="162"/>
      <c r="J596" s="162">
        <f t="shared" ca="1" si="292"/>
        <v>5030</v>
      </c>
      <c r="K596" s="163"/>
      <c r="L596" s="163"/>
      <c r="M596" s="163"/>
      <c r="N596" s="163"/>
      <c r="O596" s="163"/>
      <c r="P596" s="163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</row>
    <row r="597" spans="1:26" ht="18.75">
      <c r="A597" s="608"/>
      <c r="B597" s="609"/>
      <c r="C597" s="609"/>
      <c r="D597" s="263" t="s">
        <v>255</v>
      </c>
      <c r="E597" s="619"/>
      <c r="F597" s="619"/>
      <c r="G597" s="175"/>
      <c r="H597" s="182" t="s">
        <v>46</v>
      </c>
      <c r="I597" s="162"/>
      <c r="J597" s="183">
        <f ca="1">IFERROR(__xludf.DUMMYFUNCTION("IMPORTRANGE(""https://docs.google.com/spreadsheets/d/1fb2B9NLcpJgjIieIJvenUTNPn0TimZDUi0OtYeiSQ_s/edit?usp=share_link"",""กาฬสินธุ์!J597"")+IMPORTRANGE(""https://docs.google.com/spreadsheets/d/1SaMnqrwRGmFYNR0MhpWmHuL5niYUd5E7vDq8X7whAlI/edit?usp=share_li"&amp;"nk"",""ขอนแก่น!J597"")
+IMPORTRANGE(""https://docs.google.com/spreadsheets/d/1xQzEtGHhTTgxHh6YUkKY1P4dRyjVhS74dGswLfAASA4/edit?usp=share_link"",""ชัยภูมิ!J597"")+IMPORTRANGE(""https://docs.google.com/spreadsheets/d/1EXMBoBxU3OFbjT2TRpneM33qFjqDzrKmn9ydcfl"&amp;"fI0o/edit?usp=share_link"",""นครพนม!J597"")+IMPORTRANGE(""https://docs.google.com/spreadsheets/d/1bDQrolntRWtHumK8W-x-HXKntwxB9S3sF5aDeRS66Ko/edit?usp=share_link"",""นครราชสีมา!J597"")+IMPORTRANGE(""https://docs.google.com/spreadsheets/d/1_MzZ-2gVPiCW-d2V"&amp;"cafoCmFJQTSrZ6SQyFcMqRRQQ2w/edit?usp=share_link"",""บึงกาฬ!J597"")
+IMPORTRANGE(""https://docs.google.com/spreadsheets/d/1B3lPpzOuaNwVItLwLEZYl_qEblfcx7dRnbRkAw0l-pE/edit?usp=share_link"",""บุรีรัมย์!J597"")+IMPORTRANGE(""https://docs.google.com/spreadshe"&amp;"ets/d/19GOkiOqnzYbevLYWrMk4qFOXe3rX14BkSA8X-mq-a40/edit?usp=share_link"",""มหาสารคาม!J597"")+IMPORTRANGE(""https://docs.google.com/spreadsheets/d/1uMKqWwuNQ-TCKboGA3Bb1qXb5uj2-faACNUINCz8PN4/edit?usp=share_link"",""มุกดาหาร!J597"")+IMPORTRANGE(""https://d"&amp;"ocs.google.com/spreadsheets/d/1oKaccgDdQABndOzGr688Dbfxb_V3YcF67VqEPBtdzsc/edit?usp=share_link"",""ยโสธร!J597"")+IMPORTRANGE(""https://docs.google.com/spreadsheets/d/1BRgc8xKpxZ0PX-gauieMVkV_IOxKSotf0yW8MabGprQ/edit?usp=share_link"",""ร้อยเอ็ด!J597"")+IMP"&amp;"ORTRANGE(""https://docs.google.com/spreadsheets/d/1IdolZc-dfdgMwAm_KZxYJl1sUOcIgnbGQzbWOlddedo/edit?usp=share_link"",""เลย!J597"")+IMPORTRANGE(""https://docs.google.com/spreadsheets/d/1tZ0nmtGuIRCaGAMXHlQU8EpR9LOAJvyKfc4f7EFmE34/edit?usp=share_link"",""ศร"&amp;"ีสะเกษ!J597"")+IMPORTRANGE(""https://docs.google.com/spreadsheets/d/1QC8psz9w0f9IVE9Xuc2FT_btkaOzZbbUSgYObpBuetM/edit?usp=share_link"",""สกลนคร!J597"")+IMPORTRANGE(""https://docs.google.com/spreadsheets/d/1wPdvRbu02d33MYVlbsCnyTiZpefEBs9NNktAnT1HZvw/edit?"&amp;"usp=share_link"",""สุรินทร์!J597"")+IMPORTRANGE(""https://docs.google.com/spreadsheets/d/1GVExpf-Exi_2gmuqTYH28fseTB9MoKPXWcXCbSt_YrM/edit?usp=share_link"",""หนองคาย!J597"")+IMPORTRANGE(""https://docs.google.com/spreadsheets/d/16UeMz0UgOB5BZcoxP75eYGcLFtG"&amp;"YRn9GoesD4OX9m5U/edit?usp=share_link"",""หนองบัวลำภู!J597"")+IMPORTRANGE(""https://docs.google.com/spreadsheets/d/1uUP8Zo1-qaJLuIkRU0qlwLSE3DHkbdrrj2JGJiWBQZE/edit?usp=share_link"",""อำนาจเจริญ!J597"")+IMPORTRANGE(""https://docs.google.com/spreadsheets/d/"&amp;"1hb_taSOHanzRjqfzWPiFo8yiT83VV1L7vvUCLhOiHKc/edit?usp=share_link"",""อุดรธานี!J597"")+IMPORTRANGE(""https://docs.google.com/spreadsheets/d/17IOkEwkUd63EGNfyNDnM5de9YlZ7rwzTiW6-dokVjKI/edit?usp=share_link"",""อุบลราชธานี!J597"")
"),36454.905)</f>
        <v>36454.904999999999</v>
      </c>
      <c r="K597" s="163"/>
      <c r="L597" s="163"/>
      <c r="M597" s="163"/>
      <c r="N597" s="163"/>
      <c r="O597" s="163"/>
      <c r="P597" s="163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</row>
    <row r="598" spans="1:26" ht="18.75">
      <c r="A598" s="608"/>
      <c r="B598" s="609"/>
      <c r="C598" s="609"/>
      <c r="D598" s="609"/>
      <c r="E598" s="619"/>
      <c r="F598" s="619"/>
      <c r="G598" s="175"/>
      <c r="H598" s="182" t="s">
        <v>34</v>
      </c>
      <c r="I598" s="37"/>
      <c r="J598" s="183">
        <f ca="1">IFERROR(__xludf.DUMMYFUNCTION("IMPORTRANGE(""https://docs.google.com/spreadsheets/d/1fb2B9NLcpJgjIieIJvenUTNPn0TimZDUi0OtYeiSQ_s/edit?usp=share_link"",""กาฬสินธุ์!J598"")+IMPORTRANGE(""https://docs.google.com/spreadsheets/d/1SaMnqrwRGmFYNR0MhpWmHuL5niYUd5E7vDq8X7whAlI/edit?usp=share_li"&amp;"nk"",""ขอนแก่น!J598"")
+IMPORTRANGE(""https://docs.google.com/spreadsheets/d/1xQzEtGHhTTgxHh6YUkKY1P4dRyjVhS74dGswLfAASA4/edit?usp=share_link"",""ชัยภูมิ!J598"")+IMPORTRANGE(""https://docs.google.com/spreadsheets/d/1EXMBoBxU3OFbjT2TRpneM33qFjqDzrKmn9ydcfl"&amp;"fI0o/edit?usp=share_link"",""นครพนม!J598"")+IMPORTRANGE(""https://docs.google.com/spreadsheets/d/1bDQrolntRWtHumK8W-x-HXKntwxB9S3sF5aDeRS66Ko/edit?usp=share_link"",""นครราชสีมา!J598"")+IMPORTRANGE(""https://docs.google.com/spreadsheets/d/1_MzZ-2gVPiCW-d2V"&amp;"cafoCmFJQTSrZ6SQyFcMqRRQQ2w/edit?usp=share_link"",""บึงกาฬ!J598"")
+IMPORTRANGE(""https://docs.google.com/spreadsheets/d/1B3lPpzOuaNwVItLwLEZYl_qEblfcx7dRnbRkAw0l-pE/edit?usp=share_link"",""บุรีรัมย์!J598"")+IMPORTRANGE(""https://docs.google.com/spreadshe"&amp;"ets/d/19GOkiOqnzYbevLYWrMk4qFOXe3rX14BkSA8X-mq-a40/edit?usp=share_link"",""มหาสารคาม!J598"")+IMPORTRANGE(""https://docs.google.com/spreadsheets/d/1uMKqWwuNQ-TCKboGA3Bb1qXb5uj2-faACNUINCz8PN4/edit?usp=share_link"",""มุกดาหาร!J598"")+IMPORTRANGE(""https://d"&amp;"ocs.google.com/spreadsheets/d/1oKaccgDdQABndOzGr688Dbfxb_V3YcF67VqEPBtdzsc/edit?usp=share_link"",""ยโสธร!J598"")+IMPORTRANGE(""https://docs.google.com/spreadsheets/d/1BRgc8xKpxZ0PX-gauieMVkV_IOxKSotf0yW8MabGprQ/edit?usp=share_link"",""ร้อยเอ็ด!J598"")+IMP"&amp;"ORTRANGE(""https://docs.google.com/spreadsheets/d/1IdolZc-dfdgMwAm_KZxYJl1sUOcIgnbGQzbWOlddedo/edit?usp=share_link"",""เลย!J598"")+IMPORTRANGE(""https://docs.google.com/spreadsheets/d/1tZ0nmtGuIRCaGAMXHlQU8EpR9LOAJvyKfc4f7EFmE34/edit?usp=share_link"",""ศร"&amp;"ีสะเกษ!J598"")+IMPORTRANGE(""https://docs.google.com/spreadsheets/d/1QC8psz9w0f9IVE9Xuc2FT_btkaOzZbbUSgYObpBuetM/edit?usp=share_link"",""สกลนคร!J598"")+IMPORTRANGE(""https://docs.google.com/spreadsheets/d/1wPdvRbu02d33MYVlbsCnyTiZpefEBs9NNktAnT1HZvw/edit?"&amp;"usp=share_link"",""สุรินทร์!J598"")+IMPORTRANGE(""https://docs.google.com/spreadsheets/d/1GVExpf-Exi_2gmuqTYH28fseTB9MoKPXWcXCbSt_YrM/edit?usp=share_link"",""หนองคาย!J598"")+IMPORTRANGE(""https://docs.google.com/spreadsheets/d/16UeMz0UgOB5BZcoxP75eYGcLFtG"&amp;"YRn9GoesD4OX9m5U/edit?usp=share_link"",""หนองบัวลำภู!J598"")+IMPORTRANGE(""https://docs.google.com/spreadsheets/d/1uUP8Zo1-qaJLuIkRU0qlwLSE3DHkbdrrj2JGJiWBQZE/edit?usp=share_link"",""อำนาจเจริญ!J598"")+IMPORTRANGE(""https://docs.google.com/spreadsheets/d/"&amp;"1hb_taSOHanzRjqfzWPiFo8yiT83VV1L7vvUCLhOiHKc/edit?usp=share_link"",""อุดรธานี!J598"")+IMPORTRANGE(""https://docs.google.com/spreadsheets/d/17IOkEwkUd63EGNfyNDnM5de9YlZ7rwzTiW6-dokVjKI/edit?usp=share_link"",""อุบลราชธานี!J598"")
"),3841)</f>
        <v>3841</v>
      </c>
      <c r="K598" s="163"/>
      <c r="L598" s="163"/>
      <c r="M598" s="163"/>
      <c r="N598" s="163"/>
      <c r="O598" s="163"/>
      <c r="P598" s="163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</row>
    <row r="599" spans="1:26" ht="18.75">
      <c r="A599" s="608"/>
      <c r="B599" s="609"/>
      <c r="C599" s="609"/>
      <c r="D599" s="263" t="s">
        <v>256</v>
      </c>
      <c r="E599" s="619"/>
      <c r="F599" s="619"/>
      <c r="G599" s="175"/>
      <c r="H599" s="182" t="s">
        <v>46</v>
      </c>
      <c r="I599" s="37"/>
      <c r="J599" s="183">
        <f ca="1">IFERROR(__xludf.DUMMYFUNCTION("IMPORTRANGE(""https://docs.google.com/spreadsheets/d/1fb2B9NLcpJgjIieIJvenUTNPn0TimZDUi0OtYeiSQ_s/edit?usp=share_link"",""กาฬสินธุ์!J599"")+IMPORTRANGE(""https://docs.google.com/spreadsheets/d/1SaMnqrwRGmFYNR0MhpWmHuL5niYUd5E7vDq8X7whAlI/edit?usp=share_li"&amp;"nk"",""ขอนแก่น!J599"")
+IMPORTRANGE(""https://docs.google.com/spreadsheets/d/1xQzEtGHhTTgxHh6YUkKY1P4dRyjVhS74dGswLfAASA4/edit?usp=share_link"",""ชัยภูมิ!J599"")+IMPORTRANGE(""https://docs.google.com/spreadsheets/d/1EXMBoBxU3OFbjT2TRpneM33qFjqDzrKmn9ydcfl"&amp;"fI0o/edit?usp=share_link"",""นครพนม!J599"")+IMPORTRANGE(""https://docs.google.com/spreadsheets/d/1bDQrolntRWtHumK8W-x-HXKntwxB9S3sF5aDeRS66Ko/edit?usp=share_link"",""นครราชสีมา!J599"")+IMPORTRANGE(""https://docs.google.com/spreadsheets/d/1_MzZ-2gVPiCW-d2V"&amp;"cafoCmFJQTSrZ6SQyFcMqRRQQ2w/edit?usp=share_link"",""บึงกาฬ!J599"")
+IMPORTRANGE(""https://docs.google.com/spreadsheets/d/1B3lPpzOuaNwVItLwLEZYl_qEblfcx7dRnbRkAw0l-pE/edit?usp=share_link"",""บุรีรัมย์!J599"")+IMPORTRANGE(""https://docs.google.com/spreadshe"&amp;"ets/d/19GOkiOqnzYbevLYWrMk4qFOXe3rX14BkSA8X-mq-a40/edit?usp=share_link"",""มหาสารคาม!J599"")+IMPORTRANGE(""https://docs.google.com/spreadsheets/d/1uMKqWwuNQ-TCKboGA3Bb1qXb5uj2-faACNUINCz8PN4/edit?usp=share_link"",""มุกดาหาร!J599"")+IMPORTRANGE(""https://d"&amp;"ocs.google.com/spreadsheets/d/1oKaccgDdQABndOzGr688Dbfxb_V3YcF67VqEPBtdzsc/edit?usp=share_link"",""ยโสธร!J599"")+IMPORTRANGE(""https://docs.google.com/spreadsheets/d/1BRgc8xKpxZ0PX-gauieMVkV_IOxKSotf0yW8MabGprQ/edit?usp=share_link"",""ร้อยเอ็ด!J599"")+IMP"&amp;"ORTRANGE(""https://docs.google.com/spreadsheets/d/1IdolZc-dfdgMwAm_KZxYJl1sUOcIgnbGQzbWOlddedo/edit?usp=share_link"",""เลย!J599"")+IMPORTRANGE(""https://docs.google.com/spreadsheets/d/1tZ0nmtGuIRCaGAMXHlQU8EpR9LOAJvyKfc4f7EFmE34/edit?usp=share_link"",""ศร"&amp;"ีสะเกษ!J599"")+IMPORTRANGE(""https://docs.google.com/spreadsheets/d/1QC8psz9w0f9IVE9Xuc2FT_btkaOzZbbUSgYObpBuetM/edit?usp=share_link"",""สกลนคร!J599"")+IMPORTRANGE(""https://docs.google.com/spreadsheets/d/1wPdvRbu02d33MYVlbsCnyTiZpefEBs9NNktAnT1HZvw/edit?"&amp;"usp=share_link"",""สุรินทร์!J599"")+IMPORTRANGE(""https://docs.google.com/spreadsheets/d/1GVExpf-Exi_2gmuqTYH28fseTB9MoKPXWcXCbSt_YrM/edit?usp=share_link"",""หนองคาย!J599"")+IMPORTRANGE(""https://docs.google.com/spreadsheets/d/16UeMz0UgOB5BZcoxP75eYGcLFtG"&amp;"YRn9GoesD4OX9m5U/edit?usp=share_link"",""หนองบัวลำภู!J599"")+IMPORTRANGE(""https://docs.google.com/spreadsheets/d/1uUP8Zo1-qaJLuIkRU0qlwLSE3DHkbdrrj2JGJiWBQZE/edit?usp=share_link"",""อำนาจเจริญ!J599"")+IMPORTRANGE(""https://docs.google.com/spreadsheets/d/"&amp;"1hb_taSOHanzRjqfzWPiFo8yiT83VV1L7vvUCLhOiHKc/edit?usp=share_link"",""อุดรธานี!J599"")+IMPORTRANGE(""https://docs.google.com/spreadsheets/d/17IOkEwkUd63EGNfyNDnM5de9YlZ7rwzTiW6-dokVjKI/edit?usp=share_link"",""อุบลราชธานี!J599"")
"),14365.2899999999)</f>
        <v>14365.289999999901</v>
      </c>
      <c r="K599" s="163"/>
      <c r="L599" s="163"/>
      <c r="M599" s="163"/>
      <c r="N599" s="163"/>
      <c r="O599" s="163"/>
      <c r="P599" s="163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</row>
    <row r="600" spans="1:26" ht="18.75">
      <c r="A600" s="608"/>
      <c r="B600" s="609"/>
      <c r="C600" s="609"/>
      <c r="D600" s="609"/>
      <c r="E600" s="619"/>
      <c r="F600" s="619"/>
      <c r="G600" s="175"/>
      <c r="H600" s="182" t="s">
        <v>34</v>
      </c>
      <c r="I600" s="37"/>
      <c r="J600" s="183">
        <f ca="1">IFERROR(__xludf.DUMMYFUNCTION("IMPORTRANGE(""https://docs.google.com/spreadsheets/d/1fb2B9NLcpJgjIieIJvenUTNPn0TimZDUi0OtYeiSQ_s/edit?usp=share_link"",""กาฬสินธุ์!J600"")+IMPORTRANGE(""https://docs.google.com/spreadsheets/d/1SaMnqrwRGmFYNR0MhpWmHuL5niYUd5E7vDq8X7whAlI/edit?usp=share_li"&amp;"nk"",""ขอนแก่น!J600"")
+IMPORTRANGE(""https://docs.google.com/spreadsheets/d/1xQzEtGHhTTgxHh6YUkKY1P4dRyjVhS74dGswLfAASA4/edit?usp=share_link"",""ชัยภูมิ!J600"")+IMPORTRANGE(""https://docs.google.com/spreadsheets/d/1EXMBoBxU3OFbjT2TRpneM33qFjqDzrKmn9ydcfl"&amp;"fI0o/edit?usp=share_link"",""นครพนม!J600"")+IMPORTRANGE(""https://docs.google.com/spreadsheets/d/1bDQrolntRWtHumK8W-x-HXKntwxB9S3sF5aDeRS66Ko/edit?usp=share_link"",""นครราชสีมา!J600"")+IMPORTRANGE(""https://docs.google.com/spreadsheets/d/1_MzZ-2gVPiCW-d2V"&amp;"cafoCmFJQTSrZ6SQyFcMqRRQQ2w/edit?usp=share_link"",""บึงกาฬ!J600"")
+IMPORTRANGE(""https://docs.google.com/spreadsheets/d/1B3lPpzOuaNwVItLwLEZYl_qEblfcx7dRnbRkAw0l-pE/edit?usp=share_link"",""บุรีรัมย์!J600"")+IMPORTRANGE(""https://docs.google.com/spreadshe"&amp;"ets/d/19GOkiOqnzYbevLYWrMk4qFOXe3rX14BkSA8X-mq-a40/edit?usp=share_link"",""มหาสารคาม!J600"")+IMPORTRANGE(""https://docs.google.com/spreadsheets/d/1uMKqWwuNQ-TCKboGA3Bb1qXb5uj2-faACNUINCz8PN4/edit?usp=share_link"",""มุกดาหาร!J600"")+IMPORTRANGE(""https://d"&amp;"ocs.google.com/spreadsheets/d/1oKaccgDdQABndOzGr688Dbfxb_V3YcF67VqEPBtdzsc/edit?usp=share_link"",""ยโสธร!J600"")+IMPORTRANGE(""https://docs.google.com/spreadsheets/d/1BRgc8xKpxZ0PX-gauieMVkV_IOxKSotf0yW8MabGprQ/edit?usp=share_link"",""ร้อยเอ็ด!J600"")+IMP"&amp;"ORTRANGE(""https://docs.google.com/spreadsheets/d/1IdolZc-dfdgMwAm_KZxYJl1sUOcIgnbGQzbWOlddedo/edit?usp=share_link"",""เลย!J600"")+IMPORTRANGE(""https://docs.google.com/spreadsheets/d/1tZ0nmtGuIRCaGAMXHlQU8EpR9LOAJvyKfc4f7EFmE34/edit?usp=share_link"",""ศร"&amp;"ีสะเกษ!J600"")+IMPORTRANGE(""https://docs.google.com/spreadsheets/d/1QC8psz9w0f9IVE9Xuc2FT_btkaOzZbbUSgYObpBuetM/edit?usp=share_link"",""สกลนคร!J600"")+IMPORTRANGE(""https://docs.google.com/spreadsheets/d/1wPdvRbu02d33MYVlbsCnyTiZpefEBs9NNktAnT1HZvw/edit?"&amp;"usp=share_link"",""สุรินทร์!J600"")+IMPORTRANGE(""https://docs.google.com/spreadsheets/d/1GVExpf-Exi_2gmuqTYH28fseTB9MoKPXWcXCbSt_YrM/edit?usp=share_link"",""หนองคาย!J600"")+IMPORTRANGE(""https://docs.google.com/spreadsheets/d/16UeMz0UgOB5BZcoxP75eYGcLFtG"&amp;"YRn9GoesD4OX9m5U/edit?usp=share_link"",""หนองบัวลำภู!J600"")+IMPORTRANGE(""https://docs.google.com/spreadsheets/d/1uUP8Zo1-qaJLuIkRU0qlwLSE3DHkbdrrj2JGJiWBQZE/edit?usp=share_link"",""อำนาจเจริญ!J600"")+IMPORTRANGE(""https://docs.google.com/spreadsheets/d/"&amp;"1hb_taSOHanzRjqfzWPiFo8yiT83VV1L7vvUCLhOiHKc/edit?usp=share_link"",""อุดรธานี!J600"")+IMPORTRANGE(""https://docs.google.com/spreadsheets/d/17IOkEwkUd63EGNfyNDnM5de9YlZ7rwzTiW6-dokVjKI/edit?usp=share_link"",""อุบลราชธานี!J600"")
"),1189)</f>
        <v>1189</v>
      </c>
      <c r="K600" s="163"/>
      <c r="L600" s="163"/>
      <c r="M600" s="163"/>
      <c r="N600" s="163"/>
      <c r="O600" s="163"/>
      <c r="P600" s="163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</row>
    <row r="601" spans="1:26" ht="18.75">
      <c r="A601" s="608"/>
      <c r="B601" s="609"/>
      <c r="C601" s="609"/>
      <c r="D601" s="263" t="s">
        <v>257</v>
      </c>
      <c r="E601" s="619"/>
      <c r="F601" s="619"/>
      <c r="G601" s="175"/>
      <c r="H601" s="182" t="s">
        <v>46</v>
      </c>
      <c r="I601" s="37"/>
      <c r="J601" s="183">
        <f ca="1">IFERROR(__xludf.DUMMYFUNCTION("IMPORTRANGE(""https://docs.google.com/spreadsheets/d/1fb2B9NLcpJgjIieIJvenUTNPn0TimZDUi0OtYeiSQ_s/edit?usp=share_link"",""กาฬสินธุ์!J601"")+IMPORTRANGE(""https://docs.google.com/spreadsheets/d/1SaMnqrwRGmFYNR0MhpWmHuL5niYUd5E7vDq8X7whAlI/edit?usp=share_li"&amp;"nk"",""ขอนแก่น!J601"")
+IMPORTRANGE(""https://docs.google.com/spreadsheets/d/1xQzEtGHhTTgxHh6YUkKY1P4dRyjVhS74dGswLfAASA4/edit?usp=share_link"",""ชัยภูมิ!J601"")+IMPORTRANGE(""https://docs.google.com/spreadsheets/d/1EXMBoBxU3OFbjT2TRpneM33qFjqDzrKmn9ydcfl"&amp;"fI0o/edit?usp=share_link"",""นครพนม!J601"")+IMPORTRANGE(""https://docs.google.com/spreadsheets/d/1bDQrolntRWtHumK8W-x-HXKntwxB9S3sF5aDeRS66Ko/edit?usp=share_link"",""นครราชสีมา!J601"")+IMPORTRANGE(""https://docs.google.com/spreadsheets/d/1_MzZ-2gVPiCW-d2V"&amp;"cafoCmFJQTSrZ6SQyFcMqRRQQ2w/edit?usp=share_link"",""บึงกาฬ!J601"")
+IMPORTRANGE(""https://docs.google.com/spreadsheets/d/1B3lPpzOuaNwVItLwLEZYl_qEblfcx7dRnbRkAw0l-pE/edit?usp=share_link"",""บุรีรัมย์!J601"")+IMPORTRANGE(""https://docs.google.com/spreadshe"&amp;"ets/d/19GOkiOqnzYbevLYWrMk4qFOXe3rX14BkSA8X-mq-a40/edit?usp=share_link"",""มหาสารคาม!J601"")+IMPORTRANGE(""https://docs.google.com/spreadsheets/d/1uMKqWwuNQ-TCKboGA3Bb1qXb5uj2-faACNUINCz8PN4/edit?usp=share_link"",""มุกดาหาร!J601"")+IMPORTRANGE(""https://d"&amp;"ocs.google.com/spreadsheets/d/1oKaccgDdQABndOzGr688Dbfxb_V3YcF67VqEPBtdzsc/edit?usp=share_link"",""ยโสธร!J601"")+IMPORTRANGE(""https://docs.google.com/spreadsheets/d/1BRgc8xKpxZ0PX-gauieMVkV_IOxKSotf0yW8MabGprQ/edit?usp=share_link"",""ร้อยเอ็ด!J601"")+IMP"&amp;"ORTRANGE(""https://docs.google.com/spreadsheets/d/1IdolZc-dfdgMwAm_KZxYJl1sUOcIgnbGQzbWOlddedo/edit?usp=share_link"",""เลย!J601"")+IMPORTRANGE(""https://docs.google.com/spreadsheets/d/1tZ0nmtGuIRCaGAMXHlQU8EpR9LOAJvyKfc4f7EFmE34/edit?usp=share_link"",""ศร"&amp;"ีสะเกษ!J601"")+IMPORTRANGE(""https://docs.google.com/spreadsheets/d/1QC8psz9w0f9IVE9Xuc2FT_btkaOzZbbUSgYObpBuetM/edit?usp=share_link"",""สกลนคร!J601"")+IMPORTRANGE(""https://docs.google.com/spreadsheets/d/1wPdvRbu02d33MYVlbsCnyTiZpefEBs9NNktAnT1HZvw/edit?"&amp;"usp=share_link"",""สุรินทร์!J601"")+IMPORTRANGE(""https://docs.google.com/spreadsheets/d/1GVExpf-Exi_2gmuqTYH28fseTB9MoKPXWcXCbSt_YrM/edit?usp=share_link"",""หนองคาย!J601"")+IMPORTRANGE(""https://docs.google.com/spreadsheets/d/16UeMz0UgOB5BZcoxP75eYGcLFtG"&amp;"YRn9GoesD4OX9m5U/edit?usp=share_link"",""หนองบัวลำภู!J601"")+IMPORTRANGE(""https://docs.google.com/spreadsheets/d/1uUP8Zo1-qaJLuIkRU0qlwLSE3DHkbdrrj2JGJiWBQZE/edit?usp=share_link"",""อำนาจเจริญ!J601"")+IMPORTRANGE(""https://docs.google.com/spreadsheets/d/"&amp;"1hb_taSOHanzRjqfzWPiFo8yiT83VV1L7vvUCLhOiHKc/edit?usp=share_link"",""อุดรธานี!J601"")+IMPORTRANGE(""https://docs.google.com/spreadsheets/d/17IOkEwkUd63EGNfyNDnM5de9YlZ7rwzTiW6-dokVjKI/edit?usp=share_link"",""อุบลราชธานี!J601"")
"),2491.975)</f>
        <v>2491.9749999999999</v>
      </c>
      <c r="K601" s="163"/>
      <c r="L601" s="163"/>
      <c r="M601" s="163"/>
      <c r="N601" s="163"/>
      <c r="O601" s="163"/>
      <c r="P601" s="163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</row>
    <row r="602" spans="1:26" ht="18.75">
      <c r="A602" s="608"/>
      <c r="B602" s="609"/>
      <c r="C602" s="609"/>
      <c r="D602" s="609"/>
      <c r="E602" s="619"/>
      <c r="F602" s="619"/>
      <c r="G602" s="175"/>
      <c r="H602" s="182" t="s">
        <v>34</v>
      </c>
      <c r="I602" s="37"/>
      <c r="J602" s="183">
        <f ca="1">IFERROR(__xludf.DUMMYFUNCTION("IMPORTRANGE(""https://docs.google.com/spreadsheets/d/1fb2B9NLcpJgjIieIJvenUTNPn0TimZDUi0OtYeiSQ_s/edit?usp=share_link"",""กาฬสินธุ์!J602"")+IMPORTRANGE(""https://docs.google.com/spreadsheets/d/1SaMnqrwRGmFYNR0MhpWmHuL5niYUd5E7vDq8X7whAlI/edit?usp=share_li"&amp;"nk"",""ขอนแก่น!J602"")
+IMPORTRANGE(""https://docs.google.com/spreadsheets/d/1xQzEtGHhTTgxHh6YUkKY1P4dRyjVhS74dGswLfAASA4/edit?usp=share_link"",""ชัยภูมิ!J602"")+IMPORTRANGE(""https://docs.google.com/spreadsheets/d/1EXMBoBxU3OFbjT2TRpneM33qFjqDzrKmn9ydcfl"&amp;"fI0o/edit?usp=share_link"",""นครพนม!J602"")+IMPORTRANGE(""https://docs.google.com/spreadsheets/d/1bDQrolntRWtHumK8W-x-HXKntwxB9S3sF5aDeRS66Ko/edit?usp=share_link"",""นครราชสีมา!J602"")+IMPORTRANGE(""https://docs.google.com/spreadsheets/d/1_MzZ-2gVPiCW-d2V"&amp;"cafoCmFJQTSrZ6SQyFcMqRRQQ2w/edit?usp=share_link"",""บึงกาฬ!J602"")
+IMPORTRANGE(""https://docs.google.com/spreadsheets/d/1B3lPpzOuaNwVItLwLEZYl_qEblfcx7dRnbRkAw0l-pE/edit?usp=share_link"",""บุรีรัมย์!J602"")+IMPORTRANGE(""https://docs.google.com/spreadshe"&amp;"ets/d/19GOkiOqnzYbevLYWrMk4qFOXe3rX14BkSA8X-mq-a40/edit?usp=share_link"",""มหาสารคาม!J602"")+IMPORTRANGE(""https://docs.google.com/spreadsheets/d/1uMKqWwuNQ-TCKboGA3Bb1qXb5uj2-faACNUINCz8PN4/edit?usp=share_link"",""มุกดาหาร!J602"")+IMPORTRANGE(""https://d"&amp;"ocs.google.com/spreadsheets/d/1oKaccgDdQABndOzGr688Dbfxb_V3YcF67VqEPBtdzsc/edit?usp=share_link"",""ยโสธร!J602"")+IMPORTRANGE(""https://docs.google.com/spreadsheets/d/1BRgc8xKpxZ0PX-gauieMVkV_IOxKSotf0yW8MabGprQ/edit?usp=share_link"",""ร้อยเอ็ด!J602"")+IMP"&amp;"ORTRANGE(""https://docs.google.com/spreadsheets/d/1IdolZc-dfdgMwAm_KZxYJl1sUOcIgnbGQzbWOlddedo/edit?usp=share_link"",""เลย!J602"")+IMPORTRANGE(""https://docs.google.com/spreadsheets/d/1tZ0nmtGuIRCaGAMXHlQU8EpR9LOAJvyKfc4f7EFmE34/edit?usp=share_link"",""ศร"&amp;"ีสะเกษ!J602"")+IMPORTRANGE(""https://docs.google.com/spreadsheets/d/1QC8psz9w0f9IVE9Xuc2FT_btkaOzZbbUSgYObpBuetM/edit?usp=share_link"",""สกลนคร!J602"")+IMPORTRANGE(""https://docs.google.com/spreadsheets/d/1wPdvRbu02d33MYVlbsCnyTiZpefEBs9NNktAnT1HZvw/edit?"&amp;"usp=share_link"",""สุรินทร์!J602"")+IMPORTRANGE(""https://docs.google.com/spreadsheets/d/1GVExpf-Exi_2gmuqTYH28fseTB9MoKPXWcXCbSt_YrM/edit?usp=share_link"",""หนองคาย!J602"")+IMPORTRANGE(""https://docs.google.com/spreadsheets/d/16UeMz0UgOB5BZcoxP75eYGcLFtG"&amp;"YRn9GoesD4OX9m5U/edit?usp=share_link"",""หนองบัวลำภู!J602"")+IMPORTRANGE(""https://docs.google.com/spreadsheets/d/1uUP8Zo1-qaJLuIkRU0qlwLSE3DHkbdrrj2JGJiWBQZE/edit?usp=share_link"",""อำนาจเจริญ!J602"")+IMPORTRANGE(""https://docs.google.com/spreadsheets/d/"&amp;"1hb_taSOHanzRjqfzWPiFo8yiT83VV1L7vvUCLhOiHKc/edit?usp=share_link"",""อุดรธานี!J602"")+IMPORTRANGE(""https://docs.google.com/spreadsheets/d/17IOkEwkUd63EGNfyNDnM5de9YlZ7rwzTiW6-dokVjKI/edit?usp=share_link"",""อุบลราชธานี!J602"")
"),144)</f>
        <v>144</v>
      </c>
      <c r="K602" s="163"/>
      <c r="L602" s="163"/>
      <c r="M602" s="163"/>
      <c r="N602" s="163"/>
      <c r="O602" s="163"/>
      <c r="P602" s="163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</row>
    <row r="603" spans="1:26" ht="18.75">
      <c r="A603" s="608"/>
      <c r="B603" s="609"/>
      <c r="C603" s="705" t="s">
        <v>258</v>
      </c>
      <c r="D603" s="609"/>
      <c r="E603" s="609"/>
      <c r="F603" s="619"/>
      <c r="G603" s="175"/>
      <c r="H603" s="182" t="s">
        <v>46</v>
      </c>
      <c r="I603" s="37"/>
      <c r="J603" s="37">
        <f t="shared" ref="J603:J604" ca="1" si="293">J605+J607</f>
        <v>23824.69249999999</v>
      </c>
      <c r="K603" s="163"/>
      <c r="L603" s="163"/>
      <c r="M603" s="163"/>
      <c r="N603" s="163"/>
      <c r="O603" s="163"/>
      <c r="P603" s="163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</row>
    <row r="604" spans="1:26" ht="18.75">
      <c r="A604" s="608"/>
      <c r="B604" s="609"/>
      <c r="C604" s="609"/>
      <c r="D604" s="609"/>
      <c r="E604" s="619"/>
      <c r="F604" s="619"/>
      <c r="G604" s="175"/>
      <c r="H604" s="182" t="s">
        <v>34</v>
      </c>
      <c r="I604" s="37"/>
      <c r="J604" s="37">
        <f t="shared" ca="1" si="293"/>
        <v>1535</v>
      </c>
      <c r="K604" s="163"/>
      <c r="L604" s="163"/>
      <c r="M604" s="163"/>
      <c r="N604" s="163"/>
      <c r="O604" s="163"/>
      <c r="P604" s="163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</row>
    <row r="605" spans="1:26" ht="18.75">
      <c r="A605" s="608"/>
      <c r="B605" s="609"/>
      <c r="C605" s="609"/>
      <c r="D605" s="705" t="s">
        <v>259</v>
      </c>
      <c r="E605" s="619"/>
      <c r="F605" s="619"/>
      <c r="G605" s="175"/>
      <c r="H605" s="182" t="s">
        <v>46</v>
      </c>
      <c r="I605" s="37"/>
      <c r="J605" s="183">
        <f ca="1">IFERROR(__xludf.DUMMYFUNCTION("IMPORTRANGE(""https://docs.google.com/spreadsheets/d/1fb2B9NLcpJgjIieIJvenUTNPn0TimZDUi0OtYeiSQ_s/edit?usp=share_link"",""กาฬสินธุ์!J605"")+IMPORTRANGE(""https://docs.google.com/spreadsheets/d/1SaMnqrwRGmFYNR0MhpWmHuL5niYUd5E7vDq8X7whAlI/edit?usp=share_li"&amp;"nk"",""ขอนแก่น!J605"")
+IMPORTRANGE(""https://docs.google.com/spreadsheets/d/1xQzEtGHhTTgxHh6YUkKY1P4dRyjVhS74dGswLfAASA4/edit?usp=share_link"",""ชัยภูมิ!J605"")+IMPORTRANGE(""https://docs.google.com/spreadsheets/d/1EXMBoBxU3OFbjT2TRpneM33qFjqDzrKmn9ydcfl"&amp;"fI0o/edit?usp=share_link"",""นครพนม!J605"")+IMPORTRANGE(""https://docs.google.com/spreadsheets/d/1bDQrolntRWtHumK8W-x-HXKntwxB9S3sF5aDeRS66Ko/edit?usp=share_link"",""นครราชสีมา!J605"")+IMPORTRANGE(""https://docs.google.com/spreadsheets/d/1_MzZ-2gVPiCW-d2V"&amp;"cafoCmFJQTSrZ6SQyFcMqRRQQ2w/edit?usp=share_link"",""บึงกาฬ!J605"")
+IMPORTRANGE(""https://docs.google.com/spreadsheets/d/1B3lPpzOuaNwVItLwLEZYl_qEblfcx7dRnbRkAw0l-pE/edit?usp=share_link"",""บุรีรัมย์!J605"")+IMPORTRANGE(""https://docs.google.com/spreadshe"&amp;"ets/d/19GOkiOqnzYbevLYWrMk4qFOXe3rX14BkSA8X-mq-a40/edit?usp=share_link"",""มหาสารคาม!J605"")+IMPORTRANGE(""https://docs.google.com/spreadsheets/d/1uMKqWwuNQ-TCKboGA3Bb1qXb5uj2-faACNUINCz8PN4/edit?usp=share_link"",""มุกดาหาร!J605"")+IMPORTRANGE(""https://d"&amp;"ocs.google.com/spreadsheets/d/1oKaccgDdQABndOzGr688Dbfxb_V3YcF67VqEPBtdzsc/edit?usp=share_link"",""ยโสธร!J605"")+IMPORTRANGE(""https://docs.google.com/spreadsheets/d/1BRgc8xKpxZ0PX-gauieMVkV_IOxKSotf0yW8MabGprQ/edit?usp=share_link"",""ร้อยเอ็ด!J605"")+IMP"&amp;"ORTRANGE(""https://docs.google.com/spreadsheets/d/1IdolZc-dfdgMwAm_KZxYJl1sUOcIgnbGQzbWOlddedo/edit?usp=share_link"",""เลย!J605"")+IMPORTRANGE(""https://docs.google.com/spreadsheets/d/1tZ0nmtGuIRCaGAMXHlQU8EpR9LOAJvyKfc4f7EFmE34/edit?usp=share_link"",""ศร"&amp;"ีสะเกษ!J605"")+IMPORTRANGE(""https://docs.google.com/spreadsheets/d/1QC8psz9w0f9IVE9Xuc2FT_btkaOzZbbUSgYObpBuetM/edit?usp=share_link"",""สกลนคร!J605"")+IMPORTRANGE(""https://docs.google.com/spreadsheets/d/1wPdvRbu02d33MYVlbsCnyTiZpefEBs9NNktAnT1HZvw/edit?"&amp;"usp=share_link"",""สุรินทร์!J605"")+IMPORTRANGE(""https://docs.google.com/spreadsheets/d/1GVExpf-Exi_2gmuqTYH28fseTB9MoKPXWcXCbSt_YrM/edit?usp=share_link"",""หนองคาย!J605"")+IMPORTRANGE(""https://docs.google.com/spreadsheets/d/16UeMz0UgOB5BZcoxP75eYGcLFtG"&amp;"YRn9GoesD4OX9m5U/edit?usp=share_link"",""หนองบัวลำภู!J605"")+IMPORTRANGE(""https://docs.google.com/spreadsheets/d/1uUP8Zo1-qaJLuIkRU0qlwLSE3DHkbdrrj2JGJiWBQZE/edit?usp=share_link"",""อำนาจเจริญ!J605"")+IMPORTRANGE(""https://docs.google.com/spreadsheets/d/"&amp;"1hb_taSOHanzRjqfzWPiFo8yiT83VV1L7vvUCLhOiHKc/edit?usp=share_link"",""อุดรธานี!J605"")+IMPORTRANGE(""https://docs.google.com/spreadsheets/d/17IOkEwkUd63EGNfyNDnM5de9YlZ7rwzTiW6-dokVjKI/edit?usp=share_link"",""อุบลราชธานี!J605"")
"),14881.18)</f>
        <v>14881.18</v>
      </c>
      <c r="K605" s="163"/>
      <c r="L605" s="163"/>
      <c r="M605" s="163"/>
      <c r="N605" s="163"/>
      <c r="O605" s="163"/>
      <c r="P605" s="163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</row>
    <row r="606" spans="1:26" ht="18.75">
      <c r="A606" s="608"/>
      <c r="B606" s="609"/>
      <c r="C606" s="609"/>
      <c r="D606" s="609"/>
      <c r="E606" s="609"/>
      <c r="F606" s="619"/>
      <c r="G606" s="175"/>
      <c r="H606" s="182" t="s">
        <v>34</v>
      </c>
      <c r="I606" s="37"/>
      <c r="J606" s="183">
        <f ca="1">IFERROR(__xludf.DUMMYFUNCTION("IMPORTRANGE(""https://docs.google.com/spreadsheets/d/1fb2B9NLcpJgjIieIJvenUTNPn0TimZDUi0OtYeiSQ_s/edit?usp=share_link"",""กาฬสินธุ์!J606"")+IMPORTRANGE(""https://docs.google.com/spreadsheets/d/1SaMnqrwRGmFYNR0MhpWmHuL5niYUd5E7vDq8X7whAlI/edit?usp=share_li"&amp;"nk"",""ขอนแก่น!J606"")
+IMPORTRANGE(""https://docs.google.com/spreadsheets/d/1xQzEtGHhTTgxHh6YUkKY1P4dRyjVhS74dGswLfAASA4/edit?usp=share_link"",""ชัยภูมิ!J606"")+IMPORTRANGE(""https://docs.google.com/spreadsheets/d/1EXMBoBxU3OFbjT2TRpneM33qFjqDzrKmn9ydcfl"&amp;"fI0o/edit?usp=share_link"",""นครพนม!J606"")+IMPORTRANGE(""https://docs.google.com/spreadsheets/d/1bDQrolntRWtHumK8W-x-HXKntwxB9S3sF5aDeRS66Ko/edit?usp=share_link"",""นครราชสีมา!J606"")+IMPORTRANGE(""https://docs.google.com/spreadsheets/d/1_MzZ-2gVPiCW-d2V"&amp;"cafoCmFJQTSrZ6SQyFcMqRRQQ2w/edit?usp=share_link"",""บึงกาฬ!J606"")
+IMPORTRANGE(""https://docs.google.com/spreadsheets/d/1B3lPpzOuaNwVItLwLEZYl_qEblfcx7dRnbRkAw0l-pE/edit?usp=share_link"",""บุรีรัมย์!J606"")+IMPORTRANGE(""https://docs.google.com/spreadshe"&amp;"ets/d/19GOkiOqnzYbevLYWrMk4qFOXe3rX14BkSA8X-mq-a40/edit?usp=share_link"",""มหาสารคาม!J606"")+IMPORTRANGE(""https://docs.google.com/spreadsheets/d/1uMKqWwuNQ-TCKboGA3Bb1qXb5uj2-faACNUINCz8PN4/edit?usp=share_link"",""มุกดาหาร!J606"")+IMPORTRANGE(""https://d"&amp;"ocs.google.com/spreadsheets/d/1oKaccgDdQABndOzGr688Dbfxb_V3YcF67VqEPBtdzsc/edit?usp=share_link"",""ยโสธร!J606"")+IMPORTRANGE(""https://docs.google.com/spreadsheets/d/1BRgc8xKpxZ0PX-gauieMVkV_IOxKSotf0yW8MabGprQ/edit?usp=share_link"",""ร้อยเอ็ด!J606"")+IMP"&amp;"ORTRANGE(""https://docs.google.com/spreadsheets/d/1IdolZc-dfdgMwAm_KZxYJl1sUOcIgnbGQzbWOlddedo/edit?usp=share_link"",""เลย!J606"")+IMPORTRANGE(""https://docs.google.com/spreadsheets/d/1tZ0nmtGuIRCaGAMXHlQU8EpR9LOAJvyKfc4f7EFmE34/edit?usp=share_link"",""ศร"&amp;"ีสะเกษ!J606"")+IMPORTRANGE(""https://docs.google.com/spreadsheets/d/1QC8psz9w0f9IVE9Xuc2FT_btkaOzZbbUSgYObpBuetM/edit?usp=share_link"",""สกลนคร!J606"")+IMPORTRANGE(""https://docs.google.com/spreadsheets/d/1wPdvRbu02d33MYVlbsCnyTiZpefEBs9NNktAnT1HZvw/edit?"&amp;"usp=share_link"",""สุรินทร์!J606"")+IMPORTRANGE(""https://docs.google.com/spreadsheets/d/1GVExpf-Exi_2gmuqTYH28fseTB9MoKPXWcXCbSt_YrM/edit?usp=share_link"",""หนองคาย!J606"")+IMPORTRANGE(""https://docs.google.com/spreadsheets/d/16UeMz0UgOB5BZcoxP75eYGcLFtG"&amp;"YRn9GoesD4OX9m5U/edit?usp=share_link"",""หนองบัวลำภู!J606"")+IMPORTRANGE(""https://docs.google.com/spreadsheets/d/1uUP8Zo1-qaJLuIkRU0qlwLSE3DHkbdrrj2JGJiWBQZE/edit?usp=share_link"",""อำนาจเจริญ!J606"")+IMPORTRANGE(""https://docs.google.com/spreadsheets/d/"&amp;"1hb_taSOHanzRjqfzWPiFo8yiT83VV1L7vvUCLhOiHKc/edit?usp=share_link"",""อุดรธานี!J606"")+IMPORTRANGE(""https://docs.google.com/spreadsheets/d/17IOkEwkUd63EGNfyNDnM5de9YlZ7rwzTiW6-dokVjKI/edit?usp=share_link"",""อุบลราชธานี!J606"")
"),1048)</f>
        <v>1048</v>
      </c>
      <c r="K606" s="163"/>
      <c r="L606" s="163"/>
      <c r="M606" s="163"/>
      <c r="N606" s="163"/>
      <c r="O606" s="163"/>
      <c r="P606" s="163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</row>
    <row r="607" spans="1:26" ht="18.75">
      <c r="A607" s="608"/>
      <c r="B607" s="609"/>
      <c r="C607" s="609"/>
      <c r="D607" s="705" t="s">
        <v>260</v>
      </c>
      <c r="E607" s="609"/>
      <c r="F607" s="619"/>
      <c r="G607" s="175"/>
      <c r="H607" s="182" t="s">
        <v>46</v>
      </c>
      <c r="I607" s="37"/>
      <c r="J607" s="183">
        <f ca="1">IFERROR(__xludf.DUMMYFUNCTION("IMPORTRANGE(""https://docs.google.com/spreadsheets/d/1fb2B9NLcpJgjIieIJvenUTNPn0TimZDUi0OtYeiSQ_s/edit?usp=share_link"",""กาฬสินธุ์!J607"")+IMPORTRANGE(""https://docs.google.com/spreadsheets/d/1SaMnqrwRGmFYNR0MhpWmHuL5niYUd5E7vDq8X7whAlI/edit?usp=share_li"&amp;"nk"",""ขอนแก่น!J607"")
+IMPORTRANGE(""https://docs.google.com/spreadsheets/d/1xQzEtGHhTTgxHh6YUkKY1P4dRyjVhS74dGswLfAASA4/edit?usp=share_link"",""ชัยภูมิ!J607"")+IMPORTRANGE(""https://docs.google.com/spreadsheets/d/1EXMBoBxU3OFbjT2TRpneM33qFjqDzrKmn9ydcfl"&amp;"fI0o/edit?usp=share_link"",""นครพนม!J607"")+IMPORTRANGE(""https://docs.google.com/spreadsheets/d/1bDQrolntRWtHumK8W-x-HXKntwxB9S3sF5aDeRS66Ko/edit?usp=share_link"",""นครราชสีมา!J607"")+IMPORTRANGE(""https://docs.google.com/spreadsheets/d/1_MzZ-2gVPiCW-d2V"&amp;"cafoCmFJQTSrZ6SQyFcMqRRQQ2w/edit?usp=share_link"",""บึงกาฬ!J607"")
+IMPORTRANGE(""https://docs.google.com/spreadsheets/d/1B3lPpzOuaNwVItLwLEZYl_qEblfcx7dRnbRkAw0l-pE/edit?usp=share_link"",""บุรีรัมย์!J607"")+IMPORTRANGE(""https://docs.google.com/spreadshe"&amp;"ets/d/19GOkiOqnzYbevLYWrMk4qFOXe3rX14BkSA8X-mq-a40/edit?usp=share_link"",""มหาสารคาม!J607"")+IMPORTRANGE(""https://docs.google.com/spreadsheets/d/1uMKqWwuNQ-TCKboGA3Bb1qXb5uj2-faACNUINCz8PN4/edit?usp=share_link"",""มุกดาหาร!J607"")+IMPORTRANGE(""https://d"&amp;"ocs.google.com/spreadsheets/d/1oKaccgDdQABndOzGr688Dbfxb_V3YcF67VqEPBtdzsc/edit?usp=share_link"",""ยโสธร!J607"")+IMPORTRANGE(""https://docs.google.com/spreadsheets/d/1BRgc8xKpxZ0PX-gauieMVkV_IOxKSotf0yW8MabGprQ/edit?usp=share_link"",""ร้อยเอ็ด!J607"")+IMP"&amp;"ORTRANGE(""https://docs.google.com/spreadsheets/d/1IdolZc-dfdgMwAm_KZxYJl1sUOcIgnbGQzbWOlddedo/edit?usp=share_link"",""เลย!J607"")+IMPORTRANGE(""https://docs.google.com/spreadsheets/d/1tZ0nmtGuIRCaGAMXHlQU8EpR9LOAJvyKfc4f7EFmE34/edit?usp=share_link"",""ศร"&amp;"ีสะเกษ!J607"")+IMPORTRANGE(""https://docs.google.com/spreadsheets/d/1QC8psz9w0f9IVE9Xuc2FT_btkaOzZbbUSgYObpBuetM/edit?usp=share_link"",""สกลนคร!J607"")+IMPORTRANGE(""https://docs.google.com/spreadsheets/d/1wPdvRbu02d33MYVlbsCnyTiZpefEBs9NNktAnT1HZvw/edit?"&amp;"usp=share_link"",""สุรินทร์!J607"")+IMPORTRANGE(""https://docs.google.com/spreadsheets/d/1GVExpf-Exi_2gmuqTYH28fseTB9MoKPXWcXCbSt_YrM/edit?usp=share_link"",""หนองคาย!J607"")+IMPORTRANGE(""https://docs.google.com/spreadsheets/d/16UeMz0UgOB5BZcoxP75eYGcLFtG"&amp;"YRn9GoesD4OX9m5U/edit?usp=share_link"",""หนองบัวลำภู!J607"")+IMPORTRANGE(""https://docs.google.com/spreadsheets/d/1uUP8Zo1-qaJLuIkRU0qlwLSE3DHkbdrrj2JGJiWBQZE/edit?usp=share_link"",""อำนาจเจริญ!J607"")+IMPORTRANGE(""https://docs.google.com/spreadsheets/d/"&amp;"1hb_taSOHanzRjqfzWPiFo8yiT83VV1L7vvUCLhOiHKc/edit?usp=share_link"",""อุดรธานี!J607"")+IMPORTRANGE(""https://docs.google.com/spreadsheets/d/17IOkEwkUd63EGNfyNDnM5de9YlZ7rwzTiW6-dokVjKI/edit?usp=share_link"",""อุบลราชธานี!J607"")
"),8943.51249999999)</f>
        <v>8943.5124999999898</v>
      </c>
      <c r="K607" s="163"/>
      <c r="L607" s="163"/>
      <c r="M607" s="163"/>
      <c r="N607" s="163"/>
      <c r="O607" s="163"/>
      <c r="P607" s="163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</row>
    <row r="608" spans="1:26" ht="18.75">
      <c r="A608" s="608"/>
      <c r="B608" s="609"/>
      <c r="C608" s="609"/>
      <c r="D608" s="609"/>
      <c r="E608" s="619"/>
      <c r="F608" s="619"/>
      <c r="G608" s="175"/>
      <c r="H608" s="182" t="s">
        <v>34</v>
      </c>
      <c r="I608" s="37"/>
      <c r="J608" s="183">
        <f ca="1">IFERROR(__xludf.DUMMYFUNCTION("IMPORTRANGE(""https://docs.google.com/spreadsheets/d/1fb2B9NLcpJgjIieIJvenUTNPn0TimZDUi0OtYeiSQ_s/edit?usp=share_link"",""กาฬสินธุ์!J608"")+IMPORTRANGE(""https://docs.google.com/spreadsheets/d/1SaMnqrwRGmFYNR0MhpWmHuL5niYUd5E7vDq8X7whAlI/edit?usp=share_li"&amp;"nk"",""ขอนแก่น!J608"")
+IMPORTRANGE(""https://docs.google.com/spreadsheets/d/1xQzEtGHhTTgxHh6YUkKY1P4dRyjVhS74dGswLfAASA4/edit?usp=share_link"",""ชัยภูมิ!J608"")+IMPORTRANGE(""https://docs.google.com/spreadsheets/d/1EXMBoBxU3OFbjT2TRpneM33qFjqDzrKmn9ydcfl"&amp;"fI0o/edit?usp=share_link"",""นครพนม!J608"")+IMPORTRANGE(""https://docs.google.com/spreadsheets/d/1bDQrolntRWtHumK8W-x-HXKntwxB9S3sF5aDeRS66Ko/edit?usp=share_link"",""นครราชสีมา!J608"")+IMPORTRANGE(""https://docs.google.com/spreadsheets/d/1_MzZ-2gVPiCW-d2V"&amp;"cafoCmFJQTSrZ6SQyFcMqRRQQ2w/edit?usp=share_link"",""บึงกาฬ!J608"")
+IMPORTRANGE(""https://docs.google.com/spreadsheets/d/1B3lPpzOuaNwVItLwLEZYl_qEblfcx7dRnbRkAw0l-pE/edit?usp=share_link"",""บุรีรัมย์!J608"")+IMPORTRANGE(""https://docs.google.com/spreadshe"&amp;"ets/d/19GOkiOqnzYbevLYWrMk4qFOXe3rX14BkSA8X-mq-a40/edit?usp=share_link"",""มหาสารคาม!J608"")+IMPORTRANGE(""https://docs.google.com/spreadsheets/d/1uMKqWwuNQ-TCKboGA3Bb1qXb5uj2-faACNUINCz8PN4/edit?usp=share_link"",""มุกดาหาร!J608"")+IMPORTRANGE(""https://d"&amp;"ocs.google.com/spreadsheets/d/1oKaccgDdQABndOzGr688Dbfxb_V3YcF67VqEPBtdzsc/edit?usp=share_link"",""ยโสธร!J608"")+IMPORTRANGE(""https://docs.google.com/spreadsheets/d/1BRgc8xKpxZ0PX-gauieMVkV_IOxKSotf0yW8MabGprQ/edit?usp=share_link"",""ร้อยเอ็ด!J608"")+IMP"&amp;"ORTRANGE(""https://docs.google.com/spreadsheets/d/1IdolZc-dfdgMwAm_KZxYJl1sUOcIgnbGQzbWOlddedo/edit?usp=share_link"",""เลย!J608"")+IMPORTRANGE(""https://docs.google.com/spreadsheets/d/1tZ0nmtGuIRCaGAMXHlQU8EpR9LOAJvyKfc4f7EFmE34/edit?usp=share_link"",""ศร"&amp;"ีสะเกษ!J608"")+IMPORTRANGE(""https://docs.google.com/spreadsheets/d/1QC8psz9w0f9IVE9Xuc2FT_btkaOzZbbUSgYObpBuetM/edit?usp=share_link"",""สกลนคร!J608"")+IMPORTRANGE(""https://docs.google.com/spreadsheets/d/1wPdvRbu02d33MYVlbsCnyTiZpefEBs9NNktAnT1HZvw/edit?"&amp;"usp=share_link"",""สุรินทร์!J608"")+IMPORTRANGE(""https://docs.google.com/spreadsheets/d/1GVExpf-Exi_2gmuqTYH28fseTB9MoKPXWcXCbSt_YrM/edit?usp=share_link"",""หนองคาย!J608"")+IMPORTRANGE(""https://docs.google.com/spreadsheets/d/16UeMz0UgOB5BZcoxP75eYGcLFtG"&amp;"YRn9GoesD4OX9m5U/edit?usp=share_link"",""หนองบัวลำภู!J608"")+IMPORTRANGE(""https://docs.google.com/spreadsheets/d/1uUP8Zo1-qaJLuIkRU0qlwLSE3DHkbdrrj2JGJiWBQZE/edit?usp=share_link"",""อำนาจเจริญ!J608"")+IMPORTRANGE(""https://docs.google.com/spreadsheets/d/"&amp;"1hb_taSOHanzRjqfzWPiFo8yiT83VV1L7vvUCLhOiHKc/edit?usp=share_link"",""อุดรธานี!J608"")+IMPORTRANGE(""https://docs.google.com/spreadsheets/d/17IOkEwkUd63EGNfyNDnM5de9YlZ7rwzTiW6-dokVjKI/edit?usp=share_link"",""อุบลราชธานี!J608"")
"),487)</f>
        <v>487</v>
      </c>
      <c r="K608" s="163"/>
      <c r="L608" s="163"/>
      <c r="M608" s="163"/>
      <c r="N608" s="163"/>
      <c r="O608" s="163"/>
      <c r="P608" s="163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</row>
    <row r="609" spans="1:26" ht="18.75">
      <c r="A609" s="608"/>
      <c r="B609" s="609"/>
      <c r="C609" s="618" t="s">
        <v>261</v>
      </c>
      <c r="D609" s="609"/>
      <c r="E609" s="609"/>
      <c r="F609" s="619"/>
      <c r="G609" s="175"/>
      <c r="H609" s="182" t="s">
        <v>46</v>
      </c>
      <c r="I609" s="37"/>
      <c r="J609" s="183">
        <f ca="1">IFERROR(__xludf.DUMMYFUNCTION("IMPORTRANGE(""https://docs.google.com/spreadsheets/d/1fb2B9NLcpJgjIieIJvenUTNPn0TimZDUi0OtYeiSQ_s/edit?usp=share_link"",""กาฬสินธุ์!J609"")+IMPORTRANGE(""https://docs.google.com/spreadsheets/d/1SaMnqrwRGmFYNR0MhpWmHuL5niYUd5E7vDq8X7whAlI/edit?usp=share_li"&amp;"nk"",""ขอนแก่น!J609"")
+IMPORTRANGE(""https://docs.google.com/spreadsheets/d/1xQzEtGHhTTgxHh6YUkKY1P4dRyjVhS74dGswLfAASA4/edit?usp=share_link"",""ชัยภูมิ!J609"")+IMPORTRANGE(""https://docs.google.com/spreadsheets/d/1EXMBoBxU3OFbjT2TRpneM33qFjqDzrKmn9ydcfl"&amp;"fI0o/edit?usp=share_link"",""นครพนม!J609"")+IMPORTRANGE(""https://docs.google.com/spreadsheets/d/1bDQrolntRWtHumK8W-x-HXKntwxB9S3sF5aDeRS66Ko/edit?usp=share_link"",""นครราชสีมา!J609"")+IMPORTRANGE(""https://docs.google.com/spreadsheets/d/1_MzZ-2gVPiCW-d2V"&amp;"cafoCmFJQTSrZ6SQyFcMqRRQQ2w/edit?usp=share_link"",""บึงกาฬ!J609"")
+IMPORTRANGE(""https://docs.google.com/spreadsheets/d/1B3lPpzOuaNwVItLwLEZYl_qEblfcx7dRnbRkAw0l-pE/edit?usp=share_link"",""บุรีรัมย์!J609"")+IMPORTRANGE(""https://docs.google.com/spreadshe"&amp;"ets/d/19GOkiOqnzYbevLYWrMk4qFOXe3rX14BkSA8X-mq-a40/edit?usp=share_link"",""มหาสารคาม!J609"")+IMPORTRANGE(""https://docs.google.com/spreadsheets/d/1uMKqWwuNQ-TCKboGA3Bb1qXb5uj2-faACNUINCz8PN4/edit?usp=share_link"",""มุกดาหาร!J609"")+IMPORTRANGE(""https://d"&amp;"ocs.google.com/spreadsheets/d/1oKaccgDdQABndOzGr688Dbfxb_V3YcF67VqEPBtdzsc/edit?usp=share_link"",""ยโสธร!J609"")+IMPORTRANGE(""https://docs.google.com/spreadsheets/d/1BRgc8xKpxZ0PX-gauieMVkV_IOxKSotf0yW8MabGprQ/edit?usp=share_link"",""ร้อยเอ็ด!J609"")+IMP"&amp;"ORTRANGE(""https://docs.google.com/spreadsheets/d/1IdolZc-dfdgMwAm_KZxYJl1sUOcIgnbGQzbWOlddedo/edit?usp=share_link"",""เลย!J609"")+IMPORTRANGE(""https://docs.google.com/spreadsheets/d/1tZ0nmtGuIRCaGAMXHlQU8EpR9LOAJvyKfc4f7EFmE34/edit?usp=share_link"",""ศร"&amp;"ีสะเกษ!J609"")+IMPORTRANGE(""https://docs.google.com/spreadsheets/d/1QC8psz9w0f9IVE9Xuc2FT_btkaOzZbbUSgYObpBuetM/edit?usp=share_link"",""สกลนคร!J609"")+IMPORTRANGE(""https://docs.google.com/spreadsheets/d/1wPdvRbu02d33MYVlbsCnyTiZpefEBs9NNktAnT1HZvw/edit?"&amp;"usp=share_link"",""สุรินทร์!J609"")+IMPORTRANGE(""https://docs.google.com/spreadsheets/d/1GVExpf-Exi_2gmuqTYH28fseTB9MoKPXWcXCbSt_YrM/edit?usp=share_link"",""หนองคาย!J609"")+IMPORTRANGE(""https://docs.google.com/spreadsheets/d/16UeMz0UgOB5BZcoxP75eYGcLFtG"&amp;"YRn9GoesD4OX9m5U/edit?usp=share_link"",""หนองบัวลำภู!J609"")+IMPORTRANGE(""https://docs.google.com/spreadsheets/d/1uUP8Zo1-qaJLuIkRU0qlwLSE3DHkbdrrj2JGJiWBQZE/edit?usp=share_link"",""อำนาจเจริญ!J609"")+IMPORTRANGE(""https://docs.google.com/spreadsheets/d/"&amp;"1hb_taSOHanzRjqfzWPiFo8yiT83VV1L7vvUCLhOiHKc/edit?usp=share_link"",""อุดรธานี!J609"")+IMPORTRANGE(""https://docs.google.com/spreadsheets/d/17IOkEwkUd63EGNfyNDnM5de9YlZ7rwzTiW6-dokVjKI/edit?usp=share_link"",""อุบลราชธานี!J609"")
"),906.225)</f>
        <v>906.22500000000002</v>
      </c>
      <c r="K609" s="163"/>
      <c r="L609" s="163"/>
      <c r="M609" s="163"/>
      <c r="N609" s="163"/>
      <c r="O609" s="163"/>
      <c r="P609" s="163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</row>
    <row r="610" spans="1:26" ht="18.75">
      <c r="A610" s="608"/>
      <c r="B610" s="609"/>
      <c r="C610" s="609"/>
      <c r="D610" s="609"/>
      <c r="E610" s="619"/>
      <c r="F610" s="619"/>
      <c r="G610" s="175"/>
      <c r="H610" s="182" t="s">
        <v>34</v>
      </c>
      <c r="I610" s="37"/>
      <c r="J610" s="183">
        <f ca="1">IFERROR(__xludf.DUMMYFUNCTION("IMPORTRANGE(""https://docs.google.com/spreadsheets/d/1fb2B9NLcpJgjIieIJvenUTNPn0TimZDUi0OtYeiSQ_s/edit?usp=share_link"",""กาฬสินธุ์!J610"")+IMPORTRANGE(""https://docs.google.com/spreadsheets/d/1SaMnqrwRGmFYNR0MhpWmHuL5niYUd5E7vDq8X7whAlI/edit?usp=share_li"&amp;"nk"",""ขอนแก่น!J610"")
+IMPORTRANGE(""https://docs.google.com/spreadsheets/d/1xQzEtGHhTTgxHh6YUkKY1P4dRyjVhS74dGswLfAASA4/edit?usp=share_link"",""ชัยภูมิ!J610"")+IMPORTRANGE(""https://docs.google.com/spreadsheets/d/1EXMBoBxU3OFbjT2TRpneM33qFjqDzrKmn9ydcfl"&amp;"fI0o/edit?usp=share_link"",""นครพนม!J610"")+IMPORTRANGE(""https://docs.google.com/spreadsheets/d/1bDQrolntRWtHumK8W-x-HXKntwxB9S3sF5aDeRS66Ko/edit?usp=share_link"",""นครราชสีมา!J610"")+IMPORTRANGE(""https://docs.google.com/spreadsheets/d/1_MzZ-2gVPiCW-d2V"&amp;"cafoCmFJQTSrZ6SQyFcMqRRQQ2w/edit?usp=share_link"",""บึงกาฬ!J610"")
+IMPORTRANGE(""https://docs.google.com/spreadsheets/d/1B3lPpzOuaNwVItLwLEZYl_qEblfcx7dRnbRkAw0l-pE/edit?usp=share_link"",""บุรีรัมย์!J610"")+IMPORTRANGE(""https://docs.google.com/spreadshe"&amp;"ets/d/19GOkiOqnzYbevLYWrMk4qFOXe3rX14BkSA8X-mq-a40/edit?usp=share_link"",""มหาสารคาม!J610"")+IMPORTRANGE(""https://docs.google.com/spreadsheets/d/1uMKqWwuNQ-TCKboGA3Bb1qXb5uj2-faACNUINCz8PN4/edit?usp=share_link"",""มุกดาหาร!J610"")+IMPORTRANGE(""https://d"&amp;"ocs.google.com/spreadsheets/d/1oKaccgDdQABndOzGr688Dbfxb_V3YcF67VqEPBtdzsc/edit?usp=share_link"",""ยโสธร!J610"")+IMPORTRANGE(""https://docs.google.com/spreadsheets/d/1BRgc8xKpxZ0PX-gauieMVkV_IOxKSotf0yW8MabGprQ/edit?usp=share_link"",""ร้อยเอ็ด!J610"")+IMP"&amp;"ORTRANGE(""https://docs.google.com/spreadsheets/d/1IdolZc-dfdgMwAm_KZxYJl1sUOcIgnbGQzbWOlddedo/edit?usp=share_link"",""เลย!J610"")+IMPORTRANGE(""https://docs.google.com/spreadsheets/d/1tZ0nmtGuIRCaGAMXHlQU8EpR9LOAJvyKfc4f7EFmE34/edit?usp=share_link"",""ศร"&amp;"ีสะเกษ!J610"")+IMPORTRANGE(""https://docs.google.com/spreadsheets/d/1QC8psz9w0f9IVE9Xuc2FT_btkaOzZbbUSgYObpBuetM/edit?usp=share_link"",""สกลนคร!J610"")+IMPORTRANGE(""https://docs.google.com/spreadsheets/d/1wPdvRbu02d33MYVlbsCnyTiZpefEBs9NNktAnT1HZvw/edit?"&amp;"usp=share_link"",""สุรินทร์!J610"")+IMPORTRANGE(""https://docs.google.com/spreadsheets/d/1GVExpf-Exi_2gmuqTYH28fseTB9MoKPXWcXCbSt_YrM/edit?usp=share_link"",""หนองคาย!J610"")+IMPORTRANGE(""https://docs.google.com/spreadsheets/d/16UeMz0UgOB5BZcoxP75eYGcLFtG"&amp;"YRn9GoesD4OX9m5U/edit?usp=share_link"",""หนองบัวลำภู!J610"")+IMPORTRANGE(""https://docs.google.com/spreadsheets/d/1uUP8Zo1-qaJLuIkRU0qlwLSE3DHkbdrrj2JGJiWBQZE/edit?usp=share_link"",""อำนาจเจริญ!J610"")+IMPORTRANGE(""https://docs.google.com/spreadsheets/d/"&amp;"1hb_taSOHanzRjqfzWPiFo8yiT83VV1L7vvUCLhOiHKc/edit?usp=share_link"",""อุดรธานี!J610"")+IMPORTRANGE(""https://docs.google.com/spreadsheets/d/17IOkEwkUd63EGNfyNDnM5de9YlZ7rwzTiW6-dokVjKI/edit?usp=share_link"",""อุบลราชธานี!J610"")
"),82)</f>
        <v>82</v>
      </c>
      <c r="K610" s="163"/>
      <c r="L610" s="163"/>
      <c r="M610" s="163"/>
      <c r="N610" s="163"/>
      <c r="O610" s="163"/>
      <c r="P610" s="163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</row>
    <row r="611" spans="1:26" ht="19.5">
      <c r="A611" s="692"/>
      <c r="B611" s="706" t="s">
        <v>262</v>
      </c>
      <c r="C611" s="694"/>
      <c r="D611" s="694"/>
      <c r="E611" s="673"/>
      <c r="F611" s="673"/>
      <c r="G611" s="674"/>
      <c r="H611" s="707" t="s">
        <v>46</v>
      </c>
      <c r="I611" s="708">
        <v>0</v>
      </c>
      <c r="J611" s="676">
        <f>J614+J616</f>
        <v>0</v>
      </c>
      <c r="K611" s="677">
        <f t="shared" ref="K611:K613" si="294">IF(I611&gt;0,J611*100/I611,0)</f>
        <v>0</v>
      </c>
      <c r="L611" s="678"/>
      <c r="M611" s="678"/>
      <c r="N611" s="678"/>
      <c r="O611" s="678"/>
      <c r="P611" s="6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</row>
    <row r="612" spans="1:26" ht="19.5" hidden="1">
      <c r="A612" s="709"/>
      <c r="B612" s="710"/>
      <c r="C612" s="711" t="s">
        <v>263</v>
      </c>
      <c r="D612" s="710"/>
      <c r="E612" s="710"/>
      <c r="F612" s="712"/>
      <c r="G612" s="713"/>
      <c r="H612" s="714" t="s">
        <v>46</v>
      </c>
      <c r="I612" s="715">
        <v>0</v>
      </c>
      <c r="J612" s="716">
        <f t="shared" ref="J612:J613" si="295">J614+J616</f>
        <v>0</v>
      </c>
      <c r="K612" s="717">
        <f t="shared" si="294"/>
        <v>0</v>
      </c>
      <c r="L612" s="718"/>
      <c r="M612" s="718"/>
      <c r="N612" s="718"/>
      <c r="O612" s="718"/>
      <c r="P612" s="718"/>
      <c r="Q612" s="604"/>
      <c r="R612" s="604"/>
      <c r="S612" s="604"/>
      <c r="T612" s="604"/>
      <c r="U612" s="604"/>
      <c r="V612" s="604"/>
      <c r="W612" s="604"/>
      <c r="X612" s="604"/>
      <c r="Y612" s="604"/>
      <c r="Z612" s="604"/>
    </row>
    <row r="613" spans="1:26" ht="19.5" hidden="1">
      <c r="A613" s="709"/>
      <c r="B613" s="710"/>
      <c r="C613" s="719" t="s">
        <v>264</v>
      </c>
      <c r="D613" s="710"/>
      <c r="E613" s="710"/>
      <c r="F613" s="712"/>
      <c r="G613" s="713"/>
      <c r="H613" s="714" t="s">
        <v>34</v>
      </c>
      <c r="I613" s="715">
        <v>0</v>
      </c>
      <c r="J613" s="716">
        <f t="shared" si="295"/>
        <v>0</v>
      </c>
      <c r="K613" s="717">
        <f t="shared" si="294"/>
        <v>0</v>
      </c>
      <c r="L613" s="718"/>
      <c r="M613" s="718"/>
      <c r="N613" s="718"/>
      <c r="O613" s="718"/>
      <c r="P613" s="718"/>
      <c r="Q613" s="604"/>
      <c r="R613" s="604"/>
      <c r="S613" s="604"/>
      <c r="T613" s="604"/>
      <c r="U613" s="604"/>
      <c r="V613" s="604"/>
      <c r="W613" s="604"/>
      <c r="X613" s="604"/>
      <c r="Y613" s="604"/>
      <c r="Z613" s="604"/>
    </row>
    <row r="614" spans="1:26" ht="18.75" hidden="1">
      <c r="A614" s="614"/>
      <c r="B614" s="615"/>
      <c r="C614" s="615"/>
      <c r="D614" s="720" t="s">
        <v>265</v>
      </c>
      <c r="E614" s="615"/>
      <c r="F614" s="601"/>
      <c r="G614" s="366"/>
      <c r="H614" s="370" t="s">
        <v>46</v>
      </c>
      <c r="I614" s="44"/>
      <c r="J614" s="617">
        <v>0</v>
      </c>
      <c r="K614" s="167"/>
      <c r="L614" s="167"/>
      <c r="M614" s="167"/>
      <c r="N614" s="167"/>
      <c r="O614" s="167"/>
      <c r="P614" s="167"/>
      <c r="Q614" s="604"/>
      <c r="R614" s="604"/>
      <c r="S614" s="604"/>
      <c r="T614" s="604"/>
      <c r="U614" s="604"/>
      <c r="V614" s="604"/>
      <c r="W614" s="604"/>
      <c r="X614" s="604"/>
      <c r="Y614" s="604"/>
      <c r="Z614" s="604"/>
    </row>
    <row r="615" spans="1:26" ht="18.75" hidden="1">
      <c r="A615" s="614"/>
      <c r="B615" s="615"/>
      <c r="C615" s="615"/>
      <c r="D615" s="615"/>
      <c r="E615" s="615"/>
      <c r="F615" s="601"/>
      <c r="G615" s="366"/>
      <c r="H615" s="370" t="s">
        <v>34</v>
      </c>
      <c r="I615" s="44"/>
      <c r="J615" s="617">
        <v>0</v>
      </c>
      <c r="K615" s="167"/>
      <c r="L615" s="167"/>
      <c r="M615" s="167"/>
      <c r="N615" s="167"/>
      <c r="O615" s="167"/>
      <c r="P615" s="167"/>
      <c r="Q615" s="604"/>
      <c r="R615" s="604"/>
      <c r="S615" s="604"/>
      <c r="T615" s="604"/>
      <c r="U615" s="604"/>
      <c r="V615" s="604"/>
      <c r="W615" s="604"/>
      <c r="X615" s="604"/>
      <c r="Y615" s="604"/>
      <c r="Z615" s="604"/>
    </row>
    <row r="616" spans="1:26" ht="18.75" hidden="1">
      <c r="A616" s="614"/>
      <c r="B616" s="615"/>
      <c r="C616" s="615"/>
      <c r="D616" s="721" t="s">
        <v>265</v>
      </c>
      <c r="E616" s="601"/>
      <c r="F616" s="601"/>
      <c r="G616" s="366"/>
      <c r="H616" s="370" t="s">
        <v>46</v>
      </c>
      <c r="I616" s="44"/>
      <c r="J616" s="617">
        <v>0</v>
      </c>
      <c r="K616" s="167"/>
      <c r="L616" s="167"/>
      <c r="M616" s="167"/>
      <c r="N616" s="167"/>
      <c r="O616" s="167"/>
      <c r="P616" s="167"/>
      <c r="Q616" s="604"/>
      <c r="R616" s="604"/>
      <c r="S616" s="604"/>
      <c r="T616" s="604"/>
      <c r="U616" s="604"/>
      <c r="V616" s="604"/>
      <c r="W616" s="604"/>
      <c r="X616" s="604"/>
      <c r="Y616" s="604"/>
      <c r="Z616" s="604"/>
    </row>
    <row r="617" spans="1:26" ht="18.75" hidden="1">
      <c r="A617" s="614"/>
      <c r="B617" s="615"/>
      <c r="C617" s="615"/>
      <c r="D617" s="615"/>
      <c r="E617" s="601"/>
      <c r="F617" s="601"/>
      <c r="G617" s="366"/>
      <c r="H617" s="370" t="s">
        <v>34</v>
      </c>
      <c r="I617" s="44"/>
      <c r="J617" s="617">
        <v>0</v>
      </c>
      <c r="K617" s="167"/>
      <c r="L617" s="167"/>
      <c r="M617" s="167"/>
      <c r="N617" s="167"/>
      <c r="O617" s="167"/>
      <c r="P617" s="167"/>
      <c r="Q617" s="604"/>
      <c r="R617" s="604"/>
      <c r="S617" s="604"/>
      <c r="T617" s="604"/>
      <c r="U617" s="604"/>
      <c r="V617" s="604"/>
      <c r="W617" s="604"/>
      <c r="X617" s="604"/>
      <c r="Y617" s="604"/>
      <c r="Z617" s="604"/>
    </row>
    <row r="618" spans="1:26" ht="18.75" hidden="1">
      <c r="A618" s="614"/>
      <c r="B618" s="615"/>
      <c r="C618" s="615"/>
      <c r="D618" s="721" t="s">
        <v>266</v>
      </c>
      <c r="E618" s="601"/>
      <c r="F618" s="601"/>
      <c r="G618" s="366"/>
      <c r="H618" s="370" t="s">
        <v>46</v>
      </c>
      <c r="I618" s="44"/>
      <c r="J618" s="617">
        <v>0</v>
      </c>
      <c r="K618" s="167"/>
      <c r="L618" s="167"/>
      <c r="M618" s="167"/>
      <c r="N618" s="167"/>
      <c r="O618" s="167"/>
      <c r="P618" s="167"/>
      <c r="Q618" s="604"/>
      <c r="R618" s="604"/>
      <c r="S618" s="604"/>
      <c r="T618" s="604"/>
      <c r="U618" s="604"/>
      <c r="V618" s="604"/>
      <c r="W618" s="604"/>
      <c r="X618" s="604"/>
      <c r="Y618" s="604"/>
      <c r="Z618" s="604"/>
    </row>
    <row r="619" spans="1:26" ht="18.75" hidden="1">
      <c r="A619" s="614"/>
      <c r="B619" s="615"/>
      <c r="C619" s="615"/>
      <c r="D619" s="615"/>
      <c r="E619" s="601"/>
      <c r="F619" s="601"/>
      <c r="G619" s="366"/>
      <c r="H619" s="370" t="s">
        <v>34</v>
      </c>
      <c r="I619" s="44"/>
      <c r="J619" s="617">
        <v>0</v>
      </c>
      <c r="K619" s="167"/>
      <c r="L619" s="167"/>
      <c r="M619" s="167"/>
      <c r="N619" s="167"/>
      <c r="O619" s="167"/>
      <c r="P619" s="167"/>
      <c r="Q619" s="604"/>
      <c r="R619" s="604"/>
      <c r="S619" s="604"/>
      <c r="T619" s="604"/>
      <c r="U619" s="604"/>
      <c r="V619" s="604"/>
      <c r="W619" s="604"/>
      <c r="X619" s="604"/>
      <c r="Y619" s="604"/>
      <c r="Z619" s="604"/>
    </row>
    <row r="620" spans="1:26" ht="19.5">
      <c r="A620" s="722"/>
      <c r="B620" s="723"/>
      <c r="C620" s="724" t="s">
        <v>267</v>
      </c>
      <c r="D620" s="723"/>
      <c r="E620" s="723"/>
      <c r="F620" s="725"/>
      <c r="G620" s="726"/>
      <c r="H620" s="727" t="s">
        <v>46</v>
      </c>
      <c r="I620" s="728">
        <f ca="1">IFERROR(__xludf.DUMMYFUNCTION("IMPORTRANGE(""https://docs.google.com/spreadsheets/d/1fb2B9NLcpJgjIieIJvenUTNPn0TimZDUi0OtYeiSQ_s/edit?usp=share_link"",""กาฬสินธุ์!I620"")+IMPORTRANGE(""https://docs.google.com/spreadsheets/d/1SaMnqrwRGmFYNR0MhpWmHuL5niYUd5E7vDq8X7whAlI/edit?usp=share_li"&amp;"nk"",""ขอนแก่น!I620"")
+IMPORTRANGE(""https://docs.google.com/spreadsheets/d/1xQzEtGHhTTgxHh6YUkKY1P4dRyjVhS74dGswLfAASA4/edit?usp=share_link"",""ชัยภูมิ!I620"")+IMPORTRANGE(""https://docs.google.com/spreadsheets/d/1EXMBoBxU3OFbjT2TRpneM33qFjqDzrKmn9ydcfl"&amp;"fI0o/edit?usp=share_link"",""นครพนม!I620"")+IMPORTRANGE(""https://docs.google.com/spreadsheets/d/1bDQrolntRWtHumK8W-x-HXKntwxB9S3sF5aDeRS66Ko/edit?usp=share_link"",""นครราชสีมา!I620"")+IMPORTRANGE(""https://docs.google.com/spreadsheets/d/1_MzZ-2gVPiCW-d2V"&amp;"cafoCmFJQTSrZ6SQyFcMqRRQQ2w/edit?usp=share_link"",""บึงกาฬ!I620"")
+IMPORTRANGE(""https://docs.google.com/spreadsheets/d/1B3lPpzOuaNwVItLwLEZYl_qEblfcx7dRnbRkAw0l-pE/edit?usp=share_link"",""บุรีรัมย์!I620"")+IMPORTRANGE(""https://docs.google.com/spreadshe"&amp;"ets/d/19GOkiOqnzYbevLYWrMk4qFOXe3rX14BkSA8X-mq-a40/edit?usp=share_link"",""มหาสารคาม!I620"")+IMPORTRANGE(""https://docs.google.com/spreadsheets/d/1uMKqWwuNQ-TCKboGA3Bb1qXb5uj2-faACNUINCz8PN4/edit?usp=share_link"",""มุกดาหาร!I620"")+IMPORTRANGE(""https://d"&amp;"ocs.google.com/spreadsheets/d/1oKaccgDdQABndOzGr688Dbfxb_V3YcF67VqEPBtdzsc/edit?usp=share_link"",""ยโสธร!I620"")+IMPORTRANGE(""https://docs.google.com/spreadsheets/d/1BRgc8xKpxZ0PX-gauieMVkV_IOxKSotf0yW8MabGprQ/edit?usp=share_link"",""ร้อยเอ็ด!I620"")+IMP"&amp;"ORTRANGE(""https://docs.google.com/spreadsheets/d/1IdolZc-dfdgMwAm_KZxYJl1sUOcIgnbGQzbWOlddedo/edit?usp=share_link"",""เลย!I620"")+IMPORTRANGE(""https://docs.google.com/spreadsheets/d/1tZ0nmtGuIRCaGAMXHlQU8EpR9LOAJvyKfc4f7EFmE34/edit?usp=share_link"",""ศร"&amp;"ีสะเกษ!I620"")+IMPORTRANGE(""https://docs.google.com/spreadsheets/d/1QC8psz9w0f9IVE9Xuc2FT_btkaOzZbbUSgYObpBuetM/edit?usp=share_link"",""สกลนคร!I620"")+IMPORTRANGE(""https://docs.google.com/spreadsheets/d/1wPdvRbu02d33MYVlbsCnyTiZpefEBs9NNktAnT1HZvw/edit?"&amp;"usp=share_link"",""สุรินทร์!I620"")+IMPORTRANGE(""https://docs.google.com/spreadsheets/d/1GVExpf-Exi_2gmuqTYH28fseTB9MoKPXWcXCbSt_YrM/edit?usp=share_link"",""หนองคาย!I620"")+IMPORTRANGE(""https://docs.google.com/spreadsheets/d/16UeMz0UgOB5BZcoxP75eYGcLFtG"&amp;"YRn9GoesD4OX9m5U/edit?usp=share_link"",""หนองบัวลำภู!I620"")+IMPORTRANGE(""https://docs.google.com/spreadsheets/d/1uUP8Zo1-qaJLuIkRU0qlwLSE3DHkbdrrj2JGJiWBQZE/edit?usp=share_link"",""อำนาจเจริญ!I620"")+IMPORTRANGE(""https://docs.google.com/spreadsheets/d/"&amp;"1hb_taSOHanzRjqfzWPiFo8yiT83VV1L7vvUCLhOiHKc/edit?usp=share_link"",""อุดรธานี!I620"")+IMPORTRANGE(""https://docs.google.com/spreadsheets/d/17IOkEwkUd63EGNfyNDnM5de9YlZ7rwzTiW6-dokVjKI/edit?usp=share_link"",""อุบลราชธานี!I620"")
"),1746)</f>
        <v>1746</v>
      </c>
      <c r="J620" s="728">
        <f t="shared" ref="J620:J621" ca="1" si="296">J622+J624+J626</f>
        <v>1746</v>
      </c>
      <c r="K620" s="729">
        <f t="shared" ref="K620:K621" ca="1" si="297">IF(I620&gt;0,J620*100/I620,0)</f>
        <v>100</v>
      </c>
      <c r="L620" s="730"/>
      <c r="M620" s="730"/>
      <c r="N620" s="730"/>
      <c r="O620" s="730"/>
      <c r="P620" s="730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</row>
    <row r="621" spans="1:26" ht="19.5">
      <c r="A621" s="722"/>
      <c r="B621" s="723"/>
      <c r="C621" s="731" t="s">
        <v>268</v>
      </c>
      <c r="D621" s="723"/>
      <c r="E621" s="723"/>
      <c r="F621" s="725"/>
      <c r="G621" s="726"/>
      <c r="H621" s="727" t="s">
        <v>34</v>
      </c>
      <c r="I621" s="728">
        <f ca="1">IFERROR(__xludf.DUMMYFUNCTION("IMPORTRANGE(""https://docs.google.com/spreadsheets/d/1fb2B9NLcpJgjIieIJvenUTNPn0TimZDUi0OtYeiSQ_s/edit?usp=share_link"",""กาฬสินธุ์!I621"")+IMPORTRANGE(""https://docs.google.com/spreadsheets/d/1SaMnqrwRGmFYNR0MhpWmHuL5niYUd5E7vDq8X7whAlI/edit?usp=share_li"&amp;"nk"",""ขอนแก่น!I621"")
+IMPORTRANGE(""https://docs.google.com/spreadsheets/d/1xQzEtGHhTTgxHh6YUkKY1P4dRyjVhS74dGswLfAASA4/edit?usp=share_link"",""ชัยภูมิ!I621"")+IMPORTRANGE(""https://docs.google.com/spreadsheets/d/1EXMBoBxU3OFbjT2TRpneM33qFjqDzrKmn9ydcfl"&amp;"fI0o/edit?usp=share_link"",""นครพนม!I621"")+IMPORTRANGE(""https://docs.google.com/spreadsheets/d/1bDQrolntRWtHumK8W-x-HXKntwxB9S3sF5aDeRS66Ko/edit?usp=share_link"",""นครราชสีมา!I621"")+IMPORTRANGE(""https://docs.google.com/spreadsheets/d/1_MzZ-2gVPiCW-d2V"&amp;"cafoCmFJQTSrZ6SQyFcMqRRQQ2w/edit?usp=share_link"",""บึงกาฬ!I621"")
+IMPORTRANGE(""https://docs.google.com/spreadsheets/d/1B3lPpzOuaNwVItLwLEZYl_qEblfcx7dRnbRkAw0l-pE/edit?usp=share_link"",""บุรีรัมย์!I621"")+IMPORTRANGE(""https://docs.google.com/spreadshe"&amp;"ets/d/19GOkiOqnzYbevLYWrMk4qFOXe3rX14BkSA8X-mq-a40/edit?usp=share_link"",""มหาสารคาม!I621"")+IMPORTRANGE(""https://docs.google.com/spreadsheets/d/1uMKqWwuNQ-TCKboGA3Bb1qXb5uj2-faACNUINCz8PN4/edit?usp=share_link"",""มุกดาหาร!I621"")+IMPORTRANGE(""https://d"&amp;"ocs.google.com/spreadsheets/d/1oKaccgDdQABndOzGr688Dbfxb_V3YcF67VqEPBtdzsc/edit?usp=share_link"",""ยโสธร!I621"")+IMPORTRANGE(""https://docs.google.com/spreadsheets/d/1BRgc8xKpxZ0PX-gauieMVkV_IOxKSotf0yW8MabGprQ/edit?usp=share_link"",""ร้อยเอ็ด!I621"")+IMP"&amp;"ORTRANGE(""https://docs.google.com/spreadsheets/d/1IdolZc-dfdgMwAm_KZxYJl1sUOcIgnbGQzbWOlddedo/edit?usp=share_link"",""เลย!I621"")+IMPORTRANGE(""https://docs.google.com/spreadsheets/d/1tZ0nmtGuIRCaGAMXHlQU8EpR9LOAJvyKfc4f7EFmE34/edit?usp=share_link"",""ศร"&amp;"ีสะเกษ!I621"")+IMPORTRANGE(""https://docs.google.com/spreadsheets/d/1QC8psz9w0f9IVE9Xuc2FT_btkaOzZbbUSgYObpBuetM/edit?usp=share_link"",""สกลนคร!I621"")+IMPORTRANGE(""https://docs.google.com/spreadsheets/d/1wPdvRbu02d33MYVlbsCnyTiZpefEBs9NNktAnT1HZvw/edit?"&amp;"usp=share_link"",""สุรินทร์!I621"")+IMPORTRANGE(""https://docs.google.com/spreadsheets/d/1GVExpf-Exi_2gmuqTYH28fseTB9MoKPXWcXCbSt_YrM/edit?usp=share_link"",""หนองคาย!I621"")+IMPORTRANGE(""https://docs.google.com/spreadsheets/d/16UeMz0UgOB5BZcoxP75eYGcLFtG"&amp;"YRn9GoesD4OX9m5U/edit?usp=share_link"",""หนองบัวลำภู!I621"")+IMPORTRANGE(""https://docs.google.com/spreadsheets/d/1uUP8Zo1-qaJLuIkRU0qlwLSE3DHkbdrrj2JGJiWBQZE/edit?usp=share_link"",""อำนาจเจริญ!I621"")+IMPORTRANGE(""https://docs.google.com/spreadsheets/d/"&amp;"1hb_taSOHanzRjqfzWPiFo8yiT83VV1L7vvUCLhOiHKc/edit?usp=share_link"",""อุดรธานี!I621"")+IMPORTRANGE(""https://docs.google.com/spreadsheets/d/17IOkEwkUd63EGNfyNDnM5de9YlZ7rwzTiW6-dokVjKI/edit?usp=share_link"",""อุบลราชธานี!I621"")
"),130)</f>
        <v>130</v>
      </c>
      <c r="J621" s="728">
        <f t="shared" ca="1" si="296"/>
        <v>130</v>
      </c>
      <c r="K621" s="729">
        <f t="shared" ca="1" si="297"/>
        <v>100</v>
      </c>
      <c r="L621" s="730"/>
      <c r="M621" s="730"/>
      <c r="N621" s="730"/>
      <c r="O621" s="730"/>
      <c r="P621" s="730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</row>
    <row r="622" spans="1:26" ht="18.75">
      <c r="A622" s="608"/>
      <c r="B622" s="609"/>
      <c r="C622" s="609"/>
      <c r="D622" s="263" t="s">
        <v>269</v>
      </c>
      <c r="E622" s="619"/>
      <c r="F622" s="619"/>
      <c r="G622" s="175"/>
      <c r="H622" s="182" t="s">
        <v>46</v>
      </c>
      <c r="I622" s="37"/>
      <c r="J622" s="183">
        <f ca="1">IFERROR(__xludf.DUMMYFUNCTION("IMPORTRANGE(""https://docs.google.com/spreadsheets/d/1fb2B9NLcpJgjIieIJvenUTNPn0TimZDUi0OtYeiSQ_s/edit?usp=share_link"",""กาฬสินธุ์!J622"")+IMPORTRANGE(""https://docs.google.com/spreadsheets/d/1SaMnqrwRGmFYNR0MhpWmHuL5niYUd5E7vDq8X7whAlI/edit?usp=share_li"&amp;"nk"",""ขอนแก่น!J622"")
+IMPORTRANGE(""https://docs.google.com/spreadsheets/d/1xQzEtGHhTTgxHh6YUkKY1P4dRyjVhS74dGswLfAASA4/edit?usp=share_link"",""ชัยภูมิ!J622"")+IMPORTRANGE(""https://docs.google.com/spreadsheets/d/1EXMBoBxU3OFbjT2TRpneM33qFjqDzrKmn9ydcfl"&amp;"fI0o/edit?usp=share_link"",""นครพนม!J622"")+IMPORTRANGE(""https://docs.google.com/spreadsheets/d/1bDQrolntRWtHumK8W-x-HXKntwxB9S3sF5aDeRS66Ko/edit?usp=share_link"",""นครราชสีมา!J622"")+IMPORTRANGE(""https://docs.google.com/spreadsheets/d/1_MzZ-2gVPiCW-d2V"&amp;"cafoCmFJQTSrZ6SQyFcMqRRQQ2w/edit?usp=share_link"",""บึงกาฬ!J622"")
+IMPORTRANGE(""https://docs.google.com/spreadsheets/d/1B3lPpzOuaNwVItLwLEZYl_qEblfcx7dRnbRkAw0l-pE/edit?usp=share_link"",""บุรีรัมย์!J622"")+IMPORTRANGE(""https://docs.google.com/spreadshe"&amp;"ets/d/19GOkiOqnzYbevLYWrMk4qFOXe3rX14BkSA8X-mq-a40/edit?usp=share_link"",""มหาสารคาม!J622"")+IMPORTRANGE(""https://docs.google.com/spreadsheets/d/1uMKqWwuNQ-TCKboGA3Bb1qXb5uj2-faACNUINCz8PN4/edit?usp=share_link"",""มุกดาหาร!J622"")+IMPORTRANGE(""https://d"&amp;"ocs.google.com/spreadsheets/d/1oKaccgDdQABndOzGr688Dbfxb_V3YcF67VqEPBtdzsc/edit?usp=share_link"",""ยโสธร!J622"")+IMPORTRANGE(""https://docs.google.com/spreadsheets/d/1BRgc8xKpxZ0PX-gauieMVkV_IOxKSotf0yW8MabGprQ/edit?usp=share_link"",""ร้อยเอ็ด!J622"")+IMP"&amp;"ORTRANGE(""https://docs.google.com/spreadsheets/d/1IdolZc-dfdgMwAm_KZxYJl1sUOcIgnbGQzbWOlddedo/edit?usp=share_link"",""เลย!J622"")+IMPORTRANGE(""https://docs.google.com/spreadsheets/d/1tZ0nmtGuIRCaGAMXHlQU8EpR9LOAJvyKfc4f7EFmE34/edit?usp=share_link"",""ศร"&amp;"ีสะเกษ!J622"")+IMPORTRANGE(""https://docs.google.com/spreadsheets/d/1QC8psz9w0f9IVE9Xuc2FT_btkaOzZbbUSgYObpBuetM/edit?usp=share_link"",""สกลนคร!J622"")+IMPORTRANGE(""https://docs.google.com/spreadsheets/d/1wPdvRbu02d33MYVlbsCnyTiZpefEBs9NNktAnT1HZvw/edit?"&amp;"usp=share_link"",""สุรินทร์!J622"")+IMPORTRANGE(""https://docs.google.com/spreadsheets/d/1GVExpf-Exi_2gmuqTYH28fseTB9MoKPXWcXCbSt_YrM/edit?usp=share_link"",""หนองคาย!J622"")+IMPORTRANGE(""https://docs.google.com/spreadsheets/d/16UeMz0UgOB5BZcoxP75eYGcLFtG"&amp;"YRn9GoesD4OX9m5U/edit?usp=share_link"",""หนองบัวลำภู!J622"")+IMPORTRANGE(""https://docs.google.com/spreadsheets/d/1uUP8Zo1-qaJLuIkRU0qlwLSE3DHkbdrrj2JGJiWBQZE/edit?usp=share_link"",""อำนาจเจริญ!J622"")+IMPORTRANGE(""https://docs.google.com/spreadsheets/d/"&amp;"1hb_taSOHanzRjqfzWPiFo8yiT83VV1L7vvUCLhOiHKc/edit?usp=share_link"",""อุดรธานี!J622"")+IMPORTRANGE(""https://docs.google.com/spreadsheets/d/17IOkEwkUd63EGNfyNDnM5de9YlZ7rwzTiW6-dokVjKI/edit?usp=share_link"",""อุบลราชธานี!J622"")
"),603.45)</f>
        <v>603.45000000000005</v>
      </c>
      <c r="K622" s="163"/>
      <c r="L622" s="163"/>
      <c r="M622" s="163"/>
      <c r="N622" s="163"/>
      <c r="O622" s="163"/>
      <c r="P622" s="163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</row>
    <row r="623" spans="1:26" ht="18.75">
      <c r="A623" s="608"/>
      <c r="B623" s="609"/>
      <c r="C623" s="609"/>
      <c r="D623" s="609"/>
      <c r="E623" s="619"/>
      <c r="F623" s="619"/>
      <c r="G623" s="175"/>
      <c r="H623" s="182" t="s">
        <v>34</v>
      </c>
      <c r="I623" s="37"/>
      <c r="J623" s="183">
        <f ca="1">IFERROR(__xludf.DUMMYFUNCTION("IMPORTRANGE(""https://docs.google.com/spreadsheets/d/1fb2B9NLcpJgjIieIJvenUTNPn0TimZDUi0OtYeiSQ_s/edit?usp=share_link"",""กาฬสินธุ์!J623"")+IMPORTRANGE(""https://docs.google.com/spreadsheets/d/1SaMnqrwRGmFYNR0MhpWmHuL5niYUd5E7vDq8X7whAlI/edit?usp=share_li"&amp;"nk"",""ขอนแก่น!J623"")
+IMPORTRANGE(""https://docs.google.com/spreadsheets/d/1xQzEtGHhTTgxHh6YUkKY1P4dRyjVhS74dGswLfAASA4/edit?usp=share_link"",""ชัยภูมิ!J623"")+IMPORTRANGE(""https://docs.google.com/spreadsheets/d/1EXMBoBxU3OFbjT2TRpneM33qFjqDzrKmn9ydcfl"&amp;"fI0o/edit?usp=share_link"",""นครพนม!J623"")+IMPORTRANGE(""https://docs.google.com/spreadsheets/d/1bDQrolntRWtHumK8W-x-HXKntwxB9S3sF5aDeRS66Ko/edit?usp=share_link"",""นครราชสีมา!J623"")+IMPORTRANGE(""https://docs.google.com/spreadsheets/d/1_MzZ-2gVPiCW-d2V"&amp;"cafoCmFJQTSrZ6SQyFcMqRRQQ2w/edit?usp=share_link"",""บึงกาฬ!J623"")
+IMPORTRANGE(""https://docs.google.com/spreadsheets/d/1B3lPpzOuaNwVItLwLEZYl_qEblfcx7dRnbRkAw0l-pE/edit?usp=share_link"",""บุรีรัมย์!J623"")+IMPORTRANGE(""https://docs.google.com/spreadshe"&amp;"ets/d/19GOkiOqnzYbevLYWrMk4qFOXe3rX14BkSA8X-mq-a40/edit?usp=share_link"",""มหาสารคาม!J623"")+IMPORTRANGE(""https://docs.google.com/spreadsheets/d/1uMKqWwuNQ-TCKboGA3Bb1qXb5uj2-faACNUINCz8PN4/edit?usp=share_link"",""มุกดาหาร!J623"")+IMPORTRANGE(""https://d"&amp;"ocs.google.com/spreadsheets/d/1oKaccgDdQABndOzGr688Dbfxb_V3YcF67VqEPBtdzsc/edit?usp=share_link"",""ยโสธร!J623"")+IMPORTRANGE(""https://docs.google.com/spreadsheets/d/1BRgc8xKpxZ0PX-gauieMVkV_IOxKSotf0yW8MabGprQ/edit?usp=share_link"",""ร้อยเอ็ด!J623"")+IMP"&amp;"ORTRANGE(""https://docs.google.com/spreadsheets/d/1IdolZc-dfdgMwAm_KZxYJl1sUOcIgnbGQzbWOlddedo/edit?usp=share_link"",""เลย!J623"")+IMPORTRANGE(""https://docs.google.com/spreadsheets/d/1tZ0nmtGuIRCaGAMXHlQU8EpR9LOAJvyKfc4f7EFmE34/edit?usp=share_link"",""ศร"&amp;"ีสะเกษ!J623"")+IMPORTRANGE(""https://docs.google.com/spreadsheets/d/1QC8psz9w0f9IVE9Xuc2FT_btkaOzZbbUSgYObpBuetM/edit?usp=share_link"",""สกลนคร!J623"")+IMPORTRANGE(""https://docs.google.com/spreadsheets/d/1wPdvRbu02d33MYVlbsCnyTiZpefEBs9NNktAnT1HZvw/edit?"&amp;"usp=share_link"",""สุรินทร์!J623"")+IMPORTRANGE(""https://docs.google.com/spreadsheets/d/1GVExpf-Exi_2gmuqTYH28fseTB9MoKPXWcXCbSt_YrM/edit?usp=share_link"",""หนองคาย!J623"")+IMPORTRANGE(""https://docs.google.com/spreadsheets/d/16UeMz0UgOB5BZcoxP75eYGcLFtG"&amp;"YRn9GoesD4OX9m5U/edit?usp=share_link"",""หนองบัวลำภู!J623"")+IMPORTRANGE(""https://docs.google.com/spreadsheets/d/1uUP8Zo1-qaJLuIkRU0qlwLSE3DHkbdrrj2JGJiWBQZE/edit?usp=share_link"",""อำนาจเจริญ!J623"")+IMPORTRANGE(""https://docs.google.com/spreadsheets/d/"&amp;"1hb_taSOHanzRjqfzWPiFo8yiT83VV1L7vvUCLhOiHKc/edit?usp=share_link"",""อุดรธานี!J623"")+IMPORTRANGE(""https://docs.google.com/spreadsheets/d/17IOkEwkUd63EGNfyNDnM5de9YlZ7rwzTiW6-dokVjKI/edit?usp=share_link"",""อุบลราชธานี!J623"")
"),39)</f>
        <v>39</v>
      </c>
      <c r="K623" s="163"/>
      <c r="L623" s="163"/>
      <c r="M623" s="163"/>
      <c r="N623" s="163"/>
      <c r="O623" s="163"/>
      <c r="P623" s="163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</row>
    <row r="624" spans="1:26" ht="18.75">
      <c r="A624" s="608"/>
      <c r="B624" s="609"/>
      <c r="C624" s="609"/>
      <c r="D624" s="263" t="s">
        <v>265</v>
      </c>
      <c r="E624" s="619"/>
      <c r="F624" s="619"/>
      <c r="G624" s="175"/>
      <c r="H624" s="182" t="s">
        <v>46</v>
      </c>
      <c r="I624" s="37"/>
      <c r="J624" s="183">
        <f ca="1">IFERROR(__xludf.DUMMYFUNCTION("IMPORTRANGE(""https://docs.google.com/spreadsheets/d/1fb2B9NLcpJgjIieIJvenUTNPn0TimZDUi0OtYeiSQ_s/edit?usp=share_link"",""กาฬสินธุ์!J624"")+IMPORTRANGE(""https://docs.google.com/spreadsheets/d/1SaMnqrwRGmFYNR0MhpWmHuL5niYUd5E7vDq8X7whAlI/edit?usp=share_li"&amp;"nk"",""ขอนแก่น!J624"")
+IMPORTRANGE(""https://docs.google.com/spreadsheets/d/1xQzEtGHhTTgxHh6YUkKY1P4dRyjVhS74dGswLfAASA4/edit?usp=share_link"",""ชัยภูมิ!J624"")+IMPORTRANGE(""https://docs.google.com/spreadsheets/d/1EXMBoBxU3OFbjT2TRpneM33qFjqDzrKmn9ydcfl"&amp;"fI0o/edit?usp=share_link"",""นครพนม!J624"")+IMPORTRANGE(""https://docs.google.com/spreadsheets/d/1bDQrolntRWtHumK8W-x-HXKntwxB9S3sF5aDeRS66Ko/edit?usp=share_link"",""นครราชสีมา!J624"")+IMPORTRANGE(""https://docs.google.com/spreadsheets/d/1_MzZ-2gVPiCW-d2V"&amp;"cafoCmFJQTSrZ6SQyFcMqRRQQ2w/edit?usp=share_link"",""บึงกาฬ!J624"")
+IMPORTRANGE(""https://docs.google.com/spreadsheets/d/1B3lPpzOuaNwVItLwLEZYl_qEblfcx7dRnbRkAw0l-pE/edit?usp=share_link"",""บุรีรัมย์!J624"")+IMPORTRANGE(""https://docs.google.com/spreadshe"&amp;"ets/d/19GOkiOqnzYbevLYWrMk4qFOXe3rX14BkSA8X-mq-a40/edit?usp=share_link"",""มหาสารคาม!J624"")+IMPORTRANGE(""https://docs.google.com/spreadsheets/d/1uMKqWwuNQ-TCKboGA3Bb1qXb5uj2-faACNUINCz8PN4/edit?usp=share_link"",""มุกดาหาร!J624"")+IMPORTRANGE(""https://d"&amp;"ocs.google.com/spreadsheets/d/1oKaccgDdQABndOzGr688Dbfxb_V3YcF67VqEPBtdzsc/edit?usp=share_link"",""ยโสธร!J624"")+IMPORTRANGE(""https://docs.google.com/spreadsheets/d/1BRgc8xKpxZ0PX-gauieMVkV_IOxKSotf0yW8MabGprQ/edit?usp=share_link"",""ร้อยเอ็ด!J624"")+IMP"&amp;"ORTRANGE(""https://docs.google.com/spreadsheets/d/1IdolZc-dfdgMwAm_KZxYJl1sUOcIgnbGQzbWOlddedo/edit?usp=share_link"",""เลย!J624"")+IMPORTRANGE(""https://docs.google.com/spreadsheets/d/1tZ0nmtGuIRCaGAMXHlQU8EpR9LOAJvyKfc4f7EFmE34/edit?usp=share_link"",""ศร"&amp;"ีสะเกษ!J624"")+IMPORTRANGE(""https://docs.google.com/spreadsheets/d/1QC8psz9w0f9IVE9Xuc2FT_btkaOzZbbUSgYObpBuetM/edit?usp=share_link"",""สกลนคร!J624"")+IMPORTRANGE(""https://docs.google.com/spreadsheets/d/1wPdvRbu02d33MYVlbsCnyTiZpefEBs9NNktAnT1HZvw/edit?"&amp;"usp=share_link"",""สุรินทร์!J624"")+IMPORTRANGE(""https://docs.google.com/spreadsheets/d/1GVExpf-Exi_2gmuqTYH28fseTB9MoKPXWcXCbSt_YrM/edit?usp=share_link"",""หนองคาย!J624"")+IMPORTRANGE(""https://docs.google.com/spreadsheets/d/16UeMz0UgOB5BZcoxP75eYGcLFtG"&amp;"YRn9GoesD4OX9m5U/edit?usp=share_link"",""หนองบัวลำภู!J624"")+IMPORTRANGE(""https://docs.google.com/spreadsheets/d/1uUP8Zo1-qaJLuIkRU0qlwLSE3DHkbdrrj2JGJiWBQZE/edit?usp=share_link"",""อำนาจเจริญ!J624"")+IMPORTRANGE(""https://docs.google.com/spreadsheets/d/"&amp;"1hb_taSOHanzRjqfzWPiFo8yiT83VV1L7vvUCLhOiHKc/edit?usp=share_link"",""อุดรธานี!J624"")+IMPORTRANGE(""https://docs.google.com/spreadsheets/d/17IOkEwkUd63EGNfyNDnM5de9YlZ7rwzTiW6-dokVjKI/edit?usp=share_link"",""อุบลราชธานี!J624"")
"),1133.55)</f>
        <v>1133.55</v>
      </c>
      <c r="K624" s="163"/>
      <c r="L624" s="163"/>
      <c r="M624" s="163"/>
      <c r="N624" s="163"/>
      <c r="O624" s="163"/>
      <c r="P624" s="163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</row>
    <row r="625" spans="1:26" ht="18.75">
      <c r="A625" s="608"/>
      <c r="B625" s="609"/>
      <c r="C625" s="609"/>
      <c r="D625" s="609"/>
      <c r="E625" s="619"/>
      <c r="F625" s="619"/>
      <c r="G625" s="175"/>
      <c r="H625" s="182" t="s">
        <v>34</v>
      </c>
      <c r="I625" s="37"/>
      <c r="J625" s="183">
        <f ca="1">IFERROR(__xludf.DUMMYFUNCTION("IMPORTRANGE(""https://docs.google.com/spreadsheets/d/1fb2B9NLcpJgjIieIJvenUTNPn0TimZDUi0OtYeiSQ_s/edit?usp=share_link"",""กาฬสินธุ์!J625"")+IMPORTRANGE(""https://docs.google.com/spreadsheets/d/1SaMnqrwRGmFYNR0MhpWmHuL5niYUd5E7vDq8X7whAlI/edit?usp=share_li"&amp;"nk"",""ขอนแก่น!J625"")
+IMPORTRANGE(""https://docs.google.com/spreadsheets/d/1xQzEtGHhTTgxHh6YUkKY1P4dRyjVhS74dGswLfAASA4/edit?usp=share_link"",""ชัยภูมิ!J625"")+IMPORTRANGE(""https://docs.google.com/spreadsheets/d/1EXMBoBxU3OFbjT2TRpneM33qFjqDzrKmn9ydcfl"&amp;"fI0o/edit?usp=share_link"",""นครพนม!J625"")+IMPORTRANGE(""https://docs.google.com/spreadsheets/d/1bDQrolntRWtHumK8W-x-HXKntwxB9S3sF5aDeRS66Ko/edit?usp=share_link"",""นครราชสีมา!J625"")+IMPORTRANGE(""https://docs.google.com/spreadsheets/d/1_MzZ-2gVPiCW-d2V"&amp;"cafoCmFJQTSrZ6SQyFcMqRRQQ2w/edit?usp=share_link"",""บึงกาฬ!J625"")
+IMPORTRANGE(""https://docs.google.com/spreadsheets/d/1B3lPpzOuaNwVItLwLEZYl_qEblfcx7dRnbRkAw0l-pE/edit?usp=share_link"",""บุรีรัมย์!J625"")+IMPORTRANGE(""https://docs.google.com/spreadshe"&amp;"ets/d/19GOkiOqnzYbevLYWrMk4qFOXe3rX14BkSA8X-mq-a40/edit?usp=share_link"",""มหาสารคาม!J625"")+IMPORTRANGE(""https://docs.google.com/spreadsheets/d/1uMKqWwuNQ-TCKboGA3Bb1qXb5uj2-faACNUINCz8PN4/edit?usp=share_link"",""มุกดาหาร!J625"")+IMPORTRANGE(""https://d"&amp;"ocs.google.com/spreadsheets/d/1oKaccgDdQABndOzGr688Dbfxb_V3YcF67VqEPBtdzsc/edit?usp=share_link"",""ยโสธร!J625"")+IMPORTRANGE(""https://docs.google.com/spreadsheets/d/1BRgc8xKpxZ0PX-gauieMVkV_IOxKSotf0yW8MabGprQ/edit?usp=share_link"",""ร้อยเอ็ด!J625"")+IMP"&amp;"ORTRANGE(""https://docs.google.com/spreadsheets/d/1IdolZc-dfdgMwAm_KZxYJl1sUOcIgnbGQzbWOlddedo/edit?usp=share_link"",""เลย!J625"")+IMPORTRANGE(""https://docs.google.com/spreadsheets/d/1tZ0nmtGuIRCaGAMXHlQU8EpR9LOAJvyKfc4f7EFmE34/edit?usp=share_link"",""ศร"&amp;"ีสะเกษ!J625"")+IMPORTRANGE(""https://docs.google.com/spreadsheets/d/1QC8psz9w0f9IVE9Xuc2FT_btkaOzZbbUSgYObpBuetM/edit?usp=share_link"",""สกลนคร!J625"")+IMPORTRANGE(""https://docs.google.com/spreadsheets/d/1wPdvRbu02d33MYVlbsCnyTiZpefEBs9NNktAnT1HZvw/edit?"&amp;"usp=share_link"",""สุรินทร์!J625"")+IMPORTRANGE(""https://docs.google.com/spreadsheets/d/1GVExpf-Exi_2gmuqTYH28fseTB9MoKPXWcXCbSt_YrM/edit?usp=share_link"",""หนองคาย!J625"")+IMPORTRANGE(""https://docs.google.com/spreadsheets/d/16UeMz0UgOB5BZcoxP75eYGcLFtG"&amp;"YRn9GoesD4OX9m5U/edit?usp=share_link"",""หนองบัวลำภู!J625"")+IMPORTRANGE(""https://docs.google.com/spreadsheets/d/1uUP8Zo1-qaJLuIkRU0qlwLSE3DHkbdrrj2JGJiWBQZE/edit?usp=share_link"",""อำนาจเจริญ!J625"")+IMPORTRANGE(""https://docs.google.com/spreadsheets/d/"&amp;"1hb_taSOHanzRjqfzWPiFo8yiT83VV1L7vvUCLhOiHKc/edit?usp=share_link"",""อุดรธานี!J625"")+IMPORTRANGE(""https://docs.google.com/spreadsheets/d/17IOkEwkUd63EGNfyNDnM5de9YlZ7rwzTiW6-dokVjKI/edit?usp=share_link"",""อุบลราชธานี!J625"")
"),88)</f>
        <v>88</v>
      </c>
      <c r="K625" s="163"/>
      <c r="L625" s="163"/>
      <c r="M625" s="163"/>
      <c r="N625" s="163"/>
      <c r="O625" s="163"/>
      <c r="P625" s="163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</row>
    <row r="626" spans="1:26" ht="18.75">
      <c r="A626" s="608"/>
      <c r="B626" s="609"/>
      <c r="C626" s="609"/>
      <c r="D626" s="263" t="s">
        <v>270</v>
      </c>
      <c r="E626" s="619"/>
      <c r="F626" s="619"/>
      <c r="G626" s="175"/>
      <c r="H626" s="182" t="s">
        <v>46</v>
      </c>
      <c r="I626" s="37"/>
      <c r="J626" s="183">
        <f ca="1">IFERROR(__xludf.DUMMYFUNCTION("IMPORTRANGE(""https://docs.google.com/spreadsheets/d/1fb2B9NLcpJgjIieIJvenUTNPn0TimZDUi0OtYeiSQ_s/edit?usp=share_link"",""กาฬสินธุ์!J626"")+IMPORTRANGE(""https://docs.google.com/spreadsheets/d/1SaMnqrwRGmFYNR0MhpWmHuL5niYUd5E7vDq8X7whAlI/edit?usp=share_li"&amp;"nk"",""ขอนแก่น!J626"")
+IMPORTRANGE(""https://docs.google.com/spreadsheets/d/1xQzEtGHhTTgxHh6YUkKY1P4dRyjVhS74dGswLfAASA4/edit?usp=share_link"",""ชัยภูมิ!J626"")+IMPORTRANGE(""https://docs.google.com/spreadsheets/d/1EXMBoBxU3OFbjT2TRpneM33qFjqDzrKmn9ydcfl"&amp;"fI0o/edit?usp=share_link"",""นครพนม!J626"")+IMPORTRANGE(""https://docs.google.com/spreadsheets/d/1bDQrolntRWtHumK8W-x-HXKntwxB9S3sF5aDeRS66Ko/edit?usp=share_link"",""นครราชสีมา!J626"")+IMPORTRANGE(""https://docs.google.com/spreadsheets/d/1_MzZ-2gVPiCW-d2V"&amp;"cafoCmFJQTSrZ6SQyFcMqRRQQ2w/edit?usp=share_link"",""บึงกาฬ!J626"")
+IMPORTRANGE(""https://docs.google.com/spreadsheets/d/1B3lPpzOuaNwVItLwLEZYl_qEblfcx7dRnbRkAw0l-pE/edit?usp=share_link"",""บุรีรัมย์!J626"")+IMPORTRANGE(""https://docs.google.com/spreadshe"&amp;"ets/d/19GOkiOqnzYbevLYWrMk4qFOXe3rX14BkSA8X-mq-a40/edit?usp=share_link"",""มหาสารคาม!J626"")+IMPORTRANGE(""https://docs.google.com/spreadsheets/d/1uMKqWwuNQ-TCKboGA3Bb1qXb5uj2-faACNUINCz8PN4/edit?usp=share_link"",""มุกดาหาร!J626"")+IMPORTRANGE(""https://d"&amp;"ocs.google.com/spreadsheets/d/1oKaccgDdQABndOzGr688Dbfxb_V3YcF67VqEPBtdzsc/edit?usp=share_link"",""ยโสธร!J626"")+IMPORTRANGE(""https://docs.google.com/spreadsheets/d/1BRgc8xKpxZ0PX-gauieMVkV_IOxKSotf0yW8MabGprQ/edit?usp=share_link"",""ร้อยเอ็ด!J626"")+IMP"&amp;"ORTRANGE(""https://docs.google.com/spreadsheets/d/1IdolZc-dfdgMwAm_KZxYJl1sUOcIgnbGQzbWOlddedo/edit?usp=share_link"",""เลย!J626"")+IMPORTRANGE(""https://docs.google.com/spreadsheets/d/1tZ0nmtGuIRCaGAMXHlQU8EpR9LOAJvyKfc4f7EFmE34/edit?usp=share_link"",""ศร"&amp;"ีสะเกษ!J626"")+IMPORTRANGE(""https://docs.google.com/spreadsheets/d/1QC8psz9w0f9IVE9Xuc2FT_btkaOzZbbUSgYObpBuetM/edit?usp=share_link"",""สกลนคร!J626"")+IMPORTRANGE(""https://docs.google.com/spreadsheets/d/1wPdvRbu02d33MYVlbsCnyTiZpefEBs9NNktAnT1HZvw/edit?"&amp;"usp=share_link"",""สุรินทร์!J626"")+IMPORTRANGE(""https://docs.google.com/spreadsheets/d/1GVExpf-Exi_2gmuqTYH28fseTB9MoKPXWcXCbSt_YrM/edit?usp=share_link"",""หนองคาย!J626"")+IMPORTRANGE(""https://docs.google.com/spreadsheets/d/16UeMz0UgOB5BZcoxP75eYGcLFtG"&amp;"YRn9GoesD4OX9m5U/edit?usp=share_link"",""หนองบัวลำภู!J626"")+IMPORTRANGE(""https://docs.google.com/spreadsheets/d/1uUP8Zo1-qaJLuIkRU0qlwLSE3DHkbdrrj2JGJiWBQZE/edit?usp=share_link"",""อำนาจเจริญ!J626"")+IMPORTRANGE(""https://docs.google.com/spreadsheets/d/"&amp;"1hb_taSOHanzRjqfzWPiFo8yiT83VV1L7vvUCLhOiHKc/edit?usp=share_link"",""อุดรธานี!J626"")+IMPORTRANGE(""https://docs.google.com/spreadsheets/d/17IOkEwkUd63EGNfyNDnM5de9YlZ7rwzTiW6-dokVjKI/edit?usp=share_link"",""อุบลราชธานี!J626"")
"),9)</f>
        <v>9</v>
      </c>
      <c r="K626" s="163"/>
      <c r="L626" s="163"/>
      <c r="M626" s="163"/>
      <c r="N626" s="163"/>
      <c r="O626" s="163"/>
      <c r="P626" s="163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</row>
    <row r="627" spans="1:26" ht="18.75">
      <c r="A627" s="732"/>
      <c r="B627" s="733"/>
      <c r="C627" s="733"/>
      <c r="D627" s="733"/>
      <c r="E627" s="734"/>
      <c r="F627" s="734"/>
      <c r="G627" s="735"/>
      <c r="H627" s="422" t="s">
        <v>34</v>
      </c>
      <c r="I627" s="506"/>
      <c r="J627" s="424">
        <f ca="1">IFERROR(__xludf.DUMMYFUNCTION("IMPORTRANGE(""https://docs.google.com/spreadsheets/d/1fb2B9NLcpJgjIieIJvenUTNPn0TimZDUi0OtYeiSQ_s/edit?usp=share_link"",""กาฬสินธุ์!J627"")+IMPORTRANGE(""https://docs.google.com/spreadsheets/d/1SaMnqrwRGmFYNR0MhpWmHuL5niYUd5E7vDq8X7whAlI/edit?usp=share_li"&amp;"nk"",""ขอนแก่น!J627"")
+IMPORTRANGE(""https://docs.google.com/spreadsheets/d/1xQzEtGHhTTgxHh6YUkKY1P4dRyjVhS74dGswLfAASA4/edit?usp=share_link"",""ชัยภูมิ!J627"")+IMPORTRANGE(""https://docs.google.com/spreadsheets/d/1EXMBoBxU3OFbjT2TRpneM33qFjqDzrKmn9ydcfl"&amp;"fI0o/edit?usp=share_link"",""นครพนม!J627"")+IMPORTRANGE(""https://docs.google.com/spreadsheets/d/1bDQrolntRWtHumK8W-x-HXKntwxB9S3sF5aDeRS66Ko/edit?usp=share_link"",""นครราชสีมา!J627"")+IMPORTRANGE(""https://docs.google.com/spreadsheets/d/1_MzZ-2gVPiCW-d2V"&amp;"cafoCmFJQTSrZ6SQyFcMqRRQQ2w/edit?usp=share_link"",""บึงกาฬ!J627"")
+IMPORTRANGE(""https://docs.google.com/spreadsheets/d/1B3lPpzOuaNwVItLwLEZYl_qEblfcx7dRnbRkAw0l-pE/edit?usp=share_link"",""บุรีรัมย์!J627"")+IMPORTRANGE(""https://docs.google.com/spreadshe"&amp;"ets/d/19GOkiOqnzYbevLYWrMk4qFOXe3rX14BkSA8X-mq-a40/edit?usp=share_link"",""มหาสารคาม!J627"")+IMPORTRANGE(""https://docs.google.com/spreadsheets/d/1uMKqWwuNQ-TCKboGA3Bb1qXb5uj2-faACNUINCz8PN4/edit?usp=share_link"",""มุกดาหาร!J627"")+IMPORTRANGE(""https://d"&amp;"ocs.google.com/spreadsheets/d/1oKaccgDdQABndOzGr688Dbfxb_V3YcF67VqEPBtdzsc/edit?usp=share_link"",""ยโสธร!J627"")+IMPORTRANGE(""https://docs.google.com/spreadsheets/d/1BRgc8xKpxZ0PX-gauieMVkV_IOxKSotf0yW8MabGprQ/edit?usp=share_link"",""ร้อยเอ็ด!J627"")+IMP"&amp;"ORTRANGE(""https://docs.google.com/spreadsheets/d/1IdolZc-dfdgMwAm_KZxYJl1sUOcIgnbGQzbWOlddedo/edit?usp=share_link"",""เลย!J627"")+IMPORTRANGE(""https://docs.google.com/spreadsheets/d/1tZ0nmtGuIRCaGAMXHlQU8EpR9LOAJvyKfc4f7EFmE34/edit?usp=share_link"",""ศร"&amp;"ีสะเกษ!J627"")+IMPORTRANGE(""https://docs.google.com/spreadsheets/d/1QC8psz9w0f9IVE9Xuc2FT_btkaOzZbbUSgYObpBuetM/edit?usp=share_link"",""สกลนคร!J627"")+IMPORTRANGE(""https://docs.google.com/spreadsheets/d/1wPdvRbu02d33MYVlbsCnyTiZpefEBs9NNktAnT1HZvw/edit?"&amp;"usp=share_link"",""สุรินทร์!J627"")+IMPORTRANGE(""https://docs.google.com/spreadsheets/d/1GVExpf-Exi_2gmuqTYH28fseTB9MoKPXWcXCbSt_YrM/edit?usp=share_link"",""หนองคาย!J627"")+IMPORTRANGE(""https://docs.google.com/spreadsheets/d/16UeMz0UgOB5BZcoxP75eYGcLFtG"&amp;"YRn9GoesD4OX9m5U/edit?usp=share_link"",""หนองบัวลำภู!J627"")+IMPORTRANGE(""https://docs.google.com/spreadsheets/d/1uUP8Zo1-qaJLuIkRU0qlwLSE3DHkbdrrj2JGJiWBQZE/edit?usp=share_link"",""อำนาจเจริญ!J627"")+IMPORTRANGE(""https://docs.google.com/spreadsheets/d/"&amp;"1hb_taSOHanzRjqfzWPiFo8yiT83VV1L7vvUCLhOiHKc/edit?usp=share_link"",""อุดรธานี!J627"")+IMPORTRANGE(""https://docs.google.com/spreadsheets/d/17IOkEwkUd63EGNfyNDnM5de9YlZ7rwzTiW6-dokVjKI/edit?usp=share_link"",""อุบลราชธานี!J627"")
"),3)</f>
        <v>3</v>
      </c>
      <c r="K627" s="385"/>
      <c r="L627" s="385"/>
      <c r="M627" s="385"/>
      <c r="N627" s="385"/>
      <c r="O627" s="385"/>
      <c r="P627" s="385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</row>
    <row r="628" spans="1:26" ht="19.5">
      <c r="A628" s="736">
        <v>7</v>
      </c>
      <c r="B628" s="737" t="s">
        <v>271</v>
      </c>
      <c r="C628" s="738"/>
      <c r="D628" s="738"/>
      <c r="E628" s="738"/>
      <c r="F628" s="738"/>
      <c r="G628" s="739"/>
      <c r="H628" s="740" t="s">
        <v>35</v>
      </c>
      <c r="I628" s="741">
        <f t="shared" ref="I628:J628" ca="1" si="298">I651</f>
        <v>8730</v>
      </c>
      <c r="J628" s="741">
        <f t="shared" ca="1" si="298"/>
        <v>8718</v>
      </c>
      <c r="K628" s="742">
        <f ca="1">IF(I628&gt;0,J628*100/I628,0)</f>
        <v>99.862542955326461</v>
      </c>
      <c r="L628" s="743"/>
      <c r="M628" s="743"/>
      <c r="N628" s="743"/>
      <c r="O628" s="743"/>
      <c r="P628" s="743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</row>
    <row r="629" spans="1:26" ht="19.5">
      <c r="A629" s="597"/>
      <c r="B629" s="576"/>
      <c r="C629" s="576" t="s">
        <v>16</v>
      </c>
      <c r="D629" s="863" t="s">
        <v>17</v>
      </c>
      <c r="E629" s="857"/>
      <c r="F629" s="857"/>
      <c r="G629" s="189"/>
      <c r="H629" s="598" t="s">
        <v>12</v>
      </c>
      <c r="I629" s="37"/>
      <c r="J629" s="37"/>
      <c r="K629" s="38"/>
      <c r="L629" s="195">
        <f t="shared" ref="L629:N629" ca="1" si="299">L630+L631</f>
        <v>11806445</v>
      </c>
      <c r="M629" s="195">
        <f t="shared" ca="1" si="299"/>
        <v>11188682.73</v>
      </c>
      <c r="N629" s="195">
        <f t="shared" ca="1" si="299"/>
        <v>11188692.329999991</v>
      </c>
      <c r="O629" s="195">
        <f t="shared" ref="O629:O634" ca="1" si="300">IF(L629&gt;0,N629*100/L629,0)</f>
        <v>94.767665711397385</v>
      </c>
      <c r="P629" s="195">
        <f t="shared" ref="P629:P634" ca="1" si="301">IF(M629&gt;0,N629*100/M629,0)</f>
        <v>100.00008580098499</v>
      </c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</row>
    <row r="630" spans="1:26" ht="18.75" hidden="1">
      <c r="A630" s="599"/>
      <c r="B630" s="600"/>
      <c r="C630" s="600"/>
      <c r="D630" s="601"/>
      <c r="E630" s="602" t="s">
        <v>185</v>
      </c>
      <c r="F630" s="600"/>
      <c r="G630" s="603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604"/>
      <c r="R630" s="604"/>
      <c r="S630" s="604"/>
      <c r="T630" s="604"/>
      <c r="U630" s="604"/>
      <c r="V630" s="604"/>
      <c r="W630" s="604"/>
      <c r="X630" s="604"/>
      <c r="Y630" s="604"/>
      <c r="Z630" s="604"/>
    </row>
    <row r="631" spans="1:26" ht="18.75" hidden="1">
      <c r="A631" s="599"/>
      <c r="B631" s="605"/>
      <c r="C631" s="600"/>
      <c r="D631" s="601"/>
      <c r="E631" s="602" t="s">
        <v>186</v>
      </c>
      <c r="F631" s="600"/>
      <c r="G631" s="603"/>
      <c r="H631" s="165" t="s">
        <v>12</v>
      </c>
      <c r="I631" s="44"/>
      <c r="J631" s="44"/>
      <c r="K631" s="45"/>
      <c r="L631" s="45">
        <f t="shared" ref="L631:N631" ca="1" si="303">L634+L641</f>
        <v>11806445</v>
      </c>
      <c r="M631" s="45">
        <f t="shared" ca="1" si="303"/>
        <v>11188682.73</v>
      </c>
      <c r="N631" s="45">
        <f t="shared" ca="1" si="303"/>
        <v>11188692.329999991</v>
      </c>
      <c r="O631" s="45">
        <f t="shared" ca="1" si="300"/>
        <v>94.767665711397385</v>
      </c>
      <c r="P631" s="45">
        <f t="shared" ca="1" si="301"/>
        <v>100.00008580098499</v>
      </c>
      <c r="Q631" s="604"/>
      <c r="R631" s="604"/>
      <c r="S631" s="604"/>
      <c r="T631" s="604"/>
      <c r="U631" s="604"/>
      <c r="V631" s="604"/>
      <c r="W631" s="604"/>
      <c r="X631" s="604"/>
      <c r="Y631" s="604"/>
      <c r="Z631" s="604"/>
    </row>
    <row r="632" spans="1:26" ht="18.75">
      <c r="A632" s="597"/>
      <c r="B632" s="575"/>
      <c r="C632" s="576"/>
      <c r="D632" s="606" t="s">
        <v>20</v>
      </c>
      <c r="E632" s="576"/>
      <c r="F632" s="576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11806445</v>
      </c>
      <c r="M632" s="38">
        <f t="shared" ca="1" si="304"/>
        <v>11188682.73</v>
      </c>
      <c r="N632" s="38">
        <f t="shared" ca="1" si="304"/>
        <v>11188692.329999991</v>
      </c>
      <c r="O632" s="38">
        <f t="shared" ca="1" si="300"/>
        <v>94.767665711397385</v>
      </c>
      <c r="P632" s="38">
        <f t="shared" ca="1" si="301"/>
        <v>100.00008580098499</v>
      </c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</row>
    <row r="633" spans="1:26" ht="18.75" hidden="1">
      <c r="A633" s="599"/>
      <c r="B633" s="605"/>
      <c r="C633" s="600"/>
      <c r="D633" s="601"/>
      <c r="E633" s="602" t="s">
        <v>185</v>
      </c>
      <c r="F633" s="600"/>
      <c r="G633" s="603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604"/>
      <c r="R633" s="604"/>
      <c r="S633" s="604"/>
      <c r="T633" s="604"/>
      <c r="U633" s="604"/>
      <c r="V633" s="604"/>
      <c r="W633" s="604"/>
      <c r="X633" s="604"/>
      <c r="Y633" s="604"/>
      <c r="Z633" s="604"/>
    </row>
    <row r="634" spans="1:26" ht="18.75" hidden="1">
      <c r="A634" s="599"/>
      <c r="B634" s="605"/>
      <c r="C634" s="600"/>
      <c r="D634" s="601"/>
      <c r="E634" s="602" t="s">
        <v>186</v>
      </c>
      <c r="F634" s="600"/>
      <c r="G634" s="603"/>
      <c r="H634" s="165" t="s">
        <v>12</v>
      </c>
      <c r="I634" s="44"/>
      <c r="J634" s="44"/>
      <c r="K634" s="45"/>
      <c r="L634" s="45">
        <f ca="1">IFERROR(__xludf.DUMMYFUNCTION("IMPORTRANGE(""https://docs.google.com/spreadsheets/d/1fb2B9NLcpJgjIieIJvenUTNPn0TimZDUi0OtYeiSQ_s/edit?usp=share_link"",""กาฬสินธุ์!L634"")+IMPORTRANGE(""https://docs.google.com/spreadsheets/d/1SaMnqrwRGmFYNR0MhpWmHuL5niYUd5E7vDq8X7whAlI/edit?usp=share_li"&amp;"nk"",""ขอนแก่น!L634"")
+IMPORTRANGE(""https://docs.google.com/spreadsheets/d/1xQzEtGHhTTgxHh6YUkKY1P4dRyjVhS74dGswLfAASA4/edit?usp=share_link"",""ชัยภูมิ!L634"")+IMPORTRANGE(""https://docs.google.com/spreadsheets/d/1EXMBoBxU3OFbjT2TRpneM33qFjqDzrKmn9ydcfl"&amp;"fI0o/edit?usp=share_link"",""นครพนม!L634"")+IMPORTRANGE(""https://docs.google.com/spreadsheets/d/1bDQrolntRWtHumK8W-x-HXKntwxB9S3sF5aDeRS66Ko/edit?usp=share_link"",""นครราชสีมา!L634"")+IMPORTRANGE(""https://docs.google.com/spreadsheets/d/1_MzZ-2gVPiCW-d2V"&amp;"cafoCmFJQTSrZ6SQyFcMqRRQQ2w/edit?usp=share_link"",""บึงกาฬ!L634"")
+IMPORTRANGE(""https://docs.google.com/spreadsheets/d/1B3lPpzOuaNwVItLwLEZYl_qEblfcx7dRnbRkAw0l-pE/edit?usp=share_link"",""บุรีรัมย์!L634"")+IMPORTRANGE(""https://docs.google.com/spreadshe"&amp;"ets/d/19GOkiOqnzYbevLYWrMk4qFOXe3rX14BkSA8X-mq-a40/edit?usp=share_link"",""มหาสารคาม!L634"")+IMPORTRANGE(""https://docs.google.com/spreadsheets/d/1uMKqWwuNQ-TCKboGA3Bb1qXb5uj2-faACNUINCz8PN4/edit?usp=share_link"",""มุกดาหาร!L634"")+IMPORTRANGE(""https://d"&amp;"ocs.google.com/spreadsheets/d/1oKaccgDdQABndOzGr688Dbfxb_V3YcF67VqEPBtdzsc/edit?usp=share_link"",""ยโสธร!L634"")+IMPORTRANGE(""https://docs.google.com/spreadsheets/d/1BRgc8xKpxZ0PX-gauieMVkV_IOxKSotf0yW8MabGprQ/edit?usp=share_link"",""ร้อยเอ็ด!L634"")+IMP"&amp;"ORTRANGE(""https://docs.google.com/spreadsheets/d/1IdolZc-dfdgMwAm_KZxYJl1sUOcIgnbGQzbWOlddedo/edit?usp=share_link"",""เลย!L634"")+IMPORTRANGE(""https://docs.google.com/spreadsheets/d/1tZ0nmtGuIRCaGAMXHlQU8EpR9LOAJvyKfc4f7EFmE34/edit?usp=share_link"",""ศร"&amp;"ีสะเกษ!L634"")+IMPORTRANGE(""https://docs.google.com/spreadsheets/d/1QC8psz9w0f9IVE9Xuc2FT_btkaOzZbbUSgYObpBuetM/edit?usp=share_link"",""สกลนคร!L634"")+IMPORTRANGE(""https://docs.google.com/spreadsheets/d/1wPdvRbu02d33MYVlbsCnyTiZpefEBs9NNktAnT1HZvw/edit?"&amp;"usp=share_link"",""สุรินทร์!L634"")+IMPORTRANGE(""https://docs.google.com/spreadsheets/d/1GVExpf-Exi_2gmuqTYH28fseTB9MoKPXWcXCbSt_YrM/edit?usp=share_link"",""หนองคาย!L634"")+IMPORTRANGE(""https://docs.google.com/spreadsheets/d/16UeMz0UgOB5BZcoxP75eYGcLFtG"&amp;"YRn9GoesD4OX9m5U/edit?usp=share_link"",""หนองบัวลำภู!L634"")+IMPORTRANGE(""https://docs.google.com/spreadsheets/d/1uUP8Zo1-qaJLuIkRU0qlwLSE3DHkbdrrj2JGJiWBQZE/edit?usp=share_link"",""อำนาจเจริญ!L634"")+IMPORTRANGE(""https://docs.google.com/spreadsheets/d/"&amp;"1hb_taSOHanzRjqfzWPiFo8yiT83VV1L7vvUCLhOiHKc/edit?usp=share_link"",""อุดรธานี!L634"")+IMPORTRANGE(""https://docs.google.com/spreadsheets/d/17IOkEwkUd63EGNfyNDnM5de9YlZ7rwzTiW6-dokVjKI/edit?usp=share_link"",""อุบลราชธานี!L634"")
"),11806445)</f>
        <v>11806445</v>
      </c>
      <c r="M634" s="93">
        <f ca="1">IFERROR(__xludf.DUMMYFUNCTION("IMPORTRANGE(""https://docs.google.com/spreadsheets/d/1fb2B9NLcpJgjIieIJvenUTNPn0TimZDUi0OtYeiSQ_s/edit?usp=share_link"",""กาฬสินธุ์!M634"")+IMPORTRANGE(""https://docs.google.com/spreadsheets/d/1SaMnqrwRGmFYNR0MhpWmHuL5niYUd5E7vDq8X7whAlI/edit?usp=share_li"&amp;"nk"",""ขอนแก่น!M634"")
+IMPORTRANGE(""https://docs.google.com/spreadsheets/d/1xQzEtGHhTTgxHh6YUkKY1P4dRyjVhS74dGswLfAASA4/edit?usp=share_link"",""ชัยภูมิ!M634"")+IMPORTRANGE(""https://docs.google.com/spreadsheets/d/1EXMBoBxU3OFbjT2TRpneM33qFjqDzrKmn9ydcfl"&amp;"fI0o/edit?usp=share_link"",""นครพนม!M634"")+IMPORTRANGE(""https://docs.google.com/spreadsheets/d/1bDQrolntRWtHumK8W-x-HXKntwxB9S3sF5aDeRS66Ko/edit?usp=share_link"",""นครราชสีมา!M634"")+IMPORTRANGE(""https://docs.google.com/spreadsheets/d/1_MzZ-2gVPiCW-d2V"&amp;"cafoCmFJQTSrZ6SQyFcMqRRQQ2w/edit?usp=share_link"",""บึงกาฬ!M634"")
+IMPORTRANGE(""https://docs.google.com/spreadsheets/d/1B3lPpzOuaNwVItLwLEZYl_qEblfcx7dRnbRkAw0l-pE/edit?usp=share_link"",""บุรีรัมย์!M634"")+IMPORTRANGE(""https://docs.google.com/spreadshe"&amp;"ets/d/19GOkiOqnzYbevLYWrMk4qFOXe3rX14BkSA8X-mq-a40/edit?usp=share_link"",""มหาสารคาม!M634"")+IMPORTRANGE(""https://docs.google.com/spreadsheets/d/1uMKqWwuNQ-TCKboGA3Bb1qXb5uj2-faACNUINCz8PN4/edit?usp=share_link"",""มุกดาหาร!M634"")+IMPORTRANGE(""https://d"&amp;"ocs.google.com/spreadsheets/d/1oKaccgDdQABndOzGr688Dbfxb_V3YcF67VqEPBtdzsc/edit?usp=share_link"",""ยโสธร!M634"")+IMPORTRANGE(""https://docs.google.com/spreadsheets/d/1BRgc8xKpxZ0PX-gauieMVkV_IOxKSotf0yW8MabGprQ/edit?usp=share_link"",""ร้อยเอ็ด!M634"")+IMP"&amp;"ORTRANGE(""https://docs.google.com/spreadsheets/d/1IdolZc-dfdgMwAm_KZxYJl1sUOcIgnbGQzbWOlddedo/edit?usp=share_link"",""เลย!M634"")+IMPORTRANGE(""https://docs.google.com/spreadsheets/d/1tZ0nmtGuIRCaGAMXHlQU8EpR9LOAJvyKfc4f7EFmE34/edit?usp=share_link"",""ศร"&amp;"ีสะเกษ!M634"")+IMPORTRANGE(""https://docs.google.com/spreadsheets/d/1QC8psz9w0f9IVE9Xuc2FT_btkaOzZbbUSgYObpBuetM/edit?usp=share_link"",""สกลนคร!M634"")+IMPORTRANGE(""https://docs.google.com/spreadsheets/d/1wPdvRbu02d33MYVlbsCnyTiZpefEBs9NNktAnT1HZvw/edit?"&amp;"usp=share_link"",""สุรินทร์!M634"")+IMPORTRANGE(""https://docs.google.com/spreadsheets/d/1GVExpf-Exi_2gmuqTYH28fseTB9MoKPXWcXCbSt_YrM/edit?usp=share_link"",""หนองคาย!M634"")+IMPORTRANGE(""https://docs.google.com/spreadsheets/d/16UeMz0UgOB5BZcoxP75eYGcLFtG"&amp;"YRn9GoesD4OX9m5U/edit?usp=share_link"",""หนองบัวลำภู!M634"")+IMPORTRANGE(""https://docs.google.com/spreadsheets/d/1uUP8Zo1-qaJLuIkRU0qlwLSE3DHkbdrrj2JGJiWBQZE/edit?usp=share_link"",""อำนาจเจริญ!M634"")+IMPORTRANGE(""https://docs.google.com/spreadsheets/d/"&amp;"1hb_taSOHanzRjqfzWPiFo8yiT83VV1L7vvUCLhOiHKc/edit?usp=share_link"",""อุดรธานี!M634"")+IMPORTRANGE(""https://docs.google.com/spreadsheets/d/17IOkEwkUd63EGNfyNDnM5de9YlZ7rwzTiW6-dokVjKI/edit?usp=share_link"",""อุบลราชธานี!M634"")
"),11188682.73)</f>
        <v>11188682.73</v>
      </c>
      <c r="N634" s="45">
        <f ca="1">N635+N636+N637+N638</f>
        <v>11188692.329999991</v>
      </c>
      <c r="O634" s="45">
        <f t="shared" ca="1" si="300"/>
        <v>94.767665711397385</v>
      </c>
      <c r="P634" s="45">
        <f t="shared" ca="1" si="301"/>
        <v>100.00008580098499</v>
      </c>
      <c r="Q634" s="604"/>
      <c r="R634" s="604"/>
      <c r="S634" s="604"/>
      <c r="T634" s="604"/>
      <c r="U634" s="604"/>
      <c r="V634" s="604"/>
      <c r="W634" s="604"/>
      <c r="X634" s="604"/>
      <c r="Y634" s="604"/>
      <c r="Z634" s="604"/>
    </row>
    <row r="635" spans="1:26" ht="18.75">
      <c r="A635" s="574"/>
      <c r="B635" s="575"/>
      <c r="C635" s="576"/>
      <c r="D635" s="576"/>
      <c r="E635" s="576"/>
      <c r="F635" s="577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fb2B9NLcpJgjIieIJvenUTNPn0TimZDUi0OtYeiSQ_s/edit?usp=share_link"",""กาฬสินธุ์!N635"")+IMPORTRANGE(""https://docs.google.com/spreadsheets/d/1SaMnqrwRGmFYNR0MhpWmHuL5niYUd5E7vDq8X7whAlI/edit?usp=share_li"&amp;"nk"",""ขอนแก่น!N635"")
+IMPORTRANGE(""https://docs.google.com/spreadsheets/d/1xQzEtGHhTTgxHh6YUkKY1P4dRyjVhS74dGswLfAASA4/edit?usp=share_link"",""ชัยภูมิ!N635"")+IMPORTRANGE(""https://docs.google.com/spreadsheets/d/1EXMBoBxU3OFbjT2TRpneM33qFjqDzrKmn9ydcfl"&amp;"fI0o/edit?usp=share_link"",""นครพนม!N635"")+IMPORTRANGE(""https://docs.google.com/spreadsheets/d/1bDQrolntRWtHumK8W-x-HXKntwxB9S3sF5aDeRS66Ko/edit?usp=share_link"",""นครราชสีมา!N635"")+IMPORTRANGE(""https://docs.google.com/spreadsheets/d/1_MzZ-2gVPiCW-d2V"&amp;"cafoCmFJQTSrZ6SQyFcMqRRQQ2w/edit?usp=share_link"",""บึงกาฬ!N635"")
+IMPORTRANGE(""https://docs.google.com/spreadsheets/d/1B3lPpzOuaNwVItLwLEZYl_qEblfcx7dRnbRkAw0l-pE/edit?usp=share_link"",""บุรีรัมย์!N635"")+IMPORTRANGE(""https://docs.google.com/spreadshe"&amp;"ets/d/19GOkiOqnzYbevLYWrMk4qFOXe3rX14BkSA8X-mq-a40/edit?usp=share_link"",""มหาสารคาม!N635"")+IMPORTRANGE(""https://docs.google.com/spreadsheets/d/1uMKqWwuNQ-TCKboGA3Bb1qXb5uj2-faACNUINCz8PN4/edit?usp=share_link"",""มุกดาหาร!N635"")+IMPORTRANGE(""https://d"&amp;"ocs.google.com/spreadsheets/d/1oKaccgDdQABndOzGr688Dbfxb_V3YcF67VqEPBtdzsc/edit?usp=share_link"",""ยโสธร!N635"")+IMPORTRANGE(""https://docs.google.com/spreadsheets/d/1BRgc8xKpxZ0PX-gauieMVkV_IOxKSotf0yW8MabGprQ/edit?usp=share_link"",""ร้อยเอ็ด!N635"")+IMP"&amp;"ORTRANGE(""https://docs.google.com/spreadsheets/d/1IdolZc-dfdgMwAm_KZxYJl1sUOcIgnbGQzbWOlddedo/edit?usp=share_link"",""เลย!N635"")+IMPORTRANGE(""https://docs.google.com/spreadsheets/d/1tZ0nmtGuIRCaGAMXHlQU8EpR9LOAJvyKfc4f7EFmE34/edit?usp=share_link"",""ศร"&amp;"ีสะเกษ!N635"")+IMPORTRANGE(""https://docs.google.com/spreadsheets/d/1QC8psz9w0f9IVE9Xuc2FT_btkaOzZbbUSgYObpBuetM/edit?usp=share_link"",""สกลนคร!N635"")+IMPORTRANGE(""https://docs.google.com/spreadsheets/d/1wPdvRbu02d33MYVlbsCnyTiZpefEBs9NNktAnT1HZvw/edit?"&amp;"usp=share_link"",""สุรินทร์!N635"")+IMPORTRANGE(""https://docs.google.com/spreadsheets/d/1GVExpf-Exi_2gmuqTYH28fseTB9MoKPXWcXCbSt_YrM/edit?usp=share_link"",""หนองคาย!N635"")+IMPORTRANGE(""https://docs.google.com/spreadsheets/d/16UeMz0UgOB5BZcoxP75eYGcLFtG"&amp;"YRn9GoesD4OX9m5U/edit?usp=share_link"",""หนองบัวลำภู!N635"")+IMPORTRANGE(""https://docs.google.com/spreadsheets/d/1uUP8Zo1-qaJLuIkRU0qlwLSE3DHkbdrrj2JGJiWBQZE/edit?usp=share_link"",""อำนาจเจริญ!N635"")+IMPORTRANGE(""https://docs.google.com/spreadsheets/d/"&amp;"1hb_taSOHanzRjqfzWPiFo8yiT83VV1L7vvUCLhOiHKc/edit?usp=share_link"",""อุดรธานี!N635"")+IMPORTRANGE(""https://docs.google.com/spreadsheets/d/17IOkEwkUd63EGNfyNDnM5de9YlZ7rwzTiW6-dokVjKI/edit?usp=share_link"",""อุบลราชธานี!N635"")
"),0)</f>
        <v>0</v>
      </c>
      <c r="O635" s="38"/>
      <c r="P635" s="3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</row>
    <row r="636" spans="1:26" ht="18.75">
      <c r="A636" s="574"/>
      <c r="B636" s="575"/>
      <c r="C636" s="576"/>
      <c r="D636" s="576"/>
      <c r="E636" s="576"/>
      <c r="F636" s="577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fb2B9NLcpJgjIieIJvenUTNPn0TimZDUi0OtYeiSQ_s/edit?usp=share_link"",""กาฬสินธุ์!N636"")+IMPORTRANGE(""https://docs.google.com/spreadsheets/d/1SaMnqrwRGmFYNR0MhpWmHuL5niYUd5E7vDq8X7whAlI/edit?usp=share_li"&amp;"nk"",""ขอนแก่น!N636"")
+IMPORTRANGE(""https://docs.google.com/spreadsheets/d/1xQzEtGHhTTgxHh6YUkKY1P4dRyjVhS74dGswLfAASA4/edit?usp=share_link"",""ชัยภูมิ!N636"")+IMPORTRANGE(""https://docs.google.com/spreadsheets/d/1EXMBoBxU3OFbjT2TRpneM33qFjqDzrKmn9ydcfl"&amp;"fI0o/edit?usp=share_link"",""นครพนม!N636"")+IMPORTRANGE(""https://docs.google.com/spreadsheets/d/1bDQrolntRWtHumK8W-x-HXKntwxB9S3sF5aDeRS66Ko/edit?usp=share_link"",""นครราชสีมา!N636"")+IMPORTRANGE(""https://docs.google.com/spreadsheets/d/1_MzZ-2gVPiCW-d2V"&amp;"cafoCmFJQTSrZ6SQyFcMqRRQQ2w/edit?usp=share_link"",""บึงกาฬ!N636"")
+IMPORTRANGE(""https://docs.google.com/spreadsheets/d/1B3lPpzOuaNwVItLwLEZYl_qEblfcx7dRnbRkAw0l-pE/edit?usp=share_link"",""บุรีรัมย์!N636"")+IMPORTRANGE(""https://docs.google.com/spreadshe"&amp;"ets/d/19GOkiOqnzYbevLYWrMk4qFOXe3rX14BkSA8X-mq-a40/edit?usp=share_link"",""มหาสารคาม!N636"")+IMPORTRANGE(""https://docs.google.com/spreadsheets/d/1uMKqWwuNQ-TCKboGA3Bb1qXb5uj2-faACNUINCz8PN4/edit?usp=share_link"",""มุกดาหาร!N636"")+IMPORTRANGE(""https://d"&amp;"ocs.google.com/spreadsheets/d/1oKaccgDdQABndOzGr688Dbfxb_V3YcF67VqEPBtdzsc/edit?usp=share_link"",""ยโสธร!N636"")+IMPORTRANGE(""https://docs.google.com/spreadsheets/d/1BRgc8xKpxZ0PX-gauieMVkV_IOxKSotf0yW8MabGprQ/edit?usp=share_link"",""ร้อยเอ็ด!N636"")+IMP"&amp;"ORTRANGE(""https://docs.google.com/spreadsheets/d/1IdolZc-dfdgMwAm_KZxYJl1sUOcIgnbGQzbWOlddedo/edit?usp=share_link"",""เลย!N636"")+IMPORTRANGE(""https://docs.google.com/spreadsheets/d/1tZ0nmtGuIRCaGAMXHlQU8EpR9LOAJvyKfc4f7EFmE34/edit?usp=share_link"",""ศร"&amp;"ีสะเกษ!N636"")+IMPORTRANGE(""https://docs.google.com/spreadsheets/d/1QC8psz9w0f9IVE9Xuc2FT_btkaOzZbbUSgYObpBuetM/edit?usp=share_link"",""สกลนคร!N636"")+IMPORTRANGE(""https://docs.google.com/spreadsheets/d/1wPdvRbu02d33MYVlbsCnyTiZpefEBs9NNktAnT1HZvw/edit?"&amp;"usp=share_link"",""สุรินทร์!N636"")+IMPORTRANGE(""https://docs.google.com/spreadsheets/d/1GVExpf-Exi_2gmuqTYH28fseTB9MoKPXWcXCbSt_YrM/edit?usp=share_link"",""หนองคาย!N636"")+IMPORTRANGE(""https://docs.google.com/spreadsheets/d/16UeMz0UgOB5BZcoxP75eYGcLFtG"&amp;"YRn9GoesD4OX9m5U/edit?usp=share_link"",""หนองบัวลำภู!N636"")+IMPORTRANGE(""https://docs.google.com/spreadsheets/d/1uUP8Zo1-qaJLuIkRU0qlwLSE3DHkbdrrj2JGJiWBQZE/edit?usp=share_link"",""อำนาจเจริญ!N636"")+IMPORTRANGE(""https://docs.google.com/spreadsheets/d/"&amp;"1hb_taSOHanzRjqfzWPiFo8yiT83VV1L7vvUCLhOiHKc/edit?usp=share_link"",""อุดรธานี!N636"")+IMPORTRANGE(""https://docs.google.com/spreadsheets/d/17IOkEwkUd63EGNfyNDnM5de9YlZ7rwzTiW6-dokVjKI/edit?usp=share_link"",""อุบลราชธานี!N636"")
"),101250)</f>
        <v>101250</v>
      </c>
      <c r="O636" s="38"/>
      <c r="P636" s="3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</row>
    <row r="637" spans="1:26" ht="18.75">
      <c r="A637" s="574"/>
      <c r="B637" s="575"/>
      <c r="C637" s="576"/>
      <c r="D637" s="576"/>
      <c r="E637" s="576"/>
      <c r="F637" s="577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fb2B9NLcpJgjIieIJvenUTNPn0TimZDUi0OtYeiSQ_s/edit?usp=share_link"",""กาฬสินธุ์!N637"")+IMPORTRANGE(""https://docs.google.com/spreadsheets/d/1SaMnqrwRGmFYNR0MhpWmHuL5niYUd5E7vDq8X7whAlI/edit?usp=share_li"&amp;"nk"",""ขอนแก่น!N637"")
+IMPORTRANGE(""https://docs.google.com/spreadsheets/d/1xQzEtGHhTTgxHh6YUkKY1P4dRyjVhS74dGswLfAASA4/edit?usp=share_link"",""ชัยภูมิ!N637"")+IMPORTRANGE(""https://docs.google.com/spreadsheets/d/1EXMBoBxU3OFbjT2TRpneM33qFjqDzrKmn9ydcfl"&amp;"fI0o/edit?usp=share_link"",""นครพนม!N637"")+IMPORTRANGE(""https://docs.google.com/spreadsheets/d/1bDQrolntRWtHumK8W-x-HXKntwxB9S3sF5aDeRS66Ko/edit?usp=share_link"",""นครราชสีมา!N637"")+IMPORTRANGE(""https://docs.google.com/spreadsheets/d/1_MzZ-2gVPiCW-d2V"&amp;"cafoCmFJQTSrZ6SQyFcMqRRQQ2w/edit?usp=share_link"",""บึงกาฬ!N637"")
+IMPORTRANGE(""https://docs.google.com/spreadsheets/d/1B3lPpzOuaNwVItLwLEZYl_qEblfcx7dRnbRkAw0l-pE/edit?usp=share_link"",""บุรีรัมย์!N637"")+IMPORTRANGE(""https://docs.google.com/spreadshe"&amp;"ets/d/19GOkiOqnzYbevLYWrMk4qFOXe3rX14BkSA8X-mq-a40/edit?usp=share_link"",""มหาสารคาม!N637"")+IMPORTRANGE(""https://docs.google.com/spreadsheets/d/1uMKqWwuNQ-TCKboGA3Bb1qXb5uj2-faACNUINCz8PN4/edit?usp=share_link"",""มุกดาหาร!N637"")+IMPORTRANGE(""https://d"&amp;"ocs.google.com/spreadsheets/d/1oKaccgDdQABndOzGr688Dbfxb_V3YcF67VqEPBtdzsc/edit?usp=share_link"",""ยโสธร!N637"")+IMPORTRANGE(""https://docs.google.com/spreadsheets/d/1BRgc8xKpxZ0PX-gauieMVkV_IOxKSotf0yW8MabGprQ/edit?usp=share_link"",""ร้อยเอ็ด!N637"")+IMP"&amp;"ORTRANGE(""https://docs.google.com/spreadsheets/d/1IdolZc-dfdgMwAm_KZxYJl1sUOcIgnbGQzbWOlddedo/edit?usp=share_link"",""เลย!N637"")+IMPORTRANGE(""https://docs.google.com/spreadsheets/d/1tZ0nmtGuIRCaGAMXHlQU8EpR9LOAJvyKfc4f7EFmE34/edit?usp=share_link"",""ศร"&amp;"ีสะเกษ!N637"")+IMPORTRANGE(""https://docs.google.com/spreadsheets/d/1QC8psz9w0f9IVE9Xuc2FT_btkaOzZbbUSgYObpBuetM/edit?usp=share_link"",""สกลนคร!N637"")+IMPORTRANGE(""https://docs.google.com/spreadsheets/d/1wPdvRbu02d33MYVlbsCnyTiZpefEBs9NNktAnT1HZvw/edit?"&amp;"usp=share_link"",""สุรินทร์!N637"")+IMPORTRANGE(""https://docs.google.com/spreadsheets/d/1GVExpf-Exi_2gmuqTYH28fseTB9MoKPXWcXCbSt_YrM/edit?usp=share_link"",""หนองคาย!N637"")+IMPORTRANGE(""https://docs.google.com/spreadsheets/d/16UeMz0UgOB5BZcoxP75eYGcLFtG"&amp;"YRn9GoesD4OX9m5U/edit?usp=share_link"",""หนองบัวลำภู!N637"")+IMPORTRANGE(""https://docs.google.com/spreadsheets/d/1uUP8Zo1-qaJLuIkRU0qlwLSE3DHkbdrrj2JGJiWBQZE/edit?usp=share_link"",""อำนาจเจริญ!N637"")+IMPORTRANGE(""https://docs.google.com/spreadsheets/d/"&amp;"1hb_taSOHanzRjqfzWPiFo8yiT83VV1L7vvUCLhOiHKc/edit?usp=share_link"",""อุดรธานี!N637"")+IMPORTRANGE(""https://docs.google.com/spreadsheets/d/17IOkEwkUd63EGNfyNDnM5de9YlZ7rwzTiW6-dokVjKI/edit?usp=share_link"",""อุบลราชธานี!N637"")
"),3175724.67999999)</f>
        <v>3175724.6799999899</v>
      </c>
      <c r="O637" s="38"/>
      <c r="P637" s="38"/>
      <c r="Q637" s="578"/>
      <c r="R637" s="578"/>
      <c r="S637" s="578"/>
      <c r="T637" s="578"/>
      <c r="U637" s="578"/>
      <c r="V637" s="578"/>
      <c r="W637" s="578"/>
      <c r="X637" s="578"/>
      <c r="Y637" s="578"/>
      <c r="Z637" s="578"/>
    </row>
    <row r="638" spans="1:26" ht="18.75">
      <c r="A638" s="574"/>
      <c r="B638" s="575"/>
      <c r="C638" s="576"/>
      <c r="D638" s="576"/>
      <c r="E638" s="576"/>
      <c r="F638" s="577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fb2B9NLcpJgjIieIJvenUTNPn0TimZDUi0OtYeiSQ_s/edit?usp=share_link"",""กาฬสินธุ์!N638"")+IMPORTRANGE(""https://docs.google.com/spreadsheets/d/1SaMnqrwRGmFYNR0MhpWmHuL5niYUd5E7vDq8X7whAlI/edit?usp=share_li"&amp;"nk"",""ขอนแก่น!N638"")
+IMPORTRANGE(""https://docs.google.com/spreadsheets/d/1xQzEtGHhTTgxHh6YUkKY1P4dRyjVhS74dGswLfAASA4/edit?usp=share_link"",""ชัยภูมิ!N638"")+IMPORTRANGE(""https://docs.google.com/spreadsheets/d/1EXMBoBxU3OFbjT2TRpneM33qFjqDzrKmn9ydcfl"&amp;"fI0o/edit?usp=share_link"",""นครพนม!N638"")+IMPORTRANGE(""https://docs.google.com/spreadsheets/d/1bDQrolntRWtHumK8W-x-HXKntwxB9S3sF5aDeRS66Ko/edit?usp=share_link"",""นครราชสีมา!N638"")+IMPORTRANGE(""https://docs.google.com/spreadsheets/d/1_MzZ-2gVPiCW-d2V"&amp;"cafoCmFJQTSrZ6SQyFcMqRRQQ2w/edit?usp=share_link"",""บึงกาฬ!N638"")
+IMPORTRANGE(""https://docs.google.com/spreadsheets/d/1B3lPpzOuaNwVItLwLEZYl_qEblfcx7dRnbRkAw0l-pE/edit?usp=share_link"",""บุรีรัมย์!N638"")+IMPORTRANGE(""https://docs.google.com/spreadshe"&amp;"ets/d/19GOkiOqnzYbevLYWrMk4qFOXe3rX14BkSA8X-mq-a40/edit?usp=share_link"",""มหาสารคาม!N638"")+IMPORTRANGE(""https://docs.google.com/spreadsheets/d/1uMKqWwuNQ-TCKboGA3Bb1qXb5uj2-faACNUINCz8PN4/edit?usp=share_link"",""มุกดาหาร!N638"")+IMPORTRANGE(""https://d"&amp;"ocs.google.com/spreadsheets/d/1oKaccgDdQABndOzGr688Dbfxb_V3YcF67VqEPBtdzsc/edit?usp=share_link"",""ยโสธร!N638"")+IMPORTRANGE(""https://docs.google.com/spreadsheets/d/1BRgc8xKpxZ0PX-gauieMVkV_IOxKSotf0yW8MabGprQ/edit?usp=share_link"",""ร้อยเอ็ด!N638"")+IMP"&amp;"ORTRANGE(""https://docs.google.com/spreadsheets/d/1IdolZc-dfdgMwAm_KZxYJl1sUOcIgnbGQzbWOlddedo/edit?usp=share_link"",""เลย!N638"")+IMPORTRANGE(""https://docs.google.com/spreadsheets/d/1tZ0nmtGuIRCaGAMXHlQU8EpR9LOAJvyKfc4f7EFmE34/edit?usp=share_link"",""ศร"&amp;"ีสะเกษ!N638"")+IMPORTRANGE(""https://docs.google.com/spreadsheets/d/1QC8psz9w0f9IVE9Xuc2FT_btkaOzZbbUSgYObpBuetM/edit?usp=share_link"",""สกลนคร!N638"")+IMPORTRANGE(""https://docs.google.com/spreadsheets/d/1wPdvRbu02d33MYVlbsCnyTiZpefEBs9NNktAnT1HZvw/edit?"&amp;"usp=share_link"",""สุรินทร์!N638"")+IMPORTRANGE(""https://docs.google.com/spreadsheets/d/1GVExpf-Exi_2gmuqTYH28fseTB9MoKPXWcXCbSt_YrM/edit?usp=share_link"",""หนองคาย!N638"")+IMPORTRANGE(""https://docs.google.com/spreadsheets/d/16UeMz0UgOB5BZcoxP75eYGcLFtG"&amp;"YRn9GoesD4OX9m5U/edit?usp=share_link"",""หนองบัวลำภู!N638"")+IMPORTRANGE(""https://docs.google.com/spreadsheets/d/1uUP8Zo1-qaJLuIkRU0qlwLSE3DHkbdrrj2JGJiWBQZE/edit?usp=share_link"",""อำนาจเจริญ!N638"")+IMPORTRANGE(""https://docs.google.com/spreadsheets/d/"&amp;"1hb_taSOHanzRjqfzWPiFo8yiT83VV1L7vvUCLhOiHKc/edit?usp=share_link"",""อุดรธานี!N638"")+IMPORTRANGE(""https://docs.google.com/spreadsheets/d/17IOkEwkUd63EGNfyNDnM5de9YlZ7rwzTiW6-dokVjKI/edit?usp=share_link"",""อุบลราชธานี!N638"")
"),7911717.65)</f>
        <v>7911717.6500000004</v>
      </c>
      <c r="O638" s="38"/>
      <c r="P638" s="3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</row>
    <row r="639" spans="1:26" ht="18.75">
      <c r="A639" s="597"/>
      <c r="B639" s="575"/>
      <c r="C639" s="576"/>
      <c r="D639" s="606" t="s">
        <v>21</v>
      </c>
      <c r="E639" s="576"/>
      <c r="F639" s="576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</row>
    <row r="640" spans="1:26" ht="18.75" hidden="1">
      <c r="A640" s="599"/>
      <c r="B640" s="605"/>
      <c r="C640" s="600"/>
      <c r="D640" s="600"/>
      <c r="E640" s="602" t="s">
        <v>18</v>
      </c>
      <c r="F640" s="600"/>
      <c r="G640" s="603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604"/>
      <c r="R640" s="604"/>
      <c r="S640" s="604"/>
      <c r="T640" s="604"/>
      <c r="U640" s="604"/>
      <c r="V640" s="604"/>
      <c r="W640" s="604"/>
      <c r="X640" s="604"/>
      <c r="Y640" s="604"/>
      <c r="Z640" s="604"/>
    </row>
    <row r="641" spans="1:26" ht="18.75" hidden="1">
      <c r="A641" s="599"/>
      <c r="B641" s="605"/>
      <c r="C641" s="600"/>
      <c r="D641" s="600"/>
      <c r="E641" s="602" t="s">
        <v>19</v>
      </c>
      <c r="F641" s="600"/>
      <c r="G641" s="603"/>
      <c r="H641" s="169" t="s">
        <v>12</v>
      </c>
      <c r="I641" s="166"/>
      <c r="J641" s="166"/>
      <c r="K641" s="167"/>
      <c r="L641" s="45">
        <f ca="1">IFERROR(__xludf.DUMMYFUNCTION("IMPORTRANGE(""https://docs.google.com/spreadsheets/d/1fb2B9NLcpJgjIieIJvenUTNPn0TimZDUi0OtYeiSQ_s/edit?usp=share_link"",""กาฬสินธุ์!L641"")+IMPORTRANGE(""https://docs.google.com/spreadsheets/d/1SaMnqrwRGmFYNR0MhpWmHuL5niYUd5E7vDq8X7whAlI/edit?usp=share_li"&amp;"nk"",""ขอนแก่น!L641"")
+IMPORTRANGE(""https://docs.google.com/spreadsheets/d/1xQzEtGHhTTgxHh6YUkKY1P4dRyjVhS74dGswLfAASA4/edit?usp=share_link"",""ชัยภูมิ!L641"")+IMPORTRANGE(""https://docs.google.com/spreadsheets/d/1EXMBoBxU3OFbjT2TRpneM33qFjqDzrKmn9ydcfl"&amp;"fI0o/edit?usp=share_link"",""นครพนม!L641"")+IMPORTRANGE(""https://docs.google.com/spreadsheets/d/1bDQrolntRWtHumK8W-x-HXKntwxB9S3sF5aDeRS66Ko/edit?usp=share_link"",""นครราชสีมา!L641"")+IMPORTRANGE(""https://docs.google.com/spreadsheets/d/1_MzZ-2gVPiCW-d2V"&amp;"cafoCmFJQTSrZ6SQyFcMqRRQQ2w/edit?usp=share_link"",""บึงกาฬ!L641"")
+IMPORTRANGE(""https://docs.google.com/spreadsheets/d/1B3lPpzOuaNwVItLwLEZYl_qEblfcx7dRnbRkAw0l-pE/edit?usp=share_link"",""บุรีรัมย์!L641"")+IMPORTRANGE(""https://docs.google.com/spreadshe"&amp;"ets/d/19GOkiOqnzYbevLYWrMk4qFOXe3rX14BkSA8X-mq-a40/edit?usp=share_link"",""มหาสารคาม!L641"")+IMPORTRANGE(""https://docs.google.com/spreadsheets/d/1uMKqWwuNQ-TCKboGA3Bb1qXb5uj2-faACNUINCz8PN4/edit?usp=share_link"",""มุกดาหาร!L641"")+IMPORTRANGE(""https://d"&amp;"ocs.google.com/spreadsheets/d/1oKaccgDdQABndOzGr688Dbfxb_V3YcF67VqEPBtdzsc/edit?usp=share_link"",""ยโสธร!L641"")+IMPORTRANGE(""https://docs.google.com/spreadsheets/d/1BRgc8xKpxZ0PX-gauieMVkV_IOxKSotf0yW8MabGprQ/edit?usp=share_link"",""ร้อยเอ็ด!L641"")+IMP"&amp;"ORTRANGE(""https://docs.google.com/spreadsheets/d/1IdolZc-dfdgMwAm_KZxYJl1sUOcIgnbGQzbWOlddedo/edit?usp=share_link"",""เลย!L641"")+IMPORTRANGE(""https://docs.google.com/spreadsheets/d/1tZ0nmtGuIRCaGAMXHlQU8EpR9LOAJvyKfc4f7EFmE34/edit?usp=share_link"",""ศร"&amp;"ีสะเกษ!L641"")+IMPORTRANGE(""https://docs.google.com/spreadsheets/d/1QC8psz9w0f9IVE9Xuc2FT_btkaOzZbbUSgYObpBuetM/edit?usp=share_link"",""สกลนคร!L641"")+IMPORTRANGE(""https://docs.google.com/spreadsheets/d/1wPdvRbu02d33MYVlbsCnyTiZpefEBs9NNktAnT1HZvw/edit?"&amp;"usp=share_link"",""สุรินทร์!L641"")+IMPORTRANGE(""https://docs.google.com/spreadsheets/d/1GVExpf-Exi_2gmuqTYH28fseTB9MoKPXWcXCbSt_YrM/edit?usp=share_link"",""หนองคาย!L641"")+IMPORTRANGE(""https://docs.google.com/spreadsheets/d/16UeMz0UgOB5BZcoxP75eYGcLFtG"&amp;"YRn9GoesD4OX9m5U/edit?usp=share_link"",""หนองบัวลำภู!L641"")+IMPORTRANGE(""https://docs.google.com/spreadsheets/d/1uUP8Zo1-qaJLuIkRU0qlwLSE3DHkbdrrj2JGJiWBQZE/edit?usp=share_link"",""อำนาจเจริญ!L641"")+IMPORTRANGE(""https://docs.google.com/spreadsheets/d/"&amp;"1hb_taSOHanzRjqfzWPiFo8yiT83VV1L7vvUCLhOiHKc/edit?usp=share_link"",""อุดรธานี!L641"")+IMPORTRANGE(""https://docs.google.com/spreadsheets/d/17IOkEwkUd63EGNfyNDnM5de9YlZ7rwzTiW6-dokVjKI/edit?usp=share_link"",""อุบลราชธานี!L641"")
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604"/>
      <c r="R641" s="604"/>
      <c r="S641" s="604"/>
      <c r="T641" s="604"/>
      <c r="U641" s="604"/>
      <c r="V641" s="604"/>
      <c r="W641" s="604"/>
      <c r="X641" s="604"/>
      <c r="Y641" s="604"/>
      <c r="Z641" s="604"/>
    </row>
    <row r="642" spans="1:26" ht="19.5">
      <c r="A642" s="608"/>
      <c r="B642" s="609"/>
      <c r="C642" s="576" t="s">
        <v>16</v>
      </c>
      <c r="D642" s="679" t="s">
        <v>38</v>
      </c>
      <c r="E642" s="612"/>
      <c r="F642" s="612"/>
      <c r="G642" s="613"/>
      <c r="H642" s="175"/>
      <c r="I642" s="162"/>
      <c r="J642" s="162"/>
      <c r="K642" s="163"/>
      <c r="L642" s="163"/>
      <c r="M642" s="163"/>
      <c r="N642" s="163"/>
      <c r="O642" s="163"/>
      <c r="P642" s="163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</row>
    <row r="643" spans="1:26" ht="18.75">
      <c r="A643" s="744"/>
      <c r="B643" s="575"/>
      <c r="C643" s="576"/>
      <c r="D643" s="619"/>
      <c r="E643" s="745" t="s">
        <v>272</v>
      </c>
      <c r="F643" s="619"/>
      <c r="G643" s="175"/>
      <c r="H643" s="448" t="s">
        <v>273</v>
      </c>
      <c r="I643" s="270">
        <f ca="1">IFERROR(__xludf.DUMMYFUNCTION("IMPORTRANGE(""https://docs.google.com/spreadsheets/d/1fb2B9NLcpJgjIieIJvenUTNPn0TimZDUi0OtYeiSQ_s/edit?usp=share_link"",""กาฬสินธุ์!I643"")+IMPORTRANGE(""https://docs.google.com/spreadsheets/d/1SaMnqrwRGmFYNR0MhpWmHuL5niYUd5E7vDq8X7whAlI/edit?usp=share_li"&amp;"nk"",""ขอนแก่น!I643"")
+IMPORTRANGE(""https://docs.google.com/spreadsheets/d/1xQzEtGHhTTgxHh6YUkKY1P4dRyjVhS74dGswLfAASA4/edit?usp=share_link"",""ชัยภูมิ!I643"")+IMPORTRANGE(""https://docs.google.com/spreadsheets/d/1EXMBoBxU3OFbjT2TRpneM33qFjqDzrKmn9ydcfl"&amp;"fI0o/edit?usp=share_link"",""นครพนม!I643"")+IMPORTRANGE(""https://docs.google.com/spreadsheets/d/1bDQrolntRWtHumK8W-x-HXKntwxB9S3sF5aDeRS66Ko/edit?usp=share_link"",""นครราชสีมา!I643"")+IMPORTRANGE(""https://docs.google.com/spreadsheets/d/1_MzZ-2gVPiCW-d2V"&amp;"cafoCmFJQTSrZ6SQyFcMqRRQQ2w/edit?usp=share_link"",""บึงกาฬ!I643"")
+IMPORTRANGE(""https://docs.google.com/spreadsheets/d/1B3lPpzOuaNwVItLwLEZYl_qEblfcx7dRnbRkAw0l-pE/edit?usp=share_link"",""บุรีรัมย์!I643"")+IMPORTRANGE(""https://docs.google.com/spreadshe"&amp;"ets/d/19GOkiOqnzYbevLYWrMk4qFOXe3rX14BkSA8X-mq-a40/edit?usp=share_link"",""มหาสารคาม!I643"")+IMPORTRANGE(""https://docs.google.com/spreadsheets/d/1uMKqWwuNQ-TCKboGA3Bb1qXb5uj2-faACNUINCz8PN4/edit?usp=share_link"",""มุกดาหาร!I643"")+IMPORTRANGE(""https://d"&amp;"ocs.google.com/spreadsheets/d/1oKaccgDdQABndOzGr688Dbfxb_V3YcF67VqEPBtdzsc/edit?usp=share_link"",""ยโสธร!I643"")+IMPORTRANGE(""https://docs.google.com/spreadsheets/d/1BRgc8xKpxZ0PX-gauieMVkV_IOxKSotf0yW8MabGprQ/edit?usp=share_link"",""ร้อยเอ็ด!I643"")+IMP"&amp;"ORTRANGE(""https://docs.google.com/spreadsheets/d/1IdolZc-dfdgMwAm_KZxYJl1sUOcIgnbGQzbWOlddedo/edit?usp=share_link"",""เลย!I643"")+IMPORTRANGE(""https://docs.google.com/spreadsheets/d/1tZ0nmtGuIRCaGAMXHlQU8EpR9LOAJvyKfc4f7EFmE34/edit?usp=share_link"",""ศร"&amp;"ีสะเกษ!I643"")+IMPORTRANGE(""https://docs.google.com/spreadsheets/d/1QC8psz9w0f9IVE9Xuc2FT_btkaOzZbbUSgYObpBuetM/edit?usp=share_link"",""สกลนคร!I643"")+IMPORTRANGE(""https://docs.google.com/spreadsheets/d/1wPdvRbu02d33MYVlbsCnyTiZpefEBs9NNktAnT1HZvw/edit?"&amp;"usp=share_link"",""สุรินทร์!I643"")+IMPORTRANGE(""https://docs.google.com/spreadsheets/d/1GVExpf-Exi_2gmuqTYH28fseTB9MoKPXWcXCbSt_YrM/edit?usp=share_link"",""หนองคาย!I643"")+IMPORTRANGE(""https://docs.google.com/spreadsheets/d/16UeMz0UgOB5BZcoxP75eYGcLFtG"&amp;"YRn9GoesD4OX9m5U/edit?usp=share_link"",""หนองบัวลำภู!I643"")+IMPORTRANGE(""https://docs.google.com/spreadsheets/d/1uUP8Zo1-qaJLuIkRU0qlwLSE3DHkbdrrj2JGJiWBQZE/edit?usp=share_link"",""อำนาจเจริญ!I643"")+IMPORTRANGE(""https://docs.google.com/spreadsheets/d/"&amp;"1hb_taSOHanzRjqfzWPiFo8yiT83VV1L7vvUCLhOiHKc/edit?usp=share_link"",""อุดรธานี!I643"")+IMPORTRANGE(""https://docs.google.com/spreadsheets/d/17IOkEwkUd63EGNfyNDnM5de9YlZ7rwzTiW6-dokVjKI/edit?usp=share_link"",""อุบลราชธานี!I643"")
"),8)</f>
        <v>8</v>
      </c>
      <c r="J643" s="183">
        <f ca="1">IFERROR(__xludf.DUMMYFUNCTION("IMPORTRANGE(""https://docs.google.com/spreadsheets/d/1fb2B9NLcpJgjIieIJvenUTNPn0TimZDUi0OtYeiSQ_s/edit?usp=share_link"",""กาฬสินธุ์!J643"")+IMPORTRANGE(""https://docs.google.com/spreadsheets/d/1SaMnqrwRGmFYNR0MhpWmHuL5niYUd5E7vDq8X7whAlI/edit?usp=share_li"&amp;"nk"",""ขอนแก่น!J643"")
+IMPORTRANGE(""https://docs.google.com/spreadsheets/d/1xQzEtGHhTTgxHh6YUkKY1P4dRyjVhS74dGswLfAASA4/edit?usp=share_link"",""ชัยภูมิ!J643"")+IMPORTRANGE(""https://docs.google.com/spreadsheets/d/1EXMBoBxU3OFbjT2TRpneM33qFjqDzrKmn9ydcfl"&amp;"fI0o/edit?usp=share_link"",""นครพนม!J643"")+IMPORTRANGE(""https://docs.google.com/spreadsheets/d/1bDQrolntRWtHumK8W-x-HXKntwxB9S3sF5aDeRS66Ko/edit?usp=share_link"",""นครราชสีมา!J643"")+IMPORTRANGE(""https://docs.google.com/spreadsheets/d/1_MzZ-2gVPiCW-d2V"&amp;"cafoCmFJQTSrZ6SQyFcMqRRQQ2w/edit?usp=share_link"",""บึงกาฬ!J643"")
+IMPORTRANGE(""https://docs.google.com/spreadsheets/d/1B3lPpzOuaNwVItLwLEZYl_qEblfcx7dRnbRkAw0l-pE/edit?usp=share_link"",""บุรีรัมย์!J643"")+IMPORTRANGE(""https://docs.google.com/spreadshe"&amp;"ets/d/19GOkiOqnzYbevLYWrMk4qFOXe3rX14BkSA8X-mq-a40/edit?usp=share_link"",""มหาสารคาม!J643"")+IMPORTRANGE(""https://docs.google.com/spreadsheets/d/1uMKqWwuNQ-TCKboGA3Bb1qXb5uj2-faACNUINCz8PN4/edit?usp=share_link"",""มุกดาหาร!J643"")+IMPORTRANGE(""https://d"&amp;"ocs.google.com/spreadsheets/d/1oKaccgDdQABndOzGr688Dbfxb_V3YcF67VqEPBtdzsc/edit?usp=share_link"",""ยโสธร!J643"")+IMPORTRANGE(""https://docs.google.com/spreadsheets/d/1BRgc8xKpxZ0PX-gauieMVkV_IOxKSotf0yW8MabGprQ/edit?usp=share_link"",""ร้อยเอ็ด!J643"")+IMP"&amp;"ORTRANGE(""https://docs.google.com/spreadsheets/d/1IdolZc-dfdgMwAm_KZxYJl1sUOcIgnbGQzbWOlddedo/edit?usp=share_link"",""เลย!J643"")+IMPORTRANGE(""https://docs.google.com/spreadsheets/d/1tZ0nmtGuIRCaGAMXHlQU8EpR9LOAJvyKfc4f7EFmE34/edit?usp=share_link"",""ศร"&amp;"ีสะเกษ!J643"")+IMPORTRANGE(""https://docs.google.com/spreadsheets/d/1QC8psz9w0f9IVE9Xuc2FT_btkaOzZbbUSgYObpBuetM/edit?usp=share_link"",""สกลนคร!J643"")+IMPORTRANGE(""https://docs.google.com/spreadsheets/d/1wPdvRbu02d33MYVlbsCnyTiZpefEBs9NNktAnT1HZvw/edit?"&amp;"usp=share_link"",""สุรินทร์!J643"")+IMPORTRANGE(""https://docs.google.com/spreadsheets/d/1GVExpf-Exi_2gmuqTYH28fseTB9MoKPXWcXCbSt_YrM/edit?usp=share_link"",""หนองคาย!J643"")+IMPORTRANGE(""https://docs.google.com/spreadsheets/d/16UeMz0UgOB5BZcoxP75eYGcLFtG"&amp;"YRn9GoesD4OX9m5U/edit?usp=share_link"",""หนองบัวลำภู!J643"")+IMPORTRANGE(""https://docs.google.com/spreadsheets/d/1uUP8Zo1-qaJLuIkRU0qlwLSE3DHkbdrrj2JGJiWBQZE/edit?usp=share_link"",""อำนาจเจริญ!J643"")+IMPORTRANGE(""https://docs.google.com/spreadsheets/d/"&amp;"1hb_taSOHanzRjqfzWPiFo8yiT83VV1L7vvUCLhOiHKc/edit?usp=share_link"",""อุดรธานี!J643"")+IMPORTRANGE(""https://docs.google.com/spreadsheets/d/17IOkEwkUd63EGNfyNDnM5de9YlZ7rwzTiW6-dokVjKI/edit?usp=share_link"",""อุบลราชธานี!J643"")
"),8)</f>
        <v>8</v>
      </c>
      <c r="K643" s="163">
        <f t="shared" ref="K643:K652" ca="1" si="308">IF(I643&gt;0,J643*100/I643,0)</f>
        <v>100</v>
      </c>
      <c r="L643" s="163"/>
      <c r="M643" s="163"/>
      <c r="N643" s="38"/>
      <c r="O643" s="163"/>
      <c r="P643" s="163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</row>
    <row r="644" spans="1:26" ht="18.75">
      <c r="A644" s="744"/>
      <c r="B644" s="575"/>
      <c r="C644" s="576"/>
      <c r="D644" s="619"/>
      <c r="E644" s="745" t="s">
        <v>274</v>
      </c>
      <c r="F644" s="619"/>
      <c r="G644" s="175"/>
      <c r="H644" s="448" t="s">
        <v>275</v>
      </c>
      <c r="I644" s="270">
        <f ca="1">IFERROR(__xludf.DUMMYFUNCTION("IMPORTRANGE(""https://docs.google.com/spreadsheets/d/1fb2B9NLcpJgjIieIJvenUTNPn0TimZDUi0OtYeiSQ_s/edit?usp=share_link"",""กาฬสินธุ์!I644"")+IMPORTRANGE(""https://docs.google.com/spreadsheets/d/1SaMnqrwRGmFYNR0MhpWmHuL5niYUd5E7vDq8X7whAlI/edit?usp=share_li"&amp;"nk"",""ขอนแก่น!I644"")
+IMPORTRANGE(""https://docs.google.com/spreadsheets/d/1xQzEtGHhTTgxHh6YUkKY1P4dRyjVhS74dGswLfAASA4/edit?usp=share_link"",""ชัยภูมิ!I644"")+IMPORTRANGE(""https://docs.google.com/spreadsheets/d/1EXMBoBxU3OFbjT2TRpneM33qFjqDzrKmn9ydcfl"&amp;"fI0o/edit?usp=share_link"",""นครพนม!I644"")+IMPORTRANGE(""https://docs.google.com/spreadsheets/d/1bDQrolntRWtHumK8W-x-HXKntwxB9S3sF5aDeRS66Ko/edit?usp=share_link"",""นครราชสีมา!I644"")+IMPORTRANGE(""https://docs.google.com/spreadsheets/d/1_MzZ-2gVPiCW-d2V"&amp;"cafoCmFJQTSrZ6SQyFcMqRRQQ2w/edit?usp=share_link"",""บึงกาฬ!I644"")
+IMPORTRANGE(""https://docs.google.com/spreadsheets/d/1B3lPpzOuaNwVItLwLEZYl_qEblfcx7dRnbRkAw0l-pE/edit?usp=share_link"",""บุรีรัมย์!I644"")+IMPORTRANGE(""https://docs.google.com/spreadshe"&amp;"ets/d/19GOkiOqnzYbevLYWrMk4qFOXe3rX14BkSA8X-mq-a40/edit?usp=share_link"",""มหาสารคาม!I644"")+IMPORTRANGE(""https://docs.google.com/spreadsheets/d/1uMKqWwuNQ-TCKboGA3Bb1qXb5uj2-faACNUINCz8PN4/edit?usp=share_link"",""มุกดาหาร!I644"")+IMPORTRANGE(""https://d"&amp;"ocs.google.com/spreadsheets/d/1oKaccgDdQABndOzGr688Dbfxb_V3YcF67VqEPBtdzsc/edit?usp=share_link"",""ยโสธร!I644"")+IMPORTRANGE(""https://docs.google.com/spreadsheets/d/1BRgc8xKpxZ0PX-gauieMVkV_IOxKSotf0yW8MabGprQ/edit?usp=share_link"",""ร้อยเอ็ด!I644"")+IMP"&amp;"ORTRANGE(""https://docs.google.com/spreadsheets/d/1IdolZc-dfdgMwAm_KZxYJl1sUOcIgnbGQzbWOlddedo/edit?usp=share_link"",""เลย!I644"")+IMPORTRANGE(""https://docs.google.com/spreadsheets/d/1tZ0nmtGuIRCaGAMXHlQU8EpR9LOAJvyKfc4f7EFmE34/edit?usp=share_link"",""ศร"&amp;"ีสะเกษ!I644"")+IMPORTRANGE(""https://docs.google.com/spreadsheets/d/1QC8psz9w0f9IVE9Xuc2FT_btkaOzZbbUSgYObpBuetM/edit?usp=share_link"",""สกลนคร!I644"")+IMPORTRANGE(""https://docs.google.com/spreadsheets/d/1wPdvRbu02d33MYVlbsCnyTiZpefEBs9NNktAnT1HZvw/edit?"&amp;"usp=share_link"",""สุรินทร์!I644"")+IMPORTRANGE(""https://docs.google.com/spreadsheets/d/1GVExpf-Exi_2gmuqTYH28fseTB9MoKPXWcXCbSt_YrM/edit?usp=share_link"",""หนองคาย!I644"")+IMPORTRANGE(""https://docs.google.com/spreadsheets/d/16UeMz0UgOB5BZcoxP75eYGcLFtG"&amp;"YRn9GoesD4OX9m5U/edit?usp=share_link"",""หนองบัวลำภู!I644"")+IMPORTRANGE(""https://docs.google.com/spreadsheets/d/1uUP8Zo1-qaJLuIkRU0qlwLSE3DHkbdrrj2JGJiWBQZE/edit?usp=share_link"",""อำนาจเจริญ!I644"")+IMPORTRANGE(""https://docs.google.com/spreadsheets/d/"&amp;"1hb_taSOHanzRjqfzWPiFo8yiT83VV1L7vvUCLhOiHKc/edit?usp=share_link"",""อุดรธานี!I644"")+IMPORTRANGE(""https://docs.google.com/spreadsheets/d/17IOkEwkUd63EGNfyNDnM5de9YlZ7rwzTiW6-dokVjKI/edit?usp=share_link"",""อุบลราชธานี!I644"")
"),8)</f>
        <v>8</v>
      </c>
      <c r="J644" s="183">
        <f ca="1">IFERROR(__xludf.DUMMYFUNCTION("IMPORTRANGE(""https://docs.google.com/spreadsheets/d/1fb2B9NLcpJgjIieIJvenUTNPn0TimZDUi0OtYeiSQ_s/edit?usp=share_link"",""กาฬสินธุ์!J644"")+IMPORTRANGE(""https://docs.google.com/spreadsheets/d/1SaMnqrwRGmFYNR0MhpWmHuL5niYUd5E7vDq8X7whAlI/edit?usp=share_li"&amp;"nk"",""ขอนแก่น!J644"")
+IMPORTRANGE(""https://docs.google.com/spreadsheets/d/1xQzEtGHhTTgxHh6YUkKY1P4dRyjVhS74dGswLfAASA4/edit?usp=share_link"",""ชัยภูมิ!J644"")+IMPORTRANGE(""https://docs.google.com/spreadsheets/d/1EXMBoBxU3OFbjT2TRpneM33qFjqDzrKmn9ydcfl"&amp;"fI0o/edit?usp=share_link"",""นครพนม!J644"")+IMPORTRANGE(""https://docs.google.com/spreadsheets/d/1bDQrolntRWtHumK8W-x-HXKntwxB9S3sF5aDeRS66Ko/edit?usp=share_link"",""นครราชสีมา!J644"")+IMPORTRANGE(""https://docs.google.com/spreadsheets/d/1_MzZ-2gVPiCW-d2V"&amp;"cafoCmFJQTSrZ6SQyFcMqRRQQ2w/edit?usp=share_link"",""บึงกาฬ!J644"")
+IMPORTRANGE(""https://docs.google.com/spreadsheets/d/1B3lPpzOuaNwVItLwLEZYl_qEblfcx7dRnbRkAw0l-pE/edit?usp=share_link"",""บุรีรัมย์!J644"")+IMPORTRANGE(""https://docs.google.com/spreadshe"&amp;"ets/d/19GOkiOqnzYbevLYWrMk4qFOXe3rX14BkSA8X-mq-a40/edit?usp=share_link"",""มหาสารคาม!J644"")+IMPORTRANGE(""https://docs.google.com/spreadsheets/d/1uMKqWwuNQ-TCKboGA3Bb1qXb5uj2-faACNUINCz8PN4/edit?usp=share_link"",""มุกดาหาร!J644"")+IMPORTRANGE(""https://d"&amp;"ocs.google.com/spreadsheets/d/1oKaccgDdQABndOzGr688Dbfxb_V3YcF67VqEPBtdzsc/edit?usp=share_link"",""ยโสธร!J644"")+IMPORTRANGE(""https://docs.google.com/spreadsheets/d/1BRgc8xKpxZ0PX-gauieMVkV_IOxKSotf0yW8MabGprQ/edit?usp=share_link"",""ร้อยเอ็ด!J644"")+IMP"&amp;"ORTRANGE(""https://docs.google.com/spreadsheets/d/1IdolZc-dfdgMwAm_KZxYJl1sUOcIgnbGQzbWOlddedo/edit?usp=share_link"",""เลย!J644"")+IMPORTRANGE(""https://docs.google.com/spreadsheets/d/1tZ0nmtGuIRCaGAMXHlQU8EpR9LOAJvyKfc4f7EFmE34/edit?usp=share_link"",""ศร"&amp;"ีสะเกษ!J644"")+IMPORTRANGE(""https://docs.google.com/spreadsheets/d/1QC8psz9w0f9IVE9Xuc2FT_btkaOzZbbUSgYObpBuetM/edit?usp=share_link"",""สกลนคร!J644"")+IMPORTRANGE(""https://docs.google.com/spreadsheets/d/1wPdvRbu02d33MYVlbsCnyTiZpefEBs9NNktAnT1HZvw/edit?"&amp;"usp=share_link"",""สุรินทร์!J644"")+IMPORTRANGE(""https://docs.google.com/spreadsheets/d/1GVExpf-Exi_2gmuqTYH28fseTB9MoKPXWcXCbSt_YrM/edit?usp=share_link"",""หนองคาย!J644"")+IMPORTRANGE(""https://docs.google.com/spreadsheets/d/16UeMz0UgOB5BZcoxP75eYGcLFtG"&amp;"YRn9GoesD4OX9m5U/edit?usp=share_link"",""หนองบัวลำภู!J644"")+IMPORTRANGE(""https://docs.google.com/spreadsheets/d/1uUP8Zo1-qaJLuIkRU0qlwLSE3DHkbdrrj2JGJiWBQZE/edit?usp=share_link"",""อำนาจเจริญ!J644"")+IMPORTRANGE(""https://docs.google.com/spreadsheets/d/"&amp;"1hb_taSOHanzRjqfzWPiFo8yiT83VV1L7vvUCLhOiHKc/edit?usp=share_link"",""อุดรธานี!J644"")+IMPORTRANGE(""https://docs.google.com/spreadsheets/d/17IOkEwkUd63EGNfyNDnM5de9YlZ7rwzTiW6-dokVjKI/edit?usp=share_link"",""อุบลราชธานี!J644"")
"),8)</f>
        <v>8</v>
      </c>
      <c r="K644" s="163">
        <f t="shared" ca="1" si="308"/>
        <v>100</v>
      </c>
      <c r="L644" s="163"/>
      <c r="M644" s="163"/>
      <c r="N644" s="38"/>
      <c r="O644" s="163"/>
      <c r="P644" s="163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</row>
    <row r="645" spans="1:26" ht="18.75">
      <c r="A645" s="744"/>
      <c r="B645" s="575"/>
      <c r="C645" s="576"/>
      <c r="D645" s="619"/>
      <c r="E645" s="746" t="s">
        <v>276</v>
      </c>
      <c r="F645" s="619"/>
      <c r="G645" s="175"/>
      <c r="H645" s="182" t="s">
        <v>34</v>
      </c>
      <c r="I645" s="270">
        <v>0</v>
      </c>
      <c r="J645" s="37">
        <f ca="1">IFERROR(__xludf.DUMMYFUNCTION("IMPORTRANGE(""https://docs.google.com/spreadsheets/d/1fb2B9NLcpJgjIieIJvenUTNPn0TimZDUi0OtYeiSQ_s/edit?usp=share_link"",""กาฬสินธุ์!J645"")+IMPORTRANGE(""https://docs.google.com/spreadsheets/d/1SaMnqrwRGmFYNR0MhpWmHuL5niYUd5E7vDq8X7whAlI/edit?usp=share_li"&amp;"nk"",""ขอนแก่น!J645"")
+IMPORTRANGE(""https://docs.google.com/spreadsheets/d/1xQzEtGHhTTgxHh6YUkKY1P4dRyjVhS74dGswLfAASA4/edit?usp=share_link"",""ชัยภูมิ!J645"")+IMPORTRANGE(""https://docs.google.com/spreadsheets/d/1EXMBoBxU3OFbjT2TRpneM33qFjqDzrKmn9ydcfl"&amp;"fI0o/edit?usp=share_link"",""นครพนม!J645"")+IMPORTRANGE(""https://docs.google.com/spreadsheets/d/1bDQrolntRWtHumK8W-x-HXKntwxB9S3sF5aDeRS66Ko/edit?usp=share_link"",""นครราชสีมา!J645"")+IMPORTRANGE(""https://docs.google.com/spreadsheets/d/1_MzZ-2gVPiCW-d2V"&amp;"cafoCmFJQTSrZ6SQyFcMqRRQQ2w/edit?usp=share_link"",""บึงกาฬ!J645"")
+IMPORTRANGE(""https://docs.google.com/spreadsheets/d/1B3lPpzOuaNwVItLwLEZYl_qEblfcx7dRnbRkAw0l-pE/edit?usp=share_link"",""บุรีรัมย์!J645"")+IMPORTRANGE(""https://docs.google.com/spreadshe"&amp;"ets/d/19GOkiOqnzYbevLYWrMk4qFOXe3rX14BkSA8X-mq-a40/edit?usp=share_link"",""มหาสารคาม!J645"")+IMPORTRANGE(""https://docs.google.com/spreadsheets/d/1uMKqWwuNQ-TCKboGA3Bb1qXb5uj2-faACNUINCz8PN4/edit?usp=share_link"",""มุกดาหาร!J645"")+IMPORTRANGE(""https://d"&amp;"ocs.google.com/spreadsheets/d/1oKaccgDdQABndOzGr688Dbfxb_V3YcF67VqEPBtdzsc/edit?usp=share_link"",""ยโสธร!J645"")+IMPORTRANGE(""https://docs.google.com/spreadsheets/d/1BRgc8xKpxZ0PX-gauieMVkV_IOxKSotf0yW8MabGprQ/edit?usp=share_link"",""ร้อยเอ็ด!J645"")+IMP"&amp;"ORTRANGE(""https://docs.google.com/spreadsheets/d/1IdolZc-dfdgMwAm_KZxYJl1sUOcIgnbGQzbWOlddedo/edit?usp=share_link"",""เลย!J645"")+IMPORTRANGE(""https://docs.google.com/spreadsheets/d/1tZ0nmtGuIRCaGAMXHlQU8EpR9LOAJvyKfc4f7EFmE34/edit?usp=share_link"",""ศร"&amp;"ีสะเกษ!J645"")+IMPORTRANGE(""https://docs.google.com/spreadsheets/d/1QC8psz9w0f9IVE9Xuc2FT_btkaOzZbbUSgYObpBuetM/edit?usp=share_link"",""สกลนคร!J645"")+IMPORTRANGE(""https://docs.google.com/spreadsheets/d/1wPdvRbu02d33MYVlbsCnyTiZpefEBs9NNktAnT1HZvw/edit?"&amp;"usp=share_link"",""สุรินทร์!J645"")+IMPORTRANGE(""https://docs.google.com/spreadsheets/d/1GVExpf-Exi_2gmuqTYH28fseTB9MoKPXWcXCbSt_YrM/edit?usp=share_link"",""หนองคาย!J645"")+IMPORTRANGE(""https://docs.google.com/spreadsheets/d/16UeMz0UgOB5BZcoxP75eYGcLFtG"&amp;"YRn9GoesD4OX9m5U/edit?usp=share_link"",""หนองบัวลำภู!J645"")+IMPORTRANGE(""https://docs.google.com/spreadsheets/d/1uUP8Zo1-qaJLuIkRU0qlwLSE3DHkbdrrj2JGJiWBQZE/edit?usp=share_link"",""อำนาจเจริญ!J645"")+IMPORTRANGE(""https://docs.google.com/spreadsheets/d/"&amp;"1hb_taSOHanzRjqfzWPiFo8yiT83VV1L7vvUCLhOiHKc/edit?usp=share_link"",""อุดรธานี!J645"")+IMPORTRANGE(""https://docs.google.com/spreadsheets/d/17IOkEwkUd63EGNfyNDnM5de9YlZ7rwzTiW6-dokVjKI/edit?usp=share_link"",""อุบลราชธานี!J645"")
"),8348)</f>
        <v>8348</v>
      </c>
      <c r="K645" s="163">
        <f t="shared" si="308"/>
        <v>0</v>
      </c>
      <c r="L645" s="163"/>
      <c r="M645" s="163"/>
      <c r="N645" s="38"/>
      <c r="O645" s="163"/>
      <c r="P645" s="163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</row>
    <row r="646" spans="1:26" ht="18.75">
      <c r="A646" s="744"/>
      <c r="B646" s="575"/>
      <c r="C646" s="576"/>
      <c r="D646" s="619"/>
      <c r="E646" s="619"/>
      <c r="F646" s="619"/>
      <c r="G646" s="175"/>
      <c r="H646" s="182" t="s">
        <v>46</v>
      </c>
      <c r="I646" s="270">
        <v>0</v>
      </c>
      <c r="J646" s="37">
        <f ca="1">IFERROR(__xludf.DUMMYFUNCTION("IMPORTRANGE(""https://docs.google.com/spreadsheets/d/1fb2B9NLcpJgjIieIJvenUTNPn0TimZDUi0OtYeiSQ_s/edit?usp=share_link"",""กาฬสินธุ์!J646"")+IMPORTRANGE(""https://docs.google.com/spreadsheets/d/1SaMnqrwRGmFYNR0MhpWmHuL5niYUd5E7vDq8X7whAlI/edit?usp=share_li"&amp;"nk"",""ขอนแก่น!J646"")
+IMPORTRANGE(""https://docs.google.com/spreadsheets/d/1xQzEtGHhTTgxHh6YUkKY1P4dRyjVhS74dGswLfAASA4/edit?usp=share_link"",""ชัยภูมิ!J646"")+IMPORTRANGE(""https://docs.google.com/spreadsheets/d/1EXMBoBxU3OFbjT2TRpneM33qFjqDzrKmn9ydcfl"&amp;"fI0o/edit?usp=share_link"",""นครพนม!J646"")+IMPORTRANGE(""https://docs.google.com/spreadsheets/d/1bDQrolntRWtHumK8W-x-HXKntwxB9S3sF5aDeRS66Ko/edit?usp=share_link"",""นครราชสีมา!J646"")+IMPORTRANGE(""https://docs.google.com/spreadsheets/d/1_MzZ-2gVPiCW-d2V"&amp;"cafoCmFJQTSrZ6SQyFcMqRRQQ2w/edit?usp=share_link"",""บึงกาฬ!J646"")
+IMPORTRANGE(""https://docs.google.com/spreadsheets/d/1B3lPpzOuaNwVItLwLEZYl_qEblfcx7dRnbRkAw0l-pE/edit?usp=share_link"",""บุรีรัมย์!J646"")+IMPORTRANGE(""https://docs.google.com/spreadshe"&amp;"ets/d/19GOkiOqnzYbevLYWrMk4qFOXe3rX14BkSA8X-mq-a40/edit?usp=share_link"",""มหาสารคาม!J646"")+IMPORTRANGE(""https://docs.google.com/spreadsheets/d/1uMKqWwuNQ-TCKboGA3Bb1qXb5uj2-faACNUINCz8PN4/edit?usp=share_link"",""มุกดาหาร!J646"")+IMPORTRANGE(""https://d"&amp;"ocs.google.com/spreadsheets/d/1oKaccgDdQABndOzGr688Dbfxb_V3YcF67VqEPBtdzsc/edit?usp=share_link"",""ยโสธร!J646"")+IMPORTRANGE(""https://docs.google.com/spreadsheets/d/1BRgc8xKpxZ0PX-gauieMVkV_IOxKSotf0yW8MabGprQ/edit?usp=share_link"",""ร้อยเอ็ด!J646"")+IMP"&amp;"ORTRANGE(""https://docs.google.com/spreadsheets/d/1IdolZc-dfdgMwAm_KZxYJl1sUOcIgnbGQzbWOlddedo/edit?usp=share_link"",""เลย!J646"")+IMPORTRANGE(""https://docs.google.com/spreadsheets/d/1tZ0nmtGuIRCaGAMXHlQU8EpR9LOAJvyKfc4f7EFmE34/edit?usp=share_link"",""ศร"&amp;"ีสะเกษ!J646"")+IMPORTRANGE(""https://docs.google.com/spreadsheets/d/1QC8psz9w0f9IVE9Xuc2FT_btkaOzZbbUSgYObpBuetM/edit?usp=share_link"",""สกลนคร!J646"")+IMPORTRANGE(""https://docs.google.com/spreadsheets/d/1wPdvRbu02d33MYVlbsCnyTiZpefEBs9NNktAnT1HZvw/edit?"&amp;"usp=share_link"",""สุรินทร์!J646"")+IMPORTRANGE(""https://docs.google.com/spreadsheets/d/1GVExpf-Exi_2gmuqTYH28fseTB9MoKPXWcXCbSt_YrM/edit?usp=share_link"",""หนองคาย!J646"")+IMPORTRANGE(""https://docs.google.com/spreadsheets/d/16UeMz0UgOB5BZcoxP75eYGcLFtG"&amp;"YRn9GoesD4OX9m5U/edit?usp=share_link"",""หนองบัวลำภู!J646"")+IMPORTRANGE(""https://docs.google.com/spreadsheets/d/1uUP8Zo1-qaJLuIkRU0qlwLSE3DHkbdrrj2JGJiWBQZE/edit?usp=share_link"",""อำนาจเจริญ!J646"")+IMPORTRANGE(""https://docs.google.com/spreadsheets/d/"&amp;"1hb_taSOHanzRjqfzWPiFo8yiT83VV1L7vvUCLhOiHKc/edit?usp=share_link"",""อุดรธานี!J646"")+IMPORTRANGE(""https://docs.google.com/spreadsheets/d/17IOkEwkUd63EGNfyNDnM5de9YlZ7rwzTiW6-dokVjKI/edit?usp=share_link"",""อุบลราชธานี!J646"")
"),5344.88999999999)</f>
        <v>5344.8899999999903</v>
      </c>
      <c r="K646" s="38">
        <f t="shared" si="308"/>
        <v>0</v>
      </c>
      <c r="L646" s="163"/>
      <c r="M646" s="163"/>
      <c r="N646" s="38"/>
      <c r="O646" s="163"/>
      <c r="P646" s="163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</row>
    <row r="647" spans="1:26" ht="18.75">
      <c r="A647" s="744"/>
      <c r="B647" s="575"/>
      <c r="C647" s="576"/>
      <c r="D647" s="619"/>
      <c r="E647" s="263" t="s">
        <v>162</v>
      </c>
      <c r="F647" s="619"/>
      <c r="G647" s="175"/>
      <c r="H647" s="182" t="s">
        <v>35</v>
      </c>
      <c r="I647" s="37">
        <f ca="1">IFERROR(__xludf.DUMMYFUNCTION("IMPORTRANGE(""https://docs.google.com/spreadsheets/d/1fb2B9NLcpJgjIieIJvenUTNPn0TimZDUi0OtYeiSQ_s/edit?usp=share_link"",""กาฬสินธุ์!I647"")+IMPORTRANGE(""https://docs.google.com/spreadsheets/d/1SaMnqrwRGmFYNR0MhpWmHuL5niYUd5E7vDq8X7whAlI/edit?usp=share_li"&amp;"nk"",""ขอนแก่น!I647"")
+IMPORTRANGE(""https://docs.google.com/spreadsheets/d/1xQzEtGHhTTgxHh6YUkKY1P4dRyjVhS74dGswLfAASA4/edit?usp=share_link"",""ชัยภูมิ!I647"")+IMPORTRANGE(""https://docs.google.com/spreadsheets/d/1EXMBoBxU3OFbjT2TRpneM33qFjqDzrKmn9ydcfl"&amp;"fI0o/edit?usp=share_link"",""นครพนม!I647"")+IMPORTRANGE(""https://docs.google.com/spreadsheets/d/1bDQrolntRWtHumK8W-x-HXKntwxB9S3sF5aDeRS66Ko/edit?usp=share_link"",""นครราชสีมา!I647"")+IMPORTRANGE(""https://docs.google.com/spreadsheets/d/1_MzZ-2gVPiCW-d2V"&amp;"cafoCmFJQTSrZ6SQyFcMqRRQQ2w/edit?usp=share_link"",""บึงกาฬ!I647"")
+IMPORTRANGE(""https://docs.google.com/spreadsheets/d/1B3lPpzOuaNwVItLwLEZYl_qEblfcx7dRnbRkAw0l-pE/edit?usp=share_link"",""บุรีรัมย์!I647"")+IMPORTRANGE(""https://docs.google.com/spreadshe"&amp;"ets/d/19GOkiOqnzYbevLYWrMk4qFOXe3rX14BkSA8X-mq-a40/edit?usp=share_link"",""มหาสารคาม!I647"")+IMPORTRANGE(""https://docs.google.com/spreadsheets/d/1uMKqWwuNQ-TCKboGA3Bb1qXb5uj2-faACNUINCz8PN4/edit?usp=share_link"",""มุกดาหาร!I647"")+IMPORTRANGE(""https://d"&amp;"ocs.google.com/spreadsheets/d/1oKaccgDdQABndOzGr688Dbfxb_V3YcF67VqEPBtdzsc/edit?usp=share_link"",""ยโสธร!I647"")+IMPORTRANGE(""https://docs.google.com/spreadsheets/d/1BRgc8xKpxZ0PX-gauieMVkV_IOxKSotf0yW8MabGprQ/edit?usp=share_link"",""ร้อยเอ็ด!I647"")+IMP"&amp;"ORTRANGE(""https://docs.google.com/spreadsheets/d/1IdolZc-dfdgMwAm_KZxYJl1sUOcIgnbGQzbWOlddedo/edit?usp=share_link"",""เลย!I647"")+IMPORTRANGE(""https://docs.google.com/spreadsheets/d/1tZ0nmtGuIRCaGAMXHlQU8EpR9LOAJvyKfc4f7EFmE34/edit?usp=share_link"",""ศร"&amp;"ีสะเกษ!I647"")+IMPORTRANGE(""https://docs.google.com/spreadsheets/d/1QC8psz9w0f9IVE9Xuc2FT_btkaOzZbbUSgYObpBuetM/edit?usp=share_link"",""สกลนคร!I647"")+IMPORTRANGE(""https://docs.google.com/spreadsheets/d/1wPdvRbu02d33MYVlbsCnyTiZpefEBs9NNktAnT1HZvw/edit?"&amp;"usp=share_link"",""สุรินทร์!I647"")+IMPORTRANGE(""https://docs.google.com/spreadsheets/d/1GVExpf-Exi_2gmuqTYH28fseTB9MoKPXWcXCbSt_YrM/edit?usp=share_link"",""หนองคาย!I647"")+IMPORTRANGE(""https://docs.google.com/spreadsheets/d/16UeMz0UgOB5BZcoxP75eYGcLFtG"&amp;"YRn9GoesD4OX9m5U/edit?usp=share_link"",""หนองบัวลำภู!I647"")+IMPORTRANGE(""https://docs.google.com/spreadsheets/d/1uUP8Zo1-qaJLuIkRU0qlwLSE3DHkbdrrj2JGJiWBQZE/edit?usp=share_link"",""อำนาจเจริญ!I647"")+IMPORTRANGE(""https://docs.google.com/spreadsheets/d/"&amp;"1hb_taSOHanzRjqfzWPiFo8yiT83VV1L7vvUCLhOiHKc/edit?usp=share_link"",""อุดรธานี!I647"")+IMPORTRANGE(""https://docs.google.com/spreadsheets/d/17IOkEwkUd63EGNfyNDnM5de9YlZ7rwzTiW6-dokVjKI/edit?usp=share_link"",""อุบลราชธานี!I647"")
"),8730)</f>
        <v>8730</v>
      </c>
      <c r="J647" s="37">
        <f ca="1">IFERROR(__xludf.DUMMYFUNCTION("IMPORTRANGE(""https://docs.google.com/spreadsheets/d/1fb2B9NLcpJgjIieIJvenUTNPn0TimZDUi0OtYeiSQ_s/edit?usp=share_link"",""กาฬสินธุ์!J647"")+IMPORTRANGE(""https://docs.google.com/spreadsheets/d/1SaMnqrwRGmFYNR0MhpWmHuL5niYUd5E7vDq8X7whAlI/edit?usp=share_li"&amp;"nk"",""ขอนแก่น!J647"")
+IMPORTRANGE(""https://docs.google.com/spreadsheets/d/1xQzEtGHhTTgxHh6YUkKY1P4dRyjVhS74dGswLfAASA4/edit?usp=share_link"",""ชัยภูมิ!J647"")+IMPORTRANGE(""https://docs.google.com/spreadsheets/d/1EXMBoBxU3OFbjT2TRpneM33qFjqDzrKmn9ydcfl"&amp;"fI0o/edit?usp=share_link"",""นครพนม!J647"")+IMPORTRANGE(""https://docs.google.com/spreadsheets/d/1bDQrolntRWtHumK8W-x-HXKntwxB9S3sF5aDeRS66Ko/edit?usp=share_link"",""นครราชสีมา!J647"")+IMPORTRANGE(""https://docs.google.com/spreadsheets/d/1_MzZ-2gVPiCW-d2V"&amp;"cafoCmFJQTSrZ6SQyFcMqRRQQ2w/edit?usp=share_link"",""บึงกาฬ!J647"")
+IMPORTRANGE(""https://docs.google.com/spreadsheets/d/1B3lPpzOuaNwVItLwLEZYl_qEblfcx7dRnbRkAw0l-pE/edit?usp=share_link"",""บุรีรัมย์!J647"")+IMPORTRANGE(""https://docs.google.com/spreadshe"&amp;"ets/d/19GOkiOqnzYbevLYWrMk4qFOXe3rX14BkSA8X-mq-a40/edit?usp=share_link"",""มหาสารคาม!J647"")+IMPORTRANGE(""https://docs.google.com/spreadsheets/d/1uMKqWwuNQ-TCKboGA3Bb1qXb5uj2-faACNUINCz8PN4/edit?usp=share_link"",""มุกดาหาร!J647"")+IMPORTRANGE(""https://d"&amp;"ocs.google.com/spreadsheets/d/1oKaccgDdQABndOzGr688Dbfxb_V3YcF67VqEPBtdzsc/edit?usp=share_link"",""ยโสธร!J647"")+IMPORTRANGE(""https://docs.google.com/spreadsheets/d/1BRgc8xKpxZ0PX-gauieMVkV_IOxKSotf0yW8MabGprQ/edit?usp=share_link"",""ร้อยเอ็ด!J647"")+IMP"&amp;"ORTRANGE(""https://docs.google.com/spreadsheets/d/1IdolZc-dfdgMwAm_KZxYJl1sUOcIgnbGQzbWOlddedo/edit?usp=share_link"",""เลย!J647"")+IMPORTRANGE(""https://docs.google.com/spreadsheets/d/1tZ0nmtGuIRCaGAMXHlQU8EpR9LOAJvyKfc4f7EFmE34/edit?usp=share_link"",""ศร"&amp;"ีสะเกษ!J647"")+IMPORTRANGE(""https://docs.google.com/spreadsheets/d/1QC8psz9w0f9IVE9Xuc2FT_btkaOzZbbUSgYObpBuetM/edit?usp=share_link"",""สกลนคร!J647"")+IMPORTRANGE(""https://docs.google.com/spreadsheets/d/1wPdvRbu02d33MYVlbsCnyTiZpefEBs9NNktAnT1HZvw/edit?"&amp;"usp=share_link"",""สุรินทร์!J647"")+IMPORTRANGE(""https://docs.google.com/spreadsheets/d/1GVExpf-Exi_2gmuqTYH28fseTB9MoKPXWcXCbSt_YrM/edit?usp=share_link"",""หนองคาย!J647"")+IMPORTRANGE(""https://docs.google.com/spreadsheets/d/16UeMz0UgOB5BZcoxP75eYGcLFtG"&amp;"YRn9GoesD4OX9m5U/edit?usp=share_link"",""หนองบัวลำภู!J647"")+IMPORTRANGE(""https://docs.google.com/spreadsheets/d/1uUP8Zo1-qaJLuIkRU0qlwLSE3DHkbdrrj2JGJiWBQZE/edit?usp=share_link"",""อำนาจเจริญ!J647"")+IMPORTRANGE(""https://docs.google.com/spreadsheets/d/"&amp;"1hb_taSOHanzRjqfzWPiFo8yiT83VV1L7vvUCLhOiHKc/edit?usp=share_link"",""อุดรธานี!J647"")+IMPORTRANGE(""https://docs.google.com/spreadsheets/d/17IOkEwkUd63EGNfyNDnM5de9YlZ7rwzTiW6-dokVjKI/edit?usp=share_link"",""อุบลราชธานี!J647"")
"),9229)</f>
        <v>9229</v>
      </c>
      <c r="K647" s="163">
        <f t="shared" ca="1" si="308"/>
        <v>105.71592210767469</v>
      </c>
      <c r="L647" s="163"/>
      <c r="M647" s="163"/>
      <c r="N647" s="163"/>
      <c r="O647" s="163"/>
      <c r="P647" s="163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</row>
    <row r="648" spans="1:26" ht="18.75">
      <c r="A648" s="744"/>
      <c r="B648" s="575"/>
      <c r="C648" s="576"/>
      <c r="D648" s="619"/>
      <c r="E648" s="619"/>
      <c r="F648" s="619"/>
      <c r="G648" s="175"/>
      <c r="H648" s="182" t="s">
        <v>46</v>
      </c>
      <c r="I648" s="270">
        <v>0</v>
      </c>
      <c r="J648" s="37">
        <f ca="1">IFERROR(__xludf.DUMMYFUNCTION("IMPORTRANGE(""https://docs.google.com/spreadsheets/d/1fb2B9NLcpJgjIieIJvenUTNPn0TimZDUi0OtYeiSQ_s/edit?usp=share_link"",""กาฬสินธุ์!J648"")+IMPORTRANGE(""https://docs.google.com/spreadsheets/d/1SaMnqrwRGmFYNR0MhpWmHuL5niYUd5E7vDq8X7whAlI/edit?usp=share_li"&amp;"nk"",""ขอนแก่น!J648"")
+IMPORTRANGE(""https://docs.google.com/spreadsheets/d/1xQzEtGHhTTgxHh6YUkKY1P4dRyjVhS74dGswLfAASA4/edit?usp=share_link"",""ชัยภูมิ!J648"")+IMPORTRANGE(""https://docs.google.com/spreadsheets/d/1EXMBoBxU3OFbjT2TRpneM33qFjqDzrKmn9ydcfl"&amp;"fI0o/edit?usp=share_link"",""นครพนม!J648"")+IMPORTRANGE(""https://docs.google.com/spreadsheets/d/1bDQrolntRWtHumK8W-x-HXKntwxB9S3sF5aDeRS66Ko/edit?usp=share_link"",""นครราชสีมา!J648"")+IMPORTRANGE(""https://docs.google.com/spreadsheets/d/1_MzZ-2gVPiCW-d2V"&amp;"cafoCmFJQTSrZ6SQyFcMqRRQQ2w/edit?usp=share_link"",""บึงกาฬ!J648"")
+IMPORTRANGE(""https://docs.google.com/spreadsheets/d/1B3lPpzOuaNwVItLwLEZYl_qEblfcx7dRnbRkAw0l-pE/edit?usp=share_link"",""บุรีรัมย์!J648"")+IMPORTRANGE(""https://docs.google.com/spreadshe"&amp;"ets/d/19GOkiOqnzYbevLYWrMk4qFOXe3rX14BkSA8X-mq-a40/edit?usp=share_link"",""มหาสารคาม!J648"")+IMPORTRANGE(""https://docs.google.com/spreadsheets/d/1uMKqWwuNQ-TCKboGA3Bb1qXb5uj2-faACNUINCz8PN4/edit?usp=share_link"",""มุกดาหาร!J648"")+IMPORTRANGE(""https://d"&amp;"ocs.google.com/spreadsheets/d/1oKaccgDdQABndOzGr688Dbfxb_V3YcF67VqEPBtdzsc/edit?usp=share_link"",""ยโสธร!J648"")+IMPORTRANGE(""https://docs.google.com/spreadsheets/d/1BRgc8xKpxZ0PX-gauieMVkV_IOxKSotf0yW8MabGprQ/edit?usp=share_link"",""ร้อยเอ็ด!J648"")+IMP"&amp;"ORTRANGE(""https://docs.google.com/spreadsheets/d/1IdolZc-dfdgMwAm_KZxYJl1sUOcIgnbGQzbWOlddedo/edit?usp=share_link"",""เลย!J648"")+IMPORTRANGE(""https://docs.google.com/spreadsheets/d/1tZ0nmtGuIRCaGAMXHlQU8EpR9LOAJvyKfc4f7EFmE34/edit?usp=share_link"",""ศร"&amp;"ีสะเกษ!J648"")+IMPORTRANGE(""https://docs.google.com/spreadsheets/d/1QC8psz9w0f9IVE9Xuc2FT_btkaOzZbbUSgYObpBuetM/edit?usp=share_link"",""สกลนคร!J648"")+IMPORTRANGE(""https://docs.google.com/spreadsheets/d/1wPdvRbu02d33MYVlbsCnyTiZpefEBs9NNktAnT1HZvw/edit?"&amp;"usp=share_link"",""สุรินทร์!J648"")+IMPORTRANGE(""https://docs.google.com/spreadsheets/d/1GVExpf-Exi_2gmuqTYH28fseTB9MoKPXWcXCbSt_YrM/edit?usp=share_link"",""หนองคาย!J648"")+IMPORTRANGE(""https://docs.google.com/spreadsheets/d/16UeMz0UgOB5BZcoxP75eYGcLFtG"&amp;"YRn9GoesD4OX9m5U/edit?usp=share_link"",""หนองบัวลำภู!J648"")+IMPORTRANGE(""https://docs.google.com/spreadsheets/d/1uUP8Zo1-qaJLuIkRU0qlwLSE3DHkbdrrj2JGJiWBQZE/edit?usp=share_link"",""อำนาจเจริญ!J648"")+IMPORTRANGE(""https://docs.google.com/spreadsheets/d/"&amp;"1hb_taSOHanzRjqfzWPiFo8yiT83VV1L7vvUCLhOiHKc/edit?usp=share_link"",""อุดรธานี!J648"")+IMPORTRANGE(""https://docs.google.com/spreadsheets/d/17IOkEwkUd63EGNfyNDnM5de9YlZ7rwzTiW6-dokVjKI/edit?usp=share_link"",""อุบลราชธานี!J648"")
"),5218.97)</f>
        <v>5218.97</v>
      </c>
      <c r="K648" s="38">
        <f t="shared" si="308"/>
        <v>0</v>
      </c>
      <c r="L648" s="163"/>
      <c r="M648" s="163"/>
      <c r="N648" s="163"/>
      <c r="O648" s="163"/>
      <c r="P648" s="163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</row>
    <row r="649" spans="1:26" ht="18.75">
      <c r="A649" s="744"/>
      <c r="B649" s="575"/>
      <c r="C649" s="576"/>
      <c r="D649" s="619"/>
      <c r="E649" s="263" t="s">
        <v>277</v>
      </c>
      <c r="F649" s="619"/>
      <c r="G649" s="175"/>
      <c r="H649" s="182" t="s">
        <v>35</v>
      </c>
      <c r="I649" s="37">
        <f ca="1">IFERROR(__xludf.DUMMYFUNCTION("IMPORTRANGE(""https://docs.google.com/spreadsheets/d/1fb2B9NLcpJgjIieIJvenUTNPn0TimZDUi0OtYeiSQ_s/edit?usp=share_link"",""กาฬสินธุ์!I649"")+IMPORTRANGE(""https://docs.google.com/spreadsheets/d/1SaMnqrwRGmFYNR0MhpWmHuL5niYUd5E7vDq8X7whAlI/edit?usp=share_li"&amp;"nk"",""ขอนแก่น!I649"")
+IMPORTRANGE(""https://docs.google.com/spreadsheets/d/1xQzEtGHhTTgxHh6YUkKY1P4dRyjVhS74dGswLfAASA4/edit?usp=share_link"",""ชัยภูมิ!I649"")+IMPORTRANGE(""https://docs.google.com/spreadsheets/d/1EXMBoBxU3OFbjT2TRpneM33qFjqDzrKmn9ydcfl"&amp;"fI0o/edit?usp=share_link"",""นครพนม!I649"")+IMPORTRANGE(""https://docs.google.com/spreadsheets/d/1bDQrolntRWtHumK8W-x-HXKntwxB9S3sF5aDeRS66Ko/edit?usp=share_link"",""นครราชสีมา!I649"")+IMPORTRANGE(""https://docs.google.com/spreadsheets/d/1_MzZ-2gVPiCW-d2V"&amp;"cafoCmFJQTSrZ6SQyFcMqRRQQ2w/edit?usp=share_link"",""บึงกาฬ!I649"")
+IMPORTRANGE(""https://docs.google.com/spreadsheets/d/1B3lPpzOuaNwVItLwLEZYl_qEblfcx7dRnbRkAw0l-pE/edit?usp=share_link"",""บุรีรัมย์!I649"")+IMPORTRANGE(""https://docs.google.com/spreadshe"&amp;"ets/d/19GOkiOqnzYbevLYWrMk4qFOXe3rX14BkSA8X-mq-a40/edit?usp=share_link"",""มหาสารคาม!I649"")+IMPORTRANGE(""https://docs.google.com/spreadsheets/d/1uMKqWwuNQ-TCKboGA3Bb1qXb5uj2-faACNUINCz8PN4/edit?usp=share_link"",""มุกดาหาร!I649"")+IMPORTRANGE(""https://d"&amp;"ocs.google.com/spreadsheets/d/1oKaccgDdQABndOzGr688Dbfxb_V3YcF67VqEPBtdzsc/edit?usp=share_link"",""ยโสธร!I649"")+IMPORTRANGE(""https://docs.google.com/spreadsheets/d/1BRgc8xKpxZ0PX-gauieMVkV_IOxKSotf0yW8MabGprQ/edit?usp=share_link"",""ร้อยเอ็ด!I649"")+IMP"&amp;"ORTRANGE(""https://docs.google.com/spreadsheets/d/1IdolZc-dfdgMwAm_KZxYJl1sUOcIgnbGQzbWOlddedo/edit?usp=share_link"",""เลย!I649"")+IMPORTRANGE(""https://docs.google.com/spreadsheets/d/1tZ0nmtGuIRCaGAMXHlQU8EpR9LOAJvyKfc4f7EFmE34/edit?usp=share_link"",""ศร"&amp;"ีสะเกษ!I649"")+IMPORTRANGE(""https://docs.google.com/spreadsheets/d/1QC8psz9w0f9IVE9Xuc2FT_btkaOzZbbUSgYObpBuetM/edit?usp=share_link"",""สกลนคร!I649"")+IMPORTRANGE(""https://docs.google.com/spreadsheets/d/1wPdvRbu02d33MYVlbsCnyTiZpefEBs9NNktAnT1HZvw/edit?"&amp;"usp=share_link"",""สุรินทร์!I649"")+IMPORTRANGE(""https://docs.google.com/spreadsheets/d/1GVExpf-Exi_2gmuqTYH28fseTB9MoKPXWcXCbSt_YrM/edit?usp=share_link"",""หนองคาย!I649"")+IMPORTRANGE(""https://docs.google.com/spreadsheets/d/16UeMz0UgOB5BZcoxP75eYGcLFtG"&amp;"YRn9GoesD4OX9m5U/edit?usp=share_link"",""หนองบัวลำภู!I649"")+IMPORTRANGE(""https://docs.google.com/spreadsheets/d/1uUP8Zo1-qaJLuIkRU0qlwLSE3DHkbdrrj2JGJiWBQZE/edit?usp=share_link"",""อำนาจเจริญ!I649"")+IMPORTRANGE(""https://docs.google.com/spreadsheets/d/"&amp;"1hb_taSOHanzRjqfzWPiFo8yiT83VV1L7vvUCLhOiHKc/edit?usp=share_link"",""อุดรธานี!I649"")+IMPORTRANGE(""https://docs.google.com/spreadsheets/d/17IOkEwkUd63EGNfyNDnM5de9YlZ7rwzTiW6-dokVjKI/edit?usp=share_link"",""อุบลราชธานี!I649"")
"),8730)</f>
        <v>8730</v>
      </c>
      <c r="J649" s="37">
        <f ca="1">IFERROR(__xludf.DUMMYFUNCTION("IMPORTRANGE(""https://docs.google.com/spreadsheets/d/1fb2B9NLcpJgjIieIJvenUTNPn0TimZDUi0OtYeiSQ_s/edit?usp=share_link"",""กาฬสินธุ์!J649"")+IMPORTRANGE(""https://docs.google.com/spreadsheets/d/1SaMnqrwRGmFYNR0MhpWmHuL5niYUd5E7vDq8X7whAlI/edit?usp=share_li"&amp;"nk"",""ขอนแก่น!J649"")
+IMPORTRANGE(""https://docs.google.com/spreadsheets/d/1xQzEtGHhTTgxHh6YUkKY1P4dRyjVhS74dGswLfAASA4/edit?usp=share_link"",""ชัยภูมิ!J649"")+IMPORTRANGE(""https://docs.google.com/spreadsheets/d/1EXMBoBxU3OFbjT2TRpneM33qFjqDzrKmn9ydcfl"&amp;"fI0o/edit?usp=share_link"",""นครพนม!J649"")+IMPORTRANGE(""https://docs.google.com/spreadsheets/d/1bDQrolntRWtHumK8W-x-HXKntwxB9S3sF5aDeRS66Ko/edit?usp=share_link"",""นครราชสีมา!J649"")+IMPORTRANGE(""https://docs.google.com/spreadsheets/d/1_MzZ-2gVPiCW-d2V"&amp;"cafoCmFJQTSrZ6SQyFcMqRRQQ2w/edit?usp=share_link"",""บึงกาฬ!J649"")
+IMPORTRANGE(""https://docs.google.com/spreadsheets/d/1B3lPpzOuaNwVItLwLEZYl_qEblfcx7dRnbRkAw0l-pE/edit?usp=share_link"",""บุรีรัมย์!J649"")+IMPORTRANGE(""https://docs.google.com/spreadshe"&amp;"ets/d/19GOkiOqnzYbevLYWrMk4qFOXe3rX14BkSA8X-mq-a40/edit?usp=share_link"",""มหาสารคาม!J649"")+IMPORTRANGE(""https://docs.google.com/spreadsheets/d/1uMKqWwuNQ-TCKboGA3Bb1qXb5uj2-faACNUINCz8PN4/edit?usp=share_link"",""มุกดาหาร!J649"")+IMPORTRANGE(""https://d"&amp;"ocs.google.com/spreadsheets/d/1oKaccgDdQABndOzGr688Dbfxb_V3YcF67VqEPBtdzsc/edit?usp=share_link"",""ยโสธร!J649"")+IMPORTRANGE(""https://docs.google.com/spreadsheets/d/1BRgc8xKpxZ0PX-gauieMVkV_IOxKSotf0yW8MabGprQ/edit?usp=share_link"",""ร้อยเอ็ด!J649"")+IMP"&amp;"ORTRANGE(""https://docs.google.com/spreadsheets/d/1IdolZc-dfdgMwAm_KZxYJl1sUOcIgnbGQzbWOlddedo/edit?usp=share_link"",""เลย!J649"")+IMPORTRANGE(""https://docs.google.com/spreadsheets/d/1tZ0nmtGuIRCaGAMXHlQU8EpR9LOAJvyKfc4f7EFmE34/edit?usp=share_link"",""ศร"&amp;"ีสะเกษ!J649"")+IMPORTRANGE(""https://docs.google.com/spreadsheets/d/1QC8psz9w0f9IVE9Xuc2FT_btkaOzZbbUSgYObpBuetM/edit?usp=share_link"",""สกลนคร!J649"")+IMPORTRANGE(""https://docs.google.com/spreadsheets/d/1wPdvRbu02d33MYVlbsCnyTiZpefEBs9NNktAnT1HZvw/edit?"&amp;"usp=share_link"",""สุรินทร์!J649"")+IMPORTRANGE(""https://docs.google.com/spreadsheets/d/1GVExpf-Exi_2gmuqTYH28fseTB9MoKPXWcXCbSt_YrM/edit?usp=share_link"",""หนองคาย!J649"")+IMPORTRANGE(""https://docs.google.com/spreadsheets/d/16UeMz0UgOB5BZcoxP75eYGcLFtG"&amp;"YRn9GoesD4OX9m5U/edit?usp=share_link"",""หนองบัวลำภู!J649"")+IMPORTRANGE(""https://docs.google.com/spreadsheets/d/1uUP8Zo1-qaJLuIkRU0qlwLSE3DHkbdrrj2JGJiWBQZE/edit?usp=share_link"",""อำนาจเจริญ!J649"")+IMPORTRANGE(""https://docs.google.com/spreadsheets/d/"&amp;"1hb_taSOHanzRjqfzWPiFo8yiT83VV1L7vvUCLhOiHKc/edit?usp=share_link"",""อุดรธานี!J649"")+IMPORTRANGE(""https://docs.google.com/spreadsheets/d/17IOkEwkUd63EGNfyNDnM5de9YlZ7rwzTiW6-dokVjKI/edit?usp=share_link"",""อุบลราชธานี!J649"")
"),9303)</f>
        <v>9303</v>
      </c>
      <c r="K649" s="163">
        <f t="shared" ca="1" si="308"/>
        <v>106.56357388316151</v>
      </c>
      <c r="L649" s="163"/>
      <c r="M649" s="163"/>
      <c r="N649" s="163"/>
      <c r="O649" s="163"/>
      <c r="P649" s="163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</row>
    <row r="650" spans="1:26" ht="18.75">
      <c r="A650" s="744"/>
      <c r="B650" s="575"/>
      <c r="C650" s="576"/>
      <c r="D650" s="619"/>
      <c r="E650" s="619"/>
      <c r="F650" s="619"/>
      <c r="G650" s="175"/>
      <c r="H650" s="182" t="s">
        <v>46</v>
      </c>
      <c r="I650" s="270">
        <v>0</v>
      </c>
      <c r="J650" s="37">
        <f ca="1">IFERROR(__xludf.DUMMYFUNCTION("IMPORTRANGE(""https://docs.google.com/spreadsheets/d/1fb2B9NLcpJgjIieIJvenUTNPn0TimZDUi0OtYeiSQ_s/edit?usp=share_link"",""กาฬสินธุ์!J650"")+IMPORTRANGE(""https://docs.google.com/spreadsheets/d/1SaMnqrwRGmFYNR0MhpWmHuL5niYUd5E7vDq8X7whAlI/edit?usp=share_li"&amp;"nk"",""ขอนแก่น!J650"")
+IMPORTRANGE(""https://docs.google.com/spreadsheets/d/1xQzEtGHhTTgxHh6YUkKY1P4dRyjVhS74dGswLfAASA4/edit?usp=share_link"",""ชัยภูมิ!J650"")+IMPORTRANGE(""https://docs.google.com/spreadsheets/d/1EXMBoBxU3OFbjT2TRpneM33qFjqDzrKmn9ydcfl"&amp;"fI0o/edit?usp=share_link"",""นครพนม!J650"")+IMPORTRANGE(""https://docs.google.com/spreadsheets/d/1bDQrolntRWtHumK8W-x-HXKntwxB9S3sF5aDeRS66Ko/edit?usp=share_link"",""นครราชสีมา!J650"")+IMPORTRANGE(""https://docs.google.com/spreadsheets/d/1_MzZ-2gVPiCW-d2V"&amp;"cafoCmFJQTSrZ6SQyFcMqRRQQ2w/edit?usp=share_link"",""บึงกาฬ!J650"")
+IMPORTRANGE(""https://docs.google.com/spreadsheets/d/1B3lPpzOuaNwVItLwLEZYl_qEblfcx7dRnbRkAw0l-pE/edit?usp=share_link"",""บุรีรัมย์!J650"")+IMPORTRANGE(""https://docs.google.com/spreadshe"&amp;"ets/d/19GOkiOqnzYbevLYWrMk4qFOXe3rX14BkSA8X-mq-a40/edit?usp=share_link"",""มหาสารคาม!J650"")+IMPORTRANGE(""https://docs.google.com/spreadsheets/d/1uMKqWwuNQ-TCKboGA3Bb1qXb5uj2-faACNUINCz8PN4/edit?usp=share_link"",""มุกดาหาร!J650"")+IMPORTRANGE(""https://d"&amp;"ocs.google.com/spreadsheets/d/1oKaccgDdQABndOzGr688Dbfxb_V3YcF67VqEPBtdzsc/edit?usp=share_link"",""ยโสธร!J650"")+IMPORTRANGE(""https://docs.google.com/spreadsheets/d/1BRgc8xKpxZ0PX-gauieMVkV_IOxKSotf0yW8MabGprQ/edit?usp=share_link"",""ร้อยเอ็ด!J650"")+IMP"&amp;"ORTRANGE(""https://docs.google.com/spreadsheets/d/1IdolZc-dfdgMwAm_KZxYJl1sUOcIgnbGQzbWOlddedo/edit?usp=share_link"",""เลย!J650"")+IMPORTRANGE(""https://docs.google.com/spreadsheets/d/1tZ0nmtGuIRCaGAMXHlQU8EpR9LOAJvyKfc4f7EFmE34/edit?usp=share_link"",""ศร"&amp;"ีสะเกษ!J650"")+IMPORTRANGE(""https://docs.google.com/spreadsheets/d/1QC8psz9w0f9IVE9Xuc2FT_btkaOzZbbUSgYObpBuetM/edit?usp=share_link"",""สกลนคร!J650"")+IMPORTRANGE(""https://docs.google.com/spreadsheets/d/1wPdvRbu02d33MYVlbsCnyTiZpefEBs9NNktAnT1HZvw/edit?"&amp;"usp=share_link"",""สุรินทร์!J650"")+IMPORTRANGE(""https://docs.google.com/spreadsheets/d/1GVExpf-Exi_2gmuqTYH28fseTB9MoKPXWcXCbSt_YrM/edit?usp=share_link"",""หนองคาย!J650"")+IMPORTRANGE(""https://docs.google.com/spreadsheets/d/16UeMz0UgOB5BZcoxP75eYGcLFtG"&amp;"YRn9GoesD4OX9m5U/edit?usp=share_link"",""หนองบัวลำภู!J650"")+IMPORTRANGE(""https://docs.google.com/spreadsheets/d/1uUP8Zo1-qaJLuIkRU0qlwLSE3DHkbdrrj2JGJiWBQZE/edit?usp=share_link"",""อำนาจเจริญ!J650"")+IMPORTRANGE(""https://docs.google.com/spreadsheets/d/"&amp;"1hb_taSOHanzRjqfzWPiFo8yiT83VV1L7vvUCLhOiHKc/edit?usp=share_link"",""อุดรธานี!J650"")+IMPORTRANGE(""https://docs.google.com/spreadsheets/d/17IOkEwkUd63EGNfyNDnM5de9YlZ7rwzTiW6-dokVjKI/edit?usp=share_link"",""อุบลราชธานี!J650"")
"),5215.49999999999)</f>
        <v>5215.49999999999</v>
      </c>
      <c r="K650" s="38">
        <f t="shared" si="308"/>
        <v>0</v>
      </c>
      <c r="L650" s="163"/>
      <c r="M650" s="163"/>
      <c r="N650" s="163"/>
      <c r="O650" s="163"/>
      <c r="P650" s="163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</row>
    <row r="651" spans="1:26" ht="18.75">
      <c r="A651" s="744"/>
      <c r="B651" s="575"/>
      <c r="C651" s="576"/>
      <c r="D651" s="619"/>
      <c r="E651" s="263" t="s">
        <v>278</v>
      </c>
      <c r="F651" s="619"/>
      <c r="G651" s="175"/>
      <c r="H651" s="182" t="s">
        <v>35</v>
      </c>
      <c r="I651" s="37">
        <f ca="1">IFERROR(__xludf.DUMMYFUNCTION("IMPORTRANGE(""https://docs.google.com/spreadsheets/d/1fb2B9NLcpJgjIieIJvenUTNPn0TimZDUi0OtYeiSQ_s/edit?usp=share_link"",""กาฬสินธุ์!I651"")+IMPORTRANGE(""https://docs.google.com/spreadsheets/d/1SaMnqrwRGmFYNR0MhpWmHuL5niYUd5E7vDq8X7whAlI/edit?usp=share_li"&amp;"nk"",""ขอนแก่น!I651"")
+IMPORTRANGE(""https://docs.google.com/spreadsheets/d/1xQzEtGHhTTgxHh6YUkKY1P4dRyjVhS74dGswLfAASA4/edit?usp=share_link"",""ชัยภูมิ!I651"")+IMPORTRANGE(""https://docs.google.com/spreadsheets/d/1EXMBoBxU3OFbjT2TRpneM33qFjqDzrKmn9ydcfl"&amp;"fI0o/edit?usp=share_link"",""นครพนม!I651"")+IMPORTRANGE(""https://docs.google.com/spreadsheets/d/1bDQrolntRWtHumK8W-x-HXKntwxB9S3sF5aDeRS66Ko/edit?usp=share_link"",""นครราชสีมา!I651"")+IMPORTRANGE(""https://docs.google.com/spreadsheets/d/1_MzZ-2gVPiCW-d2V"&amp;"cafoCmFJQTSrZ6SQyFcMqRRQQ2w/edit?usp=share_link"",""บึงกาฬ!I651"")
+IMPORTRANGE(""https://docs.google.com/spreadsheets/d/1B3lPpzOuaNwVItLwLEZYl_qEblfcx7dRnbRkAw0l-pE/edit?usp=share_link"",""บุรีรัมย์!I651"")+IMPORTRANGE(""https://docs.google.com/spreadshe"&amp;"ets/d/19GOkiOqnzYbevLYWrMk4qFOXe3rX14BkSA8X-mq-a40/edit?usp=share_link"",""มหาสารคาม!I651"")+IMPORTRANGE(""https://docs.google.com/spreadsheets/d/1uMKqWwuNQ-TCKboGA3Bb1qXb5uj2-faACNUINCz8PN4/edit?usp=share_link"",""มุกดาหาร!I651"")+IMPORTRANGE(""https://d"&amp;"ocs.google.com/spreadsheets/d/1oKaccgDdQABndOzGr688Dbfxb_V3YcF67VqEPBtdzsc/edit?usp=share_link"",""ยโสธร!I651"")+IMPORTRANGE(""https://docs.google.com/spreadsheets/d/1BRgc8xKpxZ0PX-gauieMVkV_IOxKSotf0yW8MabGprQ/edit?usp=share_link"",""ร้อยเอ็ด!I651"")+IMP"&amp;"ORTRANGE(""https://docs.google.com/spreadsheets/d/1IdolZc-dfdgMwAm_KZxYJl1sUOcIgnbGQzbWOlddedo/edit?usp=share_link"",""เลย!I651"")+IMPORTRANGE(""https://docs.google.com/spreadsheets/d/1tZ0nmtGuIRCaGAMXHlQU8EpR9LOAJvyKfc4f7EFmE34/edit?usp=share_link"",""ศร"&amp;"ีสะเกษ!I651"")+IMPORTRANGE(""https://docs.google.com/spreadsheets/d/1QC8psz9w0f9IVE9Xuc2FT_btkaOzZbbUSgYObpBuetM/edit?usp=share_link"",""สกลนคร!I651"")+IMPORTRANGE(""https://docs.google.com/spreadsheets/d/1wPdvRbu02d33MYVlbsCnyTiZpefEBs9NNktAnT1HZvw/edit?"&amp;"usp=share_link"",""สุรินทร์!I651"")+IMPORTRANGE(""https://docs.google.com/spreadsheets/d/1GVExpf-Exi_2gmuqTYH28fseTB9MoKPXWcXCbSt_YrM/edit?usp=share_link"",""หนองคาย!I651"")+IMPORTRANGE(""https://docs.google.com/spreadsheets/d/16UeMz0UgOB5BZcoxP75eYGcLFtG"&amp;"YRn9GoesD4OX9m5U/edit?usp=share_link"",""หนองบัวลำภู!I651"")+IMPORTRANGE(""https://docs.google.com/spreadsheets/d/1uUP8Zo1-qaJLuIkRU0qlwLSE3DHkbdrrj2JGJiWBQZE/edit?usp=share_link"",""อำนาจเจริญ!I651"")+IMPORTRANGE(""https://docs.google.com/spreadsheets/d/"&amp;"1hb_taSOHanzRjqfzWPiFo8yiT83VV1L7vvUCLhOiHKc/edit?usp=share_link"",""อุดรธานี!I651"")+IMPORTRANGE(""https://docs.google.com/spreadsheets/d/17IOkEwkUd63EGNfyNDnM5de9YlZ7rwzTiW6-dokVjKI/edit?usp=share_link"",""อุบลราชธานี!I651"")
"),8730)</f>
        <v>8730</v>
      </c>
      <c r="J651" s="37">
        <f ca="1">IFERROR(__xludf.DUMMYFUNCTION("IMPORTRANGE(""https://docs.google.com/spreadsheets/d/1fb2B9NLcpJgjIieIJvenUTNPn0TimZDUi0OtYeiSQ_s/edit?usp=share_link"",""กาฬสินธุ์!J651"")+IMPORTRANGE(""https://docs.google.com/spreadsheets/d/1SaMnqrwRGmFYNR0MhpWmHuL5niYUd5E7vDq8X7whAlI/edit?usp=share_li"&amp;"nk"",""ขอนแก่น!J651"")
+IMPORTRANGE(""https://docs.google.com/spreadsheets/d/1xQzEtGHhTTgxHh6YUkKY1P4dRyjVhS74dGswLfAASA4/edit?usp=share_link"",""ชัยภูมิ!J651"")+IMPORTRANGE(""https://docs.google.com/spreadsheets/d/1EXMBoBxU3OFbjT2TRpneM33qFjqDzrKmn9ydcfl"&amp;"fI0o/edit?usp=share_link"",""นครพนม!J651"")+IMPORTRANGE(""https://docs.google.com/spreadsheets/d/1bDQrolntRWtHumK8W-x-HXKntwxB9S3sF5aDeRS66Ko/edit?usp=share_link"",""นครราชสีมา!J651"")+IMPORTRANGE(""https://docs.google.com/spreadsheets/d/1_MzZ-2gVPiCW-d2V"&amp;"cafoCmFJQTSrZ6SQyFcMqRRQQ2w/edit?usp=share_link"",""บึงกาฬ!J651"")
+IMPORTRANGE(""https://docs.google.com/spreadsheets/d/1B3lPpzOuaNwVItLwLEZYl_qEblfcx7dRnbRkAw0l-pE/edit?usp=share_link"",""บุรีรัมย์!J651"")+IMPORTRANGE(""https://docs.google.com/spreadshe"&amp;"ets/d/19GOkiOqnzYbevLYWrMk4qFOXe3rX14BkSA8X-mq-a40/edit?usp=share_link"",""มหาสารคาม!J651"")+IMPORTRANGE(""https://docs.google.com/spreadsheets/d/1uMKqWwuNQ-TCKboGA3Bb1qXb5uj2-faACNUINCz8PN4/edit?usp=share_link"",""มุกดาหาร!J651"")+IMPORTRANGE(""https://d"&amp;"ocs.google.com/spreadsheets/d/1oKaccgDdQABndOzGr688Dbfxb_V3YcF67VqEPBtdzsc/edit?usp=share_link"",""ยโสธร!J651"")+IMPORTRANGE(""https://docs.google.com/spreadsheets/d/1BRgc8xKpxZ0PX-gauieMVkV_IOxKSotf0yW8MabGprQ/edit?usp=share_link"",""ร้อยเอ็ด!J651"")+IMP"&amp;"ORTRANGE(""https://docs.google.com/spreadsheets/d/1IdolZc-dfdgMwAm_KZxYJl1sUOcIgnbGQzbWOlddedo/edit?usp=share_link"",""เลย!J651"")+IMPORTRANGE(""https://docs.google.com/spreadsheets/d/1tZ0nmtGuIRCaGAMXHlQU8EpR9LOAJvyKfc4f7EFmE34/edit?usp=share_link"",""ศร"&amp;"ีสะเกษ!J651"")+IMPORTRANGE(""https://docs.google.com/spreadsheets/d/1QC8psz9w0f9IVE9Xuc2FT_btkaOzZbbUSgYObpBuetM/edit?usp=share_link"",""สกลนคร!J651"")+IMPORTRANGE(""https://docs.google.com/spreadsheets/d/1wPdvRbu02d33MYVlbsCnyTiZpefEBs9NNktAnT1HZvw/edit?"&amp;"usp=share_link"",""สุรินทร์!J651"")+IMPORTRANGE(""https://docs.google.com/spreadsheets/d/1GVExpf-Exi_2gmuqTYH28fseTB9MoKPXWcXCbSt_YrM/edit?usp=share_link"",""หนองคาย!J651"")+IMPORTRANGE(""https://docs.google.com/spreadsheets/d/16UeMz0UgOB5BZcoxP75eYGcLFtG"&amp;"YRn9GoesD4OX9m5U/edit?usp=share_link"",""หนองบัวลำภู!J651"")+IMPORTRANGE(""https://docs.google.com/spreadsheets/d/1uUP8Zo1-qaJLuIkRU0qlwLSE3DHkbdrrj2JGJiWBQZE/edit?usp=share_link"",""อำนาจเจริญ!J651"")+IMPORTRANGE(""https://docs.google.com/spreadsheets/d/"&amp;"1hb_taSOHanzRjqfzWPiFo8yiT83VV1L7vvUCLhOiHKc/edit?usp=share_link"",""อุดรธานี!J651"")+IMPORTRANGE(""https://docs.google.com/spreadsheets/d/17IOkEwkUd63EGNfyNDnM5de9YlZ7rwzTiW6-dokVjKI/edit?usp=share_link"",""อุบลราชธานี!J651"")
"),8718)</f>
        <v>8718</v>
      </c>
      <c r="K651" s="163">
        <f t="shared" ca="1" si="308"/>
        <v>99.862542955326461</v>
      </c>
      <c r="L651" s="163"/>
      <c r="M651" s="163"/>
      <c r="N651" s="163"/>
      <c r="O651" s="163"/>
      <c r="P651" s="163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</row>
    <row r="652" spans="1:26" ht="18.75">
      <c r="A652" s="74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8"/>
      <c r="C652" s="749"/>
      <c r="D652" s="734"/>
      <c r="E652" s="734"/>
      <c r="F652" s="734"/>
      <c r="G652" s="735"/>
      <c r="H652" s="505" t="s">
        <v>46</v>
      </c>
      <c r="I652" s="383">
        <v>0</v>
      </c>
      <c r="J652" s="506">
        <f ca="1">IFERROR(__xludf.DUMMYFUNCTION("IMPORTRANGE(""https://docs.google.com/spreadsheets/d/1fb2B9NLcpJgjIieIJvenUTNPn0TimZDUi0OtYeiSQ_s/edit?usp=share_link"",""กาฬสินธุ์!J652"")+IMPORTRANGE(""https://docs.google.com/spreadsheets/d/1SaMnqrwRGmFYNR0MhpWmHuL5niYUd5E7vDq8X7whAlI/edit?usp=share_li"&amp;"nk"",""ขอนแก่น!J652"")
+IMPORTRANGE(""https://docs.google.com/spreadsheets/d/1xQzEtGHhTTgxHh6YUkKY1P4dRyjVhS74dGswLfAASA4/edit?usp=share_link"",""ชัยภูมิ!J652"")+IMPORTRANGE(""https://docs.google.com/spreadsheets/d/1EXMBoBxU3OFbjT2TRpneM33qFjqDzrKmn9ydcfl"&amp;"fI0o/edit?usp=share_link"",""นครพนม!J652"")+IMPORTRANGE(""https://docs.google.com/spreadsheets/d/1bDQrolntRWtHumK8W-x-HXKntwxB9S3sF5aDeRS66Ko/edit?usp=share_link"",""นครราชสีมา!J652"")+IMPORTRANGE(""https://docs.google.com/spreadsheets/d/1_MzZ-2gVPiCW-d2V"&amp;"cafoCmFJQTSrZ6SQyFcMqRRQQ2w/edit?usp=share_link"",""บึงกาฬ!J652"")
+IMPORTRANGE(""https://docs.google.com/spreadsheets/d/1B3lPpzOuaNwVItLwLEZYl_qEblfcx7dRnbRkAw0l-pE/edit?usp=share_link"",""บุรีรัมย์!J652"")+IMPORTRANGE(""https://docs.google.com/spreadshe"&amp;"ets/d/19GOkiOqnzYbevLYWrMk4qFOXe3rX14BkSA8X-mq-a40/edit?usp=share_link"",""มหาสารคาม!J652"")+IMPORTRANGE(""https://docs.google.com/spreadsheets/d/1uMKqWwuNQ-TCKboGA3Bb1qXb5uj2-faACNUINCz8PN4/edit?usp=share_link"",""มุกดาหาร!J652"")+IMPORTRANGE(""https://d"&amp;"ocs.google.com/spreadsheets/d/1oKaccgDdQABndOzGr688Dbfxb_V3YcF67VqEPBtdzsc/edit?usp=share_link"",""ยโสธร!J652"")+IMPORTRANGE(""https://docs.google.com/spreadsheets/d/1BRgc8xKpxZ0PX-gauieMVkV_IOxKSotf0yW8MabGprQ/edit?usp=share_link"",""ร้อยเอ็ด!J652"")+IMP"&amp;"ORTRANGE(""https://docs.google.com/spreadsheets/d/1IdolZc-dfdgMwAm_KZxYJl1sUOcIgnbGQzbWOlddedo/edit?usp=share_link"",""เลย!J652"")+IMPORTRANGE(""https://docs.google.com/spreadsheets/d/1tZ0nmtGuIRCaGAMXHlQU8EpR9LOAJvyKfc4f7EFmE34/edit?usp=share_link"",""ศร"&amp;"ีสะเกษ!J652"")+IMPORTRANGE(""https://docs.google.com/spreadsheets/d/1QC8psz9w0f9IVE9Xuc2FT_btkaOzZbbUSgYObpBuetM/edit?usp=share_link"",""สกลนคร!J652"")+IMPORTRANGE(""https://docs.google.com/spreadsheets/d/1wPdvRbu02d33MYVlbsCnyTiZpefEBs9NNktAnT1HZvw/edit?"&amp;"usp=share_link"",""สุรินทร์!J652"")+IMPORTRANGE(""https://docs.google.com/spreadsheets/d/1GVExpf-Exi_2gmuqTYH28fseTB9MoKPXWcXCbSt_YrM/edit?usp=share_link"",""หนองคาย!J652"")+IMPORTRANGE(""https://docs.google.com/spreadsheets/d/16UeMz0UgOB5BZcoxP75eYGcLFtG"&amp;"YRn9GoesD4OX9m5U/edit?usp=share_link"",""หนองบัวลำภู!J652"")+IMPORTRANGE(""https://docs.google.com/spreadsheets/d/1uUP8Zo1-qaJLuIkRU0qlwLSE3DHkbdrrj2JGJiWBQZE/edit?usp=share_link"",""อำนาจเจริญ!J652"")+IMPORTRANGE(""https://docs.google.com/spreadsheets/d/"&amp;"1hb_taSOHanzRjqfzWPiFo8yiT83VV1L7vvUCLhOiHKc/edit?usp=share_link"",""อุดรธานี!J652"")+IMPORTRANGE(""https://docs.google.com/spreadsheets/d/17IOkEwkUd63EGNfyNDnM5de9YlZ7rwzTiW6-dokVjKI/edit?usp=share_link"",""อุบลราชธานี!J652"")
"),4855.32749999999)</f>
        <v>4855.3274999999903</v>
      </c>
      <c r="K652" s="507">
        <f t="shared" si="308"/>
        <v>0</v>
      </c>
      <c r="L652" s="385"/>
      <c r="M652" s="385"/>
      <c r="N652" s="385"/>
      <c r="O652" s="385"/>
      <c r="P652" s="385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</row>
    <row r="653" spans="1:26" ht="19.5">
      <c r="A653" s="750">
        <v>8</v>
      </c>
      <c r="B653" s="737" t="s">
        <v>279</v>
      </c>
      <c r="C653" s="738"/>
      <c r="D653" s="738"/>
      <c r="E653" s="738"/>
      <c r="F653" s="738"/>
      <c r="G653" s="739"/>
      <c r="H653" s="739"/>
      <c r="I653" s="751"/>
      <c r="J653" s="751"/>
      <c r="K653" s="743"/>
      <c r="L653" s="743"/>
      <c r="M653" s="743"/>
      <c r="N653" s="743"/>
      <c r="O653" s="743"/>
      <c r="P653" s="743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</row>
    <row r="654" spans="1:26" ht="19.5">
      <c r="A654" s="673"/>
      <c r="B654" s="672" t="s">
        <v>280</v>
      </c>
      <c r="C654" s="673"/>
      <c r="D654" s="673"/>
      <c r="E654" s="673"/>
      <c r="F654" s="673"/>
      <c r="G654" s="674"/>
      <c r="H654" s="707" t="s">
        <v>46</v>
      </c>
      <c r="I654" s="676">
        <f t="shared" ref="I654:J654" ca="1" si="309">I669</f>
        <v>1370</v>
      </c>
      <c r="J654" s="676">
        <f t="shared" ca="1" si="309"/>
        <v>251</v>
      </c>
      <c r="K654" s="677">
        <f ca="1">IF(I654&gt;0,J654*100/I654,0)</f>
        <v>18.321167883211679</v>
      </c>
      <c r="L654" s="678"/>
      <c r="M654" s="678"/>
      <c r="N654" s="678"/>
      <c r="O654" s="678"/>
      <c r="P654" s="6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</row>
    <row r="655" spans="1:26" ht="19.5">
      <c r="A655" s="597"/>
      <c r="B655" s="576"/>
      <c r="C655" s="576" t="s">
        <v>16</v>
      </c>
      <c r="D655" s="863" t="s">
        <v>17</v>
      </c>
      <c r="E655" s="857"/>
      <c r="F655" s="857"/>
      <c r="G655" s="189"/>
      <c r="H655" s="598" t="s">
        <v>12</v>
      </c>
      <c r="I655" s="37"/>
      <c r="J655" s="37"/>
      <c r="K655" s="38"/>
      <c r="L655" s="195">
        <f t="shared" ref="L655:N655" ca="1" si="310">L656+L657</f>
        <v>194200</v>
      </c>
      <c r="M655" s="195">
        <f t="shared" ca="1" si="310"/>
        <v>236329</v>
      </c>
      <c r="N655" s="195">
        <f t="shared" ca="1" si="310"/>
        <v>236329</v>
      </c>
      <c r="O655" s="195">
        <f t="shared" ref="O655:O660" ca="1" si="311">IF(L655&gt;0,N655*100/L655,0)</f>
        <v>121.69361483007209</v>
      </c>
      <c r="P655" s="195">
        <f t="shared" ref="P655:P660" ca="1" si="312">IF(M655&gt;0,N655*100/M655,0)</f>
        <v>100</v>
      </c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</row>
    <row r="656" spans="1:26" ht="18.75" hidden="1">
      <c r="A656" s="599"/>
      <c r="B656" s="600"/>
      <c r="C656" s="600"/>
      <c r="D656" s="601"/>
      <c r="E656" s="602" t="s">
        <v>185</v>
      </c>
      <c r="F656" s="600"/>
      <c r="G656" s="603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604"/>
      <c r="R656" s="604"/>
      <c r="S656" s="604"/>
      <c r="T656" s="604"/>
      <c r="U656" s="604"/>
      <c r="V656" s="604"/>
      <c r="W656" s="604"/>
      <c r="X656" s="604"/>
      <c r="Y656" s="604"/>
      <c r="Z656" s="604"/>
    </row>
    <row r="657" spans="1:26" ht="18.75" hidden="1">
      <c r="A657" s="599"/>
      <c r="B657" s="605"/>
      <c r="C657" s="600"/>
      <c r="D657" s="601"/>
      <c r="E657" s="602" t="s">
        <v>186</v>
      </c>
      <c r="F657" s="600"/>
      <c r="G657" s="603"/>
      <c r="H657" s="165" t="s">
        <v>12</v>
      </c>
      <c r="I657" s="44"/>
      <c r="J657" s="44"/>
      <c r="K657" s="45"/>
      <c r="L657" s="45">
        <f t="shared" ref="L657:N657" ca="1" si="314">L660+L667</f>
        <v>194200</v>
      </c>
      <c r="M657" s="45">
        <f t="shared" ca="1" si="314"/>
        <v>236329</v>
      </c>
      <c r="N657" s="45">
        <f t="shared" ca="1" si="314"/>
        <v>236329</v>
      </c>
      <c r="O657" s="45">
        <f t="shared" ca="1" si="311"/>
        <v>121.69361483007209</v>
      </c>
      <c r="P657" s="45">
        <f t="shared" ca="1" si="312"/>
        <v>100</v>
      </c>
      <c r="Q657" s="604"/>
      <c r="R657" s="604"/>
      <c r="S657" s="604"/>
      <c r="T657" s="604"/>
      <c r="U657" s="604"/>
      <c r="V657" s="604"/>
      <c r="W657" s="604"/>
      <c r="X657" s="604"/>
      <c r="Y657" s="604"/>
      <c r="Z657" s="604"/>
    </row>
    <row r="658" spans="1:26" ht="18.75">
      <c r="A658" s="597"/>
      <c r="B658" s="575"/>
      <c r="C658" s="576"/>
      <c r="D658" s="606" t="s">
        <v>20</v>
      </c>
      <c r="E658" s="576"/>
      <c r="F658" s="576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194200</v>
      </c>
      <c r="M658" s="38">
        <f t="shared" ca="1" si="315"/>
        <v>236329</v>
      </c>
      <c r="N658" s="38">
        <f t="shared" ca="1" si="315"/>
        <v>236329</v>
      </c>
      <c r="O658" s="38">
        <f t="shared" ca="1" si="311"/>
        <v>121.69361483007209</v>
      </c>
      <c r="P658" s="38">
        <f t="shared" ca="1" si="312"/>
        <v>100</v>
      </c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</row>
    <row r="659" spans="1:26" ht="18.75" hidden="1">
      <c r="A659" s="599"/>
      <c r="B659" s="605"/>
      <c r="C659" s="600"/>
      <c r="D659" s="601"/>
      <c r="E659" s="602" t="s">
        <v>185</v>
      </c>
      <c r="F659" s="600"/>
      <c r="G659" s="603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604"/>
      <c r="R659" s="604"/>
      <c r="S659" s="604"/>
      <c r="T659" s="604"/>
      <c r="U659" s="604"/>
      <c r="V659" s="604"/>
      <c r="W659" s="604"/>
      <c r="X659" s="604"/>
      <c r="Y659" s="604"/>
      <c r="Z659" s="604"/>
    </row>
    <row r="660" spans="1:26" ht="18.75" hidden="1">
      <c r="A660" s="599"/>
      <c r="B660" s="605"/>
      <c r="C660" s="600"/>
      <c r="D660" s="601"/>
      <c r="E660" s="602" t="s">
        <v>186</v>
      </c>
      <c r="F660" s="600"/>
      <c r="G660" s="603"/>
      <c r="H660" s="165" t="s">
        <v>12</v>
      </c>
      <c r="I660" s="44"/>
      <c r="J660" s="44"/>
      <c r="K660" s="45"/>
      <c r="L660" s="45">
        <f ca="1">IFERROR(__xludf.DUMMYFUNCTION("IMPORTRANGE(""https://docs.google.com/spreadsheets/d/1fb2B9NLcpJgjIieIJvenUTNPn0TimZDUi0OtYeiSQ_s/edit?usp=share_link"",""กาฬสินธุ์!L660"")+IMPORTRANGE(""https://docs.google.com/spreadsheets/d/1SaMnqrwRGmFYNR0MhpWmHuL5niYUd5E7vDq8X7whAlI/edit?usp=share_li"&amp;"nk"",""ขอนแก่น!L660"")
+IMPORTRANGE(""https://docs.google.com/spreadsheets/d/1xQzEtGHhTTgxHh6YUkKY1P4dRyjVhS74dGswLfAASA4/edit?usp=share_link"",""ชัยภูมิ!L660"")+IMPORTRANGE(""https://docs.google.com/spreadsheets/d/1EXMBoBxU3OFbjT2TRpneM33qFjqDzrKmn9ydcfl"&amp;"fI0o/edit?usp=share_link"",""นครพนม!L660"")+IMPORTRANGE(""https://docs.google.com/spreadsheets/d/1bDQrolntRWtHumK8W-x-HXKntwxB9S3sF5aDeRS66Ko/edit?usp=share_link"",""นครราชสีมา!L660"")+IMPORTRANGE(""https://docs.google.com/spreadsheets/d/1_MzZ-2gVPiCW-d2V"&amp;"cafoCmFJQTSrZ6SQyFcMqRRQQ2w/edit?usp=share_link"",""บึงกาฬ!L660"")
+IMPORTRANGE(""https://docs.google.com/spreadsheets/d/1B3lPpzOuaNwVItLwLEZYl_qEblfcx7dRnbRkAw0l-pE/edit?usp=share_link"",""บุรีรัมย์!L660"")+IMPORTRANGE(""https://docs.google.com/spreadshe"&amp;"ets/d/19GOkiOqnzYbevLYWrMk4qFOXe3rX14BkSA8X-mq-a40/edit?usp=share_link"",""มหาสารคาม!L660"")+IMPORTRANGE(""https://docs.google.com/spreadsheets/d/1uMKqWwuNQ-TCKboGA3Bb1qXb5uj2-faACNUINCz8PN4/edit?usp=share_link"",""มุกดาหาร!L660"")+IMPORTRANGE(""https://d"&amp;"ocs.google.com/spreadsheets/d/1oKaccgDdQABndOzGr688Dbfxb_V3YcF67VqEPBtdzsc/edit?usp=share_link"",""ยโสธร!L660"")+IMPORTRANGE(""https://docs.google.com/spreadsheets/d/1BRgc8xKpxZ0PX-gauieMVkV_IOxKSotf0yW8MabGprQ/edit?usp=share_link"",""ร้อยเอ็ด!L660"")+IMP"&amp;"ORTRANGE(""https://docs.google.com/spreadsheets/d/1IdolZc-dfdgMwAm_KZxYJl1sUOcIgnbGQzbWOlddedo/edit?usp=share_link"",""เลย!L660"")+IMPORTRANGE(""https://docs.google.com/spreadsheets/d/1tZ0nmtGuIRCaGAMXHlQU8EpR9LOAJvyKfc4f7EFmE34/edit?usp=share_link"",""ศร"&amp;"ีสะเกษ!L660"")+IMPORTRANGE(""https://docs.google.com/spreadsheets/d/1QC8psz9w0f9IVE9Xuc2FT_btkaOzZbbUSgYObpBuetM/edit?usp=share_link"",""สกลนคร!L660"")+IMPORTRANGE(""https://docs.google.com/spreadsheets/d/1wPdvRbu02d33MYVlbsCnyTiZpefEBs9NNktAnT1HZvw/edit?"&amp;"usp=share_link"",""สุรินทร์!L660"")+IMPORTRANGE(""https://docs.google.com/spreadsheets/d/1GVExpf-Exi_2gmuqTYH28fseTB9MoKPXWcXCbSt_YrM/edit?usp=share_link"",""หนองคาย!L660"")+IMPORTRANGE(""https://docs.google.com/spreadsheets/d/16UeMz0UgOB5BZcoxP75eYGcLFtG"&amp;"YRn9GoesD4OX9m5U/edit?usp=share_link"",""หนองบัวลำภู!L660"")+IMPORTRANGE(""https://docs.google.com/spreadsheets/d/1uUP8Zo1-qaJLuIkRU0qlwLSE3DHkbdrrj2JGJiWBQZE/edit?usp=share_link"",""อำนาจเจริญ!L660"")+IMPORTRANGE(""https://docs.google.com/spreadsheets/d/"&amp;"1hb_taSOHanzRjqfzWPiFo8yiT83VV1L7vvUCLhOiHKc/edit?usp=share_link"",""อุดรธานี!L660"")+IMPORTRANGE(""https://docs.google.com/spreadsheets/d/17IOkEwkUd63EGNfyNDnM5de9YlZ7rwzTiW6-dokVjKI/edit?usp=share_link"",""อุบลราชธานี!L660"")
"),194200)</f>
        <v>194200</v>
      </c>
      <c r="M660" s="93">
        <f ca="1">IFERROR(__xludf.DUMMYFUNCTION("IMPORTRANGE(""https://docs.google.com/spreadsheets/d/1fb2B9NLcpJgjIieIJvenUTNPn0TimZDUi0OtYeiSQ_s/edit?usp=share_link"",""กาฬสินธุ์!M660"")+IMPORTRANGE(""https://docs.google.com/spreadsheets/d/1SaMnqrwRGmFYNR0MhpWmHuL5niYUd5E7vDq8X7whAlI/edit?usp=share_li"&amp;"nk"",""ขอนแก่น!M660"")
+IMPORTRANGE(""https://docs.google.com/spreadsheets/d/1xQzEtGHhTTgxHh6YUkKY1P4dRyjVhS74dGswLfAASA4/edit?usp=share_link"",""ชัยภูมิ!M660"")+IMPORTRANGE(""https://docs.google.com/spreadsheets/d/1EXMBoBxU3OFbjT2TRpneM33qFjqDzrKmn9ydcfl"&amp;"fI0o/edit?usp=share_link"",""นครพนม!M660"")+IMPORTRANGE(""https://docs.google.com/spreadsheets/d/1bDQrolntRWtHumK8W-x-HXKntwxB9S3sF5aDeRS66Ko/edit?usp=share_link"",""นครราชสีมา!M660"")+IMPORTRANGE(""https://docs.google.com/spreadsheets/d/1_MzZ-2gVPiCW-d2V"&amp;"cafoCmFJQTSrZ6SQyFcMqRRQQ2w/edit?usp=share_link"",""บึงกาฬ!M660"")
+IMPORTRANGE(""https://docs.google.com/spreadsheets/d/1B3lPpzOuaNwVItLwLEZYl_qEblfcx7dRnbRkAw0l-pE/edit?usp=share_link"",""บุรีรัมย์!M660"")+IMPORTRANGE(""https://docs.google.com/spreadshe"&amp;"ets/d/19GOkiOqnzYbevLYWrMk4qFOXe3rX14BkSA8X-mq-a40/edit?usp=share_link"",""มหาสารคาม!M660"")+IMPORTRANGE(""https://docs.google.com/spreadsheets/d/1uMKqWwuNQ-TCKboGA3Bb1qXb5uj2-faACNUINCz8PN4/edit?usp=share_link"",""มุกดาหาร!M660"")+IMPORTRANGE(""https://d"&amp;"ocs.google.com/spreadsheets/d/1oKaccgDdQABndOzGr688Dbfxb_V3YcF67VqEPBtdzsc/edit?usp=share_link"",""ยโสธร!M660"")+IMPORTRANGE(""https://docs.google.com/spreadsheets/d/1BRgc8xKpxZ0PX-gauieMVkV_IOxKSotf0yW8MabGprQ/edit?usp=share_link"",""ร้อยเอ็ด!M660"")+IMP"&amp;"ORTRANGE(""https://docs.google.com/spreadsheets/d/1IdolZc-dfdgMwAm_KZxYJl1sUOcIgnbGQzbWOlddedo/edit?usp=share_link"",""เลย!M660"")+IMPORTRANGE(""https://docs.google.com/spreadsheets/d/1tZ0nmtGuIRCaGAMXHlQU8EpR9LOAJvyKfc4f7EFmE34/edit?usp=share_link"",""ศร"&amp;"ีสะเกษ!M660"")+IMPORTRANGE(""https://docs.google.com/spreadsheets/d/1QC8psz9w0f9IVE9Xuc2FT_btkaOzZbbUSgYObpBuetM/edit?usp=share_link"",""สกลนคร!M660"")+IMPORTRANGE(""https://docs.google.com/spreadsheets/d/1wPdvRbu02d33MYVlbsCnyTiZpefEBs9NNktAnT1HZvw/edit?"&amp;"usp=share_link"",""สุรินทร์!M660"")+IMPORTRANGE(""https://docs.google.com/spreadsheets/d/1GVExpf-Exi_2gmuqTYH28fseTB9MoKPXWcXCbSt_YrM/edit?usp=share_link"",""หนองคาย!M660"")+IMPORTRANGE(""https://docs.google.com/spreadsheets/d/16UeMz0UgOB5BZcoxP75eYGcLFtG"&amp;"YRn9GoesD4OX9m5U/edit?usp=share_link"",""หนองบัวลำภู!M660"")+IMPORTRANGE(""https://docs.google.com/spreadsheets/d/1uUP8Zo1-qaJLuIkRU0qlwLSE3DHkbdrrj2JGJiWBQZE/edit?usp=share_link"",""อำนาจเจริญ!M660"")+IMPORTRANGE(""https://docs.google.com/spreadsheets/d/"&amp;"1hb_taSOHanzRjqfzWPiFo8yiT83VV1L7vvUCLhOiHKc/edit?usp=share_link"",""อุดรธานี!M660"")+IMPORTRANGE(""https://docs.google.com/spreadsheets/d/17IOkEwkUd63EGNfyNDnM5de9YlZ7rwzTiW6-dokVjKI/edit?usp=share_link"",""อุบลราชธานี!M660"")
"),236329)</f>
        <v>236329</v>
      </c>
      <c r="N660" s="45">
        <f ca="1">N661+N662+N663+N664</f>
        <v>236329</v>
      </c>
      <c r="O660" s="45">
        <f t="shared" ca="1" si="311"/>
        <v>121.69361483007209</v>
      </c>
      <c r="P660" s="45">
        <f t="shared" ca="1" si="312"/>
        <v>100</v>
      </c>
      <c r="Q660" s="604"/>
      <c r="R660" s="604"/>
      <c r="S660" s="604"/>
      <c r="T660" s="604"/>
      <c r="U660" s="604"/>
      <c r="V660" s="604"/>
      <c r="W660" s="604"/>
      <c r="X660" s="604"/>
      <c r="Y660" s="604"/>
      <c r="Z660" s="604"/>
    </row>
    <row r="661" spans="1:26" ht="18.75">
      <c r="A661" s="574"/>
      <c r="B661" s="575"/>
      <c r="C661" s="576"/>
      <c r="D661" s="576"/>
      <c r="E661" s="576"/>
      <c r="F661" s="577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fb2B9NLcpJgjIieIJvenUTNPn0TimZDUi0OtYeiSQ_s/edit?usp=share_link"",""กาฬสินธุ์!N661"")+IMPORTRANGE(""https://docs.google.com/spreadsheets/d/1SaMnqrwRGmFYNR0MhpWmHuL5niYUd5E7vDq8X7whAlI/edit?usp=share_li"&amp;"nk"",""ขอนแก่น!N661"")
+IMPORTRANGE(""https://docs.google.com/spreadsheets/d/1xQzEtGHhTTgxHh6YUkKY1P4dRyjVhS74dGswLfAASA4/edit?usp=share_link"",""ชัยภูมิ!N661"")+IMPORTRANGE(""https://docs.google.com/spreadsheets/d/1EXMBoBxU3OFbjT2TRpneM33qFjqDzrKmn9ydcfl"&amp;"fI0o/edit?usp=share_link"",""นครพนม!N661"")+IMPORTRANGE(""https://docs.google.com/spreadsheets/d/1bDQrolntRWtHumK8W-x-HXKntwxB9S3sF5aDeRS66Ko/edit?usp=share_link"",""นครราชสีมา!N661"")+IMPORTRANGE(""https://docs.google.com/spreadsheets/d/1_MzZ-2gVPiCW-d2V"&amp;"cafoCmFJQTSrZ6SQyFcMqRRQQ2w/edit?usp=share_link"",""บึงกาฬ!N661"")
+IMPORTRANGE(""https://docs.google.com/spreadsheets/d/1B3lPpzOuaNwVItLwLEZYl_qEblfcx7dRnbRkAw0l-pE/edit?usp=share_link"",""บุรีรัมย์!N661"")+IMPORTRANGE(""https://docs.google.com/spreadshe"&amp;"ets/d/19GOkiOqnzYbevLYWrMk4qFOXe3rX14BkSA8X-mq-a40/edit?usp=share_link"",""มหาสารคาม!N661"")+IMPORTRANGE(""https://docs.google.com/spreadsheets/d/1uMKqWwuNQ-TCKboGA3Bb1qXb5uj2-faACNUINCz8PN4/edit?usp=share_link"",""มุกดาหาร!N661"")+IMPORTRANGE(""https://d"&amp;"ocs.google.com/spreadsheets/d/1oKaccgDdQABndOzGr688Dbfxb_V3YcF67VqEPBtdzsc/edit?usp=share_link"",""ยโสธร!N661"")+IMPORTRANGE(""https://docs.google.com/spreadsheets/d/1BRgc8xKpxZ0PX-gauieMVkV_IOxKSotf0yW8MabGprQ/edit?usp=share_link"",""ร้อยเอ็ด!N661"")+IMP"&amp;"ORTRANGE(""https://docs.google.com/spreadsheets/d/1IdolZc-dfdgMwAm_KZxYJl1sUOcIgnbGQzbWOlddedo/edit?usp=share_link"",""เลย!N661"")+IMPORTRANGE(""https://docs.google.com/spreadsheets/d/1tZ0nmtGuIRCaGAMXHlQU8EpR9LOAJvyKfc4f7EFmE34/edit?usp=share_link"",""ศร"&amp;"ีสะเกษ!N661"")+IMPORTRANGE(""https://docs.google.com/spreadsheets/d/1QC8psz9w0f9IVE9Xuc2FT_btkaOzZbbUSgYObpBuetM/edit?usp=share_link"",""สกลนคร!N661"")+IMPORTRANGE(""https://docs.google.com/spreadsheets/d/1wPdvRbu02d33MYVlbsCnyTiZpefEBs9NNktAnT1HZvw/edit?"&amp;"usp=share_link"",""สุรินทร์!N661"")+IMPORTRANGE(""https://docs.google.com/spreadsheets/d/1GVExpf-Exi_2gmuqTYH28fseTB9MoKPXWcXCbSt_YrM/edit?usp=share_link"",""หนองคาย!N661"")+IMPORTRANGE(""https://docs.google.com/spreadsheets/d/16UeMz0UgOB5BZcoxP75eYGcLFtG"&amp;"YRn9GoesD4OX9m5U/edit?usp=share_link"",""หนองบัวลำภู!N661"")+IMPORTRANGE(""https://docs.google.com/spreadsheets/d/1uUP8Zo1-qaJLuIkRU0qlwLSE3DHkbdrrj2JGJiWBQZE/edit?usp=share_link"",""อำนาจเจริญ!N661"")+IMPORTRANGE(""https://docs.google.com/spreadsheets/d/"&amp;"1hb_taSOHanzRjqfzWPiFo8yiT83VV1L7vvUCLhOiHKc/edit?usp=share_link"",""อุดรธานี!N661"")+IMPORTRANGE(""https://docs.google.com/spreadsheets/d/17IOkEwkUd63EGNfyNDnM5de9YlZ7rwzTiW6-dokVjKI/edit?usp=share_link"",""อุบลราชธานี!N661"")
"),0)</f>
        <v>0</v>
      </c>
      <c r="O661" s="38"/>
      <c r="P661" s="3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</row>
    <row r="662" spans="1:26" ht="18.75">
      <c r="A662" s="574"/>
      <c r="B662" s="575"/>
      <c r="C662" s="576"/>
      <c r="D662" s="576"/>
      <c r="E662" s="576"/>
      <c r="F662" s="577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fb2B9NLcpJgjIieIJvenUTNPn0TimZDUi0OtYeiSQ_s/edit?usp=share_link"",""กาฬสินธุ์!N662"")+IMPORTRANGE(""https://docs.google.com/spreadsheets/d/1SaMnqrwRGmFYNR0MhpWmHuL5niYUd5E7vDq8X7whAlI/edit?usp=share_li"&amp;"nk"",""ขอนแก่น!N662"")
+IMPORTRANGE(""https://docs.google.com/spreadsheets/d/1xQzEtGHhTTgxHh6YUkKY1P4dRyjVhS74dGswLfAASA4/edit?usp=share_link"",""ชัยภูมิ!N662"")+IMPORTRANGE(""https://docs.google.com/spreadsheets/d/1EXMBoBxU3OFbjT2TRpneM33qFjqDzrKmn9ydcfl"&amp;"fI0o/edit?usp=share_link"",""นครพนม!N662"")+IMPORTRANGE(""https://docs.google.com/spreadsheets/d/1bDQrolntRWtHumK8W-x-HXKntwxB9S3sF5aDeRS66Ko/edit?usp=share_link"",""นครราชสีมา!N662"")+IMPORTRANGE(""https://docs.google.com/spreadsheets/d/1_MzZ-2gVPiCW-d2V"&amp;"cafoCmFJQTSrZ6SQyFcMqRRQQ2w/edit?usp=share_link"",""บึงกาฬ!N662"")
+IMPORTRANGE(""https://docs.google.com/spreadsheets/d/1B3lPpzOuaNwVItLwLEZYl_qEblfcx7dRnbRkAw0l-pE/edit?usp=share_link"",""บุรีรัมย์!N662"")+IMPORTRANGE(""https://docs.google.com/spreadshe"&amp;"ets/d/19GOkiOqnzYbevLYWrMk4qFOXe3rX14BkSA8X-mq-a40/edit?usp=share_link"",""มหาสารคาม!N662"")+IMPORTRANGE(""https://docs.google.com/spreadsheets/d/1uMKqWwuNQ-TCKboGA3Bb1qXb5uj2-faACNUINCz8PN4/edit?usp=share_link"",""มุกดาหาร!N662"")+IMPORTRANGE(""https://d"&amp;"ocs.google.com/spreadsheets/d/1oKaccgDdQABndOzGr688Dbfxb_V3YcF67VqEPBtdzsc/edit?usp=share_link"",""ยโสธร!N662"")+IMPORTRANGE(""https://docs.google.com/spreadsheets/d/1BRgc8xKpxZ0PX-gauieMVkV_IOxKSotf0yW8MabGprQ/edit?usp=share_link"",""ร้อยเอ็ด!N662"")+IMP"&amp;"ORTRANGE(""https://docs.google.com/spreadsheets/d/1IdolZc-dfdgMwAm_KZxYJl1sUOcIgnbGQzbWOlddedo/edit?usp=share_link"",""เลย!N662"")+IMPORTRANGE(""https://docs.google.com/spreadsheets/d/1tZ0nmtGuIRCaGAMXHlQU8EpR9LOAJvyKfc4f7EFmE34/edit?usp=share_link"",""ศร"&amp;"ีสะเกษ!N662"")+IMPORTRANGE(""https://docs.google.com/spreadsheets/d/1QC8psz9w0f9IVE9Xuc2FT_btkaOzZbbUSgYObpBuetM/edit?usp=share_link"",""สกลนคร!N662"")+IMPORTRANGE(""https://docs.google.com/spreadsheets/d/1wPdvRbu02d33MYVlbsCnyTiZpefEBs9NNktAnT1HZvw/edit?"&amp;"usp=share_link"",""สุรินทร์!N662"")+IMPORTRANGE(""https://docs.google.com/spreadsheets/d/1GVExpf-Exi_2gmuqTYH28fseTB9MoKPXWcXCbSt_YrM/edit?usp=share_link"",""หนองคาย!N662"")+IMPORTRANGE(""https://docs.google.com/spreadsheets/d/16UeMz0UgOB5BZcoxP75eYGcLFtG"&amp;"YRn9GoesD4OX9m5U/edit?usp=share_link"",""หนองบัวลำภู!N662"")+IMPORTRANGE(""https://docs.google.com/spreadsheets/d/1uUP8Zo1-qaJLuIkRU0qlwLSE3DHkbdrrj2JGJiWBQZE/edit?usp=share_link"",""อำนาจเจริญ!N662"")+IMPORTRANGE(""https://docs.google.com/spreadsheets/d/"&amp;"1hb_taSOHanzRjqfzWPiFo8yiT83VV1L7vvUCLhOiHKc/edit?usp=share_link"",""อุดรธานี!N662"")+IMPORTRANGE(""https://docs.google.com/spreadsheets/d/17IOkEwkUd63EGNfyNDnM5de9YlZ7rwzTiW6-dokVjKI/edit?usp=share_link"",""อุบลราชธานี!N662"")
"),10650)</f>
        <v>10650</v>
      </c>
      <c r="O662" s="38"/>
      <c r="P662" s="3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</row>
    <row r="663" spans="1:26" ht="18.75">
      <c r="A663" s="574"/>
      <c r="B663" s="575"/>
      <c r="C663" s="575"/>
      <c r="D663" s="576"/>
      <c r="E663" s="576"/>
      <c r="F663" s="577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fb2B9NLcpJgjIieIJvenUTNPn0TimZDUi0OtYeiSQ_s/edit?usp=share_link"",""กาฬสินธุ์!N663"")+IMPORTRANGE(""https://docs.google.com/spreadsheets/d/1SaMnqrwRGmFYNR0MhpWmHuL5niYUd5E7vDq8X7whAlI/edit?usp=share_li"&amp;"nk"",""ขอนแก่น!N663"")
+IMPORTRANGE(""https://docs.google.com/spreadsheets/d/1xQzEtGHhTTgxHh6YUkKY1P4dRyjVhS74dGswLfAASA4/edit?usp=share_link"",""ชัยภูมิ!N663"")+IMPORTRANGE(""https://docs.google.com/spreadsheets/d/1EXMBoBxU3OFbjT2TRpneM33qFjqDzrKmn9ydcfl"&amp;"fI0o/edit?usp=share_link"",""นครพนม!N663"")+IMPORTRANGE(""https://docs.google.com/spreadsheets/d/1bDQrolntRWtHumK8W-x-HXKntwxB9S3sF5aDeRS66Ko/edit?usp=share_link"",""นครราชสีมา!N663"")+IMPORTRANGE(""https://docs.google.com/spreadsheets/d/1_MzZ-2gVPiCW-d2V"&amp;"cafoCmFJQTSrZ6SQyFcMqRRQQ2w/edit?usp=share_link"",""บึงกาฬ!N663"")
+IMPORTRANGE(""https://docs.google.com/spreadsheets/d/1B3lPpzOuaNwVItLwLEZYl_qEblfcx7dRnbRkAw0l-pE/edit?usp=share_link"",""บุรีรัมย์!N663"")+IMPORTRANGE(""https://docs.google.com/spreadshe"&amp;"ets/d/19GOkiOqnzYbevLYWrMk4qFOXe3rX14BkSA8X-mq-a40/edit?usp=share_link"",""มหาสารคาม!N663"")+IMPORTRANGE(""https://docs.google.com/spreadsheets/d/1uMKqWwuNQ-TCKboGA3Bb1qXb5uj2-faACNUINCz8PN4/edit?usp=share_link"",""มุกดาหาร!N663"")+IMPORTRANGE(""https://d"&amp;"ocs.google.com/spreadsheets/d/1oKaccgDdQABndOzGr688Dbfxb_V3YcF67VqEPBtdzsc/edit?usp=share_link"",""ยโสธร!N663"")+IMPORTRANGE(""https://docs.google.com/spreadsheets/d/1BRgc8xKpxZ0PX-gauieMVkV_IOxKSotf0yW8MabGprQ/edit?usp=share_link"",""ร้อยเอ็ด!N663"")+IMP"&amp;"ORTRANGE(""https://docs.google.com/spreadsheets/d/1IdolZc-dfdgMwAm_KZxYJl1sUOcIgnbGQzbWOlddedo/edit?usp=share_link"",""เลย!N663"")+IMPORTRANGE(""https://docs.google.com/spreadsheets/d/1tZ0nmtGuIRCaGAMXHlQU8EpR9LOAJvyKfc4f7EFmE34/edit?usp=share_link"",""ศร"&amp;"ีสะเกษ!N663"")+IMPORTRANGE(""https://docs.google.com/spreadsheets/d/1QC8psz9w0f9IVE9Xuc2FT_btkaOzZbbUSgYObpBuetM/edit?usp=share_link"",""สกลนคร!N663"")+IMPORTRANGE(""https://docs.google.com/spreadsheets/d/1wPdvRbu02d33MYVlbsCnyTiZpefEBs9NNktAnT1HZvw/edit?"&amp;"usp=share_link"",""สุรินทร์!N663"")+IMPORTRANGE(""https://docs.google.com/spreadsheets/d/1GVExpf-Exi_2gmuqTYH28fseTB9MoKPXWcXCbSt_YrM/edit?usp=share_link"",""หนองคาย!N663"")+IMPORTRANGE(""https://docs.google.com/spreadsheets/d/16UeMz0UgOB5BZcoxP75eYGcLFtG"&amp;"YRn9GoesD4OX9m5U/edit?usp=share_link"",""หนองบัวลำภู!N663"")+IMPORTRANGE(""https://docs.google.com/spreadsheets/d/1uUP8Zo1-qaJLuIkRU0qlwLSE3DHkbdrrj2JGJiWBQZE/edit?usp=share_link"",""อำนาจเจริญ!N663"")+IMPORTRANGE(""https://docs.google.com/spreadsheets/d/"&amp;"1hb_taSOHanzRjqfzWPiFo8yiT83VV1L7vvUCLhOiHKc/edit?usp=share_link"",""อุดรธานี!N663"")+IMPORTRANGE(""https://docs.google.com/spreadsheets/d/17IOkEwkUd63EGNfyNDnM5de9YlZ7rwzTiW6-dokVjKI/edit?usp=share_link"",""อุบลราชธานี!N663"")
"),3000)</f>
        <v>3000</v>
      </c>
      <c r="O663" s="38"/>
      <c r="P663" s="3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</row>
    <row r="664" spans="1:26" ht="18.75">
      <c r="A664" s="574"/>
      <c r="B664" s="575"/>
      <c r="C664" s="575"/>
      <c r="D664" s="575"/>
      <c r="E664" s="576"/>
      <c r="F664" s="577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fb2B9NLcpJgjIieIJvenUTNPn0TimZDUi0OtYeiSQ_s/edit?usp=share_link"",""กาฬสินธุ์!N664"")+IMPORTRANGE(""https://docs.google.com/spreadsheets/d/1SaMnqrwRGmFYNR0MhpWmHuL5niYUd5E7vDq8X7whAlI/edit?usp=share_li"&amp;"nk"",""ขอนแก่น!N664"")
+IMPORTRANGE(""https://docs.google.com/spreadsheets/d/1xQzEtGHhTTgxHh6YUkKY1P4dRyjVhS74dGswLfAASA4/edit?usp=share_link"",""ชัยภูมิ!N664"")+IMPORTRANGE(""https://docs.google.com/spreadsheets/d/1EXMBoBxU3OFbjT2TRpneM33qFjqDzrKmn9ydcfl"&amp;"fI0o/edit?usp=share_link"",""นครพนม!N664"")+IMPORTRANGE(""https://docs.google.com/spreadsheets/d/1bDQrolntRWtHumK8W-x-HXKntwxB9S3sF5aDeRS66Ko/edit?usp=share_link"",""นครราชสีมา!N664"")+IMPORTRANGE(""https://docs.google.com/spreadsheets/d/1_MzZ-2gVPiCW-d2V"&amp;"cafoCmFJQTSrZ6SQyFcMqRRQQ2w/edit?usp=share_link"",""บึงกาฬ!N664"")
+IMPORTRANGE(""https://docs.google.com/spreadsheets/d/1B3lPpzOuaNwVItLwLEZYl_qEblfcx7dRnbRkAw0l-pE/edit?usp=share_link"",""บุรีรัมย์!N664"")+IMPORTRANGE(""https://docs.google.com/spreadshe"&amp;"ets/d/19GOkiOqnzYbevLYWrMk4qFOXe3rX14BkSA8X-mq-a40/edit?usp=share_link"",""มหาสารคาม!N664"")+IMPORTRANGE(""https://docs.google.com/spreadsheets/d/1uMKqWwuNQ-TCKboGA3Bb1qXb5uj2-faACNUINCz8PN4/edit?usp=share_link"",""มุกดาหาร!N664"")+IMPORTRANGE(""https://d"&amp;"ocs.google.com/spreadsheets/d/1oKaccgDdQABndOzGr688Dbfxb_V3YcF67VqEPBtdzsc/edit?usp=share_link"",""ยโสธร!N664"")+IMPORTRANGE(""https://docs.google.com/spreadsheets/d/1BRgc8xKpxZ0PX-gauieMVkV_IOxKSotf0yW8MabGprQ/edit?usp=share_link"",""ร้อยเอ็ด!N664"")+IMP"&amp;"ORTRANGE(""https://docs.google.com/spreadsheets/d/1IdolZc-dfdgMwAm_KZxYJl1sUOcIgnbGQzbWOlddedo/edit?usp=share_link"",""เลย!N664"")+IMPORTRANGE(""https://docs.google.com/spreadsheets/d/1tZ0nmtGuIRCaGAMXHlQU8EpR9LOAJvyKfc4f7EFmE34/edit?usp=share_link"",""ศร"&amp;"ีสะเกษ!N664"")+IMPORTRANGE(""https://docs.google.com/spreadsheets/d/1QC8psz9w0f9IVE9Xuc2FT_btkaOzZbbUSgYObpBuetM/edit?usp=share_link"",""สกลนคร!N664"")+IMPORTRANGE(""https://docs.google.com/spreadsheets/d/1wPdvRbu02d33MYVlbsCnyTiZpefEBs9NNktAnT1HZvw/edit?"&amp;"usp=share_link"",""สุรินทร์!N664"")+IMPORTRANGE(""https://docs.google.com/spreadsheets/d/1GVExpf-Exi_2gmuqTYH28fseTB9MoKPXWcXCbSt_YrM/edit?usp=share_link"",""หนองคาย!N664"")+IMPORTRANGE(""https://docs.google.com/spreadsheets/d/16UeMz0UgOB5BZcoxP75eYGcLFtG"&amp;"YRn9GoesD4OX9m5U/edit?usp=share_link"",""หนองบัวลำภู!N664"")+IMPORTRANGE(""https://docs.google.com/spreadsheets/d/1uUP8Zo1-qaJLuIkRU0qlwLSE3DHkbdrrj2JGJiWBQZE/edit?usp=share_link"",""อำนาจเจริญ!N664"")+IMPORTRANGE(""https://docs.google.com/spreadsheets/d/"&amp;"1hb_taSOHanzRjqfzWPiFo8yiT83VV1L7vvUCLhOiHKc/edit?usp=share_link"",""อุดรธานี!N664"")+IMPORTRANGE(""https://docs.google.com/spreadsheets/d/17IOkEwkUd63EGNfyNDnM5de9YlZ7rwzTiW6-dokVjKI/edit?usp=share_link"",""อุบลราชธานี!N664"")
"),222679)</f>
        <v>222679</v>
      </c>
      <c r="O664" s="38"/>
      <c r="P664" s="3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</row>
    <row r="665" spans="1:26" ht="18.75">
      <c r="A665" s="597"/>
      <c r="B665" s="575"/>
      <c r="C665" s="575"/>
      <c r="D665" s="606" t="s">
        <v>21</v>
      </c>
      <c r="E665" s="576"/>
      <c r="F665" s="576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</row>
    <row r="666" spans="1:26" ht="18.75" hidden="1">
      <c r="A666" s="599"/>
      <c r="B666" s="605"/>
      <c r="C666" s="605"/>
      <c r="D666" s="605"/>
      <c r="E666" s="602" t="s">
        <v>18</v>
      </c>
      <c r="F666" s="600"/>
      <c r="G666" s="603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604"/>
      <c r="R666" s="604"/>
      <c r="S666" s="604"/>
      <c r="T666" s="604"/>
      <c r="U666" s="604"/>
      <c r="V666" s="604"/>
      <c r="W666" s="604"/>
      <c r="X666" s="604"/>
      <c r="Y666" s="604"/>
      <c r="Z666" s="604"/>
    </row>
    <row r="667" spans="1:26" ht="18.75" hidden="1">
      <c r="A667" s="599"/>
      <c r="B667" s="605"/>
      <c r="C667" s="605"/>
      <c r="D667" s="605"/>
      <c r="E667" s="602" t="s">
        <v>19</v>
      </c>
      <c r="F667" s="600"/>
      <c r="G667" s="603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604"/>
      <c r="R667" s="604"/>
      <c r="S667" s="604"/>
      <c r="T667" s="604"/>
      <c r="U667" s="604"/>
      <c r="V667" s="604"/>
      <c r="W667" s="604"/>
      <c r="X667" s="604"/>
      <c r="Y667" s="604"/>
      <c r="Z667" s="604"/>
    </row>
    <row r="668" spans="1:26" ht="19.5">
      <c r="A668" s="608"/>
      <c r="B668" s="609"/>
      <c r="C668" s="575" t="s">
        <v>16</v>
      </c>
      <c r="D668" s="610" t="s">
        <v>38</v>
      </c>
      <c r="E668" s="612"/>
      <c r="F668" s="612"/>
      <c r="G668" s="613"/>
      <c r="H668" s="175"/>
      <c r="I668" s="162"/>
      <c r="J668" s="162"/>
      <c r="K668" s="163"/>
      <c r="L668" s="163"/>
      <c r="M668" s="163"/>
      <c r="N668" s="163"/>
      <c r="O668" s="163"/>
      <c r="P668" s="163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</row>
    <row r="669" spans="1:26" ht="19.5">
      <c r="A669" s="608"/>
      <c r="B669" s="609"/>
      <c r="C669" s="609"/>
      <c r="D669" s="618" t="s">
        <v>281</v>
      </c>
      <c r="E669" s="619"/>
      <c r="F669" s="619"/>
      <c r="G669" s="175"/>
      <c r="H669" s="752" t="s">
        <v>46</v>
      </c>
      <c r="I669" s="194">
        <f ca="1">IFERROR(__xludf.DUMMYFUNCTION("IMPORTRANGE(""https://docs.google.com/spreadsheets/d/1fb2B9NLcpJgjIieIJvenUTNPn0TimZDUi0OtYeiSQ_s/edit?usp=share_link"",""กาฬสินธุ์!I669"")+IMPORTRANGE(""https://docs.google.com/spreadsheets/d/1SaMnqrwRGmFYNR0MhpWmHuL5niYUd5E7vDq8X7whAlI/edit?usp=share_li"&amp;"nk"",""ขอนแก่น!I669"")
+IMPORTRANGE(""https://docs.google.com/spreadsheets/d/1xQzEtGHhTTgxHh6YUkKY1P4dRyjVhS74dGswLfAASA4/edit?usp=share_link"",""ชัยภูมิ!I669"")+IMPORTRANGE(""https://docs.google.com/spreadsheets/d/1EXMBoBxU3OFbjT2TRpneM33qFjqDzrKmn9ydcfl"&amp;"fI0o/edit?usp=share_link"",""นครพนม!I669"")+IMPORTRANGE(""https://docs.google.com/spreadsheets/d/1bDQrolntRWtHumK8W-x-HXKntwxB9S3sF5aDeRS66Ko/edit?usp=share_link"",""นครราชสีมา!I669"")+IMPORTRANGE(""https://docs.google.com/spreadsheets/d/1_MzZ-2gVPiCW-d2V"&amp;"cafoCmFJQTSrZ6SQyFcMqRRQQ2w/edit?usp=share_link"",""บึงกาฬ!I669"")
+IMPORTRANGE(""https://docs.google.com/spreadsheets/d/1B3lPpzOuaNwVItLwLEZYl_qEblfcx7dRnbRkAw0l-pE/edit?usp=share_link"",""บุรีรัมย์!I669"")+IMPORTRANGE(""https://docs.google.com/spreadshe"&amp;"ets/d/19GOkiOqnzYbevLYWrMk4qFOXe3rX14BkSA8X-mq-a40/edit?usp=share_link"",""มหาสารคาม!I669"")+IMPORTRANGE(""https://docs.google.com/spreadsheets/d/1uMKqWwuNQ-TCKboGA3Bb1qXb5uj2-faACNUINCz8PN4/edit?usp=share_link"",""มุกดาหาร!I669"")+IMPORTRANGE(""https://d"&amp;"ocs.google.com/spreadsheets/d/1oKaccgDdQABndOzGr688Dbfxb_V3YcF67VqEPBtdzsc/edit?usp=share_link"",""ยโสธร!I669"")+IMPORTRANGE(""https://docs.google.com/spreadsheets/d/1BRgc8xKpxZ0PX-gauieMVkV_IOxKSotf0yW8MabGprQ/edit?usp=share_link"",""ร้อยเอ็ด!I669"")+IMP"&amp;"ORTRANGE(""https://docs.google.com/spreadsheets/d/1IdolZc-dfdgMwAm_KZxYJl1sUOcIgnbGQzbWOlddedo/edit?usp=share_link"",""เลย!I669"")+IMPORTRANGE(""https://docs.google.com/spreadsheets/d/1tZ0nmtGuIRCaGAMXHlQU8EpR9LOAJvyKfc4f7EFmE34/edit?usp=share_link"",""ศร"&amp;"ีสะเกษ!I669"")+IMPORTRANGE(""https://docs.google.com/spreadsheets/d/1QC8psz9w0f9IVE9Xuc2FT_btkaOzZbbUSgYObpBuetM/edit?usp=share_link"",""สกลนคร!I669"")+IMPORTRANGE(""https://docs.google.com/spreadsheets/d/1wPdvRbu02d33MYVlbsCnyTiZpefEBs9NNktAnT1HZvw/edit?"&amp;"usp=share_link"",""สุรินทร์!I669"")+IMPORTRANGE(""https://docs.google.com/spreadsheets/d/1GVExpf-Exi_2gmuqTYH28fseTB9MoKPXWcXCbSt_YrM/edit?usp=share_link"",""หนองคาย!I669"")+IMPORTRANGE(""https://docs.google.com/spreadsheets/d/16UeMz0UgOB5BZcoxP75eYGcLFtG"&amp;"YRn9GoesD4OX9m5U/edit?usp=share_link"",""หนองบัวลำภู!I669"")+IMPORTRANGE(""https://docs.google.com/spreadsheets/d/1uUP8Zo1-qaJLuIkRU0qlwLSE3DHkbdrrj2JGJiWBQZE/edit?usp=share_link"",""อำนาจเจริญ!I669"")+IMPORTRANGE(""https://docs.google.com/spreadsheets/d/"&amp;"1hb_taSOHanzRjqfzWPiFo8yiT83VV1L7vvUCLhOiHKc/edit?usp=share_link"",""อุดรธานี!I669"")+IMPORTRANGE(""https://docs.google.com/spreadsheets/d/17IOkEwkUd63EGNfyNDnM5de9YlZ7rwzTiW6-dokVjKI/edit?usp=share_link"",""อุบลราชธานี!I669"")
"),1370)</f>
        <v>1370</v>
      </c>
      <c r="J669" s="194">
        <f ca="1">J675</f>
        <v>251</v>
      </c>
      <c r="K669" s="195">
        <f ca="1">IF(I669&gt;0,J669*100/I669,0)</f>
        <v>18.321167883211679</v>
      </c>
      <c r="L669" s="163"/>
      <c r="M669" s="163"/>
      <c r="N669" s="163"/>
      <c r="O669" s="163"/>
      <c r="P669" s="163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</row>
    <row r="670" spans="1:26" ht="18.75">
      <c r="A670" s="608"/>
      <c r="B670" s="609"/>
      <c r="C670" s="609"/>
      <c r="D670" s="609"/>
      <c r="E670" s="187" t="s">
        <v>282</v>
      </c>
      <c r="F670" s="619"/>
      <c r="G670" s="175"/>
      <c r="H670" s="448" t="s">
        <v>66</v>
      </c>
      <c r="I670" s="37">
        <f ca="1">IFERROR(__xludf.DUMMYFUNCTION("IMPORTRANGE(""https://docs.google.com/spreadsheets/d/1fb2B9NLcpJgjIieIJvenUTNPn0TimZDUi0OtYeiSQ_s/edit?usp=share_link"",""กาฬสินธุ์!I670"")+IMPORTRANGE(""https://docs.google.com/spreadsheets/d/1SaMnqrwRGmFYNR0MhpWmHuL5niYUd5E7vDq8X7whAlI/edit?usp=share_li"&amp;"nk"",""ขอนแก่น!I670"")
+IMPORTRANGE(""https://docs.google.com/spreadsheets/d/1xQzEtGHhTTgxHh6YUkKY1P4dRyjVhS74dGswLfAASA4/edit?usp=share_link"",""ชัยภูมิ!I670"")+IMPORTRANGE(""https://docs.google.com/spreadsheets/d/1EXMBoBxU3OFbjT2TRpneM33qFjqDzrKmn9ydcfl"&amp;"fI0o/edit?usp=share_link"",""นครพนม!I670"")+IMPORTRANGE(""https://docs.google.com/spreadsheets/d/1bDQrolntRWtHumK8W-x-HXKntwxB9S3sF5aDeRS66Ko/edit?usp=share_link"",""นครราชสีมา!I670"")+IMPORTRANGE(""https://docs.google.com/spreadsheets/d/1_MzZ-2gVPiCW-d2V"&amp;"cafoCmFJQTSrZ6SQyFcMqRRQQ2w/edit?usp=share_link"",""บึงกาฬ!I670"")
+IMPORTRANGE(""https://docs.google.com/spreadsheets/d/1B3lPpzOuaNwVItLwLEZYl_qEblfcx7dRnbRkAw0l-pE/edit?usp=share_link"",""บุรีรัมย์!I670"")+IMPORTRANGE(""https://docs.google.com/spreadshe"&amp;"ets/d/19GOkiOqnzYbevLYWrMk4qFOXe3rX14BkSA8X-mq-a40/edit?usp=share_link"",""มหาสารคาม!I670"")+IMPORTRANGE(""https://docs.google.com/spreadsheets/d/1uMKqWwuNQ-TCKboGA3Bb1qXb5uj2-faACNUINCz8PN4/edit?usp=share_link"",""มุกดาหาร!I670"")+IMPORTRANGE(""https://d"&amp;"ocs.google.com/spreadsheets/d/1oKaccgDdQABndOzGr688Dbfxb_V3YcF67VqEPBtdzsc/edit?usp=share_link"",""ยโสธร!I670"")+IMPORTRANGE(""https://docs.google.com/spreadsheets/d/1BRgc8xKpxZ0PX-gauieMVkV_IOxKSotf0yW8MabGprQ/edit?usp=share_link"",""ร้อยเอ็ด!I670"")+IMP"&amp;"ORTRANGE(""https://docs.google.com/spreadsheets/d/1IdolZc-dfdgMwAm_KZxYJl1sUOcIgnbGQzbWOlddedo/edit?usp=share_link"",""เลย!I670"")+IMPORTRANGE(""https://docs.google.com/spreadsheets/d/1tZ0nmtGuIRCaGAMXHlQU8EpR9LOAJvyKfc4f7EFmE34/edit?usp=share_link"",""ศร"&amp;"ีสะเกษ!I670"")+IMPORTRANGE(""https://docs.google.com/spreadsheets/d/1QC8psz9w0f9IVE9Xuc2FT_btkaOzZbbUSgYObpBuetM/edit?usp=share_link"",""สกลนคร!I670"")+IMPORTRANGE(""https://docs.google.com/spreadsheets/d/1wPdvRbu02d33MYVlbsCnyTiZpefEBs9NNktAnT1HZvw/edit?"&amp;"usp=share_link"",""สุรินทร์!I670"")+IMPORTRANGE(""https://docs.google.com/spreadsheets/d/1GVExpf-Exi_2gmuqTYH28fseTB9MoKPXWcXCbSt_YrM/edit?usp=share_link"",""หนองคาย!I670"")+IMPORTRANGE(""https://docs.google.com/spreadsheets/d/16UeMz0UgOB5BZcoxP75eYGcLFtG"&amp;"YRn9GoesD4OX9m5U/edit?usp=share_link"",""หนองบัวลำภู!I670"")+IMPORTRANGE(""https://docs.google.com/spreadsheets/d/1uUP8Zo1-qaJLuIkRU0qlwLSE3DHkbdrrj2JGJiWBQZE/edit?usp=share_link"",""อำนาจเจริญ!I670"")+IMPORTRANGE(""https://docs.google.com/spreadsheets/d/"&amp;"1hb_taSOHanzRjqfzWPiFo8yiT83VV1L7vvUCLhOiHKc/edit?usp=share_link"",""อุดรธานี!I670"")+IMPORTRANGE(""https://docs.google.com/spreadsheets/d/17IOkEwkUd63EGNfyNDnM5de9YlZ7rwzTiW6-dokVjKI/edit?usp=share_link"",""อุบลราชธานี!I670"")
"),70)</f>
        <v>70</v>
      </c>
      <c r="J670" s="183">
        <f ca="1">IFERROR(__xludf.DUMMYFUNCTION("IMPORTRANGE(""https://docs.google.com/spreadsheets/d/1fb2B9NLcpJgjIieIJvenUTNPn0TimZDUi0OtYeiSQ_s/edit?usp=share_link"",""กาฬสินธุ์!J670"")+IMPORTRANGE(""https://docs.google.com/spreadsheets/d/1SaMnqrwRGmFYNR0MhpWmHuL5niYUd5E7vDq8X7whAlI/edit?usp=share_li"&amp;"nk"",""ขอนแก่น!J670"")
+IMPORTRANGE(""https://docs.google.com/spreadsheets/d/1xQzEtGHhTTgxHh6YUkKY1P4dRyjVhS74dGswLfAASA4/edit?usp=share_link"",""ชัยภูมิ!J670"")+IMPORTRANGE(""https://docs.google.com/spreadsheets/d/1EXMBoBxU3OFbjT2TRpneM33qFjqDzrKmn9ydcfl"&amp;"fI0o/edit?usp=share_link"",""นครพนม!J670"")+IMPORTRANGE(""https://docs.google.com/spreadsheets/d/1bDQrolntRWtHumK8W-x-HXKntwxB9S3sF5aDeRS66Ko/edit?usp=share_link"",""นครราชสีมา!J670"")+IMPORTRANGE(""https://docs.google.com/spreadsheets/d/1_MzZ-2gVPiCW-d2V"&amp;"cafoCmFJQTSrZ6SQyFcMqRRQQ2w/edit?usp=share_link"",""บึงกาฬ!J670"")
+IMPORTRANGE(""https://docs.google.com/spreadsheets/d/1B3lPpzOuaNwVItLwLEZYl_qEblfcx7dRnbRkAw0l-pE/edit?usp=share_link"",""บุรีรัมย์!J670"")+IMPORTRANGE(""https://docs.google.com/spreadshe"&amp;"ets/d/19GOkiOqnzYbevLYWrMk4qFOXe3rX14BkSA8X-mq-a40/edit?usp=share_link"",""มหาสารคาม!J670"")+IMPORTRANGE(""https://docs.google.com/spreadsheets/d/1uMKqWwuNQ-TCKboGA3Bb1qXb5uj2-faACNUINCz8PN4/edit?usp=share_link"",""มุกดาหาร!J670"")+IMPORTRANGE(""https://d"&amp;"ocs.google.com/spreadsheets/d/1oKaccgDdQABndOzGr688Dbfxb_V3YcF67VqEPBtdzsc/edit?usp=share_link"",""ยโสธร!J670"")+IMPORTRANGE(""https://docs.google.com/spreadsheets/d/1BRgc8xKpxZ0PX-gauieMVkV_IOxKSotf0yW8MabGprQ/edit?usp=share_link"",""ร้อยเอ็ด!J670"")+IMP"&amp;"ORTRANGE(""https://docs.google.com/spreadsheets/d/1IdolZc-dfdgMwAm_KZxYJl1sUOcIgnbGQzbWOlddedo/edit?usp=share_link"",""เลย!J670"")+IMPORTRANGE(""https://docs.google.com/spreadsheets/d/1tZ0nmtGuIRCaGAMXHlQU8EpR9LOAJvyKfc4f7EFmE34/edit?usp=share_link"",""ศร"&amp;"ีสะเกษ!J670"")+IMPORTRANGE(""https://docs.google.com/spreadsheets/d/1QC8psz9w0f9IVE9Xuc2FT_btkaOzZbbUSgYObpBuetM/edit?usp=share_link"",""สกลนคร!J670"")+IMPORTRANGE(""https://docs.google.com/spreadsheets/d/1wPdvRbu02d33MYVlbsCnyTiZpefEBs9NNktAnT1HZvw/edit?"&amp;"usp=share_link"",""สุรินทร์!J670"")+IMPORTRANGE(""https://docs.google.com/spreadsheets/d/1GVExpf-Exi_2gmuqTYH28fseTB9MoKPXWcXCbSt_YrM/edit?usp=share_link"",""หนองคาย!J670"")+IMPORTRANGE(""https://docs.google.com/spreadsheets/d/16UeMz0UgOB5BZcoxP75eYGcLFtG"&amp;"YRn9GoesD4OX9m5U/edit?usp=share_link"",""หนองบัวลำภู!J670"")+IMPORTRANGE(""https://docs.google.com/spreadsheets/d/1uUP8Zo1-qaJLuIkRU0qlwLSE3DHkbdrrj2JGJiWBQZE/edit?usp=share_link"",""อำนาจเจริญ!J670"")+IMPORTRANGE(""https://docs.google.com/spreadsheets/d/"&amp;"1hb_taSOHanzRjqfzWPiFo8yiT83VV1L7vvUCLhOiHKc/edit?usp=share_link"",""อุดรธานี!J670"")+IMPORTRANGE(""https://docs.google.com/spreadsheets/d/17IOkEwkUd63EGNfyNDnM5de9YlZ7rwzTiW6-dokVjKI/edit?usp=share_link"",""อุบลราชธานี!J670"")
"),70)</f>
        <v>70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</row>
    <row r="671" spans="1:26" ht="18.75">
      <c r="A671" s="608"/>
      <c r="B671" s="609"/>
      <c r="C671" s="609"/>
      <c r="D671" s="609"/>
      <c r="E671" s="187" t="s">
        <v>283</v>
      </c>
      <c r="F671" s="619"/>
      <c r="G671" s="175"/>
      <c r="H671" s="448" t="s">
        <v>66</v>
      </c>
      <c r="I671" s="37">
        <f ca="1">IFERROR(__xludf.DUMMYFUNCTION("IMPORTRANGE(""https://docs.google.com/spreadsheets/d/1fb2B9NLcpJgjIieIJvenUTNPn0TimZDUi0OtYeiSQ_s/edit?usp=share_link"",""กาฬสินธุ์!I671"")+IMPORTRANGE(""https://docs.google.com/spreadsheets/d/1SaMnqrwRGmFYNR0MhpWmHuL5niYUd5E7vDq8X7whAlI/edit?usp=share_li"&amp;"nk"",""ขอนแก่น!I671"")
+IMPORTRANGE(""https://docs.google.com/spreadsheets/d/1xQzEtGHhTTgxHh6YUkKY1P4dRyjVhS74dGswLfAASA4/edit?usp=share_link"",""ชัยภูมิ!I671"")+IMPORTRANGE(""https://docs.google.com/spreadsheets/d/1EXMBoBxU3OFbjT2TRpneM33qFjqDzrKmn9ydcfl"&amp;"fI0o/edit?usp=share_link"",""นครพนม!I671"")+IMPORTRANGE(""https://docs.google.com/spreadsheets/d/1bDQrolntRWtHumK8W-x-HXKntwxB9S3sF5aDeRS66Ko/edit?usp=share_link"",""นครราชสีมา!I671"")+IMPORTRANGE(""https://docs.google.com/spreadsheets/d/1_MzZ-2gVPiCW-d2V"&amp;"cafoCmFJQTSrZ6SQyFcMqRRQQ2w/edit?usp=share_link"",""บึงกาฬ!I671"")
+IMPORTRANGE(""https://docs.google.com/spreadsheets/d/1B3lPpzOuaNwVItLwLEZYl_qEblfcx7dRnbRkAw0l-pE/edit?usp=share_link"",""บุรีรัมย์!I671"")+IMPORTRANGE(""https://docs.google.com/spreadshe"&amp;"ets/d/19GOkiOqnzYbevLYWrMk4qFOXe3rX14BkSA8X-mq-a40/edit?usp=share_link"",""มหาสารคาม!I671"")+IMPORTRANGE(""https://docs.google.com/spreadsheets/d/1uMKqWwuNQ-TCKboGA3Bb1qXb5uj2-faACNUINCz8PN4/edit?usp=share_link"",""มุกดาหาร!I671"")+IMPORTRANGE(""https://d"&amp;"ocs.google.com/spreadsheets/d/1oKaccgDdQABndOzGr688Dbfxb_V3YcF67VqEPBtdzsc/edit?usp=share_link"",""ยโสธร!I671"")+IMPORTRANGE(""https://docs.google.com/spreadsheets/d/1BRgc8xKpxZ0PX-gauieMVkV_IOxKSotf0yW8MabGprQ/edit?usp=share_link"",""ร้อยเอ็ด!I671"")+IMP"&amp;"ORTRANGE(""https://docs.google.com/spreadsheets/d/1IdolZc-dfdgMwAm_KZxYJl1sUOcIgnbGQzbWOlddedo/edit?usp=share_link"",""เลย!I671"")+IMPORTRANGE(""https://docs.google.com/spreadsheets/d/1tZ0nmtGuIRCaGAMXHlQU8EpR9LOAJvyKfc4f7EFmE34/edit?usp=share_link"",""ศร"&amp;"ีสะเกษ!I671"")+IMPORTRANGE(""https://docs.google.com/spreadsheets/d/1QC8psz9w0f9IVE9Xuc2FT_btkaOzZbbUSgYObpBuetM/edit?usp=share_link"",""สกลนคร!I671"")+IMPORTRANGE(""https://docs.google.com/spreadsheets/d/1wPdvRbu02d33MYVlbsCnyTiZpefEBs9NNktAnT1HZvw/edit?"&amp;"usp=share_link"",""สุรินทร์!I671"")+IMPORTRANGE(""https://docs.google.com/spreadsheets/d/1GVExpf-Exi_2gmuqTYH28fseTB9MoKPXWcXCbSt_YrM/edit?usp=share_link"",""หนองคาย!I671"")+IMPORTRANGE(""https://docs.google.com/spreadsheets/d/16UeMz0UgOB5BZcoxP75eYGcLFtG"&amp;"YRn9GoesD4OX9m5U/edit?usp=share_link"",""หนองบัวลำภู!I671"")+IMPORTRANGE(""https://docs.google.com/spreadsheets/d/1uUP8Zo1-qaJLuIkRU0qlwLSE3DHkbdrrj2JGJiWBQZE/edit?usp=share_link"",""อำนาจเจริญ!I671"")+IMPORTRANGE(""https://docs.google.com/spreadsheets/d/"&amp;"1hb_taSOHanzRjqfzWPiFo8yiT83VV1L7vvUCLhOiHKc/edit?usp=share_link"",""อุดรธานี!I671"")+IMPORTRANGE(""https://docs.google.com/spreadsheets/d/17IOkEwkUd63EGNfyNDnM5de9YlZ7rwzTiW6-dokVjKI/edit?usp=share_link"",""อุบลราชธานี!I671"")
"),70)</f>
        <v>70</v>
      </c>
      <c r="J671" s="183">
        <f ca="1">IFERROR(__xludf.DUMMYFUNCTION("IMPORTRANGE(""https://docs.google.com/spreadsheets/d/1fb2B9NLcpJgjIieIJvenUTNPn0TimZDUi0OtYeiSQ_s/edit?usp=share_link"",""กาฬสินธุ์!J671"")+IMPORTRANGE(""https://docs.google.com/spreadsheets/d/1SaMnqrwRGmFYNR0MhpWmHuL5niYUd5E7vDq8X7whAlI/edit?usp=share_li"&amp;"nk"",""ขอนแก่น!J671"")
+IMPORTRANGE(""https://docs.google.com/spreadsheets/d/1xQzEtGHhTTgxHh6YUkKY1P4dRyjVhS74dGswLfAASA4/edit?usp=share_link"",""ชัยภูมิ!J671"")+IMPORTRANGE(""https://docs.google.com/spreadsheets/d/1EXMBoBxU3OFbjT2TRpneM33qFjqDzrKmn9ydcfl"&amp;"fI0o/edit?usp=share_link"",""นครพนม!J671"")+IMPORTRANGE(""https://docs.google.com/spreadsheets/d/1bDQrolntRWtHumK8W-x-HXKntwxB9S3sF5aDeRS66Ko/edit?usp=share_link"",""นครราชสีมา!J671"")+IMPORTRANGE(""https://docs.google.com/spreadsheets/d/1_MzZ-2gVPiCW-d2V"&amp;"cafoCmFJQTSrZ6SQyFcMqRRQQ2w/edit?usp=share_link"",""บึงกาฬ!J671"")
+IMPORTRANGE(""https://docs.google.com/spreadsheets/d/1B3lPpzOuaNwVItLwLEZYl_qEblfcx7dRnbRkAw0l-pE/edit?usp=share_link"",""บุรีรัมย์!J671"")+IMPORTRANGE(""https://docs.google.com/spreadshe"&amp;"ets/d/19GOkiOqnzYbevLYWrMk4qFOXe3rX14BkSA8X-mq-a40/edit?usp=share_link"",""มหาสารคาม!J671"")+IMPORTRANGE(""https://docs.google.com/spreadsheets/d/1uMKqWwuNQ-TCKboGA3Bb1qXb5uj2-faACNUINCz8PN4/edit?usp=share_link"",""มุกดาหาร!J671"")+IMPORTRANGE(""https://d"&amp;"ocs.google.com/spreadsheets/d/1oKaccgDdQABndOzGr688Dbfxb_V3YcF67VqEPBtdzsc/edit?usp=share_link"",""ยโสธร!J671"")+IMPORTRANGE(""https://docs.google.com/spreadsheets/d/1BRgc8xKpxZ0PX-gauieMVkV_IOxKSotf0yW8MabGprQ/edit?usp=share_link"",""ร้อยเอ็ด!J671"")+IMP"&amp;"ORTRANGE(""https://docs.google.com/spreadsheets/d/1IdolZc-dfdgMwAm_KZxYJl1sUOcIgnbGQzbWOlddedo/edit?usp=share_link"",""เลย!J671"")+IMPORTRANGE(""https://docs.google.com/spreadsheets/d/1tZ0nmtGuIRCaGAMXHlQU8EpR9LOAJvyKfc4f7EFmE34/edit?usp=share_link"",""ศร"&amp;"ีสะเกษ!J671"")+IMPORTRANGE(""https://docs.google.com/spreadsheets/d/1QC8psz9w0f9IVE9Xuc2FT_btkaOzZbbUSgYObpBuetM/edit?usp=share_link"",""สกลนคร!J671"")+IMPORTRANGE(""https://docs.google.com/spreadsheets/d/1wPdvRbu02d33MYVlbsCnyTiZpefEBs9NNktAnT1HZvw/edit?"&amp;"usp=share_link"",""สุรินทร์!J671"")+IMPORTRANGE(""https://docs.google.com/spreadsheets/d/1GVExpf-Exi_2gmuqTYH28fseTB9MoKPXWcXCbSt_YrM/edit?usp=share_link"",""หนองคาย!J671"")+IMPORTRANGE(""https://docs.google.com/spreadsheets/d/16UeMz0UgOB5BZcoxP75eYGcLFtG"&amp;"YRn9GoesD4OX9m5U/edit?usp=share_link"",""หนองบัวลำภู!J671"")+IMPORTRANGE(""https://docs.google.com/spreadsheets/d/1uUP8Zo1-qaJLuIkRU0qlwLSE3DHkbdrrj2JGJiWBQZE/edit?usp=share_link"",""อำนาจเจริญ!J671"")+IMPORTRANGE(""https://docs.google.com/spreadsheets/d/"&amp;"1hb_taSOHanzRjqfzWPiFo8yiT83VV1L7vvUCLhOiHKc/edit?usp=share_link"",""อุดรธานี!J671"")+IMPORTRANGE(""https://docs.google.com/spreadsheets/d/17IOkEwkUd63EGNfyNDnM5de9YlZ7rwzTiW6-dokVjKI/edit?usp=share_link"",""อุบลราชธานี!J671"")
"),70)</f>
        <v>70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</row>
    <row r="672" spans="1:26" ht="18.75">
      <c r="A672" s="608"/>
      <c r="B672" s="609"/>
      <c r="C672" s="609"/>
      <c r="D672" s="609"/>
      <c r="E672" s="187" t="s">
        <v>284</v>
      </c>
      <c r="F672" s="619"/>
      <c r="G672" s="175"/>
      <c r="H672" s="182" t="s">
        <v>46</v>
      </c>
      <c r="I672" s="37"/>
      <c r="J672" s="183">
        <f ca="1">IFERROR(__xludf.DUMMYFUNCTION("IMPORTRANGE(""https://docs.google.com/spreadsheets/d/1fb2B9NLcpJgjIieIJvenUTNPn0TimZDUi0OtYeiSQ_s/edit?usp=share_link"",""กาฬสินธุ์!J672"")+IMPORTRANGE(""https://docs.google.com/spreadsheets/d/1SaMnqrwRGmFYNR0MhpWmHuL5niYUd5E7vDq8X7whAlI/edit?usp=share_li"&amp;"nk"",""ขอนแก่น!J672"")
+IMPORTRANGE(""https://docs.google.com/spreadsheets/d/1xQzEtGHhTTgxHh6YUkKY1P4dRyjVhS74dGswLfAASA4/edit?usp=share_link"",""ชัยภูมิ!J672"")+IMPORTRANGE(""https://docs.google.com/spreadsheets/d/1EXMBoBxU3OFbjT2TRpneM33qFjqDzrKmn9ydcfl"&amp;"fI0o/edit?usp=share_link"",""นครพนม!J672"")+IMPORTRANGE(""https://docs.google.com/spreadsheets/d/1bDQrolntRWtHumK8W-x-HXKntwxB9S3sF5aDeRS66Ko/edit?usp=share_link"",""นครราชสีมา!J672"")+IMPORTRANGE(""https://docs.google.com/spreadsheets/d/1_MzZ-2gVPiCW-d2V"&amp;"cafoCmFJQTSrZ6SQyFcMqRRQQ2w/edit?usp=share_link"",""บึงกาฬ!J672"")
+IMPORTRANGE(""https://docs.google.com/spreadsheets/d/1B3lPpzOuaNwVItLwLEZYl_qEblfcx7dRnbRkAw0l-pE/edit?usp=share_link"",""บุรีรัมย์!J672"")+IMPORTRANGE(""https://docs.google.com/spreadshe"&amp;"ets/d/19GOkiOqnzYbevLYWrMk4qFOXe3rX14BkSA8X-mq-a40/edit?usp=share_link"",""มหาสารคาม!J672"")+IMPORTRANGE(""https://docs.google.com/spreadsheets/d/1uMKqWwuNQ-TCKboGA3Bb1qXb5uj2-faACNUINCz8PN4/edit?usp=share_link"",""มุกดาหาร!J672"")+IMPORTRANGE(""https://d"&amp;"ocs.google.com/spreadsheets/d/1oKaccgDdQABndOzGr688Dbfxb_V3YcF67VqEPBtdzsc/edit?usp=share_link"",""ยโสธร!J672"")+IMPORTRANGE(""https://docs.google.com/spreadsheets/d/1BRgc8xKpxZ0PX-gauieMVkV_IOxKSotf0yW8MabGprQ/edit?usp=share_link"",""ร้อยเอ็ด!J672"")+IMP"&amp;"ORTRANGE(""https://docs.google.com/spreadsheets/d/1IdolZc-dfdgMwAm_KZxYJl1sUOcIgnbGQzbWOlddedo/edit?usp=share_link"",""เลย!J672"")+IMPORTRANGE(""https://docs.google.com/spreadsheets/d/1tZ0nmtGuIRCaGAMXHlQU8EpR9LOAJvyKfc4f7EFmE34/edit?usp=share_link"",""ศร"&amp;"ีสะเกษ!J672"")+IMPORTRANGE(""https://docs.google.com/spreadsheets/d/1QC8psz9w0f9IVE9Xuc2FT_btkaOzZbbUSgYObpBuetM/edit?usp=share_link"",""สกลนคร!J672"")+IMPORTRANGE(""https://docs.google.com/spreadsheets/d/1wPdvRbu02d33MYVlbsCnyTiZpefEBs9NNktAnT1HZvw/edit?"&amp;"usp=share_link"",""สุรินทร์!J672"")+IMPORTRANGE(""https://docs.google.com/spreadsheets/d/1GVExpf-Exi_2gmuqTYH28fseTB9MoKPXWcXCbSt_YrM/edit?usp=share_link"",""หนองคาย!J672"")+IMPORTRANGE(""https://docs.google.com/spreadsheets/d/16UeMz0UgOB5BZcoxP75eYGcLFtG"&amp;"YRn9GoesD4OX9m5U/edit?usp=share_link"",""หนองบัวลำภู!J672"")+IMPORTRANGE(""https://docs.google.com/spreadsheets/d/1uUP8Zo1-qaJLuIkRU0qlwLSE3DHkbdrrj2JGJiWBQZE/edit?usp=share_link"",""อำนาจเจริญ!J672"")+IMPORTRANGE(""https://docs.google.com/spreadsheets/d/"&amp;"1hb_taSOHanzRjqfzWPiFo8yiT83VV1L7vvUCLhOiHKc/edit?usp=share_link"",""อุดรธานี!J672"")+IMPORTRANGE(""https://docs.google.com/spreadsheets/d/17IOkEwkUd63EGNfyNDnM5de9YlZ7rwzTiW6-dokVjKI/edit?usp=share_link"",""อุบลราชธานี!J672"")
"),4527.58)</f>
        <v>4527.58</v>
      </c>
      <c r="K672" s="38">
        <f t="shared" ref="K672:K675" ca="1" si="319">IF(I$669&gt;0,J672*100/I$669,0)</f>
        <v>330.48029197080291</v>
      </c>
      <c r="L672" s="163"/>
      <c r="M672" s="163"/>
      <c r="N672" s="163"/>
      <c r="O672" s="163"/>
      <c r="P672" s="163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</row>
    <row r="673" spans="1:26" ht="18.75">
      <c r="A673" s="608"/>
      <c r="B673" s="609"/>
      <c r="C673" s="609"/>
      <c r="D673" s="609"/>
      <c r="E673" s="187" t="s">
        <v>285</v>
      </c>
      <c r="F673" s="619"/>
      <c r="G673" s="175"/>
      <c r="H673" s="182" t="s">
        <v>46</v>
      </c>
      <c r="I673" s="37"/>
      <c r="J673" s="183">
        <f ca="1">IFERROR(__xludf.DUMMYFUNCTION("IMPORTRANGE(""https://docs.google.com/spreadsheets/d/1fb2B9NLcpJgjIieIJvenUTNPn0TimZDUi0OtYeiSQ_s/edit?usp=share_link"",""กาฬสินธุ์!J673"")+IMPORTRANGE(""https://docs.google.com/spreadsheets/d/1SaMnqrwRGmFYNR0MhpWmHuL5niYUd5E7vDq8X7whAlI/edit?usp=share_li"&amp;"nk"",""ขอนแก่น!J673"")
+IMPORTRANGE(""https://docs.google.com/spreadsheets/d/1xQzEtGHhTTgxHh6YUkKY1P4dRyjVhS74dGswLfAASA4/edit?usp=share_link"",""ชัยภูมิ!J673"")+IMPORTRANGE(""https://docs.google.com/spreadsheets/d/1EXMBoBxU3OFbjT2TRpneM33qFjqDzrKmn9ydcfl"&amp;"fI0o/edit?usp=share_link"",""นครพนม!J673"")+IMPORTRANGE(""https://docs.google.com/spreadsheets/d/1bDQrolntRWtHumK8W-x-HXKntwxB9S3sF5aDeRS66Ko/edit?usp=share_link"",""นครราชสีมา!J673"")+IMPORTRANGE(""https://docs.google.com/spreadsheets/d/1_MzZ-2gVPiCW-d2V"&amp;"cafoCmFJQTSrZ6SQyFcMqRRQQ2w/edit?usp=share_link"",""บึงกาฬ!J673"")
+IMPORTRANGE(""https://docs.google.com/spreadsheets/d/1B3lPpzOuaNwVItLwLEZYl_qEblfcx7dRnbRkAw0l-pE/edit?usp=share_link"",""บุรีรัมย์!J673"")+IMPORTRANGE(""https://docs.google.com/spreadshe"&amp;"ets/d/19GOkiOqnzYbevLYWrMk4qFOXe3rX14BkSA8X-mq-a40/edit?usp=share_link"",""มหาสารคาม!J673"")+IMPORTRANGE(""https://docs.google.com/spreadsheets/d/1uMKqWwuNQ-TCKboGA3Bb1qXb5uj2-faACNUINCz8PN4/edit?usp=share_link"",""มุกดาหาร!J673"")+IMPORTRANGE(""https://d"&amp;"ocs.google.com/spreadsheets/d/1oKaccgDdQABndOzGr688Dbfxb_V3YcF67VqEPBtdzsc/edit?usp=share_link"",""ยโสธร!J673"")+IMPORTRANGE(""https://docs.google.com/spreadsheets/d/1BRgc8xKpxZ0PX-gauieMVkV_IOxKSotf0yW8MabGprQ/edit?usp=share_link"",""ร้อยเอ็ด!J673"")+IMP"&amp;"ORTRANGE(""https://docs.google.com/spreadsheets/d/1IdolZc-dfdgMwAm_KZxYJl1sUOcIgnbGQzbWOlddedo/edit?usp=share_link"",""เลย!J673"")+IMPORTRANGE(""https://docs.google.com/spreadsheets/d/1tZ0nmtGuIRCaGAMXHlQU8EpR9LOAJvyKfc4f7EFmE34/edit?usp=share_link"",""ศร"&amp;"ีสะเกษ!J673"")+IMPORTRANGE(""https://docs.google.com/spreadsheets/d/1QC8psz9w0f9IVE9Xuc2FT_btkaOzZbbUSgYObpBuetM/edit?usp=share_link"",""สกลนคร!J673"")+IMPORTRANGE(""https://docs.google.com/spreadsheets/d/1wPdvRbu02d33MYVlbsCnyTiZpefEBs9NNktAnT1HZvw/edit?"&amp;"usp=share_link"",""สุรินทร์!J673"")+IMPORTRANGE(""https://docs.google.com/spreadsheets/d/1GVExpf-Exi_2gmuqTYH28fseTB9MoKPXWcXCbSt_YrM/edit?usp=share_link"",""หนองคาย!J673"")+IMPORTRANGE(""https://docs.google.com/spreadsheets/d/16UeMz0UgOB5BZcoxP75eYGcLFtG"&amp;"YRn9GoesD4OX9m5U/edit?usp=share_link"",""หนองบัวลำภู!J673"")+IMPORTRANGE(""https://docs.google.com/spreadsheets/d/1uUP8Zo1-qaJLuIkRU0qlwLSE3DHkbdrrj2JGJiWBQZE/edit?usp=share_link"",""อำนาจเจริญ!J673"")+IMPORTRANGE(""https://docs.google.com/spreadsheets/d/"&amp;"1hb_taSOHanzRjqfzWPiFo8yiT83VV1L7vvUCLhOiHKc/edit?usp=share_link"",""อุดรธานี!J673"")+IMPORTRANGE(""https://docs.google.com/spreadsheets/d/17IOkEwkUd63EGNfyNDnM5de9YlZ7rwzTiW6-dokVjKI/edit?usp=share_link"",""อุบลราชธานี!J673"")
"),3154.83)</f>
        <v>3154.83</v>
      </c>
      <c r="K673" s="38">
        <f t="shared" ca="1" si="319"/>
        <v>230.27956204379561</v>
      </c>
      <c r="L673" s="163"/>
      <c r="M673" s="163"/>
      <c r="N673" s="163"/>
      <c r="O673" s="163"/>
      <c r="P673" s="163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</row>
    <row r="674" spans="1:26" ht="18.75">
      <c r="A674" s="608"/>
      <c r="B674" s="609"/>
      <c r="C674" s="609"/>
      <c r="D674" s="609"/>
      <c r="E674" s="187" t="s">
        <v>286</v>
      </c>
      <c r="F674" s="619"/>
      <c r="G674" s="175"/>
      <c r="H674" s="182" t="s">
        <v>46</v>
      </c>
      <c r="I674" s="37"/>
      <c r="J674" s="183">
        <f ca="1">IFERROR(__xludf.DUMMYFUNCTION("IMPORTRANGE(""https://docs.google.com/spreadsheets/d/1fb2B9NLcpJgjIieIJvenUTNPn0TimZDUi0OtYeiSQ_s/edit?usp=share_link"",""กาฬสินธุ์!J674"")+IMPORTRANGE(""https://docs.google.com/spreadsheets/d/1SaMnqrwRGmFYNR0MhpWmHuL5niYUd5E7vDq8X7whAlI/edit?usp=share_li"&amp;"nk"",""ขอนแก่น!J674"")
+IMPORTRANGE(""https://docs.google.com/spreadsheets/d/1xQzEtGHhTTgxHh6YUkKY1P4dRyjVhS74dGswLfAASA4/edit?usp=share_link"",""ชัยภูมิ!J674"")+IMPORTRANGE(""https://docs.google.com/spreadsheets/d/1EXMBoBxU3OFbjT2TRpneM33qFjqDzrKmn9ydcfl"&amp;"fI0o/edit?usp=share_link"",""นครพนม!J674"")+IMPORTRANGE(""https://docs.google.com/spreadsheets/d/1bDQrolntRWtHumK8W-x-HXKntwxB9S3sF5aDeRS66Ko/edit?usp=share_link"",""นครราชสีมา!J674"")+IMPORTRANGE(""https://docs.google.com/spreadsheets/d/1_MzZ-2gVPiCW-d2V"&amp;"cafoCmFJQTSrZ6SQyFcMqRRQQ2w/edit?usp=share_link"",""บึงกาฬ!J674"")
+IMPORTRANGE(""https://docs.google.com/spreadsheets/d/1B3lPpzOuaNwVItLwLEZYl_qEblfcx7dRnbRkAw0l-pE/edit?usp=share_link"",""บุรีรัมย์!J674"")+IMPORTRANGE(""https://docs.google.com/spreadshe"&amp;"ets/d/19GOkiOqnzYbevLYWrMk4qFOXe3rX14BkSA8X-mq-a40/edit?usp=share_link"",""มหาสารคาม!J674"")+IMPORTRANGE(""https://docs.google.com/spreadsheets/d/1uMKqWwuNQ-TCKboGA3Bb1qXb5uj2-faACNUINCz8PN4/edit?usp=share_link"",""มุกดาหาร!J674"")+IMPORTRANGE(""https://d"&amp;"ocs.google.com/spreadsheets/d/1oKaccgDdQABndOzGr688Dbfxb_V3YcF67VqEPBtdzsc/edit?usp=share_link"",""ยโสธร!J674"")+IMPORTRANGE(""https://docs.google.com/spreadsheets/d/1BRgc8xKpxZ0PX-gauieMVkV_IOxKSotf0yW8MabGprQ/edit?usp=share_link"",""ร้อยเอ็ด!J674"")+IMP"&amp;"ORTRANGE(""https://docs.google.com/spreadsheets/d/1IdolZc-dfdgMwAm_KZxYJl1sUOcIgnbGQzbWOlddedo/edit?usp=share_link"",""เลย!J674"")+IMPORTRANGE(""https://docs.google.com/spreadsheets/d/1tZ0nmtGuIRCaGAMXHlQU8EpR9LOAJvyKfc4f7EFmE34/edit?usp=share_link"",""ศร"&amp;"ีสะเกษ!J674"")+IMPORTRANGE(""https://docs.google.com/spreadsheets/d/1QC8psz9w0f9IVE9Xuc2FT_btkaOzZbbUSgYObpBuetM/edit?usp=share_link"",""สกลนคร!J674"")+IMPORTRANGE(""https://docs.google.com/spreadsheets/d/1wPdvRbu02d33MYVlbsCnyTiZpefEBs9NNktAnT1HZvw/edit?"&amp;"usp=share_link"",""สุรินทร์!J674"")+IMPORTRANGE(""https://docs.google.com/spreadsheets/d/1GVExpf-Exi_2gmuqTYH28fseTB9MoKPXWcXCbSt_YrM/edit?usp=share_link"",""หนองคาย!J674"")+IMPORTRANGE(""https://docs.google.com/spreadsheets/d/16UeMz0UgOB5BZcoxP75eYGcLFtG"&amp;"YRn9GoesD4OX9m5U/edit?usp=share_link"",""หนองบัวลำภู!J674"")+IMPORTRANGE(""https://docs.google.com/spreadsheets/d/1uUP8Zo1-qaJLuIkRU0qlwLSE3DHkbdrrj2JGJiWBQZE/edit?usp=share_link"",""อำนาจเจริญ!J674"")+IMPORTRANGE(""https://docs.google.com/spreadsheets/d/"&amp;"1hb_taSOHanzRjqfzWPiFo8yiT83VV1L7vvUCLhOiHKc/edit?usp=share_link"",""อุดรธานี!J674"")+IMPORTRANGE(""https://docs.google.com/spreadsheets/d/17IOkEwkUd63EGNfyNDnM5de9YlZ7rwzTiW6-dokVjKI/edit?usp=share_link"",""อุบลราชธานี!J674"")
"),909)</f>
        <v>909</v>
      </c>
      <c r="K674" s="38">
        <f t="shared" ca="1" si="319"/>
        <v>66.350364963503651</v>
      </c>
      <c r="L674" s="163"/>
      <c r="M674" s="163"/>
      <c r="N674" s="163"/>
      <c r="O674" s="163"/>
      <c r="P674" s="163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</row>
    <row r="675" spans="1:26" ht="19.5">
      <c r="A675" s="608"/>
      <c r="B675" s="609"/>
      <c r="C675" s="609"/>
      <c r="D675" s="609"/>
      <c r="E675" s="187" t="s">
        <v>287</v>
      </c>
      <c r="F675" s="619"/>
      <c r="G675" s="175"/>
      <c r="H675" s="182" t="s">
        <v>46</v>
      </c>
      <c r="I675" s="37"/>
      <c r="J675" s="194">
        <f ca="1">J676+J677</f>
        <v>251</v>
      </c>
      <c r="K675" s="195">
        <f t="shared" ca="1" si="319"/>
        <v>18.321167883211679</v>
      </c>
      <c r="L675" s="163"/>
      <c r="M675" s="163"/>
      <c r="N675" s="163"/>
      <c r="O675" s="163"/>
      <c r="P675" s="163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</row>
    <row r="676" spans="1:26" ht="18.75">
      <c r="A676" s="608"/>
      <c r="B676" s="609"/>
      <c r="C676" s="609"/>
      <c r="D676" s="609"/>
      <c r="E676" s="619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fb2B9NLcpJgjIieIJvenUTNPn0TimZDUi0OtYeiSQ_s/edit?usp=share_link"",""กาฬสินธุ์!J676"")+IMPORTRANGE(""https://docs.google.com/spreadsheets/d/1SaMnqrwRGmFYNR0MhpWmHuL5niYUd5E7vDq8X7whAlI/edit?usp=share_li"&amp;"nk"",""ขอนแก่น!J676"")
+IMPORTRANGE(""https://docs.google.com/spreadsheets/d/1xQzEtGHhTTgxHh6YUkKY1P4dRyjVhS74dGswLfAASA4/edit?usp=share_link"",""ชัยภูมิ!J676"")+IMPORTRANGE(""https://docs.google.com/spreadsheets/d/1EXMBoBxU3OFbjT2TRpneM33qFjqDzrKmn9ydcfl"&amp;"fI0o/edit?usp=share_link"",""นครพนม!J676"")+IMPORTRANGE(""https://docs.google.com/spreadsheets/d/1bDQrolntRWtHumK8W-x-HXKntwxB9S3sF5aDeRS66Ko/edit?usp=share_link"",""นครราชสีมา!J676"")+IMPORTRANGE(""https://docs.google.com/spreadsheets/d/1_MzZ-2gVPiCW-d2V"&amp;"cafoCmFJQTSrZ6SQyFcMqRRQQ2w/edit?usp=share_link"",""บึงกาฬ!J676"")
+IMPORTRANGE(""https://docs.google.com/spreadsheets/d/1B3lPpzOuaNwVItLwLEZYl_qEblfcx7dRnbRkAw0l-pE/edit?usp=share_link"",""บุรีรัมย์!J676"")+IMPORTRANGE(""https://docs.google.com/spreadshe"&amp;"ets/d/19GOkiOqnzYbevLYWrMk4qFOXe3rX14BkSA8X-mq-a40/edit?usp=share_link"",""มหาสารคาม!J676"")+IMPORTRANGE(""https://docs.google.com/spreadsheets/d/1uMKqWwuNQ-TCKboGA3Bb1qXb5uj2-faACNUINCz8PN4/edit?usp=share_link"",""มุกดาหาร!J676"")+IMPORTRANGE(""https://d"&amp;"ocs.google.com/spreadsheets/d/1oKaccgDdQABndOzGr688Dbfxb_V3YcF67VqEPBtdzsc/edit?usp=share_link"",""ยโสธร!J676"")+IMPORTRANGE(""https://docs.google.com/spreadsheets/d/1BRgc8xKpxZ0PX-gauieMVkV_IOxKSotf0yW8MabGprQ/edit?usp=share_link"",""ร้อยเอ็ด!J676"")+IMP"&amp;"ORTRANGE(""https://docs.google.com/spreadsheets/d/1IdolZc-dfdgMwAm_KZxYJl1sUOcIgnbGQzbWOlddedo/edit?usp=share_link"",""เลย!J676"")+IMPORTRANGE(""https://docs.google.com/spreadsheets/d/1tZ0nmtGuIRCaGAMXHlQU8EpR9LOAJvyKfc4f7EFmE34/edit?usp=share_link"",""ศร"&amp;"ีสะเกษ!J676"")+IMPORTRANGE(""https://docs.google.com/spreadsheets/d/1QC8psz9w0f9IVE9Xuc2FT_btkaOzZbbUSgYObpBuetM/edit?usp=share_link"",""สกลนคร!J676"")+IMPORTRANGE(""https://docs.google.com/spreadsheets/d/1wPdvRbu02d33MYVlbsCnyTiZpefEBs9NNktAnT1HZvw/edit?"&amp;"usp=share_link"",""สุรินทร์!J676"")+IMPORTRANGE(""https://docs.google.com/spreadsheets/d/1GVExpf-Exi_2gmuqTYH28fseTB9MoKPXWcXCbSt_YrM/edit?usp=share_link"",""หนองคาย!J676"")+IMPORTRANGE(""https://docs.google.com/spreadsheets/d/16UeMz0UgOB5BZcoxP75eYGcLFtG"&amp;"YRn9GoesD4OX9m5U/edit?usp=share_link"",""หนองบัวลำภู!J676"")+IMPORTRANGE(""https://docs.google.com/spreadsheets/d/1uUP8Zo1-qaJLuIkRU0qlwLSE3DHkbdrrj2JGJiWBQZE/edit?usp=share_link"",""อำนาจเจริญ!J676"")+IMPORTRANGE(""https://docs.google.com/spreadsheets/d/"&amp;"1hb_taSOHanzRjqfzWPiFo8yiT83VV1L7vvUCLhOiHKc/edit?usp=share_link"",""อุดรธานี!J676"")+IMPORTRANGE(""https://docs.google.com/spreadsheets/d/17IOkEwkUd63EGNfyNDnM5de9YlZ7rwzTiW6-dokVjKI/edit?usp=share_link"",""อุบลราชธานี!J676"")
"),151)</f>
        <v>151</v>
      </c>
      <c r="K676" s="38"/>
      <c r="L676" s="163"/>
      <c r="M676" s="163"/>
      <c r="N676" s="163"/>
      <c r="O676" s="163"/>
      <c r="P676" s="163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</row>
    <row r="677" spans="1:26" ht="18.75">
      <c r="A677" s="608"/>
      <c r="B677" s="609"/>
      <c r="C677" s="609"/>
      <c r="D677" s="609"/>
      <c r="E677" s="619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fb2B9NLcpJgjIieIJvenUTNPn0TimZDUi0OtYeiSQ_s/edit?usp=share_link"",""กาฬสินธุ์!J677"")+IMPORTRANGE(""https://docs.google.com/spreadsheets/d/1SaMnqrwRGmFYNR0MhpWmHuL5niYUd5E7vDq8X7whAlI/edit?usp=share_li"&amp;"nk"",""ขอนแก่น!J677"")
+IMPORTRANGE(""https://docs.google.com/spreadsheets/d/1xQzEtGHhTTgxHh6YUkKY1P4dRyjVhS74dGswLfAASA4/edit?usp=share_link"",""ชัยภูมิ!J677"")+IMPORTRANGE(""https://docs.google.com/spreadsheets/d/1EXMBoBxU3OFbjT2TRpneM33qFjqDzrKmn9ydcfl"&amp;"fI0o/edit?usp=share_link"",""นครพนม!J677"")+IMPORTRANGE(""https://docs.google.com/spreadsheets/d/1bDQrolntRWtHumK8W-x-HXKntwxB9S3sF5aDeRS66Ko/edit?usp=share_link"",""นครราชสีมา!J677"")+IMPORTRANGE(""https://docs.google.com/spreadsheets/d/1_MzZ-2gVPiCW-d2V"&amp;"cafoCmFJQTSrZ6SQyFcMqRRQQ2w/edit?usp=share_link"",""บึงกาฬ!J677"")
+IMPORTRANGE(""https://docs.google.com/spreadsheets/d/1B3lPpzOuaNwVItLwLEZYl_qEblfcx7dRnbRkAw0l-pE/edit?usp=share_link"",""บุรีรัมย์!J677"")+IMPORTRANGE(""https://docs.google.com/spreadshe"&amp;"ets/d/19GOkiOqnzYbevLYWrMk4qFOXe3rX14BkSA8X-mq-a40/edit?usp=share_link"",""มหาสารคาม!J677"")+IMPORTRANGE(""https://docs.google.com/spreadsheets/d/1uMKqWwuNQ-TCKboGA3Bb1qXb5uj2-faACNUINCz8PN4/edit?usp=share_link"",""มุกดาหาร!J677"")+IMPORTRANGE(""https://d"&amp;"ocs.google.com/spreadsheets/d/1oKaccgDdQABndOzGr688Dbfxb_V3YcF67VqEPBtdzsc/edit?usp=share_link"",""ยโสธร!J677"")+IMPORTRANGE(""https://docs.google.com/spreadsheets/d/1BRgc8xKpxZ0PX-gauieMVkV_IOxKSotf0yW8MabGprQ/edit?usp=share_link"",""ร้อยเอ็ด!J677"")+IMP"&amp;"ORTRANGE(""https://docs.google.com/spreadsheets/d/1IdolZc-dfdgMwAm_KZxYJl1sUOcIgnbGQzbWOlddedo/edit?usp=share_link"",""เลย!J677"")+IMPORTRANGE(""https://docs.google.com/spreadsheets/d/1tZ0nmtGuIRCaGAMXHlQU8EpR9LOAJvyKfc4f7EFmE34/edit?usp=share_link"",""ศร"&amp;"ีสะเกษ!J677"")+IMPORTRANGE(""https://docs.google.com/spreadsheets/d/1QC8psz9w0f9IVE9Xuc2FT_btkaOzZbbUSgYObpBuetM/edit?usp=share_link"",""สกลนคร!J677"")+IMPORTRANGE(""https://docs.google.com/spreadsheets/d/1wPdvRbu02d33MYVlbsCnyTiZpefEBs9NNktAnT1HZvw/edit?"&amp;"usp=share_link"",""สุรินทร์!J677"")+IMPORTRANGE(""https://docs.google.com/spreadsheets/d/1GVExpf-Exi_2gmuqTYH28fseTB9MoKPXWcXCbSt_YrM/edit?usp=share_link"",""หนองคาย!J677"")+IMPORTRANGE(""https://docs.google.com/spreadsheets/d/16UeMz0UgOB5BZcoxP75eYGcLFtG"&amp;"YRn9GoesD4OX9m5U/edit?usp=share_link"",""หนองบัวลำภู!J677"")+IMPORTRANGE(""https://docs.google.com/spreadsheets/d/1uUP8Zo1-qaJLuIkRU0qlwLSE3DHkbdrrj2JGJiWBQZE/edit?usp=share_link"",""อำนาจเจริญ!J677"")+IMPORTRANGE(""https://docs.google.com/spreadsheets/d/"&amp;"1hb_taSOHanzRjqfzWPiFo8yiT83VV1L7vvUCLhOiHKc/edit?usp=share_link"",""อุดรธานี!J677"")+IMPORTRANGE(""https://docs.google.com/spreadsheets/d/17IOkEwkUd63EGNfyNDnM5de9YlZ7rwzTiW6-dokVjKI/edit?usp=share_link"",""อุบลราชธานี!J677"")
"),100)</f>
        <v>100</v>
      </c>
      <c r="K677" s="38"/>
      <c r="L677" s="163"/>
      <c r="M677" s="163"/>
      <c r="N677" s="163"/>
      <c r="O677" s="163"/>
      <c r="P677" s="163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</row>
    <row r="678" spans="1:26" ht="19.5">
      <c r="A678" s="608"/>
      <c r="B678" s="609"/>
      <c r="C678" s="609"/>
      <c r="D678" s="618" t="s">
        <v>290</v>
      </c>
      <c r="E678" s="619"/>
      <c r="F678" s="619"/>
      <c r="G678" s="175"/>
      <c r="H678" s="182" t="s">
        <v>46</v>
      </c>
      <c r="I678" s="194">
        <f ca="1">IFERROR(__xludf.DUMMYFUNCTION("IMPORTRANGE(""https://docs.google.com/spreadsheets/d/1fb2B9NLcpJgjIieIJvenUTNPn0TimZDUi0OtYeiSQ_s/edit?usp=share_link"",""กาฬสินธุ์!I678"")+IMPORTRANGE(""https://docs.google.com/spreadsheets/d/1SaMnqrwRGmFYNR0MhpWmHuL5niYUd5E7vDq8X7whAlI/edit?usp=share_li"&amp;"nk"",""ขอนแก่น!I678"")
+IMPORTRANGE(""https://docs.google.com/spreadsheets/d/1xQzEtGHhTTgxHh6YUkKY1P4dRyjVhS74dGswLfAASA4/edit?usp=share_link"",""ชัยภูมิ!I678"")+IMPORTRANGE(""https://docs.google.com/spreadsheets/d/1EXMBoBxU3OFbjT2TRpneM33qFjqDzrKmn9ydcfl"&amp;"fI0o/edit?usp=share_link"",""นครพนม!I678"")+IMPORTRANGE(""https://docs.google.com/spreadsheets/d/1bDQrolntRWtHumK8W-x-HXKntwxB9S3sF5aDeRS66Ko/edit?usp=share_link"",""นครราชสีมา!I678"")+IMPORTRANGE(""https://docs.google.com/spreadsheets/d/1_MzZ-2gVPiCW-d2V"&amp;"cafoCmFJQTSrZ6SQyFcMqRRQQ2w/edit?usp=share_link"",""บึงกาฬ!I678"")
+IMPORTRANGE(""https://docs.google.com/spreadsheets/d/1B3lPpzOuaNwVItLwLEZYl_qEblfcx7dRnbRkAw0l-pE/edit?usp=share_link"",""บุรีรัมย์!I678"")+IMPORTRANGE(""https://docs.google.com/spreadshe"&amp;"ets/d/19GOkiOqnzYbevLYWrMk4qFOXe3rX14BkSA8X-mq-a40/edit?usp=share_link"",""มหาสารคาม!I678"")+IMPORTRANGE(""https://docs.google.com/spreadsheets/d/1uMKqWwuNQ-TCKboGA3Bb1qXb5uj2-faACNUINCz8PN4/edit?usp=share_link"",""มุกดาหาร!I678"")+IMPORTRANGE(""https://d"&amp;"ocs.google.com/spreadsheets/d/1oKaccgDdQABndOzGr688Dbfxb_V3YcF67VqEPBtdzsc/edit?usp=share_link"",""ยโสธร!I678"")+IMPORTRANGE(""https://docs.google.com/spreadsheets/d/1BRgc8xKpxZ0PX-gauieMVkV_IOxKSotf0yW8MabGprQ/edit?usp=share_link"",""ร้อยเอ็ด!I678"")+IMP"&amp;"ORTRANGE(""https://docs.google.com/spreadsheets/d/1IdolZc-dfdgMwAm_KZxYJl1sUOcIgnbGQzbWOlddedo/edit?usp=share_link"",""เลย!I678"")+IMPORTRANGE(""https://docs.google.com/spreadsheets/d/1tZ0nmtGuIRCaGAMXHlQU8EpR9LOAJvyKfc4f7EFmE34/edit?usp=share_link"",""ศร"&amp;"ีสะเกษ!I678"")+IMPORTRANGE(""https://docs.google.com/spreadsheets/d/1QC8psz9w0f9IVE9Xuc2FT_btkaOzZbbUSgYObpBuetM/edit?usp=share_link"",""สกลนคร!I678"")+IMPORTRANGE(""https://docs.google.com/spreadsheets/d/1wPdvRbu02d33MYVlbsCnyTiZpefEBs9NNktAnT1HZvw/edit?"&amp;"usp=share_link"",""สุรินทร์!I678"")+IMPORTRANGE(""https://docs.google.com/spreadsheets/d/1GVExpf-Exi_2gmuqTYH28fseTB9MoKPXWcXCbSt_YrM/edit?usp=share_link"",""หนองคาย!I678"")+IMPORTRANGE(""https://docs.google.com/spreadsheets/d/16UeMz0UgOB5BZcoxP75eYGcLFtG"&amp;"YRn9GoesD4OX9m5U/edit?usp=share_link"",""หนองบัวลำภู!I678"")+IMPORTRANGE(""https://docs.google.com/spreadsheets/d/1uUP8Zo1-qaJLuIkRU0qlwLSE3DHkbdrrj2JGJiWBQZE/edit?usp=share_link"",""อำนาจเจริญ!I678"")+IMPORTRANGE(""https://docs.google.com/spreadsheets/d/"&amp;"1hb_taSOHanzRjqfzWPiFo8yiT83VV1L7vvUCLhOiHKc/edit?usp=share_link"",""อุดรธานี!I678"")+IMPORTRANGE(""https://docs.google.com/spreadsheets/d/17IOkEwkUd63EGNfyNDnM5de9YlZ7rwzTiW6-dokVjKI/edit?usp=share_link"",""อุบลราชธานี!I678"")
"),0)</f>
        <v>0</v>
      </c>
      <c r="J678" s="194">
        <f ca="1">J679</f>
        <v>122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</row>
    <row r="679" spans="1:26" ht="18.75">
      <c r="A679" s="608"/>
      <c r="B679" s="609"/>
      <c r="C679" s="609"/>
      <c r="D679" s="609"/>
      <c r="E679" s="187" t="s">
        <v>291</v>
      </c>
      <c r="F679" s="619"/>
      <c r="G679" s="175"/>
      <c r="H679" s="182" t="s">
        <v>46</v>
      </c>
      <c r="I679" s="37"/>
      <c r="J679" s="37">
        <f ca="1">J680+J681</f>
        <v>122</v>
      </c>
      <c r="K679" s="38"/>
      <c r="L679" s="163"/>
      <c r="M679" s="163"/>
      <c r="N679" s="163"/>
      <c r="O679" s="163"/>
      <c r="P679" s="163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</row>
    <row r="680" spans="1:26" ht="18.75">
      <c r="A680" s="608"/>
      <c r="B680" s="609"/>
      <c r="C680" s="609"/>
      <c r="D680" s="609"/>
      <c r="E680" s="619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fb2B9NLcpJgjIieIJvenUTNPn0TimZDUi0OtYeiSQ_s/edit?usp=share_link"",""กาฬสินธุ์!J680"")+IMPORTRANGE(""https://docs.google.com/spreadsheets/d/1SaMnqrwRGmFYNR0MhpWmHuL5niYUd5E7vDq8X7whAlI/edit?usp=share_li"&amp;"nk"",""ขอนแก่น!J680"")
+IMPORTRANGE(""https://docs.google.com/spreadsheets/d/1xQzEtGHhTTgxHh6YUkKY1P4dRyjVhS74dGswLfAASA4/edit?usp=share_link"",""ชัยภูมิ!J680"")+IMPORTRANGE(""https://docs.google.com/spreadsheets/d/1EXMBoBxU3OFbjT2TRpneM33qFjqDzrKmn9ydcfl"&amp;"fI0o/edit?usp=share_link"",""นครพนม!J680"")+IMPORTRANGE(""https://docs.google.com/spreadsheets/d/1bDQrolntRWtHumK8W-x-HXKntwxB9S3sF5aDeRS66Ko/edit?usp=share_link"",""นครราชสีมา!J680"")+IMPORTRANGE(""https://docs.google.com/spreadsheets/d/1_MzZ-2gVPiCW-d2V"&amp;"cafoCmFJQTSrZ6SQyFcMqRRQQ2w/edit?usp=share_link"",""บึงกาฬ!J680"")
+IMPORTRANGE(""https://docs.google.com/spreadsheets/d/1B3lPpzOuaNwVItLwLEZYl_qEblfcx7dRnbRkAw0l-pE/edit?usp=share_link"",""บุรีรัมย์!J680"")+IMPORTRANGE(""https://docs.google.com/spreadshe"&amp;"ets/d/19GOkiOqnzYbevLYWrMk4qFOXe3rX14BkSA8X-mq-a40/edit?usp=share_link"",""มหาสารคาม!J680"")+IMPORTRANGE(""https://docs.google.com/spreadsheets/d/1uMKqWwuNQ-TCKboGA3Bb1qXb5uj2-faACNUINCz8PN4/edit?usp=share_link"",""มุกดาหาร!J680"")+IMPORTRANGE(""https://d"&amp;"ocs.google.com/spreadsheets/d/1oKaccgDdQABndOzGr688Dbfxb_V3YcF67VqEPBtdzsc/edit?usp=share_link"",""ยโสธร!J680"")+IMPORTRANGE(""https://docs.google.com/spreadsheets/d/1BRgc8xKpxZ0PX-gauieMVkV_IOxKSotf0yW8MabGprQ/edit?usp=share_link"",""ร้อยเอ็ด!J680"")+IMP"&amp;"ORTRANGE(""https://docs.google.com/spreadsheets/d/1IdolZc-dfdgMwAm_KZxYJl1sUOcIgnbGQzbWOlddedo/edit?usp=share_link"",""เลย!J680"")+IMPORTRANGE(""https://docs.google.com/spreadsheets/d/1tZ0nmtGuIRCaGAMXHlQU8EpR9LOAJvyKfc4f7EFmE34/edit?usp=share_link"",""ศร"&amp;"ีสะเกษ!J680"")+IMPORTRANGE(""https://docs.google.com/spreadsheets/d/1QC8psz9w0f9IVE9Xuc2FT_btkaOzZbbUSgYObpBuetM/edit?usp=share_link"",""สกลนคร!J680"")+IMPORTRANGE(""https://docs.google.com/spreadsheets/d/1wPdvRbu02d33MYVlbsCnyTiZpefEBs9NNktAnT1HZvw/edit?"&amp;"usp=share_link"",""สุรินทร์!J680"")+IMPORTRANGE(""https://docs.google.com/spreadsheets/d/1GVExpf-Exi_2gmuqTYH28fseTB9MoKPXWcXCbSt_YrM/edit?usp=share_link"",""หนองคาย!J680"")+IMPORTRANGE(""https://docs.google.com/spreadsheets/d/16UeMz0UgOB5BZcoxP75eYGcLFtG"&amp;"YRn9GoesD4OX9m5U/edit?usp=share_link"",""หนองบัวลำภู!J680"")+IMPORTRANGE(""https://docs.google.com/spreadsheets/d/1uUP8Zo1-qaJLuIkRU0qlwLSE3DHkbdrrj2JGJiWBQZE/edit?usp=share_link"",""อำนาจเจริญ!J680"")+IMPORTRANGE(""https://docs.google.com/spreadsheets/d/"&amp;"1hb_taSOHanzRjqfzWPiFo8yiT83VV1L7vvUCLhOiHKc/edit?usp=share_link"",""อุดรธานี!J680"")+IMPORTRANGE(""https://docs.google.com/spreadsheets/d/17IOkEwkUd63EGNfyNDnM5de9YlZ7rwzTiW6-dokVjKI/edit?usp=share_link"",""อุบลราชธานี!J680"")
"),0)</f>
        <v>0</v>
      </c>
      <c r="K680" s="38"/>
      <c r="L680" s="163"/>
      <c r="M680" s="163"/>
      <c r="N680" s="163"/>
      <c r="O680" s="163"/>
      <c r="P680" s="163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</row>
    <row r="681" spans="1:26" ht="18.75">
      <c r="A681" s="608"/>
      <c r="B681" s="609"/>
      <c r="C681" s="609"/>
      <c r="D681" s="609"/>
      <c r="E681" s="619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fb2B9NLcpJgjIieIJvenUTNPn0TimZDUi0OtYeiSQ_s/edit?usp=share_link"",""กาฬสินธุ์!J681"")+IMPORTRANGE(""https://docs.google.com/spreadsheets/d/1SaMnqrwRGmFYNR0MhpWmHuL5niYUd5E7vDq8X7whAlI/edit?usp=share_li"&amp;"nk"",""ขอนแก่น!J681"")
+IMPORTRANGE(""https://docs.google.com/spreadsheets/d/1xQzEtGHhTTgxHh6YUkKY1P4dRyjVhS74dGswLfAASA4/edit?usp=share_link"",""ชัยภูมิ!J681"")+IMPORTRANGE(""https://docs.google.com/spreadsheets/d/1EXMBoBxU3OFbjT2TRpneM33qFjqDzrKmn9ydcfl"&amp;"fI0o/edit?usp=share_link"",""นครพนม!J681"")+IMPORTRANGE(""https://docs.google.com/spreadsheets/d/1bDQrolntRWtHumK8W-x-HXKntwxB9S3sF5aDeRS66Ko/edit?usp=share_link"",""นครราชสีมา!J681"")+IMPORTRANGE(""https://docs.google.com/spreadsheets/d/1_MzZ-2gVPiCW-d2V"&amp;"cafoCmFJQTSrZ6SQyFcMqRRQQ2w/edit?usp=share_link"",""บึงกาฬ!J681"")
+IMPORTRANGE(""https://docs.google.com/spreadsheets/d/1B3lPpzOuaNwVItLwLEZYl_qEblfcx7dRnbRkAw0l-pE/edit?usp=share_link"",""บุรีรัมย์!J681"")+IMPORTRANGE(""https://docs.google.com/spreadshe"&amp;"ets/d/19GOkiOqnzYbevLYWrMk4qFOXe3rX14BkSA8X-mq-a40/edit?usp=share_link"",""มหาสารคาม!J681"")+IMPORTRANGE(""https://docs.google.com/spreadsheets/d/1uMKqWwuNQ-TCKboGA3Bb1qXb5uj2-faACNUINCz8PN4/edit?usp=share_link"",""มุกดาหาร!J681"")+IMPORTRANGE(""https://d"&amp;"ocs.google.com/spreadsheets/d/1oKaccgDdQABndOzGr688Dbfxb_V3YcF67VqEPBtdzsc/edit?usp=share_link"",""ยโสธร!J681"")+IMPORTRANGE(""https://docs.google.com/spreadsheets/d/1BRgc8xKpxZ0PX-gauieMVkV_IOxKSotf0yW8MabGprQ/edit?usp=share_link"",""ร้อยเอ็ด!J681"")+IMP"&amp;"ORTRANGE(""https://docs.google.com/spreadsheets/d/1IdolZc-dfdgMwAm_KZxYJl1sUOcIgnbGQzbWOlddedo/edit?usp=share_link"",""เลย!J681"")+IMPORTRANGE(""https://docs.google.com/spreadsheets/d/1tZ0nmtGuIRCaGAMXHlQU8EpR9LOAJvyKfc4f7EFmE34/edit?usp=share_link"",""ศร"&amp;"ีสะเกษ!J681"")+IMPORTRANGE(""https://docs.google.com/spreadsheets/d/1QC8psz9w0f9IVE9Xuc2FT_btkaOzZbbUSgYObpBuetM/edit?usp=share_link"",""สกลนคร!J681"")+IMPORTRANGE(""https://docs.google.com/spreadsheets/d/1wPdvRbu02d33MYVlbsCnyTiZpefEBs9NNktAnT1HZvw/edit?"&amp;"usp=share_link"",""สุรินทร์!J681"")+IMPORTRANGE(""https://docs.google.com/spreadsheets/d/1GVExpf-Exi_2gmuqTYH28fseTB9MoKPXWcXCbSt_YrM/edit?usp=share_link"",""หนองคาย!J681"")+IMPORTRANGE(""https://docs.google.com/spreadsheets/d/16UeMz0UgOB5BZcoxP75eYGcLFtG"&amp;"YRn9GoesD4OX9m5U/edit?usp=share_link"",""หนองบัวลำภู!J681"")+IMPORTRANGE(""https://docs.google.com/spreadsheets/d/1uUP8Zo1-qaJLuIkRU0qlwLSE3DHkbdrrj2JGJiWBQZE/edit?usp=share_link"",""อำนาจเจริญ!J681"")+IMPORTRANGE(""https://docs.google.com/spreadsheets/d/"&amp;"1hb_taSOHanzRjqfzWPiFo8yiT83VV1L7vvUCLhOiHKc/edit?usp=share_link"",""อุดรธานี!J681"")+IMPORTRANGE(""https://docs.google.com/spreadsheets/d/17IOkEwkUd63EGNfyNDnM5de9YlZ7rwzTiW6-dokVjKI/edit?usp=share_link"",""อุบลราชธานี!J681"")
"),122)</f>
        <v>122</v>
      </c>
      <c r="K681" s="38"/>
      <c r="L681" s="163"/>
      <c r="M681" s="163"/>
      <c r="N681" s="163"/>
      <c r="O681" s="163"/>
      <c r="P681" s="163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</row>
    <row r="682" spans="1:26" ht="18.75">
      <c r="A682" s="608"/>
      <c r="B682" s="609"/>
      <c r="C682" s="609"/>
      <c r="D682" s="609"/>
      <c r="E682" s="187" t="s">
        <v>292</v>
      </c>
      <c r="F682" s="619"/>
      <c r="G682" s="175"/>
      <c r="H682" s="182" t="s">
        <v>46</v>
      </c>
      <c r="I682" s="37"/>
      <c r="J682" s="183">
        <f ca="1">IFERROR(__xludf.DUMMYFUNCTION("IMPORTRANGE(""https://docs.google.com/spreadsheets/d/1fb2B9NLcpJgjIieIJvenUTNPn0TimZDUi0OtYeiSQ_s/edit?usp=share_link"",""กาฬสินธุ์!J682"")+IMPORTRANGE(""https://docs.google.com/spreadsheets/d/1SaMnqrwRGmFYNR0MhpWmHuL5niYUd5E7vDq8X7whAlI/edit?usp=share_li"&amp;"nk"",""ขอนแก่น!J682"")
+IMPORTRANGE(""https://docs.google.com/spreadsheets/d/1xQzEtGHhTTgxHh6YUkKY1P4dRyjVhS74dGswLfAASA4/edit?usp=share_link"",""ชัยภูมิ!J682"")+IMPORTRANGE(""https://docs.google.com/spreadsheets/d/1EXMBoBxU3OFbjT2TRpneM33qFjqDzrKmn9ydcfl"&amp;"fI0o/edit?usp=share_link"",""นครพนม!J682"")+IMPORTRANGE(""https://docs.google.com/spreadsheets/d/1bDQrolntRWtHumK8W-x-HXKntwxB9S3sF5aDeRS66Ko/edit?usp=share_link"",""นครราชสีมา!J682"")+IMPORTRANGE(""https://docs.google.com/spreadsheets/d/1_MzZ-2gVPiCW-d2V"&amp;"cafoCmFJQTSrZ6SQyFcMqRRQQ2w/edit?usp=share_link"",""บึงกาฬ!J682"")
+IMPORTRANGE(""https://docs.google.com/spreadsheets/d/1B3lPpzOuaNwVItLwLEZYl_qEblfcx7dRnbRkAw0l-pE/edit?usp=share_link"",""บุรีรัมย์!J682"")+IMPORTRANGE(""https://docs.google.com/spreadshe"&amp;"ets/d/19GOkiOqnzYbevLYWrMk4qFOXe3rX14BkSA8X-mq-a40/edit?usp=share_link"",""มหาสารคาม!J682"")+IMPORTRANGE(""https://docs.google.com/spreadsheets/d/1uMKqWwuNQ-TCKboGA3Bb1qXb5uj2-faACNUINCz8PN4/edit?usp=share_link"",""มุกดาหาร!J682"")+IMPORTRANGE(""https://d"&amp;"ocs.google.com/spreadsheets/d/1oKaccgDdQABndOzGr688Dbfxb_V3YcF67VqEPBtdzsc/edit?usp=share_link"",""ยโสธร!J682"")+IMPORTRANGE(""https://docs.google.com/spreadsheets/d/1BRgc8xKpxZ0PX-gauieMVkV_IOxKSotf0yW8MabGprQ/edit?usp=share_link"",""ร้อยเอ็ด!J682"")+IMP"&amp;"ORTRANGE(""https://docs.google.com/spreadsheets/d/1IdolZc-dfdgMwAm_KZxYJl1sUOcIgnbGQzbWOlddedo/edit?usp=share_link"",""เลย!J682"")+IMPORTRANGE(""https://docs.google.com/spreadsheets/d/1tZ0nmtGuIRCaGAMXHlQU8EpR9LOAJvyKfc4f7EFmE34/edit?usp=share_link"",""ศร"&amp;"ีสะเกษ!J682"")+IMPORTRANGE(""https://docs.google.com/spreadsheets/d/1QC8psz9w0f9IVE9Xuc2FT_btkaOzZbbUSgYObpBuetM/edit?usp=share_link"",""สกลนคร!J682"")+IMPORTRANGE(""https://docs.google.com/spreadsheets/d/1wPdvRbu02d33MYVlbsCnyTiZpefEBs9NNktAnT1HZvw/edit?"&amp;"usp=share_link"",""สุรินทร์!J682"")+IMPORTRANGE(""https://docs.google.com/spreadsheets/d/1GVExpf-Exi_2gmuqTYH28fseTB9MoKPXWcXCbSt_YrM/edit?usp=share_link"",""หนองคาย!J682"")+IMPORTRANGE(""https://docs.google.com/spreadsheets/d/16UeMz0UgOB5BZcoxP75eYGcLFtG"&amp;"YRn9GoesD4OX9m5U/edit?usp=share_link"",""หนองบัวลำภู!J682"")+IMPORTRANGE(""https://docs.google.com/spreadsheets/d/1uUP8Zo1-qaJLuIkRU0qlwLSE3DHkbdrrj2JGJiWBQZE/edit?usp=share_link"",""อำนาจเจริญ!J682"")+IMPORTRANGE(""https://docs.google.com/spreadsheets/d/"&amp;"1hb_taSOHanzRjqfzWPiFo8yiT83VV1L7vvUCLhOiHKc/edit?usp=share_link"",""อุดรธานี!J682"")+IMPORTRANGE(""https://docs.google.com/spreadsheets/d/17IOkEwkUd63EGNfyNDnM5de9YlZ7rwzTiW6-dokVjKI/edit?usp=share_link"",""อุบลราชธานี!J682"")
"),0)</f>
        <v>0</v>
      </c>
      <c r="K682" s="38"/>
      <c r="L682" s="163"/>
      <c r="M682" s="163"/>
      <c r="N682" s="163"/>
      <c r="O682" s="163"/>
      <c r="P682" s="163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</row>
    <row r="683" spans="1:26" ht="18.75">
      <c r="A683" s="608"/>
      <c r="B683" s="609"/>
      <c r="C683" s="609"/>
      <c r="D683" s="609"/>
      <c r="E683" s="619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fb2B9NLcpJgjIieIJvenUTNPn0TimZDUi0OtYeiSQ_s/edit?usp=share_link"",""กาฬสินธุ์!J683"")+IMPORTRANGE(""https://docs.google.com/spreadsheets/d/1SaMnqrwRGmFYNR0MhpWmHuL5niYUd5E7vDq8X7whAlI/edit?usp=share_li"&amp;"nk"",""ขอนแก่น!J683"")
+IMPORTRANGE(""https://docs.google.com/spreadsheets/d/1xQzEtGHhTTgxHh6YUkKY1P4dRyjVhS74dGswLfAASA4/edit?usp=share_link"",""ชัยภูมิ!J683"")+IMPORTRANGE(""https://docs.google.com/spreadsheets/d/1EXMBoBxU3OFbjT2TRpneM33qFjqDzrKmn9ydcfl"&amp;"fI0o/edit?usp=share_link"",""นครพนม!J683"")+IMPORTRANGE(""https://docs.google.com/spreadsheets/d/1bDQrolntRWtHumK8W-x-HXKntwxB9S3sF5aDeRS66Ko/edit?usp=share_link"",""นครราชสีมา!J683"")+IMPORTRANGE(""https://docs.google.com/spreadsheets/d/1_MzZ-2gVPiCW-d2V"&amp;"cafoCmFJQTSrZ6SQyFcMqRRQQ2w/edit?usp=share_link"",""บึงกาฬ!J683"")
+IMPORTRANGE(""https://docs.google.com/spreadsheets/d/1B3lPpzOuaNwVItLwLEZYl_qEblfcx7dRnbRkAw0l-pE/edit?usp=share_link"",""บุรีรัมย์!J683"")+IMPORTRANGE(""https://docs.google.com/spreadshe"&amp;"ets/d/19GOkiOqnzYbevLYWrMk4qFOXe3rX14BkSA8X-mq-a40/edit?usp=share_link"",""มหาสารคาม!J683"")+IMPORTRANGE(""https://docs.google.com/spreadsheets/d/1uMKqWwuNQ-TCKboGA3Bb1qXb5uj2-faACNUINCz8PN4/edit?usp=share_link"",""มุกดาหาร!J683"")+IMPORTRANGE(""https://d"&amp;"ocs.google.com/spreadsheets/d/1oKaccgDdQABndOzGr688Dbfxb_V3YcF67VqEPBtdzsc/edit?usp=share_link"",""ยโสธร!J683"")+IMPORTRANGE(""https://docs.google.com/spreadsheets/d/1BRgc8xKpxZ0PX-gauieMVkV_IOxKSotf0yW8MabGprQ/edit?usp=share_link"",""ร้อยเอ็ด!J683"")+IMP"&amp;"ORTRANGE(""https://docs.google.com/spreadsheets/d/1IdolZc-dfdgMwAm_KZxYJl1sUOcIgnbGQzbWOlddedo/edit?usp=share_link"",""เลย!J683"")+IMPORTRANGE(""https://docs.google.com/spreadsheets/d/1tZ0nmtGuIRCaGAMXHlQU8EpR9LOAJvyKfc4f7EFmE34/edit?usp=share_link"",""ศร"&amp;"ีสะเกษ!J683"")+IMPORTRANGE(""https://docs.google.com/spreadsheets/d/1QC8psz9w0f9IVE9Xuc2FT_btkaOzZbbUSgYObpBuetM/edit?usp=share_link"",""สกลนคร!J683"")+IMPORTRANGE(""https://docs.google.com/spreadsheets/d/1wPdvRbu02d33MYVlbsCnyTiZpefEBs9NNktAnT1HZvw/edit?"&amp;"usp=share_link"",""สุรินทร์!J683"")+IMPORTRANGE(""https://docs.google.com/spreadsheets/d/1GVExpf-Exi_2gmuqTYH28fseTB9MoKPXWcXCbSt_YrM/edit?usp=share_link"",""หนองคาย!J683"")+IMPORTRANGE(""https://docs.google.com/spreadsheets/d/16UeMz0UgOB5BZcoxP75eYGcLFtG"&amp;"YRn9GoesD4OX9m5U/edit?usp=share_link"",""หนองบัวลำภู!J683"")+IMPORTRANGE(""https://docs.google.com/spreadsheets/d/1uUP8Zo1-qaJLuIkRU0qlwLSE3DHkbdrrj2JGJiWBQZE/edit?usp=share_link"",""อำนาจเจริญ!J683"")+IMPORTRANGE(""https://docs.google.com/spreadsheets/d/"&amp;"1hb_taSOHanzRjqfzWPiFo8yiT83VV1L7vvUCLhOiHKc/edit?usp=share_link"",""อุดรธานี!J683"")+IMPORTRANGE(""https://docs.google.com/spreadsheets/d/17IOkEwkUd63EGNfyNDnM5de9YlZ7rwzTiW6-dokVjKI/edit?usp=share_link"",""อุบลราชธานี!J683"")
"),0)</f>
        <v>0</v>
      </c>
      <c r="K683" s="38"/>
      <c r="L683" s="163"/>
      <c r="M683" s="163"/>
      <c r="N683" s="163"/>
      <c r="O683" s="163"/>
      <c r="P683" s="163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</row>
    <row r="684" spans="1:26" ht="19.5">
      <c r="A684" s="753"/>
      <c r="B684" s="754" t="s">
        <v>294</v>
      </c>
      <c r="C684" s="753"/>
      <c r="D684" s="753"/>
      <c r="E684" s="753"/>
      <c r="F684" s="753"/>
      <c r="G684" s="755"/>
      <c r="H684" s="755"/>
      <c r="I684" s="756"/>
      <c r="J684" s="756"/>
      <c r="K684" s="757"/>
      <c r="L684" s="757"/>
      <c r="M684" s="757"/>
      <c r="N684" s="757"/>
      <c r="O684" s="757"/>
      <c r="P684" s="757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</row>
    <row r="685" spans="1:26" ht="19.5">
      <c r="A685" s="597"/>
      <c r="B685" s="576"/>
      <c r="C685" s="576" t="s">
        <v>16</v>
      </c>
      <c r="D685" s="863" t="s">
        <v>17</v>
      </c>
      <c r="E685" s="857"/>
      <c r="F685" s="857"/>
      <c r="G685" s="189"/>
      <c r="H685" s="598" t="s">
        <v>12</v>
      </c>
      <c r="I685" s="37"/>
      <c r="J685" s="37"/>
      <c r="K685" s="38"/>
      <c r="L685" s="195">
        <f t="shared" ref="L685:N685" ca="1" si="320">L686+L687</f>
        <v>346040</v>
      </c>
      <c r="M685" s="195">
        <f t="shared" ca="1" si="320"/>
        <v>279420</v>
      </c>
      <c r="N685" s="195">
        <f t="shared" ca="1" si="320"/>
        <v>279420</v>
      </c>
      <c r="O685" s="195">
        <f t="shared" ref="O685:O688" ca="1" si="321">IF(L685&gt;0,N685*100/L685,0)</f>
        <v>80.747890417292794</v>
      </c>
      <c r="P685" s="195">
        <f t="shared" ref="P685:P688" ca="1" si="322">IF(M685&gt;0,N685*100/M685,0)</f>
        <v>100</v>
      </c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</row>
    <row r="686" spans="1:26" ht="18.75" hidden="1">
      <c r="A686" s="599"/>
      <c r="B686" s="600"/>
      <c r="C686" s="600"/>
      <c r="D686" s="601"/>
      <c r="E686" s="602" t="s">
        <v>185</v>
      </c>
      <c r="F686" s="600"/>
      <c r="G686" s="603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604"/>
      <c r="R686" s="604"/>
      <c r="S686" s="604"/>
      <c r="T686" s="604"/>
      <c r="U686" s="604"/>
      <c r="V686" s="604"/>
      <c r="W686" s="604"/>
      <c r="X686" s="604"/>
      <c r="Y686" s="604"/>
      <c r="Z686" s="604"/>
    </row>
    <row r="687" spans="1:26" ht="18.75" hidden="1">
      <c r="A687" s="599"/>
      <c r="B687" s="605"/>
      <c r="C687" s="600"/>
      <c r="D687" s="601"/>
      <c r="E687" s="602" t="s">
        <v>186</v>
      </c>
      <c r="F687" s="600"/>
      <c r="G687" s="603"/>
      <c r="H687" s="165" t="s">
        <v>12</v>
      </c>
      <c r="I687" s="44"/>
      <c r="J687" s="44"/>
      <c r="K687" s="45"/>
      <c r="L687" s="45">
        <f t="shared" ref="L687:N687" ca="1" si="324">L690+L697</f>
        <v>346040</v>
      </c>
      <c r="M687" s="45">
        <f t="shared" ca="1" si="324"/>
        <v>279420</v>
      </c>
      <c r="N687" s="45">
        <f t="shared" ca="1" si="324"/>
        <v>279420</v>
      </c>
      <c r="O687" s="45">
        <f t="shared" ca="1" si="321"/>
        <v>80.747890417292794</v>
      </c>
      <c r="P687" s="45">
        <f t="shared" ca="1" si="322"/>
        <v>100</v>
      </c>
      <c r="Q687" s="604"/>
      <c r="R687" s="604"/>
      <c r="S687" s="604"/>
      <c r="T687" s="604"/>
      <c r="U687" s="604"/>
      <c r="V687" s="604"/>
      <c r="W687" s="604"/>
      <c r="X687" s="604"/>
      <c r="Y687" s="604"/>
      <c r="Z687" s="604"/>
    </row>
    <row r="688" spans="1:26" ht="18.75">
      <c r="A688" s="597"/>
      <c r="B688" s="575"/>
      <c r="C688" s="576"/>
      <c r="D688" s="606" t="s">
        <v>20</v>
      </c>
      <c r="E688" s="576"/>
      <c r="F688" s="576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346040</v>
      </c>
      <c r="M688" s="38">
        <f t="shared" ca="1" si="325"/>
        <v>279420</v>
      </c>
      <c r="N688" s="38">
        <f t="shared" ca="1" si="325"/>
        <v>279420</v>
      </c>
      <c r="O688" s="38">
        <f t="shared" ca="1" si="321"/>
        <v>80.747890417292794</v>
      </c>
      <c r="P688" s="38">
        <f t="shared" ca="1" si="322"/>
        <v>100</v>
      </c>
      <c r="Q688" s="578"/>
      <c r="R688" s="578"/>
      <c r="S688" s="578"/>
      <c r="T688" s="578"/>
      <c r="U688" s="578"/>
      <c r="V688" s="578"/>
      <c r="W688" s="578"/>
      <c r="X688" s="578"/>
      <c r="Y688" s="578"/>
      <c r="Z688" s="578"/>
    </row>
    <row r="689" spans="1:26" ht="18.75" hidden="1">
      <c r="A689" s="599"/>
      <c r="B689" s="605"/>
      <c r="C689" s="600"/>
      <c r="D689" s="601"/>
      <c r="E689" s="602" t="s">
        <v>185</v>
      </c>
      <c r="F689" s="600"/>
      <c r="G689" s="603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604"/>
      <c r="R689" s="604"/>
      <c r="S689" s="604"/>
      <c r="T689" s="604"/>
      <c r="U689" s="604"/>
      <c r="V689" s="604"/>
      <c r="W689" s="604"/>
      <c r="X689" s="604"/>
      <c r="Y689" s="604"/>
      <c r="Z689" s="604"/>
    </row>
    <row r="690" spans="1:26" ht="18.75" hidden="1">
      <c r="A690" s="599"/>
      <c r="B690" s="605"/>
      <c r="C690" s="600"/>
      <c r="D690" s="601"/>
      <c r="E690" s="602" t="s">
        <v>186</v>
      </c>
      <c r="F690" s="600"/>
      <c r="G690" s="603"/>
      <c r="H690" s="165" t="s">
        <v>12</v>
      </c>
      <c r="I690" s="44"/>
      <c r="J690" s="44"/>
      <c r="K690" s="45"/>
      <c r="L690" s="45">
        <f ca="1">IFERROR(__xludf.DUMMYFUNCTION("IMPORTRANGE(""https://docs.google.com/spreadsheets/d/1fb2B9NLcpJgjIieIJvenUTNPn0TimZDUi0OtYeiSQ_s/edit?usp=share_link"",""กาฬสินธุ์!L690"")+IMPORTRANGE(""https://docs.google.com/spreadsheets/d/1SaMnqrwRGmFYNR0MhpWmHuL5niYUd5E7vDq8X7whAlI/edit?usp=share_li"&amp;"nk"",""ขอนแก่น!L690"")
+IMPORTRANGE(""https://docs.google.com/spreadsheets/d/1xQzEtGHhTTgxHh6YUkKY1P4dRyjVhS74dGswLfAASA4/edit?usp=share_link"",""ชัยภูมิ!L690"")+IMPORTRANGE(""https://docs.google.com/spreadsheets/d/1EXMBoBxU3OFbjT2TRpneM33qFjqDzrKmn9ydcfl"&amp;"fI0o/edit?usp=share_link"",""นครพนม!L690"")+IMPORTRANGE(""https://docs.google.com/spreadsheets/d/1bDQrolntRWtHumK8W-x-HXKntwxB9S3sF5aDeRS66Ko/edit?usp=share_link"",""นครราชสีมา!L690"")+IMPORTRANGE(""https://docs.google.com/spreadsheets/d/1_MzZ-2gVPiCW-d2V"&amp;"cafoCmFJQTSrZ6SQyFcMqRRQQ2w/edit?usp=share_link"",""บึงกาฬ!L690"")
+IMPORTRANGE(""https://docs.google.com/spreadsheets/d/1B3lPpzOuaNwVItLwLEZYl_qEblfcx7dRnbRkAw0l-pE/edit?usp=share_link"",""บุรีรัมย์!L690"")+IMPORTRANGE(""https://docs.google.com/spreadshe"&amp;"ets/d/19GOkiOqnzYbevLYWrMk4qFOXe3rX14BkSA8X-mq-a40/edit?usp=share_link"",""มหาสารคาม!L690"")+IMPORTRANGE(""https://docs.google.com/spreadsheets/d/1uMKqWwuNQ-TCKboGA3Bb1qXb5uj2-faACNUINCz8PN4/edit?usp=share_link"",""มุกดาหาร!L690"")+IMPORTRANGE(""https://d"&amp;"ocs.google.com/spreadsheets/d/1oKaccgDdQABndOzGr688Dbfxb_V3YcF67VqEPBtdzsc/edit?usp=share_link"",""ยโสธร!L690"")+IMPORTRANGE(""https://docs.google.com/spreadsheets/d/1BRgc8xKpxZ0PX-gauieMVkV_IOxKSotf0yW8MabGprQ/edit?usp=share_link"",""ร้อยเอ็ด!L690"")+IMP"&amp;"ORTRANGE(""https://docs.google.com/spreadsheets/d/1IdolZc-dfdgMwAm_KZxYJl1sUOcIgnbGQzbWOlddedo/edit?usp=share_link"",""เลย!L690"")+IMPORTRANGE(""https://docs.google.com/spreadsheets/d/1tZ0nmtGuIRCaGAMXHlQU8EpR9LOAJvyKfc4f7EFmE34/edit?usp=share_link"",""ศร"&amp;"ีสะเกษ!L690"")+IMPORTRANGE(""https://docs.google.com/spreadsheets/d/1QC8psz9w0f9IVE9Xuc2FT_btkaOzZbbUSgYObpBuetM/edit?usp=share_link"",""สกลนคร!L690"")+IMPORTRANGE(""https://docs.google.com/spreadsheets/d/1wPdvRbu02d33MYVlbsCnyTiZpefEBs9NNktAnT1HZvw/edit?"&amp;"usp=share_link"",""สุรินทร์!L690"")+IMPORTRANGE(""https://docs.google.com/spreadsheets/d/1GVExpf-Exi_2gmuqTYH28fseTB9MoKPXWcXCbSt_YrM/edit?usp=share_link"",""หนองคาย!L690"")+IMPORTRANGE(""https://docs.google.com/spreadsheets/d/16UeMz0UgOB5BZcoxP75eYGcLFtG"&amp;"YRn9GoesD4OX9m5U/edit?usp=share_link"",""หนองบัวลำภู!L690"")+IMPORTRANGE(""https://docs.google.com/spreadsheets/d/1uUP8Zo1-qaJLuIkRU0qlwLSE3DHkbdrrj2JGJiWBQZE/edit?usp=share_link"",""อำนาจเจริญ!L690"")+IMPORTRANGE(""https://docs.google.com/spreadsheets/d/"&amp;"1hb_taSOHanzRjqfzWPiFo8yiT83VV1L7vvUCLhOiHKc/edit?usp=share_link"",""อุดรธานี!L690"")+IMPORTRANGE(""https://docs.google.com/spreadsheets/d/17IOkEwkUd63EGNfyNDnM5de9YlZ7rwzTiW6-dokVjKI/edit?usp=share_link"",""อุบลราชธานี!L690"")
"),346040)</f>
        <v>346040</v>
      </c>
      <c r="M690" s="93">
        <f ca="1">IFERROR(__xludf.DUMMYFUNCTION("IMPORTRANGE(""https://docs.google.com/spreadsheets/d/1fb2B9NLcpJgjIieIJvenUTNPn0TimZDUi0OtYeiSQ_s/edit?usp=share_link"",""กาฬสินธุ์!M690"")+IMPORTRANGE(""https://docs.google.com/spreadsheets/d/1SaMnqrwRGmFYNR0MhpWmHuL5niYUd5E7vDq8X7whAlI/edit?usp=share_li"&amp;"nk"",""ขอนแก่น!M690"")
+IMPORTRANGE(""https://docs.google.com/spreadsheets/d/1xQzEtGHhTTgxHh6YUkKY1P4dRyjVhS74dGswLfAASA4/edit?usp=share_link"",""ชัยภูมิ!M690"")+IMPORTRANGE(""https://docs.google.com/spreadsheets/d/1EXMBoBxU3OFbjT2TRpneM33qFjqDzrKmn9ydcfl"&amp;"fI0o/edit?usp=share_link"",""นครพนม!M690"")+IMPORTRANGE(""https://docs.google.com/spreadsheets/d/1bDQrolntRWtHumK8W-x-HXKntwxB9S3sF5aDeRS66Ko/edit?usp=share_link"",""นครราชสีมา!M690"")+IMPORTRANGE(""https://docs.google.com/spreadsheets/d/1_MzZ-2gVPiCW-d2V"&amp;"cafoCmFJQTSrZ6SQyFcMqRRQQ2w/edit?usp=share_link"",""บึงกาฬ!M690"")
+IMPORTRANGE(""https://docs.google.com/spreadsheets/d/1B3lPpzOuaNwVItLwLEZYl_qEblfcx7dRnbRkAw0l-pE/edit?usp=share_link"",""บุรีรัมย์!M690"")+IMPORTRANGE(""https://docs.google.com/spreadshe"&amp;"ets/d/19GOkiOqnzYbevLYWrMk4qFOXe3rX14BkSA8X-mq-a40/edit?usp=share_link"",""มหาสารคาม!M690"")+IMPORTRANGE(""https://docs.google.com/spreadsheets/d/1uMKqWwuNQ-TCKboGA3Bb1qXb5uj2-faACNUINCz8PN4/edit?usp=share_link"",""มุกดาหาร!M690"")+IMPORTRANGE(""https://d"&amp;"ocs.google.com/spreadsheets/d/1oKaccgDdQABndOzGr688Dbfxb_V3YcF67VqEPBtdzsc/edit?usp=share_link"",""ยโสธร!M690"")+IMPORTRANGE(""https://docs.google.com/spreadsheets/d/1BRgc8xKpxZ0PX-gauieMVkV_IOxKSotf0yW8MabGprQ/edit?usp=share_link"",""ร้อยเอ็ด!M690"")+IMP"&amp;"ORTRANGE(""https://docs.google.com/spreadsheets/d/1IdolZc-dfdgMwAm_KZxYJl1sUOcIgnbGQzbWOlddedo/edit?usp=share_link"",""เลย!M690"")+IMPORTRANGE(""https://docs.google.com/spreadsheets/d/1tZ0nmtGuIRCaGAMXHlQU8EpR9LOAJvyKfc4f7EFmE34/edit?usp=share_link"",""ศร"&amp;"ีสะเกษ!M690"")+IMPORTRANGE(""https://docs.google.com/spreadsheets/d/1QC8psz9w0f9IVE9Xuc2FT_btkaOzZbbUSgYObpBuetM/edit?usp=share_link"",""สกลนคร!M690"")+IMPORTRANGE(""https://docs.google.com/spreadsheets/d/1wPdvRbu02d33MYVlbsCnyTiZpefEBs9NNktAnT1HZvw/edit?"&amp;"usp=share_link"",""สุรินทร์!M690"")+IMPORTRANGE(""https://docs.google.com/spreadsheets/d/1GVExpf-Exi_2gmuqTYH28fseTB9MoKPXWcXCbSt_YrM/edit?usp=share_link"",""หนองคาย!M690"")+IMPORTRANGE(""https://docs.google.com/spreadsheets/d/16UeMz0UgOB5BZcoxP75eYGcLFtG"&amp;"YRn9GoesD4OX9m5U/edit?usp=share_link"",""หนองบัวลำภู!M690"")+IMPORTRANGE(""https://docs.google.com/spreadsheets/d/1uUP8Zo1-qaJLuIkRU0qlwLSE3DHkbdrrj2JGJiWBQZE/edit?usp=share_link"",""อำนาจเจริญ!M690"")+IMPORTRANGE(""https://docs.google.com/spreadsheets/d/"&amp;"1hb_taSOHanzRjqfzWPiFo8yiT83VV1L7vvUCLhOiHKc/edit?usp=share_link"",""อุดรธานี!M690"")+IMPORTRANGE(""https://docs.google.com/spreadsheets/d/17IOkEwkUd63EGNfyNDnM5de9YlZ7rwzTiW6-dokVjKI/edit?usp=share_link"",""อุบลราชธานี!M690"")
"),279420)</f>
        <v>279420</v>
      </c>
      <c r="N690" s="45">
        <f ca="1">N691+N692+N693+N694</f>
        <v>279420</v>
      </c>
      <c r="O690" s="45">
        <f ca="1">IF(L690&gt;0,N690*100/L690,0)</f>
        <v>80.747890417292794</v>
      </c>
      <c r="P690" s="45">
        <f ca="1">IF(M690&gt;0,N690*100/M690,0)</f>
        <v>100</v>
      </c>
      <c r="Q690" s="604"/>
      <c r="R690" s="604"/>
      <c r="S690" s="604"/>
      <c r="T690" s="604"/>
      <c r="U690" s="604"/>
      <c r="V690" s="604"/>
      <c r="W690" s="604"/>
      <c r="X690" s="604"/>
      <c r="Y690" s="604"/>
      <c r="Z690" s="604"/>
    </row>
    <row r="691" spans="1:26" ht="18.75">
      <c r="A691" s="574"/>
      <c r="B691" s="575"/>
      <c r="C691" s="576"/>
      <c r="D691" s="576"/>
      <c r="E691" s="576"/>
      <c r="F691" s="577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fb2B9NLcpJgjIieIJvenUTNPn0TimZDUi0OtYeiSQ_s/edit?usp=share_link"",""กาฬสินธุ์!N691"")+IMPORTRANGE(""https://docs.google.com/spreadsheets/d/1SaMnqrwRGmFYNR0MhpWmHuL5niYUd5E7vDq8X7whAlI/edit?usp=share_li"&amp;"nk"",""ขอนแก่น!N691"")
+IMPORTRANGE(""https://docs.google.com/spreadsheets/d/1xQzEtGHhTTgxHh6YUkKY1P4dRyjVhS74dGswLfAASA4/edit?usp=share_link"",""ชัยภูมิ!N691"")+IMPORTRANGE(""https://docs.google.com/spreadsheets/d/1EXMBoBxU3OFbjT2TRpneM33qFjqDzrKmn9ydcfl"&amp;"fI0o/edit?usp=share_link"",""นครพนม!N691"")+IMPORTRANGE(""https://docs.google.com/spreadsheets/d/1bDQrolntRWtHumK8W-x-HXKntwxB9S3sF5aDeRS66Ko/edit?usp=share_link"",""นครราชสีมา!N691"")+IMPORTRANGE(""https://docs.google.com/spreadsheets/d/1_MzZ-2gVPiCW-d2V"&amp;"cafoCmFJQTSrZ6SQyFcMqRRQQ2w/edit?usp=share_link"",""บึงกาฬ!N691"")
+IMPORTRANGE(""https://docs.google.com/spreadsheets/d/1B3lPpzOuaNwVItLwLEZYl_qEblfcx7dRnbRkAw0l-pE/edit?usp=share_link"",""บุรีรัมย์!N691"")+IMPORTRANGE(""https://docs.google.com/spreadshe"&amp;"ets/d/19GOkiOqnzYbevLYWrMk4qFOXe3rX14BkSA8X-mq-a40/edit?usp=share_link"",""มหาสารคาม!N691"")+IMPORTRANGE(""https://docs.google.com/spreadsheets/d/1uMKqWwuNQ-TCKboGA3Bb1qXb5uj2-faACNUINCz8PN4/edit?usp=share_link"",""มุกดาหาร!N691"")+IMPORTRANGE(""https://d"&amp;"ocs.google.com/spreadsheets/d/1oKaccgDdQABndOzGr688Dbfxb_V3YcF67VqEPBtdzsc/edit?usp=share_link"",""ยโสธร!N691"")+IMPORTRANGE(""https://docs.google.com/spreadsheets/d/1BRgc8xKpxZ0PX-gauieMVkV_IOxKSotf0yW8MabGprQ/edit?usp=share_link"",""ร้อยเอ็ด!N691"")+IMP"&amp;"ORTRANGE(""https://docs.google.com/spreadsheets/d/1IdolZc-dfdgMwAm_KZxYJl1sUOcIgnbGQzbWOlddedo/edit?usp=share_link"",""เลย!N691"")+IMPORTRANGE(""https://docs.google.com/spreadsheets/d/1tZ0nmtGuIRCaGAMXHlQU8EpR9LOAJvyKfc4f7EFmE34/edit?usp=share_link"",""ศร"&amp;"ีสะเกษ!N691"")+IMPORTRANGE(""https://docs.google.com/spreadsheets/d/1QC8psz9w0f9IVE9Xuc2FT_btkaOzZbbUSgYObpBuetM/edit?usp=share_link"",""สกลนคร!N691"")+IMPORTRANGE(""https://docs.google.com/spreadsheets/d/1wPdvRbu02d33MYVlbsCnyTiZpefEBs9NNktAnT1HZvw/edit?"&amp;"usp=share_link"",""สุรินทร์!N691"")+IMPORTRANGE(""https://docs.google.com/spreadsheets/d/1GVExpf-Exi_2gmuqTYH28fseTB9MoKPXWcXCbSt_YrM/edit?usp=share_link"",""หนองคาย!N691"")+IMPORTRANGE(""https://docs.google.com/spreadsheets/d/16UeMz0UgOB5BZcoxP75eYGcLFtG"&amp;"YRn9GoesD4OX9m5U/edit?usp=share_link"",""หนองบัวลำภู!N691"")+IMPORTRANGE(""https://docs.google.com/spreadsheets/d/1uUP8Zo1-qaJLuIkRU0qlwLSE3DHkbdrrj2JGJiWBQZE/edit?usp=share_link"",""อำนาจเจริญ!N691"")+IMPORTRANGE(""https://docs.google.com/spreadsheets/d/"&amp;"1hb_taSOHanzRjqfzWPiFo8yiT83VV1L7vvUCLhOiHKc/edit?usp=share_link"",""อุดรธานี!N691"")+IMPORTRANGE(""https://docs.google.com/spreadsheets/d/17IOkEwkUd63EGNfyNDnM5de9YlZ7rwzTiW6-dokVjKI/edit?usp=share_link"",""อุบลราชธานี!N691"")
"),0)</f>
        <v>0</v>
      </c>
      <c r="O691" s="38"/>
      <c r="P691" s="3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</row>
    <row r="692" spans="1:26" ht="18.75">
      <c r="A692" s="574"/>
      <c r="B692" s="575"/>
      <c r="C692" s="576"/>
      <c r="D692" s="576"/>
      <c r="E692" s="576"/>
      <c r="F692" s="577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fb2B9NLcpJgjIieIJvenUTNPn0TimZDUi0OtYeiSQ_s/edit?usp=share_link"",""กาฬสินธุ์!N692"")+IMPORTRANGE(""https://docs.google.com/spreadsheets/d/1SaMnqrwRGmFYNR0MhpWmHuL5niYUd5E7vDq8X7whAlI/edit?usp=share_li"&amp;"nk"",""ขอนแก่น!N692"")
+IMPORTRANGE(""https://docs.google.com/spreadsheets/d/1xQzEtGHhTTgxHh6YUkKY1P4dRyjVhS74dGswLfAASA4/edit?usp=share_link"",""ชัยภูมิ!N692"")+IMPORTRANGE(""https://docs.google.com/spreadsheets/d/1EXMBoBxU3OFbjT2TRpneM33qFjqDzrKmn9ydcfl"&amp;"fI0o/edit?usp=share_link"",""นครพนม!N692"")+IMPORTRANGE(""https://docs.google.com/spreadsheets/d/1bDQrolntRWtHumK8W-x-HXKntwxB9S3sF5aDeRS66Ko/edit?usp=share_link"",""นครราชสีมา!N692"")+IMPORTRANGE(""https://docs.google.com/spreadsheets/d/1_MzZ-2gVPiCW-d2V"&amp;"cafoCmFJQTSrZ6SQyFcMqRRQQ2w/edit?usp=share_link"",""บึงกาฬ!N692"")
+IMPORTRANGE(""https://docs.google.com/spreadsheets/d/1B3lPpzOuaNwVItLwLEZYl_qEblfcx7dRnbRkAw0l-pE/edit?usp=share_link"",""บุรีรัมย์!N692"")+IMPORTRANGE(""https://docs.google.com/spreadshe"&amp;"ets/d/19GOkiOqnzYbevLYWrMk4qFOXe3rX14BkSA8X-mq-a40/edit?usp=share_link"",""มหาสารคาม!N692"")+IMPORTRANGE(""https://docs.google.com/spreadsheets/d/1uMKqWwuNQ-TCKboGA3Bb1qXb5uj2-faACNUINCz8PN4/edit?usp=share_link"",""มุกดาหาร!N692"")+IMPORTRANGE(""https://d"&amp;"ocs.google.com/spreadsheets/d/1oKaccgDdQABndOzGr688Dbfxb_V3YcF67VqEPBtdzsc/edit?usp=share_link"",""ยโสธร!N692"")+IMPORTRANGE(""https://docs.google.com/spreadsheets/d/1BRgc8xKpxZ0PX-gauieMVkV_IOxKSotf0yW8MabGprQ/edit?usp=share_link"",""ร้อยเอ็ด!N692"")+IMP"&amp;"ORTRANGE(""https://docs.google.com/spreadsheets/d/1IdolZc-dfdgMwAm_KZxYJl1sUOcIgnbGQzbWOlddedo/edit?usp=share_link"",""เลย!N692"")+IMPORTRANGE(""https://docs.google.com/spreadsheets/d/1tZ0nmtGuIRCaGAMXHlQU8EpR9LOAJvyKfc4f7EFmE34/edit?usp=share_link"",""ศร"&amp;"ีสะเกษ!N692"")+IMPORTRANGE(""https://docs.google.com/spreadsheets/d/1QC8psz9w0f9IVE9Xuc2FT_btkaOzZbbUSgYObpBuetM/edit?usp=share_link"",""สกลนคร!N692"")+IMPORTRANGE(""https://docs.google.com/spreadsheets/d/1wPdvRbu02d33MYVlbsCnyTiZpefEBs9NNktAnT1HZvw/edit?"&amp;"usp=share_link"",""สุรินทร์!N692"")+IMPORTRANGE(""https://docs.google.com/spreadsheets/d/1GVExpf-Exi_2gmuqTYH28fseTB9MoKPXWcXCbSt_YrM/edit?usp=share_link"",""หนองคาย!N692"")+IMPORTRANGE(""https://docs.google.com/spreadsheets/d/16UeMz0UgOB5BZcoxP75eYGcLFtG"&amp;"YRn9GoesD4OX9m5U/edit?usp=share_link"",""หนองบัวลำภู!N692"")+IMPORTRANGE(""https://docs.google.com/spreadsheets/d/1uUP8Zo1-qaJLuIkRU0qlwLSE3DHkbdrrj2JGJiWBQZE/edit?usp=share_link"",""อำนาจเจริญ!N692"")+IMPORTRANGE(""https://docs.google.com/spreadsheets/d/"&amp;"1hb_taSOHanzRjqfzWPiFo8yiT83VV1L7vvUCLhOiHKc/edit?usp=share_link"",""อุดรธานี!N692"")+IMPORTRANGE(""https://docs.google.com/spreadsheets/d/17IOkEwkUd63EGNfyNDnM5de9YlZ7rwzTiW6-dokVjKI/edit?usp=share_link"",""อุบลราชธานี!N692"")
"),19490)</f>
        <v>19490</v>
      </c>
      <c r="O692" s="38"/>
      <c r="P692" s="3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</row>
    <row r="693" spans="1:26" ht="18.75">
      <c r="A693" s="574"/>
      <c r="B693" s="575"/>
      <c r="C693" s="576"/>
      <c r="D693" s="576"/>
      <c r="E693" s="576"/>
      <c r="F693" s="577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fb2B9NLcpJgjIieIJvenUTNPn0TimZDUi0OtYeiSQ_s/edit?usp=share_link"",""กาฬสินธุ์!N693"")+IMPORTRANGE(""https://docs.google.com/spreadsheets/d/1SaMnqrwRGmFYNR0MhpWmHuL5niYUd5E7vDq8X7whAlI/edit?usp=share_li"&amp;"nk"",""ขอนแก่น!N693"")
+IMPORTRANGE(""https://docs.google.com/spreadsheets/d/1xQzEtGHhTTgxHh6YUkKY1P4dRyjVhS74dGswLfAASA4/edit?usp=share_link"",""ชัยภูมิ!N693"")+IMPORTRANGE(""https://docs.google.com/spreadsheets/d/1EXMBoBxU3OFbjT2TRpneM33qFjqDzrKmn9ydcfl"&amp;"fI0o/edit?usp=share_link"",""นครพนม!N693"")+IMPORTRANGE(""https://docs.google.com/spreadsheets/d/1bDQrolntRWtHumK8W-x-HXKntwxB9S3sF5aDeRS66Ko/edit?usp=share_link"",""นครราชสีมา!N693"")+IMPORTRANGE(""https://docs.google.com/spreadsheets/d/1_MzZ-2gVPiCW-d2V"&amp;"cafoCmFJQTSrZ6SQyFcMqRRQQ2w/edit?usp=share_link"",""บึงกาฬ!N693"")
+IMPORTRANGE(""https://docs.google.com/spreadsheets/d/1B3lPpzOuaNwVItLwLEZYl_qEblfcx7dRnbRkAw0l-pE/edit?usp=share_link"",""บุรีรัมย์!N693"")+IMPORTRANGE(""https://docs.google.com/spreadshe"&amp;"ets/d/19GOkiOqnzYbevLYWrMk4qFOXe3rX14BkSA8X-mq-a40/edit?usp=share_link"",""มหาสารคาม!N693"")+IMPORTRANGE(""https://docs.google.com/spreadsheets/d/1uMKqWwuNQ-TCKboGA3Bb1qXb5uj2-faACNUINCz8PN4/edit?usp=share_link"",""มุกดาหาร!N693"")+IMPORTRANGE(""https://d"&amp;"ocs.google.com/spreadsheets/d/1oKaccgDdQABndOzGr688Dbfxb_V3YcF67VqEPBtdzsc/edit?usp=share_link"",""ยโสธร!N693"")+IMPORTRANGE(""https://docs.google.com/spreadsheets/d/1BRgc8xKpxZ0PX-gauieMVkV_IOxKSotf0yW8MabGprQ/edit?usp=share_link"",""ร้อยเอ็ด!N693"")+IMP"&amp;"ORTRANGE(""https://docs.google.com/spreadsheets/d/1IdolZc-dfdgMwAm_KZxYJl1sUOcIgnbGQzbWOlddedo/edit?usp=share_link"",""เลย!N693"")+IMPORTRANGE(""https://docs.google.com/spreadsheets/d/1tZ0nmtGuIRCaGAMXHlQU8EpR9LOAJvyKfc4f7EFmE34/edit?usp=share_link"",""ศร"&amp;"ีสะเกษ!N693"")+IMPORTRANGE(""https://docs.google.com/spreadsheets/d/1QC8psz9w0f9IVE9Xuc2FT_btkaOzZbbUSgYObpBuetM/edit?usp=share_link"",""สกลนคร!N693"")+IMPORTRANGE(""https://docs.google.com/spreadsheets/d/1wPdvRbu02d33MYVlbsCnyTiZpefEBs9NNktAnT1HZvw/edit?"&amp;"usp=share_link"",""สุรินทร์!N693"")+IMPORTRANGE(""https://docs.google.com/spreadsheets/d/1GVExpf-Exi_2gmuqTYH28fseTB9MoKPXWcXCbSt_YrM/edit?usp=share_link"",""หนองคาย!N693"")+IMPORTRANGE(""https://docs.google.com/spreadsheets/d/16UeMz0UgOB5BZcoxP75eYGcLFtG"&amp;"YRn9GoesD4OX9m5U/edit?usp=share_link"",""หนองบัวลำภู!N693"")+IMPORTRANGE(""https://docs.google.com/spreadsheets/d/1uUP8Zo1-qaJLuIkRU0qlwLSE3DHkbdrrj2JGJiWBQZE/edit?usp=share_link"",""อำนาจเจริญ!N693"")+IMPORTRANGE(""https://docs.google.com/spreadsheets/d/"&amp;"1hb_taSOHanzRjqfzWPiFo8yiT83VV1L7vvUCLhOiHKc/edit?usp=share_link"",""อุดรธานี!N693"")+IMPORTRANGE(""https://docs.google.com/spreadsheets/d/17IOkEwkUd63EGNfyNDnM5de9YlZ7rwzTiW6-dokVjKI/edit?usp=share_link"",""อุบลราชธานี!N693"")
"),0)</f>
        <v>0</v>
      </c>
      <c r="O693" s="38"/>
      <c r="P693" s="3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</row>
    <row r="694" spans="1:26" ht="18.75">
      <c r="A694" s="574"/>
      <c r="B694" s="575"/>
      <c r="C694" s="576"/>
      <c r="D694" s="576"/>
      <c r="E694" s="576"/>
      <c r="F694" s="577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fb2B9NLcpJgjIieIJvenUTNPn0TimZDUi0OtYeiSQ_s/edit?usp=share_link"",""กาฬสินธุ์!N694"")+IMPORTRANGE(""https://docs.google.com/spreadsheets/d/1SaMnqrwRGmFYNR0MhpWmHuL5niYUd5E7vDq8X7whAlI/edit?usp=share_li"&amp;"nk"",""ขอนแก่น!N694"")
+IMPORTRANGE(""https://docs.google.com/spreadsheets/d/1xQzEtGHhTTgxHh6YUkKY1P4dRyjVhS74dGswLfAASA4/edit?usp=share_link"",""ชัยภูมิ!N694"")+IMPORTRANGE(""https://docs.google.com/spreadsheets/d/1EXMBoBxU3OFbjT2TRpneM33qFjqDzrKmn9ydcfl"&amp;"fI0o/edit?usp=share_link"",""นครพนม!N694"")+IMPORTRANGE(""https://docs.google.com/spreadsheets/d/1bDQrolntRWtHumK8W-x-HXKntwxB9S3sF5aDeRS66Ko/edit?usp=share_link"",""นครราชสีมา!N694"")+IMPORTRANGE(""https://docs.google.com/spreadsheets/d/1_MzZ-2gVPiCW-d2V"&amp;"cafoCmFJQTSrZ6SQyFcMqRRQQ2w/edit?usp=share_link"",""บึงกาฬ!N694"")
+IMPORTRANGE(""https://docs.google.com/spreadsheets/d/1B3lPpzOuaNwVItLwLEZYl_qEblfcx7dRnbRkAw0l-pE/edit?usp=share_link"",""บุรีรัมย์!N694"")+IMPORTRANGE(""https://docs.google.com/spreadshe"&amp;"ets/d/19GOkiOqnzYbevLYWrMk4qFOXe3rX14BkSA8X-mq-a40/edit?usp=share_link"",""มหาสารคาม!N694"")+IMPORTRANGE(""https://docs.google.com/spreadsheets/d/1uMKqWwuNQ-TCKboGA3Bb1qXb5uj2-faACNUINCz8PN4/edit?usp=share_link"",""มุกดาหาร!N694"")+IMPORTRANGE(""https://d"&amp;"ocs.google.com/spreadsheets/d/1oKaccgDdQABndOzGr688Dbfxb_V3YcF67VqEPBtdzsc/edit?usp=share_link"",""ยโสธร!N694"")+IMPORTRANGE(""https://docs.google.com/spreadsheets/d/1BRgc8xKpxZ0PX-gauieMVkV_IOxKSotf0yW8MabGprQ/edit?usp=share_link"",""ร้อยเอ็ด!N694"")+IMP"&amp;"ORTRANGE(""https://docs.google.com/spreadsheets/d/1IdolZc-dfdgMwAm_KZxYJl1sUOcIgnbGQzbWOlddedo/edit?usp=share_link"",""เลย!N694"")+IMPORTRANGE(""https://docs.google.com/spreadsheets/d/1tZ0nmtGuIRCaGAMXHlQU8EpR9LOAJvyKfc4f7EFmE34/edit?usp=share_link"",""ศร"&amp;"ีสะเกษ!N694"")+IMPORTRANGE(""https://docs.google.com/spreadsheets/d/1QC8psz9w0f9IVE9Xuc2FT_btkaOzZbbUSgYObpBuetM/edit?usp=share_link"",""สกลนคร!N694"")+IMPORTRANGE(""https://docs.google.com/spreadsheets/d/1wPdvRbu02d33MYVlbsCnyTiZpefEBs9NNktAnT1HZvw/edit?"&amp;"usp=share_link"",""สุรินทร์!N694"")+IMPORTRANGE(""https://docs.google.com/spreadsheets/d/1GVExpf-Exi_2gmuqTYH28fseTB9MoKPXWcXCbSt_YrM/edit?usp=share_link"",""หนองคาย!N694"")+IMPORTRANGE(""https://docs.google.com/spreadsheets/d/16UeMz0UgOB5BZcoxP75eYGcLFtG"&amp;"YRn9GoesD4OX9m5U/edit?usp=share_link"",""หนองบัวลำภู!N694"")+IMPORTRANGE(""https://docs.google.com/spreadsheets/d/1uUP8Zo1-qaJLuIkRU0qlwLSE3DHkbdrrj2JGJiWBQZE/edit?usp=share_link"",""อำนาจเจริญ!N694"")+IMPORTRANGE(""https://docs.google.com/spreadsheets/d/"&amp;"1hb_taSOHanzRjqfzWPiFo8yiT83VV1L7vvUCLhOiHKc/edit?usp=share_link"",""อุดรธานี!N694"")+IMPORTRANGE(""https://docs.google.com/spreadsheets/d/17IOkEwkUd63EGNfyNDnM5de9YlZ7rwzTiW6-dokVjKI/edit?usp=share_link"",""อุบลราชธานี!N694"")
"),259930)</f>
        <v>259930</v>
      </c>
      <c r="O694" s="38"/>
      <c r="P694" s="3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</row>
    <row r="695" spans="1:26" ht="18.75">
      <c r="A695" s="597"/>
      <c r="B695" s="575"/>
      <c r="C695" s="576"/>
      <c r="D695" s="758" t="s">
        <v>21</v>
      </c>
      <c r="E695" s="576"/>
      <c r="F695" s="576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</row>
    <row r="696" spans="1:26" ht="18.75" hidden="1">
      <c r="A696" s="599"/>
      <c r="B696" s="605"/>
      <c r="C696" s="600"/>
      <c r="D696" s="600"/>
      <c r="E696" s="759" t="s">
        <v>18</v>
      </c>
      <c r="F696" s="600"/>
      <c r="G696" s="603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604"/>
      <c r="R696" s="604"/>
      <c r="S696" s="604"/>
      <c r="T696" s="604"/>
      <c r="U696" s="604"/>
      <c r="V696" s="604"/>
      <c r="W696" s="604"/>
      <c r="X696" s="604"/>
      <c r="Y696" s="604"/>
      <c r="Z696" s="604"/>
    </row>
    <row r="697" spans="1:26" ht="18.75" hidden="1">
      <c r="A697" s="599"/>
      <c r="B697" s="605"/>
      <c r="C697" s="600"/>
      <c r="D697" s="600"/>
      <c r="E697" s="759" t="s">
        <v>19</v>
      </c>
      <c r="F697" s="600"/>
      <c r="G697" s="603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604"/>
      <c r="R697" s="604"/>
      <c r="S697" s="604"/>
      <c r="T697" s="604"/>
      <c r="U697" s="604"/>
      <c r="V697" s="604"/>
      <c r="W697" s="604"/>
      <c r="X697" s="604"/>
      <c r="Y697" s="604"/>
      <c r="Z697" s="604"/>
    </row>
    <row r="698" spans="1:26" ht="19.5">
      <c r="A698" s="608"/>
      <c r="B698" s="609"/>
      <c r="C698" s="576" t="s">
        <v>16</v>
      </c>
      <c r="D698" s="760" t="s">
        <v>38</v>
      </c>
      <c r="E698" s="761"/>
      <c r="F698" s="612"/>
      <c r="G698" s="613"/>
      <c r="H698" s="762"/>
      <c r="I698" s="162"/>
      <c r="J698" s="162"/>
      <c r="K698" s="163"/>
      <c r="L698" s="163"/>
      <c r="M698" s="163"/>
      <c r="N698" s="163"/>
      <c r="O698" s="163"/>
      <c r="P698" s="163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</row>
    <row r="699" spans="1:26" ht="18.75">
      <c r="A699" s="744"/>
      <c r="B699" s="576"/>
      <c r="C699" s="576"/>
      <c r="D699" s="577" t="s">
        <v>295</v>
      </c>
      <c r="E699" s="763"/>
      <c r="F699" s="576"/>
      <c r="G699" s="189"/>
      <c r="H699" s="764" t="s">
        <v>46</v>
      </c>
      <c r="I699" s="765">
        <f ca="1">IFERROR(__xludf.DUMMYFUNCTION("IMPORTRANGE(""https://docs.google.com/spreadsheets/d/1fb2B9NLcpJgjIieIJvenUTNPn0TimZDUi0OtYeiSQ_s/edit?usp=share_link"",""กาฬสินธุ์!I699"")+IMPORTRANGE(""https://docs.google.com/spreadsheets/d/1SaMnqrwRGmFYNR0MhpWmHuL5niYUd5E7vDq8X7whAlI/edit?usp=share_li"&amp;"nk"",""ขอนแก่น!I699"")
+IMPORTRANGE(""https://docs.google.com/spreadsheets/d/1xQzEtGHhTTgxHh6YUkKY1P4dRyjVhS74dGswLfAASA4/edit?usp=share_link"",""ชัยภูมิ!I699"")+IMPORTRANGE(""https://docs.google.com/spreadsheets/d/1EXMBoBxU3OFbjT2TRpneM33qFjqDzrKmn9ydcfl"&amp;"fI0o/edit?usp=share_link"",""นครพนม!I699"")+IMPORTRANGE(""https://docs.google.com/spreadsheets/d/1bDQrolntRWtHumK8W-x-HXKntwxB9S3sF5aDeRS66Ko/edit?usp=share_link"",""นครราชสีมา!I699"")+IMPORTRANGE(""https://docs.google.com/spreadsheets/d/1_MzZ-2gVPiCW-d2V"&amp;"cafoCmFJQTSrZ6SQyFcMqRRQQ2w/edit?usp=share_link"",""บึงกาฬ!I699"")
+IMPORTRANGE(""https://docs.google.com/spreadsheets/d/1B3lPpzOuaNwVItLwLEZYl_qEblfcx7dRnbRkAw0l-pE/edit?usp=share_link"",""บุรีรัมย์!I699"")+IMPORTRANGE(""https://docs.google.com/spreadshe"&amp;"ets/d/19GOkiOqnzYbevLYWrMk4qFOXe3rX14BkSA8X-mq-a40/edit?usp=share_link"",""มหาสารคาม!I699"")+IMPORTRANGE(""https://docs.google.com/spreadsheets/d/1uMKqWwuNQ-TCKboGA3Bb1qXb5uj2-faACNUINCz8PN4/edit?usp=share_link"",""มุกดาหาร!I699"")+IMPORTRANGE(""https://d"&amp;"ocs.google.com/spreadsheets/d/1oKaccgDdQABndOzGr688Dbfxb_V3YcF67VqEPBtdzsc/edit?usp=share_link"",""ยโสธร!I699"")+IMPORTRANGE(""https://docs.google.com/spreadsheets/d/1BRgc8xKpxZ0PX-gauieMVkV_IOxKSotf0yW8MabGprQ/edit?usp=share_link"",""ร้อยเอ็ด!I699"")+IMP"&amp;"ORTRANGE(""https://docs.google.com/spreadsheets/d/1IdolZc-dfdgMwAm_KZxYJl1sUOcIgnbGQzbWOlddedo/edit?usp=share_link"",""เลย!I699"")+IMPORTRANGE(""https://docs.google.com/spreadsheets/d/1tZ0nmtGuIRCaGAMXHlQU8EpR9LOAJvyKfc4f7EFmE34/edit?usp=share_link"",""ศร"&amp;"ีสะเกษ!I699"")+IMPORTRANGE(""https://docs.google.com/spreadsheets/d/1QC8psz9w0f9IVE9Xuc2FT_btkaOzZbbUSgYObpBuetM/edit?usp=share_link"",""สกลนคร!I699"")+IMPORTRANGE(""https://docs.google.com/spreadsheets/d/1wPdvRbu02d33MYVlbsCnyTiZpefEBs9NNktAnT1HZvw/edit?"&amp;"usp=share_link"",""สุรินทร์!I699"")+IMPORTRANGE(""https://docs.google.com/spreadsheets/d/1GVExpf-Exi_2gmuqTYH28fseTB9MoKPXWcXCbSt_YrM/edit?usp=share_link"",""หนองคาย!I699"")+IMPORTRANGE(""https://docs.google.com/spreadsheets/d/16UeMz0UgOB5BZcoxP75eYGcLFtG"&amp;"YRn9GoesD4OX9m5U/edit?usp=share_link"",""หนองบัวลำภู!I699"")+IMPORTRANGE(""https://docs.google.com/spreadsheets/d/1uUP8Zo1-qaJLuIkRU0qlwLSE3DHkbdrrj2JGJiWBQZE/edit?usp=share_link"",""อำนาจเจริญ!I699"")+IMPORTRANGE(""https://docs.google.com/spreadsheets/d/"&amp;"1hb_taSOHanzRjqfzWPiFo8yiT83VV1L7vvUCLhOiHKc/edit?usp=share_link"",""อุดรธานี!I699"")+IMPORTRANGE(""https://docs.google.com/spreadsheets/d/17IOkEwkUd63EGNfyNDnM5de9YlZ7rwzTiW6-dokVjKI/edit?usp=share_link"",""อุบลราชธานี!I699"")
"),839)</f>
        <v>839</v>
      </c>
      <c r="J699" s="37">
        <f ca="1">IFERROR(__xludf.DUMMYFUNCTION("IMPORTRANGE(""https://docs.google.com/spreadsheets/d/1fb2B9NLcpJgjIieIJvenUTNPn0TimZDUi0OtYeiSQ_s/edit?usp=share_link"",""กาฬสินธุ์!J699"")+IMPORTRANGE(""https://docs.google.com/spreadsheets/d/1SaMnqrwRGmFYNR0MhpWmHuL5niYUd5E7vDq8X7whAlI/edit?usp=share_li"&amp;"nk"",""ขอนแก่น!J699"")
+IMPORTRANGE(""https://docs.google.com/spreadsheets/d/1xQzEtGHhTTgxHh6YUkKY1P4dRyjVhS74dGswLfAASA4/edit?usp=share_link"",""ชัยภูมิ!J699"")+IMPORTRANGE(""https://docs.google.com/spreadsheets/d/1EXMBoBxU3OFbjT2TRpneM33qFjqDzrKmn9ydcfl"&amp;"fI0o/edit?usp=share_link"",""นครพนม!J699"")+IMPORTRANGE(""https://docs.google.com/spreadsheets/d/1bDQrolntRWtHumK8W-x-HXKntwxB9S3sF5aDeRS66Ko/edit?usp=share_link"",""นครราชสีมา!J699"")+IMPORTRANGE(""https://docs.google.com/spreadsheets/d/1_MzZ-2gVPiCW-d2V"&amp;"cafoCmFJQTSrZ6SQyFcMqRRQQ2w/edit?usp=share_link"",""บึงกาฬ!J699"")
+IMPORTRANGE(""https://docs.google.com/spreadsheets/d/1B3lPpzOuaNwVItLwLEZYl_qEblfcx7dRnbRkAw0l-pE/edit?usp=share_link"",""บุรีรัมย์!J699"")+IMPORTRANGE(""https://docs.google.com/spreadshe"&amp;"ets/d/19GOkiOqnzYbevLYWrMk4qFOXe3rX14BkSA8X-mq-a40/edit?usp=share_link"",""มหาสารคาม!J699"")+IMPORTRANGE(""https://docs.google.com/spreadsheets/d/1uMKqWwuNQ-TCKboGA3Bb1qXb5uj2-faACNUINCz8PN4/edit?usp=share_link"",""มุกดาหาร!J699"")+IMPORTRANGE(""https://d"&amp;"ocs.google.com/spreadsheets/d/1oKaccgDdQABndOzGr688Dbfxb_V3YcF67VqEPBtdzsc/edit?usp=share_link"",""ยโสธร!J699"")+IMPORTRANGE(""https://docs.google.com/spreadsheets/d/1BRgc8xKpxZ0PX-gauieMVkV_IOxKSotf0yW8MabGprQ/edit?usp=share_link"",""ร้อยเอ็ด!J699"")+IMP"&amp;"ORTRANGE(""https://docs.google.com/spreadsheets/d/1IdolZc-dfdgMwAm_KZxYJl1sUOcIgnbGQzbWOlddedo/edit?usp=share_link"",""เลย!J699"")+IMPORTRANGE(""https://docs.google.com/spreadsheets/d/1tZ0nmtGuIRCaGAMXHlQU8EpR9LOAJvyKfc4f7EFmE34/edit?usp=share_link"",""ศร"&amp;"ีสะเกษ!J699"")+IMPORTRANGE(""https://docs.google.com/spreadsheets/d/1QC8psz9w0f9IVE9Xuc2FT_btkaOzZbbUSgYObpBuetM/edit?usp=share_link"",""สกลนคร!J699"")+IMPORTRANGE(""https://docs.google.com/spreadsheets/d/1wPdvRbu02d33MYVlbsCnyTiZpefEBs9NNktAnT1HZvw/edit?"&amp;"usp=share_link"",""สุรินทร์!J699"")+IMPORTRANGE(""https://docs.google.com/spreadsheets/d/1GVExpf-Exi_2gmuqTYH28fseTB9MoKPXWcXCbSt_YrM/edit?usp=share_link"",""หนองคาย!J699"")+IMPORTRANGE(""https://docs.google.com/spreadsheets/d/16UeMz0UgOB5BZcoxP75eYGcLFtG"&amp;"YRn9GoesD4OX9m5U/edit?usp=share_link"",""หนองบัวลำภู!J699"")+IMPORTRANGE(""https://docs.google.com/spreadsheets/d/1uUP8Zo1-qaJLuIkRU0qlwLSE3DHkbdrrj2JGJiWBQZE/edit?usp=share_link"",""อำนาจเจริญ!J699"")+IMPORTRANGE(""https://docs.google.com/spreadsheets/d/"&amp;"1hb_taSOHanzRjqfzWPiFo8yiT83VV1L7vvUCLhOiHKc/edit?usp=share_link"",""อุดรธานี!J699"")+IMPORTRANGE(""https://docs.google.com/spreadsheets/d/17IOkEwkUd63EGNfyNDnM5de9YlZ7rwzTiW6-dokVjKI/edit?usp=share_link"",""อุบลราชธานี!J699"")
"),925.76)</f>
        <v>925.76</v>
      </c>
      <c r="K699" s="38">
        <f t="shared" ref="K699:K701" ca="1" si="329">IF(I699&gt;0,J699*100/I699,0)</f>
        <v>110.34088200238379</v>
      </c>
      <c r="L699" s="38"/>
      <c r="M699" s="189"/>
      <c r="N699" s="766"/>
      <c r="O699" s="38"/>
      <c r="P699" s="3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</row>
    <row r="700" spans="1:26" ht="18.75">
      <c r="A700" s="744"/>
      <c r="B700" s="576"/>
      <c r="C700" s="576"/>
      <c r="D700" s="577" t="s">
        <v>296</v>
      </c>
      <c r="E700" s="576"/>
      <c r="F700" s="576"/>
      <c r="G700" s="189"/>
      <c r="H700" s="764" t="s">
        <v>35</v>
      </c>
      <c r="I700" s="765">
        <f ca="1">IFERROR(__xludf.DUMMYFUNCTION("IMPORTRANGE(""https://docs.google.com/spreadsheets/d/1fb2B9NLcpJgjIieIJvenUTNPn0TimZDUi0OtYeiSQ_s/edit?usp=share_link"",""กาฬสินธุ์!I700"")+IMPORTRANGE(""https://docs.google.com/spreadsheets/d/1SaMnqrwRGmFYNR0MhpWmHuL5niYUd5E7vDq8X7whAlI/edit?usp=share_li"&amp;"nk"",""ขอนแก่น!I700"")
+IMPORTRANGE(""https://docs.google.com/spreadsheets/d/1xQzEtGHhTTgxHh6YUkKY1P4dRyjVhS74dGswLfAASA4/edit?usp=share_link"",""ชัยภูมิ!I700"")+IMPORTRANGE(""https://docs.google.com/spreadsheets/d/1EXMBoBxU3OFbjT2TRpneM33qFjqDzrKmn9ydcfl"&amp;"fI0o/edit?usp=share_link"",""นครพนม!I700"")+IMPORTRANGE(""https://docs.google.com/spreadsheets/d/1bDQrolntRWtHumK8W-x-HXKntwxB9S3sF5aDeRS66Ko/edit?usp=share_link"",""นครราชสีมา!I700"")+IMPORTRANGE(""https://docs.google.com/spreadsheets/d/1_MzZ-2gVPiCW-d2V"&amp;"cafoCmFJQTSrZ6SQyFcMqRRQQ2w/edit?usp=share_link"",""บึงกาฬ!I700"")
+IMPORTRANGE(""https://docs.google.com/spreadsheets/d/1B3lPpzOuaNwVItLwLEZYl_qEblfcx7dRnbRkAw0l-pE/edit?usp=share_link"",""บุรีรัมย์!I700"")+IMPORTRANGE(""https://docs.google.com/spreadshe"&amp;"ets/d/19GOkiOqnzYbevLYWrMk4qFOXe3rX14BkSA8X-mq-a40/edit?usp=share_link"",""มหาสารคาม!I700"")+IMPORTRANGE(""https://docs.google.com/spreadsheets/d/1uMKqWwuNQ-TCKboGA3Bb1qXb5uj2-faACNUINCz8PN4/edit?usp=share_link"",""มุกดาหาร!I700"")+IMPORTRANGE(""https://d"&amp;"ocs.google.com/spreadsheets/d/1oKaccgDdQABndOzGr688Dbfxb_V3YcF67VqEPBtdzsc/edit?usp=share_link"",""ยโสธร!I700"")+IMPORTRANGE(""https://docs.google.com/spreadsheets/d/1BRgc8xKpxZ0PX-gauieMVkV_IOxKSotf0yW8MabGprQ/edit?usp=share_link"",""ร้อยเอ็ด!I700"")+IMP"&amp;"ORTRANGE(""https://docs.google.com/spreadsheets/d/1IdolZc-dfdgMwAm_KZxYJl1sUOcIgnbGQzbWOlddedo/edit?usp=share_link"",""เลย!I700"")+IMPORTRANGE(""https://docs.google.com/spreadsheets/d/1tZ0nmtGuIRCaGAMXHlQU8EpR9LOAJvyKfc4f7EFmE34/edit?usp=share_link"",""ศร"&amp;"ีสะเกษ!I700"")+IMPORTRANGE(""https://docs.google.com/spreadsheets/d/1QC8psz9w0f9IVE9Xuc2FT_btkaOzZbbUSgYObpBuetM/edit?usp=share_link"",""สกลนคร!I700"")+IMPORTRANGE(""https://docs.google.com/spreadsheets/d/1wPdvRbu02d33MYVlbsCnyTiZpefEBs9NNktAnT1HZvw/edit?"&amp;"usp=share_link"",""สุรินทร์!I700"")+IMPORTRANGE(""https://docs.google.com/spreadsheets/d/1GVExpf-Exi_2gmuqTYH28fseTB9MoKPXWcXCbSt_YrM/edit?usp=share_link"",""หนองคาย!I700"")+IMPORTRANGE(""https://docs.google.com/spreadsheets/d/16UeMz0UgOB5BZcoxP75eYGcLFtG"&amp;"YRn9GoesD4OX9m5U/edit?usp=share_link"",""หนองบัวลำภู!I700"")+IMPORTRANGE(""https://docs.google.com/spreadsheets/d/1uUP8Zo1-qaJLuIkRU0qlwLSE3DHkbdrrj2JGJiWBQZE/edit?usp=share_link"",""อำนาจเจริญ!I700"")+IMPORTRANGE(""https://docs.google.com/spreadsheets/d/"&amp;"1hb_taSOHanzRjqfzWPiFo8yiT83VV1L7vvUCLhOiHKc/edit?usp=share_link"",""อุดรธานี!I700"")+IMPORTRANGE(""https://docs.google.com/spreadsheets/d/17IOkEwkUd63EGNfyNDnM5de9YlZ7rwzTiW6-dokVjKI/edit?usp=share_link"",""อุบลราชธานี!I700"")
"),211)</f>
        <v>211</v>
      </c>
      <c r="J700" s="37">
        <f ca="1">IFERROR(__xludf.DUMMYFUNCTION("IMPORTRANGE(""https://docs.google.com/spreadsheets/d/1fb2B9NLcpJgjIieIJvenUTNPn0TimZDUi0OtYeiSQ_s/edit?usp=share_link"",""กาฬสินธุ์!J700"")+IMPORTRANGE(""https://docs.google.com/spreadsheets/d/1SaMnqrwRGmFYNR0MhpWmHuL5niYUd5E7vDq8X7whAlI/edit?usp=share_li"&amp;"nk"",""ขอนแก่น!J700"")
+IMPORTRANGE(""https://docs.google.com/spreadsheets/d/1xQzEtGHhTTgxHh6YUkKY1P4dRyjVhS74dGswLfAASA4/edit?usp=share_link"",""ชัยภูมิ!J700"")+IMPORTRANGE(""https://docs.google.com/spreadsheets/d/1EXMBoBxU3OFbjT2TRpneM33qFjqDzrKmn9ydcfl"&amp;"fI0o/edit?usp=share_link"",""นครพนม!J700"")+IMPORTRANGE(""https://docs.google.com/spreadsheets/d/1bDQrolntRWtHumK8W-x-HXKntwxB9S3sF5aDeRS66Ko/edit?usp=share_link"",""นครราชสีมา!J700"")+IMPORTRANGE(""https://docs.google.com/spreadsheets/d/1_MzZ-2gVPiCW-d2V"&amp;"cafoCmFJQTSrZ6SQyFcMqRRQQ2w/edit?usp=share_link"",""บึงกาฬ!J700"")
+IMPORTRANGE(""https://docs.google.com/spreadsheets/d/1B3lPpzOuaNwVItLwLEZYl_qEblfcx7dRnbRkAw0l-pE/edit?usp=share_link"",""บุรีรัมย์!J700"")+IMPORTRANGE(""https://docs.google.com/spreadshe"&amp;"ets/d/19GOkiOqnzYbevLYWrMk4qFOXe3rX14BkSA8X-mq-a40/edit?usp=share_link"",""มหาสารคาม!J700"")+IMPORTRANGE(""https://docs.google.com/spreadsheets/d/1uMKqWwuNQ-TCKboGA3Bb1qXb5uj2-faACNUINCz8PN4/edit?usp=share_link"",""มุกดาหาร!J700"")+IMPORTRANGE(""https://d"&amp;"ocs.google.com/spreadsheets/d/1oKaccgDdQABndOzGr688Dbfxb_V3YcF67VqEPBtdzsc/edit?usp=share_link"",""ยโสธร!J700"")+IMPORTRANGE(""https://docs.google.com/spreadsheets/d/1BRgc8xKpxZ0PX-gauieMVkV_IOxKSotf0yW8MabGprQ/edit?usp=share_link"",""ร้อยเอ็ด!J700"")+IMP"&amp;"ORTRANGE(""https://docs.google.com/spreadsheets/d/1IdolZc-dfdgMwAm_KZxYJl1sUOcIgnbGQzbWOlddedo/edit?usp=share_link"",""เลย!J700"")+IMPORTRANGE(""https://docs.google.com/spreadsheets/d/1tZ0nmtGuIRCaGAMXHlQU8EpR9LOAJvyKfc4f7EFmE34/edit?usp=share_link"",""ศร"&amp;"ีสะเกษ!J700"")+IMPORTRANGE(""https://docs.google.com/spreadsheets/d/1QC8psz9w0f9IVE9Xuc2FT_btkaOzZbbUSgYObpBuetM/edit?usp=share_link"",""สกลนคร!J700"")+IMPORTRANGE(""https://docs.google.com/spreadsheets/d/1wPdvRbu02d33MYVlbsCnyTiZpefEBs9NNktAnT1HZvw/edit?"&amp;"usp=share_link"",""สุรินทร์!J700"")+IMPORTRANGE(""https://docs.google.com/spreadsheets/d/1GVExpf-Exi_2gmuqTYH28fseTB9MoKPXWcXCbSt_YrM/edit?usp=share_link"",""หนองคาย!J700"")+IMPORTRANGE(""https://docs.google.com/spreadsheets/d/16UeMz0UgOB5BZcoxP75eYGcLFtG"&amp;"YRn9GoesD4OX9m5U/edit?usp=share_link"",""หนองบัวลำภู!J700"")+IMPORTRANGE(""https://docs.google.com/spreadsheets/d/1uUP8Zo1-qaJLuIkRU0qlwLSE3DHkbdrrj2JGJiWBQZE/edit?usp=share_link"",""อำนาจเจริญ!J700"")+IMPORTRANGE(""https://docs.google.com/spreadsheets/d/"&amp;"1hb_taSOHanzRjqfzWPiFo8yiT83VV1L7vvUCLhOiHKc/edit?usp=share_link"",""อุดรธานี!J700"")+IMPORTRANGE(""https://docs.google.com/spreadsheets/d/17IOkEwkUd63EGNfyNDnM5de9YlZ7rwzTiW6-dokVjKI/edit?usp=share_link"",""อุบลราชธานี!J700"")
"),187)</f>
        <v>187</v>
      </c>
      <c r="K700" s="38">
        <f t="shared" ca="1" si="329"/>
        <v>88.625592417061611</v>
      </c>
      <c r="L700" s="38"/>
      <c r="M700" s="189"/>
      <c r="N700" s="766"/>
      <c r="O700" s="38"/>
      <c r="P700" s="3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</row>
    <row r="701" spans="1:26" ht="19.5">
      <c r="A701" s="744"/>
      <c r="B701" s="576"/>
      <c r="C701" s="576"/>
      <c r="D701" s="577" t="s">
        <v>297</v>
      </c>
      <c r="E701" s="576"/>
      <c r="F701" s="576"/>
      <c r="G701" s="189"/>
      <c r="H701" s="767" t="s">
        <v>46</v>
      </c>
      <c r="I701" s="768">
        <f ca="1">IFERROR(__xludf.DUMMYFUNCTION("IMPORTRANGE(""https://docs.google.com/spreadsheets/d/1fb2B9NLcpJgjIieIJvenUTNPn0TimZDUi0OtYeiSQ_s/edit?usp=share_link"",""กาฬสินธุ์!I701"")+IMPORTRANGE(""https://docs.google.com/spreadsheets/d/1SaMnqrwRGmFYNR0MhpWmHuL5niYUd5E7vDq8X7whAlI/edit?usp=share_li"&amp;"nk"",""ขอนแก่น!I701"")
+IMPORTRANGE(""https://docs.google.com/spreadsheets/d/1xQzEtGHhTTgxHh6YUkKY1P4dRyjVhS74dGswLfAASA4/edit?usp=share_link"",""ชัยภูมิ!I701"")+IMPORTRANGE(""https://docs.google.com/spreadsheets/d/1EXMBoBxU3OFbjT2TRpneM33qFjqDzrKmn9ydcfl"&amp;"fI0o/edit?usp=share_link"",""นครพนม!I701"")+IMPORTRANGE(""https://docs.google.com/spreadsheets/d/1bDQrolntRWtHumK8W-x-HXKntwxB9S3sF5aDeRS66Ko/edit?usp=share_link"",""นครราชสีมา!I701"")+IMPORTRANGE(""https://docs.google.com/spreadsheets/d/1_MzZ-2gVPiCW-d2V"&amp;"cafoCmFJQTSrZ6SQyFcMqRRQQ2w/edit?usp=share_link"",""บึงกาฬ!I701"")
+IMPORTRANGE(""https://docs.google.com/spreadsheets/d/1B3lPpzOuaNwVItLwLEZYl_qEblfcx7dRnbRkAw0l-pE/edit?usp=share_link"",""บุรีรัมย์!I701"")+IMPORTRANGE(""https://docs.google.com/spreadshe"&amp;"ets/d/19GOkiOqnzYbevLYWrMk4qFOXe3rX14BkSA8X-mq-a40/edit?usp=share_link"",""มหาสารคาม!I701"")+IMPORTRANGE(""https://docs.google.com/spreadsheets/d/1uMKqWwuNQ-TCKboGA3Bb1qXb5uj2-faACNUINCz8PN4/edit?usp=share_link"",""มุกดาหาร!I701"")+IMPORTRANGE(""https://d"&amp;"ocs.google.com/spreadsheets/d/1oKaccgDdQABndOzGr688Dbfxb_V3YcF67VqEPBtdzsc/edit?usp=share_link"",""ยโสธร!I701"")+IMPORTRANGE(""https://docs.google.com/spreadsheets/d/1BRgc8xKpxZ0PX-gauieMVkV_IOxKSotf0yW8MabGprQ/edit?usp=share_link"",""ร้อยเอ็ด!I701"")+IMP"&amp;"ORTRANGE(""https://docs.google.com/spreadsheets/d/1IdolZc-dfdgMwAm_KZxYJl1sUOcIgnbGQzbWOlddedo/edit?usp=share_link"",""เลย!I701"")+IMPORTRANGE(""https://docs.google.com/spreadsheets/d/1tZ0nmtGuIRCaGAMXHlQU8EpR9LOAJvyKfc4f7EFmE34/edit?usp=share_link"",""ศร"&amp;"ีสะเกษ!I701"")+IMPORTRANGE(""https://docs.google.com/spreadsheets/d/1QC8psz9w0f9IVE9Xuc2FT_btkaOzZbbUSgYObpBuetM/edit?usp=share_link"",""สกลนคร!I701"")+IMPORTRANGE(""https://docs.google.com/spreadsheets/d/1wPdvRbu02d33MYVlbsCnyTiZpefEBs9NNktAnT1HZvw/edit?"&amp;"usp=share_link"",""สุรินทร์!I701"")+IMPORTRANGE(""https://docs.google.com/spreadsheets/d/1GVExpf-Exi_2gmuqTYH28fseTB9MoKPXWcXCbSt_YrM/edit?usp=share_link"",""หนองคาย!I701"")+IMPORTRANGE(""https://docs.google.com/spreadsheets/d/16UeMz0UgOB5BZcoxP75eYGcLFtG"&amp;"YRn9GoesD4OX9m5U/edit?usp=share_link"",""หนองบัวลำภู!I701"")+IMPORTRANGE(""https://docs.google.com/spreadsheets/d/1uUP8Zo1-qaJLuIkRU0qlwLSE3DHkbdrrj2JGJiWBQZE/edit?usp=share_link"",""อำนาจเจริญ!I701"")+IMPORTRANGE(""https://docs.google.com/spreadsheets/d/"&amp;"1hb_taSOHanzRjqfzWPiFo8yiT83VV1L7vvUCLhOiHKc/edit?usp=share_link"",""อุดรธานี!I701"")+IMPORTRANGE(""https://docs.google.com/spreadsheets/d/17IOkEwkUd63EGNfyNDnM5de9YlZ7rwzTiW6-dokVjKI/edit?usp=share_link"",""อุบลราชธานี!I701"")
"),1815)</f>
        <v>1815</v>
      </c>
      <c r="J701" s="194">
        <f ca="1">J704+J707</f>
        <v>1231.4100000000001</v>
      </c>
      <c r="K701" s="195">
        <f t="shared" ca="1" si="329"/>
        <v>67.84628099173554</v>
      </c>
      <c r="L701" s="38"/>
      <c r="M701" s="189"/>
      <c r="N701" s="766"/>
      <c r="O701" s="38"/>
      <c r="P701" s="3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</row>
    <row r="702" spans="1:26" ht="18.75">
      <c r="A702" s="744"/>
      <c r="B702" s="576"/>
      <c r="C702" s="576"/>
      <c r="D702" s="576"/>
      <c r="E702" s="577" t="s">
        <v>298</v>
      </c>
      <c r="F702" s="576"/>
      <c r="G702" s="189"/>
      <c r="H702" s="182" t="s">
        <v>35</v>
      </c>
      <c r="I702" s="765"/>
      <c r="J702" s="183">
        <f ca="1">IFERROR(__xludf.DUMMYFUNCTION("IMPORTRANGE(""https://docs.google.com/spreadsheets/d/1fb2B9NLcpJgjIieIJvenUTNPn0TimZDUi0OtYeiSQ_s/edit?usp=share_link"",""กาฬสินธุ์!J702"")+IMPORTRANGE(""https://docs.google.com/spreadsheets/d/1SaMnqrwRGmFYNR0MhpWmHuL5niYUd5E7vDq8X7whAlI/edit?usp=share_li"&amp;"nk"",""ขอนแก่น!J702"")
+IMPORTRANGE(""https://docs.google.com/spreadsheets/d/1xQzEtGHhTTgxHh6YUkKY1P4dRyjVhS74dGswLfAASA4/edit?usp=share_link"",""ชัยภูมิ!J702"")+IMPORTRANGE(""https://docs.google.com/spreadsheets/d/1EXMBoBxU3OFbjT2TRpneM33qFjqDzrKmn9ydcfl"&amp;"fI0o/edit?usp=share_link"",""นครพนม!J702"")+IMPORTRANGE(""https://docs.google.com/spreadsheets/d/1bDQrolntRWtHumK8W-x-HXKntwxB9S3sF5aDeRS66Ko/edit?usp=share_link"",""นครราชสีมา!J702"")+IMPORTRANGE(""https://docs.google.com/spreadsheets/d/1_MzZ-2gVPiCW-d2V"&amp;"cafoCmFJQTSrZ6SQyFcMqRRQQ2w/edit?usp=share_link"",""บึงกาฬ!J702"")
+IMPORTRANGE(""https://docs.google.com/spreadsheets/d/1B3lPpzOuaNwVItLwLEZYl_qEblfcx7dRnbRkAw0l-pE/edit?usp=share_link"",""บุรีรัมย์!J702"")+IMPORTRANGE(""https://docs.google.com/spreadshe"&amp;"ets/d/19GOkiOqnzYbevLYWrMk4qFOXe3rX14BkSA8X-mq-a40/edit?usp=share_link"",""มหาสารคาม!J702"")+IMPORTRANGE(""https://docs.google.com/spreadsheets/d/1uMKqWwuNQ-TCKboGA3Bb1qXb5uj2-faACNUINCz8PN4/edit?usp=share_link"",""มุกดาหาร!J702"")+IMPORTRANGE(""https://d"&amp;"ocs.google.com/spreadsheets/d/1oKaccgDdQABndOzGr688Dbfxb_V3YcF67VqEPBtdzsc/edit?usp=share_link"",""ยโสธร!J702"")+IMPORTRANGE(""https://docs.google.com/spreadsheets/d/1BRgc8xKpxZ0PX-gauieMVkV_IOxKSotf0yW8MabGprQ/edit?usp=share_link"",""ร้อยเอ็ด!J702"")+IMP"&amp;"ORTRANGE(""https://docs.google.com/spreadsheets/d/1IdolZc-dfdgMwAm_KZxYJl1sUOcIgnbGQzbWOlddedo/edit?usp=share_link"",""เลย!J702"")+IMPORTRANGE(""https://docs.google.com/spreadsheets/d/1tZ0nmtGuIRCaGAMXHlQU8EpR9LOAJvyKfc4f7EFmE34/edit?usp=share_link"",""ศร"&amp;"ีสะเกษ!J702"")+IMPORTRANGE(""https://docs.google.com/spreadsheets/d/1QC8psz9w0f9IVE9Xuc2FT_btkaOzZbbUSgYObpBuetM/edit?usp=share_link"",""สกลนคร!J702"")+IMPORTRANGE(""https://docs.google.com/spreadsheets/d/1wPdvRbu02d33MYVlbsCnyTiZpefEBs9NNktAnT1HZvw/edit?"&amp;"usp=share_link"",""สุรินทร์!J702"")+IMPORTRANGE(""https://docs.google.com/spreadsheets/d/1GVExpf-Exi_2gmuqTYH28fseTB9MoKPXWcXCbSt_YrM/edit?usp=share_link"",""หนองคาย!J702"")+IMPORTRANGE(""https://docs.google.com/spreadsheets/d/16UeMz0UgOB5BZcoxP75eYGcLFtG"&amp;"YRn9GoesD4OX9m5U/edit?usp=share_link"",""หนองบัวลำภู!J702"")+IMPORTRANGE(""https://docs.google.com/spreadsheets/d/1uUP8Zo1-qaJLuIkRU0qlwLSE3DHkbdrrj2JGJiWBQZE/edit?usp=share_link"",""อำนาจเจริญ!J702"")+IMPORTRANGE(""https://docs.google.com/spreadsheets/d/"&amp;"1hb_taSOHanzRjqfzWPiFo8yiT83VV1L7vvUCLhOiHKc/edit?usp=share_link"",""อุดรธานี!J702"")+IMPORTRANGE(""https://docs.google.com/spreadsheets/d/17IOkEwkUd63EGNfyNDnM5de9YlZ7rwzTiW6-dokVjKI/edit?usp=share_link"",""อุบลราชธานี!J702"")
"),13)</f>
        <v>13</v>
      </c>
      <c r="K702" s="38"/>
      <c r="L702" s="38"/>
      <c r="M702" s="189"/>
      <c r="N702" s="766"/>
      <c r="O702" s="38"/>
      <c r="P702" s="3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</row>
    <row r="703" spans="1:26" ht="18.75">
      <c r="A703" s="744"/>
      <c r="B703" s="576"/>
      <c r="C703" s="576"/>
      <c r="D703" s="576"/>
      <c r="E703" s="576"/>
      <c r="F703" s="576"/>
      <c r="G703" s="189"/>
      <c r="H703" s="182" t="s">
        <v>34</v>
      </c>
      <c r="I703" s="765"/>
      <c r="J703" s="183">
        <f ca="1">IFERROR(__xludf.DUMMYFUNCTION("IMPORTRANGE(""https://docs.google.com/spreadsheets/d/1fb2B9NLcpJgjIieIJvenUTNPn0TimZDUi0OtYeiSQ_s/edit?usp=share_link"",""กาฬสินธุ์!J703"")+IMPORTRANGE(""https://docs.google.com/spreadsheets/d/1SaMnqrwRGmFYNR0MhpWmHuL5niYUd5E7vDq8X7whAlI/edit?usp=share_li"&amp;"nk"",""ขอนแก่น!J703"")
+IMPORTRANGE(""https://docs.google.com/spreadsheets/d/1xQzEtGHhTTgxHh6YUkKY1P4dRyjVhS74dGswLfAASA4/edit?usp=share_link"",""ชัยภูมิ!J703"")+IMPORTRANGE(""https://docs.google.com/spreadsheets/d/1EXMBoBxU3OFbjT2TRpneM33qFjqDzrKmn9ydcfl"&amp;"fI0o/edit?usp=share_link"",""นครพนม!J703"")+IMPORTRANGE(""https://docs.google.com/spreadsheets/d/1bDQrolntRWtHumK8W-x-HXKntwxB9S3sF5aDeRS66Ko/edit?usp=share_link"",""นครราชสีมา!J703"")+IMPORTRANGE(""https://docs.google.com/spreadsheets/d/1_MzZ-2gVPiCW-d2V"&amp;"cafoCmFJQTSrZ6SQyFcMqRRQQ2w/edit?usp=share_link"",""บึงกาฬ!J703"")
+IMPORTRANGE(""https://docs.google.com/spreadsheets/d/1B3lPpzOuaNwVItLwLEZYl_qEblfcx7dRnbRkAw0l-pE/edit?usp=share_link"",""บุรีรัมย์!J703"")+IMPORTRANGE(""https://docs.google.com/spreadshe"&amp;"ets/d/19GOkiOqnzYbevLYWrMk4qFOXe3rX14BkSA8X-mq-a40/edit?usp=share_link"",""มหาสารคาม!J703"")+IMPORTRANGE(""https://docs.google.com/spreadsheets/d/1uMKqWwuNQ-TCKboGA3Bb1qXb5uj2-faACNUINCz8PN4/edit?usp=share_link"",""มุกดาหาร!J703"")+IMPORTRANGE(""https://d"&amp;"ocs.google.com/spreadsheets/d/1oKaccgDdQABndOzGr688Dbfxb_V3YcF67VqEPBtdzsc/edit?usp=share_link"",""ยโสธร!J703"")+IMPORTRANGE(""https://docs.google.com/spreadsheets/d/1BRgc8xKpxZ0PX-gauieMVkV_IOxKSotf0yW8MabGprQ/edit?usp=share_link"",""ร้อยเอ็ด!J703"")+IMP"&amp;"ORTRANGE(""https://docs.google.com/spreadsheets/d/1IdolZc-dfdgMwAm_KZxYJl1sUOcIgnbGQzbWOlddedo/edit?usp=share_link"",""เลย!J703"")+IMPORTRANGE(""https://docs.google.com/spreadsheets/d/1tZ0nmtGuIRCaGAMXHlQU8EpR9LOAJvyKfc4f7EFmE34/edit?usp=share_link"",""ศร"&amp;"ีสะเกษ!J703"")+IMPORTRANGE(""https://docs.google.com/spreadsheets/d/1QC8psz9w0f9IVE9Xuc2FT_btkaOzZbbUSgYObpBuetM/edit?usp=share_link"",""สกลนคร!J703"")+IMPORTRANGE(""https://docs.google.com/spreadsheets/d/1wPdvRbu02d33MYVlbsCnyTiZpefEBs9NNktAnT1HZvw/edit?"&amp;"usp=share_link"",""สุรินทร์!J703"")+IMPORTRANGE(""https://docs.google.com/spreadsheets/d/1GVExpf-Exi_2gmuqTYH28fseTB9MoKPXWcXCbSt_YrM/edit?usp=share_link"",""หนองคาย!J703"")+IMPORTRANGE(""https://docs.google.com/spreadsheets/d/16UeMz0UgOB5BZcoxP75eYGcLFtG"&amp;"YRn9GoesD4OX9m5U/edit?usp=share_link"",""หนองบัวลำภู!J703"")+IMPORTRANGE(""https://docs.google.com/spreadsheets/d/1uUP8Zo1-qaJLuIkRU0qlwLSE3DHkbdrrj2JGJiWBQZE/edit?usp=share_link"",""อำนาจเจริญ!J703"")+IMPORTRANGE(""https://docs.google.com/spreadsheets/d/"&amp;"1hb_taSOHanzRjqfzWPiFo8yiT83VV1L7vvUCLhOiHKc/edit?usp=share_link"",""อุดรธานี!J703"")+IMPORTRANGE(""https://docs.google.com/spreadsheets/d/17IOkEwkUd63EGNfyNDnM5de9YlZ7rwzTiW6-dokVjKI/edit?usp=share_link"",""อุบลราชธานี!J703"")
"),19)</f>
        <v>19</v>
      </c>
      <c r="K703" s="38"/>
      <c r="L703" s="38"/>
      <c r="M703" s="189"/>
      <c r="N703" s="766"/>
      <c r="O703" s="38"/>
      <c r="P703" s="3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</row>
    <row r="704" spans="1:26" ht="18.75">
      <c r="A704" s="744"/>
      <c r="B704" s="576"/>
      <c r="C704" s="576"/>
      <c r="D704" s="576"/>
      <c r="E704" s="576"/>
      <c r="F704" s="576"/>
      <c r="G704" s="189"/>
      <c r="H704" s="182" t="s">
        <v>46</v>
      </c>
      <c r="I704" s="765">
        <f ca="1">IFERROR(__xludf.DUMMYFUNCTION("IMPORTRANGE(""https://docs.google.com/spreadsheets/d/1fb2B9NLcpJgjIieIJvenUTNPn0TimZDUi0OtYeiSQ_s/edit?usp=share_link"",""กาฬสินธุ์!I704"")+IMPORTRANGE(""https://docs.google.com/spreadsheets/d/1SaMnqrwRGmFYNR0MhpWmHuL5niYUd5E7vDq8X7whAlI/edit?usp=share_li"&amp;"nk"",""ขอนแก่น!I704"")
+IMPORTRANGE(""https://docs.google.com/spreadsheets/d/1xQzEtGHhTTgxHh6YUkKY1P4dRyjVhS74dGswLfAASA4/edit?usp=share_link"",""ชัยภูมิ!I704"")+IMPORTRANGE(""https://docs.google.com/spreadsheets/d/1EXMBoBxU3OFbjT2TRpneM33qFjqDzrKmn9ydcfl"&amp;"fI0o/edit?usp=share_link"",""นครพนม!I704"")+IMPORTRANGE(""https://docs.google.com/spreadsheets/d/1bDQrolntRWtHumK8W-x-HXKntwxB9S3sF5aDeRS66Ko/edit?usp=share_link"",""นครราชสีมา!I704"")+IMPORTRANGE(""https://docs.google.com/spreadsheets/d/1_MzZ-2gVPiCW-d2V"&amp;"cafoCmFJQTSrZ6SQyFcMqRRQQ2w/edit?usp=share_link"",""บึงกาฬ!I704"")
+IMPORTRANGE(""https://docs.google.com/spreadsheets/d/1B3lPpzOuaNwVItLwLEZYl_qEblfcx7dRnbRkAw0l-pE/edit?usp=share_link"",""บุรีรัมย์!I704"")+IMPORTRANGE(""https://docs.google.com/spreadshe"&amp;"ets/d/19GOkiOqnzYbevLYWrMk4qFOXe3rX14BkSA8X-mq-a40/edit?usp=share_link"",""มหาสารคาม!I704"")+IMPORTRANGE(""https://docs.google.com/spreadsheets/d/1uMKqWwuNQ-TCKboGA3Bb1qXb5uj2-faACNUINCz8PN4/edit?usp=share_link"",""มุกดาหาร!I704"")+IMPORTRANGE(""https://d"&amp;"ocs.google.com/spreadsheets/d/1oKaccgDdQABndOzGr688Dbfxb_V3YcF67VqEPBtdzsc/edit?usp=share_link"",""ยโสธร!I704"")+IMPORTRANGE(""https://docs.google.com/spreadsheets/d/1BRgc8xKpxZ0PX-gauieMVkV_IOxKSotf0yW8MabGprQ/edit?usp=share_link"",""ร้อยเอ็ด!I704"")+IMP"&amp;"ORTRANGE(""https://docs.google.com/spreadsheets/d/1IdolZc-dfdgMwAm_KZxYJl1sUOcIgnbGQzbWOlddedo/edit?usp=share_link"",""เลย!I704"")+IMPORTRANGE(""https://docs.google.com/spreadsheets/d/1tZ0nmtGuIRCaGAMXHlQU8EpR9LOAJvyKfc4f7EFmE34/edit?usp=share_link"",""ศร"&amp;"ีสะเกษ!I704"")+IMPORTRANGE(""https://docs.google.com/spreadsheets/d/1QC8psz9w0f9IVE9Xuc2FT_btkaOzZbbUSgYObpBuetM/edit?usp=share_link"",""สกลนคร!I704"")+IMPORTRANGE(""https://docs.google.com/spreadsheets/d/1wPdvRbu02d33MYVlbsCnyTiZpefEBs9NNktAnT1HZvw/edit?"&amp;"usp=share_link"",""สุรินทร์!I704"")+IMPORTRANGE(""https://docs.google.com/spreadsheets/d/1GVExpf-Exi_2gmuqTYH28fseTB9MoKPXWcXCbSt_YrM/edit?usp=share_link"",""หนองคาย!I704"")+IMPORTRANGE(""https://docs.google.com/spreadsheets/d/16UeMz0UgOB5BZcoxP75eYGcLFtG"&amp;"YRn9GoesD4OX9m5U/edit?usp=share_link"",""หนองบัวลำภู!I704"")+IMPORTRANGE(""https://docs.google.com/spreadsheets/d/1uUP8Zo1-qaJLuIkRU0qlwLSE3DHkbdrrj2JGJiWBQZE/edit?usp=share_link"",""อำนาจเจริญ!I704"")+IMPORTRANGE(""https://docs.google.com/spreadsheets/d/"&amp;"1hb_taSOHanzRjqfzWPiFo8yiT83VV1L7vvUCLhOiHKc/edit?usp=share_link"",""อุดรธานี!I704"")+IMPORTRANGE(""https://docs.google.com/spreadsheets/d/17IOkEwkUd63EGNfyNDnM5de9YlZ7rwzTiW6-dokVjKI/edit?usp=share_link"",""อุบลราชธานี!I704"")
"),94)</f>
        <v>94</v>
      </c>
      <c r="J704" s="183">
        <f ca="1">IFERROR(__xludf.DUMMYFUNCTION("IMPORTRANGE(""https://docs.google.com/spreadsheets/d/1fb2B9NLcpJgjIieIJvenUTNPn0TimZDUi0OtYeiSQ_s/edit?usp=share_link"",""กาฬสินธุ์!J704"")+IMPORTRANGE(""https://docs.google.com/spreadsheets/d/1SaMnqrwRGmFYNR0MhpWmHuL5niYUd5E7vDq8X7whAlI/edit?usp=share_li"&amp;"nk"",""ขอนแก่น!J704"")
+IMPORTRANGE(""https://docs.google.com/spreadsheets/d/1xQzEtGHhTTgxHh6YUkKY1P4dRyjVhS74dGswLfAASA4/edit?usp=share_link"",""ชัยภูมิ!J704"")+IMPORTRANGE(""https://docs.google.com/spreadsheets/d/1EXMBoBxU3OFbjT2TRpneM33qFjqDzrKmn9ydcfl"&amp;"fI0o/edit?usp=share_link"",""นครพนม!J704"")+IMPORTRANGE(""https://docs.google.com/spreadsheets/d/1bDQrolntRWtHumK8W-x-HXKntwxB9S3sF5aDeRS66Ko/edit?usp=share_link"",""นครราชสีมา!J704"")+IMPORTRANGE(""https://docs.google.com/spreadsheets/d/1_MzZ-2gVPiCW-d2V"&amp;"cafoCmFJQTSrZ6SQyFcMqRRQQ2w/edit?usp=share_link"",""บึงกาฬ!J704"")
+IMPORTRANGE(""https://docs.google.com/spreadsheets/d/1B3lPpzOuaNwVItLwLEZYl_qEblfcx7dRnbRkAw0l-pE/edit?usp=share_link"",""บุรีรัมย์!J704"")+IMPORTRANGE(""https://docs.google.com/spreadshe"&amp;"ets/d/19GOkiOqnzYbevLYWrMk4qFOXe3rX14BkSA8X-mq-a40/edit?usp=share_link"",""มหาสารคาม!J704"")+IMPORTRANGE(""https://docs.google.com/spreadsheets/d/1uMKqWwuNQ-TCKboGA3Bb1qXb5uj2-faACNUINCz8PN4/edit?usp=share_link"",""มุกดาหาร!J704"")+IMPORTRANGE(""https://d"&amp;"ocs.google.com/spreadsheets/d/1oKaccgDdQABndOzGr688Dbfxb_V3YcF67VqEPBtdzsc/edit?usp=share_link"",""ยโสธร!J704"")+IMPORTRANGE(""https://docs.google.com/spreadsheets/d/1BRgc8xKpxZ0PX-gauieMVkV_IOxKSotf0yW8MabGprQ/edit?usp=share_link"",""ร้อยเอ็ด!J704"")+IMP"&amp;"ORTRANGE(""https://docs.google.com/spreadsheets/d/1IdolZc-dfdgMwAm_KZxYJl1sUOcIgnbGQzbWOlddedo/edit?usp=share_link"",""เลย!J704"")+IMPORTRANGE(""https://docs.google.com/spreadsheets/d/1tZ0nmtGuIRCaGAMXHlQU8EpR9LOAJvyKfc4f7EFmE34/edit?usp=share_link"",""ศร"&amp;"ีสะเกษ!J704"")+IMPORTRANGE(""https://docs.google.com/spreadsheets/d/1QC8psz9w0f9IVE9Xuc2FT_btkaOzZbbUSgYObpBuetM/edit?usp=share_link"",""สกลนคร!J704"")+IMPORTRANGE(""https://docs.google.com/spreadsheets/d/1wPdvRbu02d33MYVlbsCnyTiZpefEBs9NNktAnT1HZvw/edit?"&amp;"usp=share_link"",""สุรินทร์!J704"")+IMPORTRANGE(""https://docs.google.com/spreadsheets/d/1GVExpf-Exi_2gmuqTYH28fseTB9MoKPXWcXCbSt_YrM/edit?usp=share_link"",""หนองคาย!J704"")+IMPORTRANGE(""https://docs.google.com/spreadsheets/d/16UeMz0UgOB5BZcoxP75eYGcLFtG"&amp;"YRn9GoesD4OX9m5U/edit?usp=share_link"",""หนองบัวลำภู!J704"")+IMPORTRANGE(""https://docs.google.com/spreadsheets/d/1uUP8Zo1-qaJLuIkRU0qlwLSE3DHkbdrrj2JGJiWBQZE/edit?usp=share_link"",""อำนาจเจริญ!J704"")+IMPORTRANGE(""https://docs.google.com/spreadsheets/d/"&amp;"1hb_taSOHanzRjqfzWPiFo8yiT83VV1L7vvUCLhOiHKc/edit?usp=share_link"",""อุดรธานี!J704"")+IMPORTRANGE(""https://docs.google.com/spreadsheets/d/17IOkEwkUd63EGNfyNDnM5de9YlZ7rwzTiW6-dokVjKI/edit?usp=share_link"",""อุบลราชธานี!J704"")
"),161.95)</f>
        <v>161.94999999999999</v>
      </c>
      <c r="K704" s="38"/>
      <c r="L704" s="38"/>
      <c r="M704" s="189"/>
      <c r="N704" s="766"/>
      <c r="O704" s="38"/>
      <c r="P704" s="3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</row>
    <row r="705" spans="1:26" ht="18.75">
      <c r="A705" s="744"/>
      <c r="B705" s="576"/>
      <c r="C705" s="576"/>
      <c r="D705" s="576"/>
      <c r="E705" s="577" t="s">
        <v>299</v>
      </c>
      <c r="F705" s="576"/>
      <c r="G705" s="189"/>
      <c r="H705" s="182" t="s">
        <v>35</v>
      </c>
      <c r="I705" s="765"/>
      <c r="J705" s="183">
        <f ca="1">IFERROR(__xludf.DUMMYFUNCTION("IMPORTRANGE(""https://docs.google.com/spreadsheets/d/1fb2B9NLcpJgjIieIJvenUTNPn0TimZDUi0OtYeiSQ_s/edit?usp=share_link"",""กาฬสินธุ์!J705"")+IMPORTRANGE(""https://docs.google.com/spreadsheets/d/1SaMnqrwRGmFYNR0MhpWmHuL5niYUd5E7vDq8X7whAlI/edit?usp=share_li"&amp;"nk"",""ขอนแก่น!J705"")
+IMPORTRANGE(""https://docs.google.com/spreadsheets/d/1xQzEtGHhTTgxHh6YUkKY1P4dRyjVhS74dGswLfAASA4/edit?usp=share_link"",""ชัยภูมิ!J705"")+IMPORTRANGE(""https://docs.google.com/spreadsheets/d/1EXMBoBxU3OFbjT2TRpneM33qFjqDzrKmn9ydcfl"&amp;"fI0o/edit?usp=share_link"",""นครพนม!J705"")+IMPORTRANGE(""https://docs.google.com/spreadsheets/d/1bDQrolntRWtHumK8W-x-HXKntwxB9S3sF5aDeRS66Ko/edit?usp=share_link"",""นครราชสีมา!J705"")+IMPORTRANGE(""https://docs.google.com/spreadsheets/d/1_MzZ-2gVPiCW-d2V"&amp;"cafoCmFJQTSrZ6SQyFcMqRRQQ2w/edit?usp=share_link"",""บึงกาฬ!J705"")
+IMPORTRANGE(""https://docs.google.com/spreadsheets/d/1B3lPpzOuaNwVItLwLEZYl_qEblfcx7dRnbRkAw0l-pE/edit?usp=share_link"",""บุรีรัมย์!J705"")+IMPORTRANGE(""https://docs.google.com/spreadshe"&amp;"ets/d/19GOkiOqnzYbevLYWrMk4qFOXe3rX14BkSA8X-mq-a40/edit?usp=share_link"",""มหาสารคาม!J705"")+IMPORTRANGE(""https://docs.google.com/spreadsheets/d/1uMKqWwuNQ-TCKboGA3Bb1qXb5uj2-faACNUINCz8PN4/edit?usp=share_link"",""มุกดาหาร!J705"")+IMPORTRANGE(""https://d"&amp;"ocs.google.com/spreadsheets/d/1oKaccgDdQABndOzGr688Dbfxb_V3YcF67VqEPBtdzsc/edit?usp=share_link"",""ยโสธร!J705"")+IMPORTRANGE(""https://docs.google.com/spreadsheets/d/1BRgc8xKpxZ0PX-gauieMVkV_IOxKSotf0yW8MabGprQ/edit?usp=share_link"",""ร้อยเอ็ด!J705"")+IMP"&amp;"ORTRANGE(""https://docs.google.com/spreadsheets/d/1IdolZc-dfdgMwAm_KZxYJl1sUOcIgnbGQzbWOlddedo/edit?usp=share_link"",""เลย!J705"")+IMPORTRANGE(""https://docs.google.com/spreadsheets/d/1tZ0nmtGuIRCaGAMXHlQU8EpR9LOAJvyKfc4f7EFmE34/edit?usp=share_link"",""ศร"&amp;"ีสะเกษ!J705"")+IMPORTRANGE(""https://docs.google.com/spreadsheets/d/1QC8psz9w0f9IVE9Xuc2FT_btkaOzZbbUSgYObpBuetM/edit?usp=share_link"",""สกลนคร!J705"")+IMPORTRANGE(""https://docs.google.com/spreadsheets/d/1wPdvRbu02d33MYVlbsCnyTiZpefEBs9NNktAnT1HZvw/edit?"&amp;"usp=share_link"",""สุรินทร์!J705"")+IMPORTRANGE(""https://docs.google.com/spreadsheets/d/1GVExpf-Exi_2gmuqTYH28fseTB9MoKPXWcXCbSt_YrM/edit?usp=share_link"",""หนองคาย!J705"")+IMPORTRANGE(""https://docs.google.com/spreadsheets/d/16UeMz0UgOB5BZcoxP75eYGcLFtG"&amp;"YRn9GoesD4OX9m5U/edit?usp=share_link"",""หนองบัวลำภู!J705"")+IMPORTRANGE(""https://docs.google.com/spreadsheets/d/1uUP8Zo1-qaJLuIkRU0qlwLSE3DHkbdrrj2JGJiWBQZE/edit?usp=share_link"",""อำนาจเจริญ!J705"")+IMPORTRANGE(""https://docs.google.com/spreadsheets/d/"&amp;"1hb_taSOHanzRjqfzWPiFo8yiT83VV1L7vvUCLhOiHKc/edit?usp=share_link"",""อุดรธานี!J705"")+IMPORTRANGE(""https://docs.google.com/spreadsheets/d/17IOkEwkUd63EGNfyNDnM5de9YlZ7rwzTiW6-dokVjKI/edit?usp=share_link"",""อุบลราชธานี!J705"")
"),87)</f>
        <v>87</v>
      </c>
      <c r="K705" s="38"/>
      <c r="L705" s="38"/>
      <c r="M705" s="189"/>
      <c r="N705" s="766"/>
      <c r="O705" s="38"/>
      <c r="P705" s="3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</row>
    <row r="706" spans="1:26" ht="18.75">
      <c r="A706" s="744"/>
      <c r="B706" s="576"/>
      <c r="C706" s="576"/>
      <c r="D706" s="576"/>
      <c r="E706" s="576"/>
      <c r="F706" s="576"/>
      <c r="G706" s="189"/>
      <c r="H706" s="182" t="s">
        <v>34</v>
      </c>
      <c r="I706" s="765"/>
      <c r="J706" s="183">
        <f ca="1">IFERROR(__xludf.DUMMYFUNCTION("IMPORTRANGE(""https://docs.google.com/spreadsheets/d/1fb2B9NLcpJgjIieIJvenUTNPn0TimZDUi0OtYeiSQ_s/edit?usp=share_link"",""กาฬสินธุ์!J706"")+IMPORTRANGE(""https://docs.google.com/spreadsheets/d/1SaMnqrwRGmFYNR0MhpWmHuL5niYUd5E7vDq8X7whAlI/edit?usp=share_li"&amp;"nk"",""ขอนแก่น!J706"")
+IMPORTRANGE(""https://docs.google.com/spreadsheets/d/1xQzEtGHhTTgxHh6YUkKY1P4dRyjVhS74dGswLfAASA4/edit?usp=share_link"",""ชัยภูมิ!J706"")+IMPORTRANGE(""https://docs.google.com/spreadsheets/d/1EXMBoBxU3OFbjT2TRpneM33qFjqDzrKmn9ydcfl"&amp;"fI0o/edit?usp=share_link"",""นครพนม!J706"")+IMPORTRANGE(""https://docs.google.com/spreadsheets/d/1bDQrolntRWtHumK8W-x-HXKntwxB9S3sF5aDeRS66Ko/edit?usp=share_link"",""นครราชสีมา!J706"")+IMPORTRANGE(""https://docs.google.com/spreadsheets/d/1_MzZ-2gVPiCW-d2V"&amp;"cafoCmFJQTSrZ6SQyFcMqRRQQ2w/edit?usp=share_link"",""บึงกาฬ!J706"")
+IMPORTRANGE(""https://docs.google.com/spreadsheets/d/1B3lPpzOuaNwVItLwLEZYl_qEblfcx7dRnbRkAw0l-pE/edit?usp=share_link"",""บุรีรัมย์!J706"")+IMPORTRANGE(""https://docs.google.com/spreadshe"&amp;"ets/d/19GOkiOqnzYbevLYWrMk4qFOXe3rX14BkSA8X-mq-a40/edit?usp=share_link"",""มหาสารคาม!J706"")+IMPORTRANGE(""https://docs.google.com/spreadsheets/d/1uMKqWwuNQ-TCKboGA3Bb1qXb5uj2-faACNUINCz8PN4/edit?usp=share_link"",""มุกดาหาร!J706"")+IMPORTRANGE(""https://d"&amp;"ocs.google.com/spreadsheets/d/1oKaccgDdQABndOzGr688Dbfxb_V3YcF67VqEPBtdzsc/edit?usp=share_link"",""ยโสธร!J706"")+IMPORTRANGE(""https://docs.google.com/spreadsheets/d/1BRgc8xKpxZ0PX-gauieMVkV_IOxKSotf0yW8MabGprQ/edit?usp=share_link"",""ร้อยเอ็ด!J706"")+IMP"&amp;"ORTRANGE(""https://docs.google.com/spreadsheets/d/1IdolZc-dfdgMwAm_KZxYJl1sUOcIgnbGQzbWOlddedo/edit?usp=share_link"",""เลย!J706"")+IMPORTRANGE(""https://docs.google.com/spreadsheets/d/1tZ0nmtGuIRCaGAMXHlQU8EpR9LOAJvyKfc4f7EFmE34/edit?usp=share_link"",""ศร"&amp;"ีสะเกษ!J706"")+IMPORTRANGE(""https://docs.google.com/spreadsheets/d/1QC8psz9w0f9IVE9Xuc2FT_btkaOzZbbUSgYObpBuetM/edit?usp=share_link"",""สกลนคร!J706"")+IMPORTRANGE(""https://docs.google.com/spreadsheets/d/1wPdvRbu02d33MYVlbsCnyTiZpefEBs9NNktAnT1HZvw/edit?"&amp;"usp=share_link"",""สุรินทร์!J706"")+IMPORTRANGE(""https://docs.google.com/spreadsheets/d/1GVExpf-Exi_2gmuqTYH28fseTB9MoKPXWcXCbSt_YrM/edit?usp=share_link"",""หนองคาย!J706"")+IMPORTRANGE(""https://docs.google.com/spreadsheets/d/16UeMz0UgOB5BZcoxP75eYGcLFtG"&amp;"YRn9GoesD4OX9m5U/edit?usp=share_link"",""หนองบัวลำภู!J706"")+IMPORTRANGE(""https://docs.google.com/spreadsheets/d/1uUP8Zo1-qaJLuIkRU0qlwLSE3DHkbdrrj2JGJiWBQZE/edit?usp=share_link"",""อำนาจเจริญ!J706"")+IMPORTRANGE(""https://docs.google.com/spreadsheets/d/"&amp;"1hb_taSOHanzRjqfzWPiFo8yiT83VV1L7vvUCLhOiHKc/edit?usp=share_link"",""อุดรธานี!J706"")+IMPORTRANGE(""https://docs.google.com/spreadsheets/d/17IOkEwkUd63EGNfyNDnM5de9YlZ7rwzTiW6-dokVjKI/edit?usp=share_link"",""อุบลราชธานี!J706"")
"),94)</f>
        <v>94</v>
      </c>
      <c r="K706" s="38"/>
      <c r="L706" s="38"/>
      <c r="M706" s="189"/>
      <c r="N706" s="766"/>
      <c r="O706" s="38"/>
      <c r="P706" s="3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</row>
    <row r="707" spans="1:26" ht="18.75">
      <c r="A707" s="744"/>
      <c r="B707" s="576"/>
      <c r="C707" s="576"/>
      <c r="D707" s="576"/>
      <c r="E707" s="576"/>
      <c r="F707" s="576"/>
      <c r="G707" s="189"/>
      <c r="H707" s="182" t="s">
        <v>46</v>
      </c>
      <c r="I707" s="765">
        <f ca="1">IFERROR(__xludf.DUMMYFUNCTION("IMPORTRANGE(""https://docs.google.com/spreadsheets/d/1fb2B9NLcpJgjIieIJvenUTNPn0TimZDUi0OtYeiSQ_s/edit?usp=share_link"",""กาฬสินธุ์!I707"")+IMPORTRANGE(""https://docs.google.com/spreadsheets/d/1SaMnqrwRGmFYNR0MhpWmHuL5niYUd5E7vDq8X7whAlI/edit?usp=share_li"&amp;"nk"",""ขอนแก่น!I707"")
+IMPORTRANGE(""https://docs.google.com/spreadsheets/d/1xQzEtGHhTTgxHh6YUkKY1P4dRyjVhS74dGswLfAASA4/edit?usp=share_link"",""ชัยภูมิ!I707"")+IMPORTRANGE(""https://docs.google.com/spreadsheets/d/1EXMBoBxU3OFbjT2TRpneM33qFjqDzrKmn9ydcfl"&amp;"fI0o/edit?usp=share_link"",""นครพนม!I707"")+IMPORTRANGE(""https://docs.google.com/spreadsheets/d/1bDQrolntRWtHumK8W-x-HXKntwxB9S3sF5aDeRS66Ko/edit?usp=share_link"",""นครราชสีมา!I707"")+IMPORTRANGE(""https://docs.google.com/spreadsheets/d/1_MzZ-2gVPiCW-d2V"&amp;"cafoCmFJQTSrZ6SQyFcMqRRQQ2w/edit?usp=share_link"",""บึงกาฬ!I707"")
+IMPORTRANGE(""https://docs.google.com/spreadsheets/d/1B3lPpzOuaNwVItLwLEZYl_qEblfcx7dRnbRkAw0l-pE/edit?usp=share_link"",""บุรีรัมย์!I707"")+IMPORTRANGE(""https://docs.google.com/spreadshe"&amp;"ets/d/19GOkiOqnzYbevLYWrMk4qFOXe3rX14BkSA8X-mq-a40/edit?usp=share_link"",""มหาสารคาม!I707"")+IMPORTRANGE(""https://docs.google.com/spreadsheets/d/1uMKqWwuNQ-TCKboGA3Bb1qXb5uj2-faACNUINCz8PN4/edit?usp=share_link"",""มุกดาหาร!I707"")+IMPORTRANGE(""https://d"&amp;"ocs.google.com/spreadsheets/d/1oKaccgDdQABndOzGr688Dbfxb_V3YcF67VqEPBtdzsc/edit?usp=share_link"",""ยโสธร!I707"")+IMPORTRANGE(""https://docs.google.com/spreadsheets/d/1BRgc8xKpxZ0PX-gauieMVkV_IOxKSotf0yW8MabGprQ/edit?usp=share_link"",""ร้อยเอ็ด!I707"")+IMP"&amp;"ORTRANGE(""https://docs.google.com/spreadsheets/d/1IdolZc-dfdgMwAm_KZxYJl1sUOcIgnbGQzbWOlddedo/edit?usp=share_link"",""เลย!I707"")+IMPORTRANGE(""https://docs.google.com/spreadsheets/d/1tZ0nmtGuIRCaGAMXHlQU8EpR9LOAJvyKfc4f7EFmE34/edit?usp=share_link"",""ศร"&amp;"ีสะเกษ!I707"")+IMPORTRANGE(""https://docs.google.com/spreadsheets/d/1QC8psz9w0f9IVE9Xuc2FT_btkaOzZbbUSgYObpBuetM/edit?usp=share_link"",""สกลนคร!I707"")+IMPORTRANGE(""https://docs.google.com/spreadsheets/d/1wPdvRbu02d33MYVlbsCnyTiZpefEBs9NNktAnT1HZvw/edit?"&amp;"usp=share_link"",""สุรินทร์!I707"")+IMPORTRANGE(""https://docs.google.com/spreadsheets/d/1GVExpf-Exi_2gmuqTYH28fseTB9MoKPXWcXCbSt_YrM/edit?usp=share_link"",""หนองคาย!I707"")+IMPORTRANGE(""https://docs.google.com/spreadsheets/d/16UeMz0UgOB5BZcoxP75eYGcLFtG"&amp;"YRn9GoesD4OX9m5U/edit?usp=share_link"",""หนองบัวลำภู!I707"")+IMPORTRANGE(""https://docs.google.com/spreadsheets/d/1uUP8Zo1-qaJLuIkRU0qlwLSE3DHkbdrrj2JGJiWBQZE/edit?usp=share_link"",""อำนาจเจริญ!I707"")+IMPORTRANGE(""https://docs.google.com/spreadsheets/d/"&amp;"1hb_taSOHanzRjqfzWPiFo8yiT83VV1L7vvUCLhOiHKc/edit?usp=share_link"",""อุดรธานี!I707"")+IMPORTRANGE(""https://docs.google.com/spreadsheets/d/17IOkEwkUd63EGNfyNDnM5de9YlZ7rwzTiW6-dokVjKI/edit?usp=share_link"",""อุบลราชธานี!I707"")
"),1721)</f>
        <v>1721</v>
      </c>
      <c r="J707" s="183">
        <f ca="1">IFERROR(__xludf.DUMMYFUNCTION("IMPORTRANGE(""https://docs.google.com/spreadsheets/d/1fb2B9NLcpJgjIieIJvenUTNPn0TimZDUi0OtYeiSQ_s/edit?usp=share_link"",""กาฬสินธุ์!J707"")+IMPORTRANGE(""https://docs.google.com/spreadsheets/d/1SaMnqrwRGmFYNR0MhpWmHuL5niYUd5E7vDq8X7whAlI/edit?usp=share_li"&amp;"nk"",""ขอนแก่น!J707"")
+IMPORTRANGE(""https://docs.google.com/spreadsheets/d/1xQzEtGHhTTgxHh6YUkKY1P4dRyjVhS74dGswLfAASA4/edit?usp=share_link"",""ชัยภูมิ!J707"")+IMPORTRANGE(""https://docs.google.com/spreadsheets/d/1EXMBoBxU3OFbjT2TRpneM33qFjqDzrKmn9ydcfl"&amp;"fI0o/edit?usp=share_link"",""นครพนม!J707"")+IMPORTRANGE(""https://docs.google.com/spreadsheets/d/1bDQrolntRWtHumK8W-x-HXKntwxB9S3sF5aDeRS66Ko/edit?usp=share_link"",""นครราชสีมา!J707"")+IMPORTRANGE(""https://docs.google.com/spreadsheets/d/1_MzZ-2gVPiCW-d2V"&amp;"cafoCmFJQTSrZ6SQyFcMqRRQQ2w/edit?usp=share_link"",""บึงกาฬ!J707"")
+IMPORTRANGE(""https://docs.google.com/spreadsheets/d/1B3lPpzOuaNwVItLwLEZYl_qEblfcx7dRnbRkAw0l-pE/edit?usp=share_link"",""บุรีรัมย์!J707"")+IMPORTRANGE(""https://docs.google.com/spreadshe"&amp;"ets/d/19GOkiOqnzYbevLYWrMk4qFOXe3rX14BkSA8X-mq-a40/edit?usp=share_link"",""มหาสารคาม!J707"")+IMPORTRANGE(""https://docs.google.com/spreadsheets/d/1uMKqWwuNQ-TCKboGA3Bb1qXb5uj2-faACNUINCz8PN4/edit?usp=share_link"",""มุกดาหาร!J707"")+IMPORTRANGE(""https://d"&amp;"ocs.google.com/spreadsheets/d/1oKaccgDdQABndOzGr688Dbfxb_V3YcF67VqEPBtdzsc/edit?usp=share_link"",""ยโสธร!J707"")+IMPORTRANGE(""https://docs.google.com/spreadsheets/d/1BRgc8xKpxZ0PX-gauieMVkV_IOxKSotf0yW8MabGprQ/edit?usp=share_link"",""ร้อยเอ็ด!J707"")+IMP"&amp;"ORTRANGE(""https://docs.google.com/spreadsheets/d/1IdolZc-dfdgMwAm_KZxYJl1sUOcIgnbGQzbWOlddedo/edit?usp=share_link"",""เลย!J707"")+IMPORTRANGE(""https://docs.google.com/spreadsheets/d/1tZ0nmtGuIRCaGAMXHlQU8EpR9LOAJvyKfc4f7EFmE34/edit?usp=share_link"",""ศร"&amp;"ีสะเกษ!J707"")+IMPORTRANGE(""https://docs.google.com/spreadsheets/d/1QC8psz9w0f9IVE9Xuc2FT_btkaOzZbbUSgYObpBuetM/edit?usp=share_link"",""สกลนคร!J707"")+IMPORTRANGE(""https://docs.google.com/spreadsheets/d/1wPdvRbu02d33MYVlbsCnyTiZpefEBs9NNktAnT1HZvw/edit?"&amp;"usp=share_link"",""สุรินทร์!J707"")+IMPORTRANGE(""https://docs.google.com/spreadsheets/d/1GVExpf-Exi_2gmuqTYH28fseTB9MoKPXWcXCbSt_YrM/edit?usp=share_link"",""หนองคาย!J707"")+IMPORTRANGE(""https://docs.google.com/spreadsheets/d/16UeMz0UgOB5BZcoxP75eYGcLFtG"&amp;"YRn9GoesD4OX9m5U/edit?usp=share_link"",""หนองบัวลำภู!J707"")+IMPORTRANGE(""https://docs.google.com/spreadsheets/d/1uUP8Zo1-qaJLuIkRU0qlwLSE3DHkbdrrj2JGJiWBQZE/edit?usp=share_link"",""อำนาจเจริญ!J707"")+IMPORTRANGE(""https://docs.google.com/spreadsheets/d/"&amp;"1hb_taSOHanzRjqfzWPiFo8yiT83VV1L7vvUCLhOiHKc/edit?usp=share_link"",""อุดรธานี!J707"")+IMPORTRANGE(""https://docs.google.com/spreadsheets/d/17IOkEwkUd63EGNfyNDnM5de9YlZ7rwzTiW6-dokVjKI/edit?usp=share_link"",""อุบลราชธานี!J707"")
"),1069.46)</f>
        <v>1069.46</v>
      </c>
      <c r="K707" s="38"/>
      <c r="L707" s="38"/>
      <c r="M707" s="189"/>
      <c r="N707" s="766"/>
      <c r="O707" s="38"/>
      <c r="P707" s="3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</row>
    <row r="708" spans="1:26" ht="19.5">
      <c r="A708" s="744"/>
      <c r="B708" s="576"/>
      <c r="C708" s="576"/>
      <c r="D708" s="769" t="s">
        <v>300</v>
      </c>
      <c r="E708" s="576"/>
      <c r="F708" s="576"/>
      <c r="G708" s="189"/>
      <c r="H708" s="192" t="s">
        <v>46</v>
      </c>
      <c r="I708" s="768">
        <f ca="1">IFERROR(__xludf.DUMMYFUNCTION("IMPORTRANGE(""https://docs.google.com/spreadsheets/d/1fb2B9NLcpJgjIieIJvenUTNPn0TimZDUi0OtYeiSQ_s/edit?usp=share_link"",""กาฬสินธุ์!I708"")+IMPORTRANGE(""https://docs.google.com/spreadsheets/d/1SaMnqrwRGmFYNR0MhpWmHuL5niYUd5E7vDq8X7whAlI/edit?usp=share_li"&amp;"nk"",""ขอนแก่น!I708"")
+IMPORTRANGE(""https://docs.google.com/spreadsheets/d/1xQzEtGHhTTgxHh6YUkKY1P4dRyjVhS74dGswLfAASA4/edit?usp=share_link"",""ชัยภูมิ!I708"")+IMPORTRANGE(""https://docs.google.com/spreadsheets/d/1EXMBoBxU3OFbjT2TRpneM33qFjqDzrKmn9ydcfl"&amp;"fI0o/edit?usp=share_link"",""นครพนม!I708"")+IMPORTRANGE(""https://docs.google.com/spreadsheets/d/1bDQrolntRWtHumK8W-x-HXKntwxB9S3sF5aDeRS66Ko/edit?usp=share_link"",""นครราชสีมา!I708"")+IMPORTRANGE(""https://docs.google.com/spreadsheets/d/1_MzZ-2gVPiCW-d2V"&amp;"cafoCmFJQTSrZ6SQyFcMqRRQQ2w/edit?usp=share_link"",""บึงกาฬ!I708"")
+IMPORTRANGE(""https://docs.google.com/spreadsheets/d/1B3lPpzOuaNwVItLwLEZYl_qEblfcx7dRnbRkAw0l-pE/edit?usp=share_link"",""บุรีรัมย์!I708"")+IMPORTRANGE(""https://docs.google.com/spreadshe"&amp;"ets/d/19GOkiOqnzYbevLYWrMk4qFOXe3rX14BkSA8X-mq-a40/edit?usp=share_link"",""มหาสารคาม!I708"")+IMPORTRANGE(""https://docs.google.com/spreadsheets/d/1uMKqWwuNQ-TCKboGA3Bb1qXb5uj2-faACNUINCz8PN4/edit?usp=share_link"",""มุกดาหาร!I708"")+IMPORTRANGE(""https://d"&amp;"ocs.google.com/spreadsheets/d/1oKaccgDdQABndOzGr688Dbfxb_V3YcF67VqEPBtdzsc/edit?usp=share_link"",""ยโสธร!I708"")+IMPORTRANGE(""https://docs.google.com/spreadsheets/d/1BRgc8xKpxZ0PX-gauieMVkV_IOxKSotf0yW8MabGprQ/edit?usp=share_link"",""ร้อยเอ็ด!I708"")+IMP"&amp;"ORTRANGE(""https://docs.google.com/spreadsheets/d/1IdolZc-dfdgMwAm_KZxYJl1sUOcIgnbGQzbWOlddedo/edit?usp=share_link"",""เลย!I708"")+IMPORTRANGE(""https://docs.google.com/spreadsheets/d/1tZ0nmtGuIRCaGAMXHlQU8EpR9LOAJvyKfc4f7EFmE34/edit?usp=share_link"",""ศร"&amp;"ีสะเกษ!I708"")+IMPORTRANGE(""https://docs.google.com/spreadsheets/d/1QC8psz9w0f9IVE9Xuc2FT_btkaOzZbbUSgYObpBuetM/edit?usp=share_link"",""สกลนคร!I708"")+IMPORTRANGE(""https://docs.google.com/spreadsheets/d/1wPdvRbu02d33MYVlbsCnyTiZpefEBs9NNktAnT1HZvw/edit?"&amp;"usp=share_link"",""สุรินทร์!I708"")+IMPORTRANGE(""https://docs.google.com/spreadsheets/d/1GVExpf-Exi_2gmuqTYH28fseTB9MoKPXWcXCbSt_YrM/edit?usp=share_link"",""หนองคาย!I708"")+IMPORTRANGE(""https://docs.google.com/spreadsheets/d/16UeMz0UgOB5BZcoxP75eYGcLFtG"&amp;"YRn9GoesD4OX9m5U/edit?usp=share_link"",""หนองบัวลำภู!I708"")+IMPORTRANGE(""https://docs.google.com/spreadsheets/d/1uUP8Zo1-qaJLuIkRU0qlwLSE3DHkbdrrj2JGJiWBQZE/edit?usp=share_link"",""อำนาจเจริญ!I708"")+IMPORTRANGE(""https://docs.google.com/spreadsheets/d/"&amp;"1hb_taSOHanzRjqfzWPiFo8yiT83VV1L7vvUCLhOiHKc/edit?usp=share_link"",""อุดรธานี!I708"")+IMPORTRANGE(""https://docs.google.com/spreadsheets/d/17IOkEwkUd63EGNfyNDnM5de9YlZ7rwzTiW6-dokVjKI/edit?usp=share_link"",""อุบลราชธานี!I708"")
"),459)</f>
        <v>459</v>
      </c>
      <c r="J708" s="194">
        <f ca="1">J714+J717</f>
        <v>468</v>
      </c>
      <c r="K708" s="195">
        <f ca="1">IF(I708&gt;0,J708*100/I708,0)</f>
        <v>101.96078431372548</v>
      </c>
      <c r="L708" s="38"/>
      <c r="M708" s="189"/>
      <c r="N708" s="766"/>
      <c r="O708" s="38"/>
      <c r="P708" s="3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</row>
    <row r="709" spans="1:26" ht="18.75">
      <c r="A709" s="744"/>
      <c r="B709" s="576"/>
      <c r="C709" s="576"/>
      <c r="D709" s="576"/>
      <c r="E709" s="577" t="s">
        <v>301</v>
      </c>
      <c r="F709" s="576"/>
      <c r="G709" s="189"/>
      <c r="H709" s="182" t="s">
        <v>34</v>
      </c>
      <c r="I709" s="765"/>
      <c r="J709" s="183">
        <f ca="1">IFERROR(__xludf.DUMMYFUNCTION("IMPORTRANGE(""https://docs.google.com/spreadsheets/d/1fb2B9NLcpJgjIieIJvenUTNPn0TimZDUi0OtYeiSQ_s/edit?usp=share_link"",""กาฬสินธุ์!J709"")+IMPORTRANGE(""https://docs.google.com/spreadsheets/d/1SaMnqrwRGmFYNR0MhpWmHuL5niYUd5E7vDq8X7whAlI/edit?usp=share_li"&amp;"nk"",""ขอนแก่น!J709"")
+IMPORTRANGE(""https://docs.google.com/spreadsheets/d/1xQzEtGHhTTgxHh6YUkKY1P4dRyjVhS74dGswLfAASA4/edit?usp=share_link"",""ชัยภูมิ!J709"")+IMPORTRANGE(""https://docs.google.com/spreadsheets/d/1EXMBoBxU3OFbjT2TRpneM33qFjqDzrKmn9ydcfl"&amp;"fI0o/edit?usp=share_link"",""นครพนม!J709"")+IMPORTRANGE(""https://docs.google.com/spreadsheets/d/1bDQrolntRWtHumK8W-x-HXKntwxB9S3sF5aDeRS66Ko/edit?usp=share_link"",""นครราชสีมา!J709"")+IMPORTRANGE(""https://docs.google.com/spreadsheets/d/1_MzZ-2gVPiCW-d2V"&amp;"cafoCmFJQTSrZ6SQyFcMqRRQQ2w/edit?usp=share_link"",""บึงกาฬ!J709"")
+IMPORTRANGE(""https://docs.google.com/spreadsheets/d/1B3lPpzOuaNwVItLwLEZYl_qEblfcx7dRnbRkAw0l-pE/edit?usp=share_link"",""บุรีรัมย์!J709"")+IMPORTRANGE(""https://docs.google.com/spreadshe"&amp;"ets/d/19GOkiOqnzYbevLYWrMk4qFOXe3rX14BkSA8X-mq-a40/edit?usp=share_link"",""มหาสารคาม!J709"")+IMPORTRANGE(""https://docs.google.com/spreadsheets/d/1uMKqWwuNQ-TCKboGA3Bb1qXb5uj2-faACNUINCz8PN4/edit?usp=share_link"",""มุกดาหาร!J709"")+IMPORTRANGE(""https://d"&amp;"ocs.google.com/spreadsheets/d/1oKaccgDdQABndOzGr688Dbfxb_V3YcF67VqEPBtdzsc/edit?usp=share_link"",""ยโสธร!J709"")+IMPORTRANGE(""https://docs.google.com/spreadsheets/d/1BRgc8xKpxZ0PX-gauieMVkV_IOxKSotf0yW8MabGprQ/edit?usp=share_link"",""ร้อยเอ็ด!J709"")+IMP"&amp;"ORTRANGE(""https://docs.google.com/spreadsheets/d/1IdolZc-dfdgMwAm_KZxYJl1sUOcIgnbGQzbWOlddedo/edit?usp=share_link"",""เลย!J709"")+IMPORTRANGE(""https://docs.google.com/spreadsheets/d/1tZ0nmtGuIRCaGAMXHlQU8EpR9LOAJvyKfc4f7EFmE34/edit?usp=share_link"",""ศร"&amp;"ีสะเกษ!J709"")+IMPORTRANGE(""https://docs.google.com/spreadsheets/d/1QC8psz9w0f9IVE9Xuc2FT_btkaOzZbbUSgYObpBuetM/edit?usp=share_link"",""สกลนคร!J709"")+IMPORTRANGE(""https://docs.google.com/spreadsheets/d/1wPdvRbu02d33MYVlbsCnyTiZpefEBs9NNktAnT1HZvw/edit?"&amp;"usp=share_link"",""สุรินทร์!J709"")+IMPORTRANGE(""https://docs.google.com/spreadsheets/d/1GVExpf-Exi_2gmuqTYH28fseTB9MoKPXWcXCbSt_YrM/edit?usp=share_link"",""หนองคาย!J709"")+IMPORTRANGE(""https://docs.google.com/spreadsheets/d/16UeMz0UgOB5BZcoxP75eYGcLFtG"&amp;"YRn9GoesD4OX9m5U/edit?usp=share_link"",""หนองบัวลำภู!J709"")+IMPORTRANGE(""https://docs.google.com/spreadsheets/d/1uUP8Zo1-qaJLuIkRU0qlwLSE3DHkbdrrj2JGJiWBQZE/edit?usp=share_link"",""อำนาจเจริญ!J709"")+IMPORTRANGE(""https://docs.google.com/spreadsheets/d/"&amp;"1hb_taSOHanzRjqfzWPiFo8yiT83VV1L7vvUCLhOiHKc/edit?usp=share_link"",""อุดรธานี!J709"")+IMPORTRANGE(""https://docs.google.com/spreadsheets/d/17IOkEwkUd63EGNfyNDnM5de9YlZ7rwzTiW6-dokVjKI/edit?usp=share_link"",""อุบลราชธานี!J709"")
"),5)</f>
        <v>5</v>
      </c>
      <c r="K709" s="38"/>
      <c r="L709" s="766"/>
      <c r="M709" s="189"/>
      <c r="N709" s="766"/>
      <c r="O709" s="38"/>
      <c r="P709" s="3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</row>
    <row r="710" spans="1:26" ht="18.75">
      <c r="A710" s="744"/>
      <c r="B710" s="576"/>
      <c r="C710" s="576"/>
      <c r="D710" s="576"/>
      <c r="E710" s="576"/>
      <c r="F710" s="576"/>
      <c r="G710" s="189"/>
      <c r="H710" s="182" t="s">
        <v>46</v>
      </c>
      <c r="I710" s="765"/>
      <c r="J710" s="183">
        <f ca="1">IFERROR(__xludf.DUMMYFUNCTION("IMPORTRANGE(""https://docs.google.com/spreadsheets/d/1fb2B9NLcpJgjIieIJvenUTNPn0TimZDUi0OtYeiSQ_s/edit?usp=share_link"",""กาฬสินธุ์!J710"")+IMPORTRANGE(""https://docs.google.com/spreadsheets/d/1SaMnqrwRGmFYNR0MhpWmHuL5niYUd5E7vDq8X7whAlI/edit?usp=share_li"&amp;"nk"",""ขอนแก่น!J710"")
+IMPORTRANGE(""https://docs.google.com/spreadsheets/d/1xQzEtGHhTTgxHh6YUkKY1P4dRyjVhS74dGswLfAASA4/edit?usp=share_link"",""ชัยภูมิ!J710"")+IMPORTRANGE(""https://docs.google.com/spreadsheets/d/1EXMBoBxU3OFbjT2TRpneM33qFjqDzrKmn9ydcfl"&amp;"fI0o/edit?usp=share_link"",""นครพนม!J710"")+IMPORTRANGE(""https://docs.google.com/spreadsheets/d/1bDQrolntRWtHumK8W-x-HXKntwxB9S3sF5aDeRS66Ko/edit?usp=share_link"",""นครราชสีมา!J710"")+IMPORTRANGE(""https://docs.google.com/spreadsheets/d/1_MzZ-2gVPiCW-d2V"&amp;"cafoCmFJQTSrZ6SQyFcMqRRQQ2w/edit?usp=share_link"",""บึงกาฬ!J710"")
+IMPORTRANGE(""https://docs.google.com/spreadsheets/d/1B3lPpzOuaNwVItLwLEZYl_qEblfcx7dRnbRkAw0l-pE/edit?usp=share_link"",""บุรีรัมย์!J710"")+IMPORTRANGE(""https://docs.google.com/spreadshe"&amp;"ets/d/19GOkiOqnzYbevLYWrMk4qFOXe3rX14BkSA8X-mq-a40/edit?usp=share_link"",""มหาสารคาม!J710"")+IMPORTRANGE(""https://docs.google.com/spreadsheets/d/1uMKqWwuNQ-TCKboGA3Bb1qXb5uj2-faACNUINCz8PN4/edit?usp=share_link"",""มุกดาหาร!J710"")+IMPORTRANGE(""https://d"&amp;"ocs.google.com/spreadsheets/d/1oKaccgDdQABndOzGr688Dbfxb_V3YcF67VqEPBtdzsc/edit?usp=share_link"",""ยโสธร!J710"")+IMPORTRANGE(""https://docs.google.com/spreadsheets/d/1BRgc8xKpxZ0PX-gauieMVkV_IOxKSotf0yW8MabGprQ/edit?usp=share_link"",""ร้อยเอ็ด!J710"")+IMP"&amp;"ORTRANGE(""https://docs.google.com/spreadsheets/d/1IdolZc-dfdgMwAm_KZxYJl1sUOcIgnbGQzbWOlddedo/edit?usp=share_link"",""เลย!J710"")+IMPORTRANGE(""https://docs.google.com/spreadsheets/d/1tZ0nmtGuIRCaGAMXHlQU8EpR9LOAJvyKfc4f7EFmE34/edit?usp=share_link"",""ศร"&amp;"ีสะเกษ!J710"")+IMPORTRANGE(""https://docs.google.com/spreadsheets/d/1QC8psz9w0f9IVE9Xuc2FT_btkaOzZbbUSgYObpBuetM/edit?usp=share_link"",""สกลนคร!J710"")+IMPORTRANGE(""https://docs.google.com/spreadsheets/d/1wPdvRbu02d33MYVlbsCnyTiZpefEBs9NNktAnT1HZvw/edit?"&amp;"usp=share_link"",""สุรินทร์!J710"")+IMPORTRANGE(""https://docs.google.com/spreadsheets/d/1GVExpf-Exi_2gmuqTYH28fseTB9MoKPXWcXCbSt_YrM/edit?usp=share_link"",""หนองคาย!J710"")+IMPORTRANGE(""https://docs.google.com/spreadsheets/d/16UeMz0UgOB5BZcoxP75eYGcLFtG"&amp;"YRn9GoesD4OX9m5U/edit?usp=share_link"",""หนองบัวลำภู!J710"")+IMPORTRANGE(""https://docs.google.com/spreadsheets/d/1uUP8Zo1-qaJLuIkRU0qlwLSE3DHkbdrrj2JGJiWBQZE/edit?usp=share_link"",""อำนาจเจริญ!J710"")+IMPORTRANGE(""https://docs.google.com/spreadsheets/d/"&amp;"1hb_taSOHanzRjqfzWPiFo8yiT83VV1L7vvUCLhOiHKc/edit?usp=share_link"",""อุดรธานี!J710"")+IMPORTRANGE(""https://docs.google.com/spreadsheets/d/17IOkEwkUd63EGNfyNDnM5de9YlZ7rwzTiW6-dokVjKI/edit?usp=share_link"",""อุบลราชธานี!J710"")
"),126)</f>
        <v>126</v>
      </c>
      <c r="K710" s="38"/>
      <c r="L710" s="766"/>
      <c r="M710" s="189"/>
      <c r="N710" s="766"/>
      <c r="O710" s="38"/>
      <c r="P710" s="3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</row>
    <row r="711" spans="1:26" ht="18.75">
      <c r="A711" s="744"/>
      <c r="B711" s="576"/>
      <c r="C711" s="576"/>
      <c r="D711" s="576"/>
      <c r="E711" s="577" t="s">
        <v>302</v>
      </c>
      <c r="F711" s="576"/>
      <c r="G711" s="189"/>
      <c r="H711" s="175"/>
      <c r="I711" s="765"/>
      <c r="J711" s="37"/>
      <c r="K711" s="38"/>
      <c r="L711" s="766"/>
      <c r="M711" s="189"/>
      <c r="N711" s="766"/>
      <c r="O711" s="38"/>
      <c r="P711" s="3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</row>
    <row r="712" spans="1:26" ht="18.75">
      <c r="A712" s="744"/>
      <c r="B712" s="576"/>
      <c r="C712" s="576"/>
      <c r="D712" s="576"/>
      <c r="E712" s="576"/>
      <c r="F712" s="577" t="s">
        <v>303</v>
      </c>
      <c r="G712" s="189"/>
      <c r="H712" s="182" t="s">
        <v>35</v>
      </c>
      <c r="I712" s="765"/>
      <c r="J712" s="183">
        <f ca="1">IFERROR(__xludf.DUMMYFUNCTION("IMPORTRANGE(""https://docs.google.com/spreadsheets/d/1fb2B9NLcpJgjIieIJvenUTNPn0TimZDUi0OtYeiSQ_s/edit?usp=share_link"",""กาฬสินธุ์!J712"")+IMPORTRANGE(""https://docs.google.com/spreadsheets/d/1SaMnqrwRGmFYNR0MhpWmHuL5niYUd5E7vDq8X7whAlI/edit?usp=share_li"&amp;"nk"",""ขอนแก่น!J712"")
+IMPORTRANGE(""https://docs.google.com/spreadsheets/d/1xQzEtGHhTTgxHh6YUkKY1P4dRyjVhS74dGswLfAASA4/edit?usp=share_link"",""ชัยภูมิ!J712"")+IMPORTRANGE(""https://docs.google.com/spreadsheets/d/1EXMBoBxU3OFbjT2TRpneM33qFjqDzrKmn9ydcfl"&amp;"fI0o/edit?usp=share_link"",""นครพนม!J712"")+IMPORTRANGE(""https://docs.google.com/spreadsheets/d/1bDQrolntRWtHumK8W-x-HXKntwxB9S3sF5aDeRS66Ko/edit?usp=share_link"",""นครราชสีมา!J712"")+IMPORTRANGE(""https://docs.google.com/spreadsheets/d/1_MzZ-2gVPiCW-d2V"&amp;"cafoCmFJQTSrZ6SQyFcMqRRQQ2w/edit?usp=share_link"",""บึงกาฬ!J712"")
+IMPORTRANGE(""https://docs.google.com/spreadsheets/d/1B3lPpzOuaNwVItLwLEZYl_qEblfcx7dRnbRkAw0l-pE/edit?usp=share_link"",""บุรีรัมย์!J712"")+IMPORTRANGE(""https://docs.google.com/spreadshe"&amp;"ets/d/19GOkiOqnzYbevLYWrMk4qFOXe3rX14BkSA8X-mq-a40/edit?usp=share_link"",""มหาสารคาม!J712"")+IMPORTRANGE(""https://docs.google.com/spreadsheets/d/1uMKqWwuNQ-TCKboGA3Bb1qXb5uj2-faACNUINCz8PN4/edit?usp=share_link"",""มุกดาหาร!J712"")+IMPORTRANGE(""https://d"&amp;"ocs.google.com/spreadsheets/d/1oKaccgDdQABndOzGr688Dbfxb_V3YcF67VqEPBtdzsc/edit?usp=share_link"",""ยโสธร!J712"")+IMPORTRANGE(""https://docs.google.com/spreadsheets/d/1BRgc8xKpxZ0PX-gauieMVkV_IOxKSotf0yW8MabGprQ/edit?usp=share_link"",""ร้อยเอ็ด!J712"")+IMP"&amp;"ORTRANGE(""https://docs.google.com/spreadsheets/d/1IdolZc-dfdgMwAm_KZxYJl1sUOcIgnbGQzbWOlddedo/edit?usp=share_link"",""เลย!J712"")+IMPORTRANGE(""https://docs.google.com/spreadsheets/d/1tZ0nmtGuIRCaGAMXHlQU8EpR9LOAJvyKfc4f7EFmE34/edit?usp=share_link"",""ศร"&amp;"ีสะเกษ!J712"")+IMPORTRANGE(""https://docs.google.com/spreadsheets/d/1QC8psz9w0f9IVE9Xuc2FT_btkaOzZbbUSgYObpBuetM/edit?usp=share_link"",""สกลนคร!J712"")+IMPORTRANGE(""https://docs.google.com/spreadsheets/d/1wPdvRbu02d33MYVlbsCnyTiZpefEBs9NNktAnT1HZvw/edit?"&amp;"usp=share_link"",""สุรินทร์!J712"")+IMPORTRANGE(""https://docs.google.com/spreadsheets/d/1GVExpf-Exi_2gmuqTYH28fseTB9MoKPXWcXCbSt_YrM/edit?usp=share_link"",""หนองคาย!J712"")+IMPORTRANGE(""https://docs.google.com/spreadsheets/d/16UeMz0UgOB5BZcoxP75eYGcLFtG"&amp;"YRn9GoesD4OX9m5U/edit?usp=share_link"",""หนองบัวลำภู!J712"")+IMPORTRANGE(""https://docs.google.com/spreadsheets/d/1uUP8Zo1-qaJLuIkRU0qlwLSE3DHkbdrrj2JGJiWBQZE/edit?usp=share_link"",""อำนาจเจริญ!J712"")+IMPORTRANGE(""https://docs.google.com/spreadsheets/d/"&amp;"1hb_taSOHanzRjqfzWPiFo8yiT83VV1L7vvUCLhOiHKc/edit?usp=share_link"",""อุดรธานี!J712"")+IMPORTRANGE(""https://docs.google.com/spreadsheets/d/17IOkEwkUd63EGNfyNDnM5de9YlZ7rwzTiW6-dokVjKI/edit?usp=share_link"",""อุบลราชธานี!J712"")
"),32)</f>
        <v>32</v>
      </c>
      <c r="K712" s="38"/>
      <c r="L712" s="766"/>
      <c r="M712" s="189"/>
      <c r="N712" s="766"/>
      <c r="O712" s="38"/>
      <c r="P712" s="3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</row>
    <row r="713" spans="1:26" ht="18.75">
      <c r="A713" s="744"/>
      <c r="B713" s="576"/>
      <c r="C713" s="576"/>
      <c r="D713" s="576"/>
      <c r="E713" s="576"/>
      <c r="F713" s="576"/>
      <c r="G713" s="189"/>
      <c r="H713" s="182" t="s">
        <v>34</v>
      </c>
      <c r="I713" s="765"/>
      <c r="J713" s="183">
        <f ca="1">IFERROR(__xludf.DUMMYFUNCTION("IMPORTRANGE(""https://docs.google.com/spreadsheets/d/1fb2B9NLcpJgjIieIJvenUTNPn0TimZDUi0OtYeiSQ_s/edit?usp=share_link"",""กาฬสินธุ์!J713"")+IMPORTRANGE(""https://docs.google.com/spreadsheets/d/1SaMnqrwRGmFYNR0MhpWmHuL5niYUd5E7vDq8X7whAlI/edit?usp=share_li"&amp;"nk"",""ขอนแก่น!J713"")
+IMPORTRANGE(""https://docs.google.com/spreadsheets/d/1xQzEtGHhTTgxHh6YUkKY1P4dRyjVhS74dGswLfAASA4/edit?usp=share_link"",""ชัยภูมิ!J713"")+IMPORTRANGE(""https://docs.google.com/spreadsheets/d/1EXMBoBxU3OFbjT2TRpneM33qFjqDzrKmn9ydcfl"&amp;"fI0o/edit?usp=share_link"",""นครพนม!J713"")+IMPORTRANGE(""https://docs.google.com/spreadsheets/d/1bDQrolntRWtHumK8W-x-HXKntwxB9S3sF5aDeRS66Ko/edit?usp=share_link"",""นครราชสีมา!J713"")+IMPORTRANGE(""https://docs.google.com/spreadsheets/d/1_MzZ-2gVPiCW-d2V"&amp;"cafoCmFJQTSrZ6SQyFcMqRRQQ2w/edit?usp=share_link"",""บึงกาฬ!J713"")
+IMPORTRANGE(""https://docs.google.com/spreadsheets/d/1B3lPpzOuaNwVItLwLEZYl_qEblfcx7dRnbRkAw0l-pE/edit?usp=share_link"",""บุรีรัมย์!J713"")+IMPORTRANGE(""https://docs.google.com/spreadshe"&amp;"ets/d/19GOkiOqnzYbevLYWrMk4qFOXe3rX14BkSA8X-mq-a40/edit?usp=share_link"",""มหาสารคาม!J713"")+IMPORTRANGE(""https://docs.google.com/spreadsheets/d/1uMKqWwuNQ-TCKboGA3Bb1qXb5uj2-faACNUINCz8PN4/edit?usp=share_link"",""มุกดาหาร!J713"")+IMPORTRANGE(""https://d"&amp;"ocs.google.com/spreadsheets/d/1oKaccgDdQABndOzGr688Dbfxb_V3YcF67VqEPBtdzsc/edit?usp=share_link"",""ยโสธร!J713"")+IMPORTRANGE(""https://docs.google.com/spreadsheets/d/1BRgc8xKpxZ0PX-gauieMVkV_IOxKSotf0yW8MabGprQ/edit?usp=share_link"",""ร้อยเอ็ด!J713"")+IMP"&amp;"ORTRANGE(""https://docs.google.com/spreadsheets/d/1IdolZc-dfdgMwAm_KZxYJl1sUOcIgnbGQzbWOlddedo/edit?usp=share_link"",""เลย!J713"")+IMPORTRANGE(""https://docs.google.com/spreadsheets/d/1tZ0nmtGuIRCaGAMXHlQU8EpR9LOAJvyKfc4f7EFmE34/edit?usp=share_link"",""ศร"&amp;"ีสะเกษ!J713"")+IMPORTRANGE(""https://docs.google.com/spreadsheets/d/1QC8psz9w0f9IVE9Xuc2FT_btkaOzZbbUSgYObpBuetM/edit?usp=share_link"",""สกลนคร!J713"")+IMPORTRANGE(""https://docs.google.com/spreadsheets/d/1wPdvRbu02d33MYVlbsCnyTiZpefEBs9NNktAnT1HZvw/edit?"&amp;"usp=share_link"",""สุรินทร์!J713"")+IMPORTRANGE(""https://docs.google.com/spreadsheets/d/1GVExpf-Exi_2gmuqTYH28fseTB9MoKPXWcXCbSt_YrM/edit?usp=share_link"",""หนองคาย!J713"")+IMPORTRANGE(""https://docs.google.com/spreadsheets/d/16UeMz0UgOB5BZcoxP75eYGcLFtG"&amp;"YRn9GoesD4OX9m5U/edit?usp=share_link"",""หนองบัวลำภู!J713"")+IMPORTRANGE(""https://docs.google.com/spreadsheets/d/1uUP8Zo1-qaJLuIkRU0qlwLSE3DHkbdrrj2JGJiWBQZE/edit?usp=share_link"",""อำนาจเจริญ!J713"")+IMPORTRANGE(""https://docs.google.com/spreadsheets/d/"&amp;"1hb_taSOHanzRjqfzWPiFo8yiT83VV1L7vvUCLhOiHKc/edit?usp=share_link"",""อุดรธานี!J713"")+IMPORTRANGE(""https://docs.google.com/spreadsheets/d/17IOkEwkUd63EGNfyNDnM5de9YlZ7rwzTiW6-dokVjKI/edit?usp=share_link"",""อุบลราชธานี!J713"")
"),32)</f>
        <v>32</v>
      </c>
      <c r="K713" s="38"/>
      <c r="L713" s="766"/>
      <c r="M713" s="189"/>
      <c r="N713" s="766"/>
      <c r="O713" s="38"/>
      <c r="P713" s="3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</row>
    <row r="714" spans="1:26" ht="18.75">
      <c r="A714" s="744"/>
      <c r="B714" s="576"/>
      <c r="C714" s="576"/>
      <c r="D714" s="576"/>
      <c r="E714" s="576"/>
      <c r="F714" s="576"/>
      <c r="G714" s="189"/>
      <c r="H714" s="182" t="s">
        <v>46</v>
      </c>
      <c r="I714" s="765"/>
      <c r="J714" s="183">
        <f ca="1">IFERROR(__xludf.DUMMYFUNCTION("IMPORTRANGE(""https://docs.google.com/spreadsheets/d/1fb2B9NLcpJgjIieIJvenUTNPn0TimZDUi0OtYeiSQ_s/edit?usp=share_link"",""กาฬสินธุ์!J714"")+IMPORTRANGE(""https://docs.google.com/spreadsheets/d/1SaMnqrwRGmFYNR0MhpWmHuL5niYUd5E7vDq8X7whAlI/edit?usp=share_li"&amp;"nk"",""ขอนแก่น!J714"")
+IMPORTRANGE(""https://docs.google.com/spreadsheets/d/1xQzEtGHhTTgxHh6YUkKY1P4dRyjVhS74dGswLfAASA4/edit?usp=share_link"",""ชัยภูมิ!J714"")+IMPORTRANGE(""https://docs.google.com/spreadsheets/d/1EXMBoBxU3OFbjT2TRpneM33qFjqDzrKmn9ydcfl"&amp;"fI0o/edit?usp=share_link"",""นครพนม!J714"")+IMPORTRANGE(""https://docs.google.com/spreadsheets/d/1bDQrolntRWtHumK8W-x-HXKntwxB9S3sF5aDeRS66Ko/edit?usp=share_link"",""นครราชสีมา!J714"")+IMPORTRANGE(""https://docs.google.com/spreadsheets/d/1_MzZ-2gVPiCW-d2V"&amp;"cafoCmFJQTSrZ6SQyFcMqRRQQ2w/edit?usp=share_link"",""บึงกาฬ!J714"")
+IMPORTRANGE(""https://docs.google.com/spreadsheets/d/1B3lPpzOuaNwVItLwLEZYl_qEblfcx7dRnbRkAw0l-pE/edit?usp=share_link"",""บุรีรัมย์!J714"")+IMPORTRANGE(""https://docs.google.com/spreadshe"&amp;"ets/d/19GOkiOqnzYbevLYWrMk4qFOXe3rX14BkSA8X-mq-a40/edit?usp=share_link"",""มหาสารคาม!J714"")+IMPORTRANGE(""https://docs.google.com/spreadsheets/d/1uMKqWwuNQ-TCKboGA3Bb1qXb5uj2-faACNUINCz8PN4/edit?usp=share_link"",""มุกดาหาร!J714"")+IMPORTRANGE(""https://d"&amp;"ocs.google.com/spreadsheets/d/1oKaccgDdQABndOzGr688Dbfxb_V3YcF67VqEPBtdzsc/edit?usp=share_link"",""ยโสธร!J714"")+IMPORTRANGE(""https://docs.google.com/spreadsheets/d/1BRgc8xKpxZ0PX-gauieMVkV_IOxKSotf0yW8MabGprQ/edit?usp=share_link"",""ร้อยเอ็ด!J714"")+IMP"&amp;"ORTRANGE(""https://docs.google.com/spreadsheets/d/1IdolZc-dfdgMwAm_KZxYJl1sUOcIgnbGQzbWOlddedo/edit?usp=share_link"",""เลย!J714"")+IMPORTRANGE(""https://docs.google.com/spreadsheets/d/1tZ0nmtGuIRCaGAMXHlQU8EpR9LOAJvyKfc4f7EFmE34/edit?usp=share_link"",""ศร"&amp;"ีสะเกษ!J714"")+IMPORTRANGE(""https://docs.google.com/spreadsheets/d/1QC8psz9w0f9IVE9Xuc2FT_btkaOzZbbUSgYObpBuetM/edit?usp=share_link"",""สกลนคร!J714"")+IMPORTRANGE(""https://docs.google.com/spreadsheets/d/1wPdvRbu02d33MYVlbsCnyTiZpefEBs9NNktAnT1HZvw/edit?"&amp;"usp=share_link"",""สุรินทร์!J714"")+IMPORTRANGE(""https://docs.google.com/spreadsheets/d/1GVExpf-Exi_2gmuqTYH28fseTB9MoKPXWcXCbSt_YrM/edit?usp=share_link"",""หนองคาย!J714"")+IMPORTRANGE(""https://docs.google.com/spreadsheets/d/16UeMz0UgOB5BZcoxP75eYGcLFtG"&amp;"YRn9GoesD4OX9m5U/edit?usp=share_link"",""หนองบัวลำภู!J714"")+IMPORTRANGE(""https://docs.google.com/spreadsheets/d/1uUP8Zo1-qaJLuIkRU0qlwLSE3DHkbdrrj2JGJiWBQZE/edit?usp=share_link"",""อำนาจเจริญ!J714"")+IMPORTRANGE(""https://docs.google.com/spreadsheets/d/"&amp;"1hb_taSOHanzRjqfzWPiFo8yiT83VV1L7vvUCLhOiHKc/edit?usp=share_link"",""อุดรธานี!J714"")+IMPORTRANGE(""https://docs.google.com/spreadsheets/d/17IOkEwkUd63EGNfyNDnM5de9YlZ7rwzTiW6-dokVjKI/edit?usp=share_link"",""อุบลราชธานี!J714"")
"),468)</f>
        <v>468</v>
      </c>
      <c r="K714" s="38"/>
      <c r="L714" s="766"/>
      <c r="M714" s="189"/>
      <c r="N714" s="766"/>
      <c r="O714" s="38"/>
      <c r="P714" s="3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</row>
    <row r="715" spans="1:26" ht="18.75">
      <c r="A715" s="744"/>
      <c r="B715" s="576"/>
      <c r="C715" s="576"/>
      <c r="D715" s="576"/>
      <c r="E715" s="576"/>
      <c r="F715" s="577" t="s">
        <v>304</v>
      </c>
      <c r="G715" s="189"/>
      <c r="H715" s="182" t="s">
        <v>35</v>
      </c>
      <c r="I715" s="765"/>
      <c r="J715" s="183">
        <f ca="1">IFERROR(__xludf.DUMMYFUNCTION("IMPORTRANGE(""https://docs.google.com/spreadsheets/d/1fb2B9NLcpJgjIieIJvenUTNPn0TimZDUi0OtYeiSQ_s/edit?usp=share_link"",""กาฬสินธุ์!J715"")+IMPORTRANGE(""https://docs.google.com/spreadsheets/d/1SaMnqrwRGmFYNR0MhpWmHuL5niYUd5E7vDq8X7whAlI/edit?usp=share_li"&amp;"nk"",""ขอนแก่น!J715"")
+IMPORTRANGE(""https://docs.google.com/spreadsheets/d/1xQzEtGHhTTgxHh6YUkKY1P4dRyjVhS74dGswLfAASA4/edit?usp=share_link"",""ชัยภูมิ!J715"")+IMPORTRANGE(""https://docs.google.com/spreadsheets/d/1EXMBoBxU3OFbjT2TRpneM33qFjqDzrKmn9ydcfl"&amp;"fI0o/edit?usp=share_link"",""นครพนม!J715"")+IMPORTRANGE(""https://docs.google.com/spreadsheets/d/1bDQrolntRWtHumK8W-x-HXKntwxB9S3sF5aDeRS66Ko/edit?usp=share_link"",""นครราชสีมา!J715"")+IMPORTRANGE(""https://docs.google.com/spreadsheets/d/1_MzZ-2gVPiCW-d2V"&amp;"cafoCmFJQTSrZ6SQyFcMqRRQQ2w/edit?usp=share_link"",""บึงกาฬ!J715"")
+IMPORTRANGE(""https://docs.google.com/spreadsheets/d/1B3lPpzOuaNwVItLwLEZYl_qEblfcx7dRnbRkAw0l-pE/edit?usp=share_link"",""บุรีรัมย์!J715"")+IMPORTRANGE(""https://docs.google.com/spreadshe"&amp;"ets/d/19GOkiOqnzYbevLYWrMk4qFOXe3rX14BkSA8X-mq-a40/edit?usp=share_link"",""มหาสารคาม!J715"")+IMPORTRANGE(""https://docs.google.com/spreadsheets/d/1uMKqWwuNQ-TCKboGA3Bb1qXb5uj2-faACNUINCz8PN4/edit?usp=share_link"",""มุกดาหาร!J715"")+IMPORTRANGE(""https://d"&amp;"ocs.google.com/spreadsheets/d/1oKaccgDdQABndOzGr688Dbfxb_V3YcF67VqEPBtdzsc/edit?usp=share_link"",""ยโสธร!J715"")+IMPORTRANGE(""https://docs.google.com/spreadsheets/d/1BRgc8xKpxZ0PX-gauieMVkV_IOxKSotf0yW8MabGprQ/edit?usp=share_link"",""ร้อยเอ็ด!J715"")+IMP"&amp;"ORTRANGE(""https://docs.google.com/spreadsheets/d/1IdolZc-dfdgMwAm_KZxYJl1sUOcIgnbGQzbWOlddedo/edit?usp=share_link"",""เลย!J715"")+IMPORTRANGE(""https://docs.google.com/spreadsheets/d/1tZ0nmtGuIRCaGAMXHlQU8EpR9LOAJvyKfc4f7EFmE34/edit?usp=share_link"",""ศร"&amp;"ีสะเกษ!J715"")+IMPORTRANGE(""https://docs.google.com/spreadsheets/d/1QC8psz9w0f9IVE9Xuc2FT_btkaOzZbbUSgYObpBuetM/edit?usp=share_link"",""สกลนคร!J715"")+IMPORTRANGE(""https://docs.google.com/spreadsheets/d/1wPdvRbu02d33MYVlbsCnyTiZpefEBs9NNktAnT1HZvw/edit?"&amp;"usp=share_link"",""สุรินทร์!J715"")+IMPORTRANGE(""https://docs.google.com/spreadsheets/d/1GVExpf-Exi_2gmuqTYH28fseTB9MoKPXWcXCbSt_YrM/edit?usp=share_link"",""หนองคาย!J715"")+IMPORTRANGE(""https://docs.google.com/spreadsheets/d/16UeMz0UgOB5BZcoxP75eYGcLFtG"&amp;"YRn9GoesD4OX9m5U/edit?usp=share_link"",""หนองบัวลำภู!J715"")+IMPORTRANGE(""https://docs.google.com/spreadsheets/d/1uUP8Zo1-qaJLuIkRU0qlwLSE3DHkbdrrj2JGJiWBQZE/edit?usp=share_link"",""อำนาจเจริญ!J715"")+IMPORTRANGE(""https://docs.google.com/spreadsheets/d/"&amp;"1hb_taSOHanzRjqfzWPiFo8yiT83VV1L7vvUCLhOiHKc/edit?usp=share_link"",""อุดรธานี!J715"")+IMPORTRANGE(""https://docs.google.com/spreadsheets/d/17IOkEwkUd63EGNfyNDnM5de9YlZ7rwzTiW6-dokVjKI/edit?usp=share_link"",""อุบลราชธานี!J715"")
"),0)</f>
        <v>0</v>
      </c>
      <c r="K715" s="38"/>
      <c r="L715" s="766"/>
      <c r="M715" s="189"/>
      <c r="N715" s="766"/>
      <c r="O715" s="38"/>
      <c r="P715" s="3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</row>
    <row r="716" spans="1:26" ht="18.75">
      <c r="A716" s="744"/>
      <c r="B716" s="576"/>
      <c r="C716" s="576"/>
      <c r="D716" s="576"/>
      <c r="E716" s="576"/>
      <c r="F716" s="576"/>
      <c r="G716" s="189"/>
      <c r="H716" s="182" t="s">
        <v>34</v>
      </c>
      <c r="I716" s="765"/>
      <c r="J716" s="183">
        <f ca="1">IFERROR(__xludf.DUMMYFUNCTION("IMPORTRANGE(""https://docs.google.com/spreadsheets/d/1fb2B9NLcpJgjIieIJvenUTNPn0TimZDUi0OtYeiSQ_s/edit?usp=share_link"",""กาฬสินธุ์!J716"")+IMPORTRANGE(""https://docs.google.com/spreadsheets/d/1SaMnqrwRGmFYNR0MhpWmHuL5niYUd5E7vDq8X7whAlI/edit?usp=share_li"&amp;"nk"",""ขอนแก่น!J716"")
+IMPORTRANGE(""https://docs.google.com/spreadsheets/d/1xQzEtGHhTTgxHh6YUkKY1P4dRyjVhS74dGswLfAASA4/edit?usp=share_link"",""ชัยภูมิ!J716"")+IMPORTRANGE(""https://docs.google.com/spreadsheets/d/1EXMBoBxU3OFbjT2TRpneM33qFjqDzrKmn9ydcfl"&amp;"fI0o/edit?usp=share_link"",""นครพนม!J716"")+IMPORTRANGE(""https://docs.google.com/spreadsheets/d/1bDQrolntRWtHumK8W-x-HXKntwxB9S3sF5aDeRS66Ko/edit?usp=share_link"",""นครราชสีมา!J716"")+IMPORTRANGE(""https://docs.google.com/spreadsheets/d/1_MzZ-2gVPiCW-d2V"&amp;"cafoCmFJQTSrZ6SQyFcMqRRQQ2w/edit?usp=share_link"",""บึงกาฬ!J716"")
+IMPORTRANGE(""https://docs.google.com/spreadsheets/d/1B3lPpzOuaNwVItLwLEZYl_qEblfcx7dRnbRkAw0l-pE/edit?usp=share_link"",""บุรีรัมย์!J716"")+IMPORTRANGE(""https://docs.google.com/spreadshe"&amp;"ets/d/19GOkiOqnzYbevLYWrMk4qFOXe3rX14BkSA8X-mq-a40/edit?usp=share_link"",""มหาสารคาม!J716"")+IMPORTRANGE(""https://docs.google.com/spreadsheets/d/1uMKqWwuNQ-TCKboGA3Bb1qXb5uj2-faACNUINCz8PN4/edit?usp=share_link"",""มุกดาหาร!J716"")+IMPORTRANGE(""https://d"&amp;"ocs.google.com/spreadsheets/d/1oKaccgDdQABndOzGr688Dbfxb_V3YcF67VqEPBtdzsc/edit?usp=share_link"",""ยโสธร!J716"")+IMPORTRANGE(""https://docs.google.com/spreadsheets/d/1BRgc8xKpxZ0PX-gauieMVkV_IOxKSotf0yW8MabGprQ/edit?usp=share_link"",""ร้อยเอ็ด!J716"")+IMP"&amp;"ORTRANGE(""https://docs.google.com/spreadsheets/d/1IdolZc-dfdgMwAm_KZxYJl1sUOcIgnbGQzbWOlddedo/edit?usp=share_link"",""เลย!J716"")+IMPORTRANGE(""https://docs.google.com/spreadsheets/d/1tZ0nmtGuIRCaGAMXHlQU8EpR9LOAJvyKfc4f7EFmE34/edit?usp=share_link"",""ศร"&amp;"ีสะเกษ!J716"")+IMPORTRANGE(""https://docs.google.com/spreadsheets/d/1QC8psz9w0f9IVE9Xuc2FT_btkaOzZbbUSgYObpBuetM/edit?usp=share_link"",""สกลนคร!J716"")+IMPORTRANGE(""https://docs.google.com/spreadsheets/d/1wPdvRbu02d33MYVlbsCnyTiZpefEBs9NNktAnT1HZvw/edit?"&amp;"usp=share_link"",""สุรินทร์!J716"")+IMPORTRANGE(""https://docs.google.com/spreadsheets/d/1GVExpf-Exi_2gmuqTYH28fseTB9MoKPXWcXCbSt_YrM/edit?usp=share_link"",""หนองคาย!J716"")+IMPORTRANGE(""https://docs.google.com/spreadsheets/d/16UeMz0UgOB5BZcoxP75eYGcLFtG"&amp;"YRn9GoesD4OX9m5U/edit?usp=share_link"",""หนองบัวลำภู!J716"")+IMPORTRANGE(""https://docs.google.com/spreadsheets/d/1uUP8Zo1-qaJLuIkRU0qlwLSE3DHkbdrrj2JGJiWBQZE/edit?usp=share_link"",""อำนาจเจริญ!J716"")+IMPORTRANGE(""https://docs.google.com/spreadsheets/d/"&amp;"1hb_taSOHanzRjqfzWPiFo8yiT83VV1L7vvUCLhOiHKc/edit?usp=share_link"",""อุดรธานี!J716"")+IMPORTRANGE(""https://docs.google.com/spreadsheets/d/17IOkEwkUd63EGNfyNDnM5de9YlZ7rwzTiW6-dokVjKI/edit?usp=share_link"",""อุบลราชธานี!J716"")
"),0)</f>
        <v>0</v>
      </c>
      <c r="K716" s="38"/>
      <c r="L716" s="766"/>
      <c r="M716" s="189"/>
      <c r="N716" s="766"/>
      <c r="O716" s="38"/>
      <c r="P716" s="3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</row>
    <row r="717" spans="1:26" ht="18.75">
      <c r="A717" s="744"/>
      <c r="B717" s="576"/>
      <c r="C717" s="576"/>
      <c r="D717" s="576"/>
      <c r="E717" s="576"/>
      <c r="F717" s="576"/>
      <c r="G717" s="189"/>
      <c r="H717" s="182" t="s">
        <v>46</v>
      </c>
      <c r="I717" s="765"/>
      <c r="J717" s="183">
        <f ca="1">IFERROR(__xludf.DUMMYFUNCTION("IMPORTRANGE(""https://docs.google.com/spreadsheets/d/1fb2B9NLcpJgjIieIJvenUTNPn0TimZDUi0OtYeiSQ_s/edit?usp=share_link"",""กาฬสินธุ์!J717"")+IMPORTRANGE(""https://docs.google.com/spreadsheets/d/1SaMnqrwRGmFYNR0MhpWmHuL5niYUd5E7vDq8X7whAlI/edit?usp=share_li"&amp;"nk"",""ขอนแก่น!J717"")
+IMPORTRANGE(""https://docs.google.com/spreadsheets/d/1xQzEtGHhTTgxHh6YUkKY1P4dRyjVhS74dGswLfAASA4/edit?usp=share_link"",""ชัยภูมิ!J717"")+IMPORTRANGE(""https://docs.google.com/spreadsheets/d/1EXMBoBxU3OFbjT2TRpneM33qFjqDzrKmn9ydcfl"&amp;"fI0o/edit?usp=share_link"",""นครพนม!J717"")+IMPORTRANGE(""https://docs.google.com/spreadsheets/d/1bDQrolntRWtHumK8W-x-HXKntwxB9S3sF5aDeRS66Ko/edit?usp=share_link"",""นครราชสีมา!J717"")+IMPORTRANGE(""https://docs.google.com/spreadsheets/d/1_MzZ-2gVPiCW-d2V"&amp;"cafoCmFJQTSrZ6SQyFcMqRRQQ2w/edit?usp=share_link"",""บึงกาฬ!J717"")
+IMPORTRANGE(""https://docs.google.com/spreadsheets/d/1B3lPpzOuaNwVItLwLEZYl_qEblfcx7dRnbRkAw0l-pE/edit?usp=share_link"",""บุรีรัมย์!J717"")+IMPORTRANGE(""https://docs.google.com/spreadshe"&amp;"ets/d/19GOkiOqnzYbevLYWrMk4qFOXe3rX14BkSA8X-mq-a40/edit?usp=share_link"",""มหาสารคาม!J717"")+IMPORTRANGE(""https://docs.google.com/spreadsheets/d/1uMKqWwuNQ-TCKboGA3Bb1qXb5uj2-faACNUINCz8PN4/edit?usp=share_link"",""มุกดาหาร!J717"")+IMPORTRANGE(""https://d"&amp;"ocs.google.com/spreadsheets/d/1oKaccgDdQABndOzGr688Dbfxb_V3YcF67VqEPBtdzsc/edit?usp=share_link"",""ยโสธร!J717"")+IMPORTRANGE(""https://docs.google.com/spreadsheets/d/1BRgc8xKpxZ0PX-gauieMVkV_IOxKSotf0yW8MabGprQ/edit?usp=share_link"",""ร้อยเอ็ด!J717"")+IMP"&amp;"ORTRANGE(""https://docs.google.com/spreadsheets/d/1IdolZc-dfdgMwAm_KZxYJl1sUOcIgnbGQzbWOlddedo/edit?usp=share_link"",""เลย!J717"")+IMPORTRANGE(""https://docs.google.com/spreadsheets/d/1tZ0nmtGuIRCaGAMXHlQU8EpR9LOAJvyKfc4f7EFmE34/edit?usp=share_link"",""ศร"&amp;"ีสะเกษ!J717"")+IMPORTRANGE(""https://docs.google.com/spreadsheets/d/1QC8psz9w0f9IVE9Xuc2FT_btkaOzZbbUSgYObpBuetM/edit?usp=share_link"",""สกลนคร!J717"")+IMPORTRANGE(""https://docs.google.com/spreadsheets/d/1wPdvRbu02d33MYVlbsCnyTiZpefEBs9NNktAnT1HZvw/edit?"&amp;"usp=share_link"",""สุรินทร์!J717"")+IMPORTRANGE(""https://docs.google.com/spreadsheets/d/1GVExpf-Exi_2gmuqTYH28fseTB9MoKPXWcXCbSt_YrM/edit?usp=share_link"",""หนองคาย!J717"")+IMPORTRANGE(""https://docs.google.com/spreadsheets/d/16UeMz0UgOB5BZcoxP75eYGcLFtG"&amp;"YRn9GoesD4OX9m5U/edit?usp=share_link"",""หนองบัวลำภู!J717"")+IMPORTRANGE(""https://docs.google.com/spreadsheets/d/1uUP8Zo1-qaJLuIkRU0qlwLSE3DHkbdrrj2JGJiWBQZE/edit?usp=share_link"",""อำนาจเจริญ!J717"")+IMPORTRANGE(""https://docs.google.com/spreadsheets/d/"&amp;"1hb_taSOHanzRjqfzWPiFo8yiT83VV1L7vvUCLhOiHKc/edit?usp=share_link"",""อุดรธานี!J717"")+IMPORTRANGE(""https://docs.google.com/spreadsheets/d/17IOkEwkUd63EGNfyNDnM5de9YlZ7rwzTiW6-dokVjKI/edit?usp=share_link"",""อุบลราชธานี!J717"")
"),0)</f>
        <v>0</v>
      </c>
      <c r="K717" s="38"/>
      <c r="L717" s="766"/>
      <c r="M717" s="189"/>
      <c r="N717" s="766"/>
      <c r="O717" s="38"/>
      <c r="P717" s="3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</row>
    <row r="718" spans="1:26" ht="18.75">
      <c r="A718" s="744"/>
      <c r="B718" s="576"/>
      <c r="C718" s="576"/>
      <c r="D718" s="577" t="s">
        <v>305</v>
      </c>
      <c r="E718" s="576"/>
      <c r="F718" s="576"/>
      <c r="G718" s="189"/>
      <c r="H718" s="182" t="s">
        <v>35</v>
      </c>
      <c r="I718" s="765"/>
      <c r="J718" s="37">
        <f ca="1">IFERROR(__xludf.DUMMYFUNCTION("IMPORTRANGE(""https://docs.google.com/spreadsheets/d/1fb2B9NLcpJgjIieIJvenUTNPn0TimZDUi0OtYeiSQ_s/edit?usp=share_link"",""กาฬสินธุ์!J718"")+IMPORTRANGE(""https://docs.google.com/spreadsheets/d/1SaMnqrwRGmFYNR0MhpWmHuL5niYUd5E7vDq8X7whAlI/edit?usp=share_li"&amp;"nk"",""ขอนแก่น!J718"")
+IMPORTRANGE(""https://docs.google.com/spreadsheets/d/1xQzEtGHhTTgxHh6YUkKY1P4dRyjVhS74dGswLfAASA4/edit?usp=share_link"",""ชัยภูมิ!J718"")+IMPORTRANGE(""https://docs.google.com/spreadsheets/d/1EXMBoBxU3OFbjT2TRpneM33qFjqDzrKmn9ydcfl"&amp;"fI0o/edit?usp=share_link"",""นครพนม!J718"")+IMPORTRANGE(""https://docs.google.com/spreadsheets/d/1bDQrolntRWtHumK8W-x-HXKntwxB9S3sF5aDeRS66Ko/edit?usp=share_link"",""นครราชสีมา!J718"")+IMPORTRANGE(""https://docs.google.com/spreadsheets/d/1_MzZ-2gVPiCW-d2V"&amp;"cafoCmFJQTSrZ6SQyFcMqRRQQ2w/edit?usp=share_link"",""บึงกาฬ!J718"")
+IMPORTRANGE(""https://docs.google.com/spreadsheets/d/1B3lPpzOuaNwVItLwLEZYl_qEblfcx7dRnbRkAw0l-pE/edit?usp=share_link"",""บุรีรัมย์!J718"")+IMPORTRANGE(""https://docs.google.com/spreadshe"&amp;"ets/d/19GOkiOqnzYbevLYWrMk4qFOXe3rX14BkSA8X-mq-a40/edit?usp=share_link"",""มหาสารคาม!J718"")+IMPORTRANGE(""https://docs.google.com/spreadsheets/d/1uMKqWwuNQ-TCKboGA3Bb1qXb5uj2-faACNUINCz8PN4/edit?usp=share_link"",""มุกดาหาร!J718"")+IMPORTRANGE(""https://d"&amp;"ocs.google.com/spreadsheets/d/1oKaccgDdQABndOzGr688Dbfxb_V3YcF67VqEPBtdzsc/edit?usp=share_link"",""ยโสธร!J718"")+IMPORTRANGE(""https://docs.google.com/spreadsheets/d/1BRgc8xKpxZ0PX-gauieMVkV_IOxKSotf0yW8MabGprQ/edit?usp=share_link"",""ร้อยเอ็ด!J718"")+IMP"&amp;"ORTRANGE(""https://docs.google.com/spreadsheets/d/1IdolZc-dfdgMwAm_KZxYJl1sUOcIgnbGQzbWOlddedo/edit?usp=share_link"",""เลย!J718"")+IMPORTRANGE(""https://docs.google.com/spreadsheets/d/1tZ0nmtGuIRCaGAMXHlQU8EpR9LOAJvyKfc4f7EFmE34/edit?usp=share_link"",""ศร"&amp;"ีสะเกษ!J718"")+IMPORTRANGE(""https://docs.google.com/spreadsheets/d/1QC8psz9w0f9IVE9Xuc2FT_btkaOzZbbUSgYObpBuetM/edit?usp=share_link"",""สกลนคร!J718"")+IMPORTRANGE(""https://docs.google.com/spreadsheets/d/1wPdvRbu02d33MYVlbsCnyTiZpefEBs9NNktAnT1HZvw/edit?"&amp;"usp=share_link"",""สุรินทร์!J718"")+IMPORTRANGE(""https://docs.google.com/spreadsheets/d/1GVExpf-Exi_2gmuqTYH28fseTB9MoKPXWcXCbSt_YrM/edit?usp=share_link"",""หนองคาย!J718"")+IMPORTRANGE(""https://docs.google.com/spreadsheets/d/16UeMz0UgOB5BZcoxP75eYGcLFtG"&amp;"YRn9GoesD4OX9m5U/edit?usp=share_link"",""หนองบัวลำภู!J718"")+IMPORTRANGE(""https://docs.google.com/spreadsheets/d/1uUP8Zo1-qaJLuIkRU0qlwLSE3DHkbdrrj2JGJiWBQZE/edit?usp=share_link"",""อำนาจเจริญ!J718"")+IMPORTRANGE(""https://docs.google.com/spreadsheets/d/"&amp;"1hb_taSOHanzRjqfzWPiFo8yiT83VV1L7vvUCLhOiHKc/edit?usp=share_link"",""อุดรธานี!J718"")+IMPORTRANGE(""https://docs.google.com/spreadsheets/d/17IOkEwkUd63EGNfyNDnM5de9YlZ7rwzTiW6-dokVjKI/edit?usp=share_link"",""อุบลราชธานี!J718"")
"),26)</f>
        <v>26</v>
      </c>
      <c r="K718" s="38"/>
      <c r="L718" s="38"/>
      <c r="M718" s="189"/>
      <c r="N718" s="766"/>
      <c r="O718" s="38"/>
      <c r="P718" s="3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</row>
    <row r="719" spans="1:26" ht="18.75">
      <c r="A719" s="744"/>
      <c r="B719" s="576"/>
      <c r="C719" s="576"/>
      <c r="D719" s="576"/>
      <c r="E719" s="576"/>
      <c r="F719" s="576"/>
      <c r="G719" s="189"/>
      <c r="H719" s="182" t="s">
        <v>34</v>
      </c>
      <c r="I719" s="765"/>
      <c r="J719" s="37">
        <f ca="1">IFERROR(__xludf.DUMMYFUNCTION("IMPORTRANGE(""https://docs.google.com/spreadsheets/d/1fb2B9NLcpJgjIieIJvenUTNPn0TimZDUi0OtYeiSQ_s/edit?usp=share_link"",""กาฬสินธุ์!J719"")+IMPORTRANGE(""https://docs.google.com/spreadsheets/d/1SaMnqrwRGmFYNR0MhpWmHuL5niYUd5E7vDq8X7whAlI/edit?usp=share_li"&amp;"nk"",""ขอนแก่น!J719"")
+IMPORTRANGE(""https://docs.google.com/spreadsheets/d/1xQzEtGHhTTgxHh6YUkKY1P4dRyjVhS74dGswLfAASA4/edit?usp=share_link"",""ชัยภูมิ!J719"")+IMPORTRANGE(""https://docs.google.com/spreadsheets/d/1EXMBoBxU3OFbjT2TRpneM33qFjqDzrKmn9ydcfl"&amp;"fI0o/edit?usp=share_link"",""นครพนม!J719"")+IMPORTRANGE(""https://docs.google.com/spreadsheets/d/1bDQrolntRWtHumK8W-x-HXKntwxB9S3sF5aDeRS66Ko/edit?usp=share_link"",""นครราชสีมา!J719"")+IMPORTRANGE(""https://docs.google.com/spreadsheets/d/1_MzZ-2gVPiCW-d2V"&amp;"cafoCmFJQTSrZ6SQyFcMqRRQQ2w/edit?usp=share_link"",""บึงกาฬ!J719"")
+IMPORTRANGE(""https://docs.google.com/spreadsheets/d/1B3lPpzOuaNwVItLwLEZYl_qEblfcx7dRnbRkAw0l-pE/edit?usp=share_link"",""บุรีรัมย์!J719"")+IMPORTRANGE(""https://docs.google.com/spreadshe"&amp;"ets/d/19GOkiOqnzYbevLYWrMk4qFOXe3rX14BkSA8X-mq-a40/edit?usp=share_link"",""มหาสารคาม!J719"")+IMPORTRANGE(""https://docs.google.com/spreadsheets/d/1uMKqWwuNQ-TCKboGA3Bb1qXb5uj2-faACNUINCz8PN4/edit?usp=share_link"",""มุกดาหาร!J719"")+IMPORTRANGE(""https://d"&amp;"ocs.google.com/spreadsheets/d/1oKaccgDdQABndOzGr688Dbfxb_V3YcF67VqEPBtdzsc/edit?usp=share_link"",""ยโสธร!J719"")+IMPORTRANGE(""https://docs.google.com/spreadsheets/d/1BRgc8xKpxZ0PX-gauieMVkV_IOxKSotf0yW8MabGprQ/edit?usp=share_link"",""ร้อยเอ็ด!J719"")+IMP"&amp;"ORTRANGE(""https://docs.google.com/spreadsheets/d/1IdolZc-dfdgMwAm_KZxYJl1sUOcIgnbGQzbWOlddedo/edit?usp=share_link"",""เลย!J719"")+IMPORTRANGE(""https://docs.google.com/spreadsheets/d/1tZ0nmtGuIRCaGAMXHlQU8EpR9LOAJvyKfc4f7EFmE34/edit?usp=share_link"",""ศร"&amp;"ีสะเกษ!J719"")+IMPORTRANGE(""https://docs.google.com/spreadsheets/d/1QC8psz9w0f9IVE9Xuc2FT_btkaOzZbbUSgYObpBuetM/edit?usp=share_link"",""สกลนคร!J719"")+IMPORTRANGE(""https://docs.google.com/spreadsheets/d/1wPdvRbu02d33MYVlbsCnyTiZpefEBs9NNktAnT1HZvw/edit?"&amp;"usp=share_link"",""สุรินทร์!J719"")+IMPORTRANGE(""https://docs.google.com/spreadsheets/d/1GVExpf-Exi_2gmuqTYH28fseTB9MoKPXWcXCbSt_YrM/edit?usp=share_link"",""หนองคาย!J719"")+IMPORTRANGE(""https://docs.google.com/spreadsheets/d/16UeMz0UgOB5BZcoxP75eYGcLFtG"&amp;"YRn9GoesD4OX9m5U/edit?usp=share_link"",""หนองบัวลำภู!J719"")+IMPORTRANGE(""https://docs.google.com/spreadsheets/d/1uUP8Zo1-qaJLuIkRU0qlwLSE3DHkbdrrj2JGJiWBQZE/edit?usp=share_link"",""อำนาจเจริญ!J719"")+IMPORTRANGE(""https://docs.google.com/spreadsheets/d/"&amp;"1hb_taSOHanzRjqfzWPiFo8yiT83VV1L7vvUCLhOiHKc/edit?usp=share_link"",""อุดรธานี!J719"")+IMPORTRANGE(""https://docs.google.com/spreadsheets/d/17IOkEwkUd63EGNfyNDnM5de9YlZ7rwzTiW6-dokVjKI/edit?usp=share_link"",""อุบลราชธานี!J719"")
"),27)</f>
        <v>27</v>
      </c>
      <c r="K719" s="38"/>
      <c r="L719" s="766"/>
      <c r="M719" s="189"/>
      <c r="N719" s="766"/>
      <c r="O719" s="38"/>
      <c r="P719" s="3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</row>
    <row r="720" spans="1:26" ht="18.75">
      <c r="A720" s="744"/>
      <c r="B720" s="576"/>
      <c r="C720" s="576"/>
      <c r="D720" s="576"/>
      <c r="E720" s="576"/>
      <c r="F720" s="576"/>
      <c r="G720" s="189"/>
      <c r="H720" s="182" t="s">
        <v>46</v>
      </c>
      <c r="I720" s="765">
        <f ca="1">IFERROR(__xludf.DUMMYFUNCTION("IMPORTRANGE(""https://docs.google.com/spreadsheets/d/1fb2B9NLcpJgjIieIJvenUTNPn0TimZDUi0OtYeiSQ_s/edit?usp=share_link"",""กาฬสินธุ์!I720"")+IMPORTRANGE(""https://docs.google.com/spreadsheets/d/1SaMnqrwRGmFYNR0MhpWmHuL5niYUd5E7vDq8X7whAlI/edit?usp=share_li"&amp;"nk"",""ขอนแก่น!I720"")
+IMPORTRANGE(""https://docs.google.com/spreadsheets/d/1xQzEtGHhTTgxHh6YUkKY1P4dRyjVhS74dGswLfAASA4/edit?usp=share_link"",""ชัยภูมิ!I720"")+IMPORTRANGE(""https://docs.google.com/spreadsheets/d/1EXMBoBxU3OFbjT2TRpneM33qFjqDzrKmn9ydcfl"&amp;"fI0o/edit?usp=share_link"",""นครพนม!I720"")+IMPORTRANGE(""https://docs.google.com/spreadsheets/d/1bDQrolntRWtHumK8W-x-HXKntwxB9S3sF5aDeRS66Ko/edit?usp=share_link"",""นครราชสีมา!I720"")+IMPORTRANGE(""https://docs.google.com/spreadsheets/d/1_MzZ-2gVPiCW-d2V"&amp;"cafoCmFJQTSrZ6SQyFcMqRRQQ2w/edit?usp=share_link"",""บึงกาฬ!I720"")
+IMPORTRANGE(""https://docs.google.com/spreadsheets/d/1B3lPpzOuaNwVItLwLEZYl_qEblfcx7dRnbRkAw0l-pE/edit?usp=share_link"",""บุรีรัมย์!I720"")+IMPORTRANGE(""https://docs.google.com/spreadshe"&amp;"ets/d/19GOkiOqnzYbevLYWrMk4qFOXe3rX14BkSA8X-mq-a40/edit?usp=share_link"",""มหาสารคาม!I720"")+IMPORTRANGE(""https://docs.google.com/spreadsheets/d/1uMKqWwuNQ-TCKboGA3Bb1qXb5uj2-faACNUINCz8PN4/edit?usp=share_link"",""มุกดาหาร!I720"")+IMPORTRANGE(""https://d"&amp;"ocs.google.com/spreadsheets/d/1oKaccgDdQABndOzGr688Dbfxb_V3YcF67VqEPBtdzsc/edit?usp=share_link"",""ยโสธร!I720"")+IMPORTRANGE(""https://docs.google.com/spreadsheets/d/1BRgc8xKpxZ0PX-gauieMVkV_IOxKSotf0yW8MabGprQ/edit?usp=share_link"",""ร้อยเอ็ด!I720"")+IMP"&amp;"ORTRANGE(""https://docs.google.com/spreadsheets/d/1IdolZc-dfdgMwAm_KZxYJl1sUOcIgnbGQzbWOlddedo/edit?usp=share_link"",""เลย!I720"")+IMPORTRANGE(""https://docs.google.com/spreadsheets/d/1tZ0nmtGuIRCaGAMXHlQU8EpR9LOAJvyKfc4f7EFmE34/edit?usp=share_link"",""ศร"&amp;"ีสะเกษ!I720"")+IMPORTRANGE(""https://docs.google.com/spreadsheets/d/1QC8psz9w0f9IVE9Xuc2FT_btkaOzZbbUSgYObpBuetM/edit?usp=share_link"",""สกลนคร!I720"")+IMPORTRANGE(""https://docs.google.com/spreadsheets/d/1wPdvRbu02d33MYVlbsCnyTiZpefEBs9NNktAnT1HZvw/edit?"&amp;"usp=share_link"",""สุรินทร์!I720"")+IMPORTRANGE(""https://docs.google.com/spreadsheets/d/1GVExpf-Exi_2gmuqTYH28fseTB9MoKPXWcXCbSt_YrM/edit?usp=share_link"",""หนองคาย!I720"")+IMPORTRANGE(""https://docs.google.com/spreadsheets/d/16UeMz0UgOB5BZcoxP75eYGcLFtG"&amp;"YRn9GoesD4OX9m5U/edit?usp=share_link"",""หนองบัวลำภู!I720"")+IMPORTRANGE(""https://docs.google.com/spreadsheets/d/1uUP8Zo1-qaJLuIkRU0qlwLSE3DHkbdrrj2JGJiWBQZE/edit?usp=share_link"",""อำนาจเจริญ!I720"")+IMPORTRANGE(""https://docs.google.com/spreadsheets/d/"&amp;"1hb_taSOHanzRjqfzWPiFo8yiT83VV1L7vvUCLhOiHKc/edit?usp=share_link"",""อุดรธานี!I720"")+IMPORTRANGE(""https://docs.google.com/spreadsheets/d/17IOkEwkUd63EGNfyNDnM5de9YlZ7rwzTiW6-dokVjKI/edit?usp=share_link"",""อุบลราชธานี!I720"")
"),334)</f>
        <v>334</v>
      </c>
      <c r="J720" s="37">
        <f ca="1">IFERROR(__xludf.DUMMYFUNCTION("IMPORTRANGE(""https://docs.google.com/spreadsheets/d/1fb2B9NLcpJgjIieIJvenUTNPn0TimZDUi0OtYeiSQ_s/edit?usp=share_link"",""กาฬสินธุ์!J720"")+IMPORTRANGE(""https://docs.google.com/spreadsheets/d/1SaMnqrwRGmFYNR0MhpWmHuL5niYUd5E7vDq8X7whAlI/edit?usp=share_li"&amp;"nk"",""ขอนแก่น!J720"")
+IMPORTRANGE(""https://docs.google.com/spreadsheets/d/1xQzEtGHhTTgxHh6YUkKY1P4dRyjVhS74dGswLfAASA4/edit?usp=share_link"",""ชัยภูมิ!J720"")+IMPORTRANGE(""https://docs.google.com/spreadsheets/d/1EXMBoBxU3OFbjT2TRpneM33qFjqDzrKmn9ydcfl"&amp;"fI0o/edit?usp=share_link"",""นครพนม!J720"")+IMPORTRANGE(""https://docs.google.com/spreadsheets/d/1bDQrolntRWtHumK8W-x-HXKntwxB9S3sF5aDeRS66Ko/edit?usp=share_link"",""นครราชสีมา!J720"")+IMPORTRANGE(""https://docs.google.com/spreadsheets/d/1_MzZ-2gVPiCW-d2V"&amp;"cafoCmFJQTSrZ6SQyFcMqRRQQ2w/edit?usp=share_link"",""บึงกาฬ!J720"")
+IMPORTRANGE(""https://docs.google.com/spreadsheets/d/1B3lPpzOuaNwVItLwLEZYl_qEblfcx7dRnbRkAw0l-pE/edit?usp=share_link"",""บุรีรัมย์!J720"")+IMPORTRANGE(""https://docs.google.com/spreadshe"&amp;"ets/d/19GOkiOqnzYbevLYWrMk4qFOXe3rX14BkSA8X-mq-a40/edit?usp=share_link"",""มหาสารคาม!J720"")+IMPORTRANGE(""https://docs.google.com/spreadsheets/d/1uMKqWwuNQ-TCKboGA3Bb1qXb5uj2-faACNUINCz8PN4/edit?usp=share_link"",""มุกดาหาร!J720"")+IMPORTRANGE(""https://d"&amp;"ocs.google.com/spreadsheets/d/1oKaccgDdQABndOzGr688Dbfxb_V3YcF67VqEPBtdzsc/edit?usp=share_link"",""ยโสธร!J720"")+IMPORTRANGE(""https://docs.google.com/spreadsheets/d/1BRgc8xKpxZ0PX-gauieMVkV_IOxKSotf0yW8MabGprQ/edit?usp=share_link"",""ร้อยเอ็ด!J720"")+IMP"&amp;"ORTRANGE(""https://docs.google.com/spreadsheets/d/1IdolZc-dfdgMwAm_KZxYJl1sUOcIgnbGQzbWOlddedo/edit?usp=share_link"",""เลย!J720"")+IMPORTRANGE(""https://docs.google.com/spreadsheets/d/1tZ0nmtGuIRCaGAMXHlQU8EpR9LOAJvyKfc4f7EFmE34/edit?usp=share_link"",""ศร"&amp;"ีสะเกษ!J720"")+IMPORTRANGE(""https://docs.google.com/spreadsheets/d/1QC8psz9w0f9IVE9Xuc2FT_btkaOzZbbUSgYObpBuetM/edit?usp=share_link"",""สกลนคร!J720"")+IMPORTRANGE(""https://docs.google.com/spreadsheets/d/1wPdvRbu02d33MYVlbsCnyTiZpefEBs9NNktAnT1HZvw/edit?"&amp;"usp=share_link"",""สุรินทร์!J720"")+IMPORTRANGE(""https://docs.google.com/spreadsheets/d/1GVExpf-Exi_2gmuqTYH28fseTB9MoKPXWcXCbSt_YrM/edit?usp=share_link"",""หนองคาย!J720"")+IMPORTRANGE(""https://docs.google.com/spreadsheets/d/16UeMz0UgOB5BZcoxP75eYGcLFtG"&amp;"YRn9GoesD4OX9m5U/edit?usp=share_link"",""หนองบัวลำภู!J720"")+IMPORTRANGE(""https://docs.google.com/spreadsheets/d/1uUP8Zo1-qaJLuIkRU0qlwLSE3DHkbdrrj2JGJiWBQZE/edit?usp=share_link"",""อำนาจเจริญ!J720"")+IMPORTRANGE(""https://docs.google.com/spreadsheets/d/"&amp;"1hb_taSOHanzRjqfzWPiFo8yiT83VV1L7vvUCLhOiHKc/edit?usp=share_link"",""อุดรธานี!J720"")+IMPORTRANGE(""https://docs.google.com/spreadsheets/d/17IOkEwkUd63EGNfyNDnM5de9YlZ7rwzTiW6-dokVjKI/edit?usp=share_link"",""อุบลราชธานี!J720"")
"),200.43)</f>
        <v>200.43</v>
      </c>
      <c r="K720" s="38">
        <f t="shared" ref="K720:K723" ca="1" si="330">IF(I720&gt;0,J720*100/I720,0)</f>
        <v>60.008982035928142</v>
      </c>
      <c r="L720" s="766"/>
      <c r="M720" s="189"/>
      <c r="N720" s="766"/>
      <c r="O720" s="38"/>
      <c r="P720" s="3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</row>
    <row r="721" spans="1:26" ht="19.5">
      <c r="A721" s="744"/>
      <c r="B721" s="576"/>
      <c r="C721" s="576"/>
      <c r="D721" s="577" t="s">
        <v>306</v>
      </c>
      <c r="E721" s="576"/>
      <c r="F721" s="576"/>
      <c r="G721" s="189"/>
      <c r="H721" s="752" t="s">
        <v>35</v>
      </c>
      <c r="I721" s="768">
        <f ca="1">IFERROR(__xludf.DUMMYFUNCTION("IMPORTRANGE(""https://docs.google.com/spreadsheets/d/1fb2B9NLcpJgjIieIJvenUTNPn0TimZDUi0OtYeiSQ_s/edit?usp=share_link"",""กาฬสินธุ์!I721"")+IMPORTRANGE(""https://docs.google.com/spreadsheets/d/1SaMnqrwRGmFYNR0MhpWmHuL5niYUd5E7vDq8X7whAlI/edit?usp=share_li"&amp;"nk"",""ขอนแก่น!I721"")
+IMPORTRANGE(""https://docs.google.com/spreadsheets/d/1xQzEtGHhTTgxHh6YUkKY1P4dRyjVhS74dGswLfAASA4/edit?usp=share_link"",""ชัยภูมิ!I721"")+IMPORTRANGE(""https://docs.google.com/spreadsheets/d/1EXMBoBxU3OFbjT2TRpneM33qFjqDzrKmn9ydcfl"&amp;"fI0o/edit?usp=share_link"",""นครพนม!I721"")+IMPORTRANGE(""https://docs.google.com/spreadsheets/d/1bDQrolntRWtHumK8W-x-HXKntwxB9S3sF5aDeRS66Ko/edit?usp=share_link"",""นครราชสีมา!I721"")+IMPORTRANGE(""https://docs.google.com/spreadsheets/d/1_MzZ-2gVPiCW-d2V"&amp;"cafoCmFJQTSrZ6SQyFcMqRRQQ2w/edit?usp=share_link"",""บึงกาฬ!I721"")
+IMPORTRANGE(""https://docs.google.com/spreadsheets/d/1B3lPpzOuaNwVItLwLEZYl_qEblfcx7dRnbRkAw0l-pE/edit?usp=share_link"",""บุรีรัมย์!I721"")+IMPORTRANGE(""https://docs.google.com/spreadshe"&amp;"ets/d/19GOkiOqnzYbevLYWrMk4qFOXe3rX14BkSA8X-mq-a40/edit?usp=share_link"",""มหาสารคาม!I721"")+IMPORTRANGE(""https://docs.google.com/spreadsheets/d/1uMKqWwuNQ-TCKboGA3Bb1qXb5uj2-faACNUINCz8PN4/edit?usp=share_link"",""มุกดาหาร!I721"")+IMPORTRANGE(""https://d"&amp;"ocs.google.com/spreadsheets/d/1oKaccgDdQABndOzGr688Dbfxb_V3YcF67VqEPBtdzsc/edit?usp=share_link"",""ยโสธร!I721"")+IMPORTRANGE(""https://docs.google.com/spreadsheets/d/1BRgc8xKpxZ0PX-gauieMVkV_IOxKSotf0yW8MabGprQ/edit?usp=share_link"",""ร้อยเอ็ด!I721"")+IMP"&amp;"ORTRANGE(""https://docs.google.com/spreadsheets/d/1IdolZc-dfdgMwAm_KZxYJl1sUOcIgnbGQzbWOlddedo/edit?usp=share_link"",""เลย!I721"")+IMPORTRANGE(""https://docs.google.com/spreadsheets/d/1tZ0nmtGuIRCaGAMXHlQU8EpR9LOAJvyKfc4f7EFmE34/edit?usp=share_link"",""ศร"&amp;"ีสะเกษ!I721"")+IMPORTRANGE(""https://docs.google.com/spreadsheets/d/1QC8psz9w0f9IVE9Xuc2FT_btkaOzZbbUSgYObpBuetM/edit?usp=share_link"",""สกลนคร!I721"")+IMPORTRANGE(""https://docs.google.com/spreadsheets/d/1wPdvRbu02d33MYVlbsCnyTiZpefEBs9NNktAnT1HZvw/edit?"&amp;"usp=share_link"",""สุรินทร์!I721"")+IMPORTRANGE(""https://docs.google.com/spreadsheets/d/1GVExpf-Exi_2gmuqTYH28fseTB9MoKPXWcXCbSt_YrM/edit?usp=share_link"",""หนองคาย!I721"")+IMPORTRANGE(""https://docs.google.com/spreadsheets/d/16UeMz0UgOB5BZcoxP75eYGcLFtG"&amp;"YRn9GoesD4OX9m5U/edit?usp=share_link"",""หนองบัวลำภู!I721"")+IMPORTRANGE(""https://docs.google.com/spreadsheets/d/1uUP8Zo1-qaJLuIkRU0qlwLSE3DHkbdrrj2JGJiWBQZE/edit?usp=share_link"",""อำนาจเจริญ!I721"")+IMPORTRANGE(""https://docs.google.com/spreadsheets/d/"&amp;"1hb_taSOHanzRjqfzWPiFo8yiT83VV1L7vvUCLhOiHKc/edit?usp=share_link"",""อุดรธานี!I721"")+IMPORTRANGE(""https://docs.google.com/spreadsheets/d/17IOkEwkUd63EGNfyNDnM5de9YlZ7rwzTiW6-dokVjKI/edit?usp=share_link"",""อุบลราชธานี!I721"")
"),101)</f>
        <v>101</v>
      </c>
      <c r="J721" s="194">
        <f ca="1">J723+J726</f>
        <v>12</v>
      </c>
      <c r="K721" s="195">
        <f t="shared" ca="1" si="330"/>
        <v>11.881188118811881</v>
      </c>
      <c r="L721" s="766"/>
      <c r="M721" s="189"/>
      <c r="N721" s="766"/>
      <c r="O721" s="38"/>
      <c r="P721" s="3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</row>
    <row r="722" spans="1:26" ht="19.5">
      <c r="A722" s="744"/>
      <c r="B722" s="576"/>
      <c r="C722" s="576"/>
      <c r="D722" s="576"/>
      <c r="E722" s="577"/>
      <c r="F722" s="576"/>
      <c r="G722" s="189"/>
      <c r="H722" s="752" t="s">
        <v>46</v>
      </c>
      <c r="I722" s="768">
        <f ca="1">IFERROR(__xludf.DUMMYFUNCTION("IMPORTRANGE(""https://docs.google.com/spreadsheets/d/1fb2B9NLcpJgjIieIJvenUTNPn0TimZDUi0OtYeiSQ_s/edit?usp=share_link"",""กาฬสินธุ์!I722"")+IMPORTRANGE(""https://docs.google.com/spreadsheets/d/1SaMnqrwRGmFYNR0MhpWmHuL5niYUd5E7vDq8X7whAlI/edit?usp=share_li"&amp;"nk"",""ขอนแก่น!I722"")
+IMPORTRANGE(""https://docs.google.com/spreadsheets/d/1xQzEtGHhTTgxHh6YUkKY1P4dRyjVhS74dGswLfAASA4/edit?usp=share_link"",""ชัยภูมิ!I722"")+IMPORTRANGE(""https://docs.google.com/spreadsheets/d/1EXMBoBxU3OFbjT2TRpneM33qFjqDzrKmn9ydcfl"&amp;"fI0o/edit?usp=share_link"",""นครพนม!I722"")+IMPORTRANGE(""https://docs.google.com/spreadsheets/d/1bDQrolntRWtHumK8W-x-HXKntwxB9S3sF5aDeRS66Ko/edit?usp=share_link"",""นครราชสีมา!I722"")+IMPORTRANGE(""https://docs.google.com/spreadsheets/d/1_MzZ-2gVPiCW-d2V"&amp;"cafoCmFJQTSrZ6SQyFcMqRRQQ2w/edit?usp=share_link"",""บึงกาฬ!I722"")
+IMPORTRANGE(""https://docs.google.com/spreadsheets/d/1B3lPpzOuaNwVItLwLEZYl_qEblfcx7dRnbRkAw0l-pE/edit?usp=share_link"",""บุรีรัมย์!I722"")+IMPORTRANGE(""https://docs.google.com/spreadshe"&amp;"ets/d/19GOkiOqnzYbevLYWrMk4qFOXe3rX14BkSA8X-mq-a40/edit?usp=share_link"",""มหาสารคาม!I722"")+IMPORTRANGE(""https://docs.google.com/spreadsheets/d/1uMKqWwuNQ-TCKboGA3Bb1qXb5uj2-faACNUINCz8PN4/edit?usp=share_link"",""มุกดาหาร!I722"")+IMPORTRANGE(""https://d"&amp;"ocs.google.com/spreadsheets/d/1oKaccgDdQABndOzGr688Dbfxb_V3YcF67VqEPBtdzsc/edit?usp=share_link"",""ยโสธร!I722"")+IMPORTRANGE(""https://docs.google.com/spreadsheets/d/1BRgc8xKpxZ0PX-gauieMVkV_IOxKSotf0yW8MabGprQ/edit?usp=share_link"",""ร้อยเอ็ด!I722"")+IMP"&amp;"ORTRANGE(""https://docs.google.com/spreadsheets/d/1IdolZc-dfdgMwAm_KZxYJl1sUOcIgnbGQzbWOlddedo/edit?usp=share_link"",""เลย!I722"")+IMPORTRANGE(""https://docs.google.com/spreadsheets/d/1tZ0nmtGuIRCaGAMXHlQU8EpR9LOAJvyKfc4f7EFmE34/edit?usp=share_link"",""ศร"&amp;"ีสะเกษ!I722"")+IMPORTRANGE(""https://docs.google.com/spreadsheets/d/1QC8psz9w0f9IVE9Xuc2FT_btkaOzZbbUSgYObpBuetM/edit?usp=share_link"",""สกลนคร!I722"")+IMPORTRANGE(""https://docs.google.com/spreadsheets/d/1wPdvRbu02d33MYVlbsCnyTiZpefEBs9NNktAnT1HZvw/edit?"&amp;"usp=share_link"",""สุรินทร์!I722"")+IMPORTRANGE(""https://docs.google.com/spreadsheets/d/1GVExpf-Exi_2gmuqTYH28fseTB9MoKPXWcXCbSt_YrM/edit?usp=share_link"",""หนองคาย!I722"")+IMPORTRANGE(""https://docs.google.com/spreadsheets/d/16UeMz0UgOB5BZcoxP75eYGcLFtG"&amp;"YRn9GoesD4OX9m5U/edit?usp=share_link"",""หนองบัวลำภู!I722"")+IMPORTRANGE(""https://docs.google.com/spreadsheets/d/1uUP8Zo1-qaJLuIkRU0qlwLSE3DHkbdrrj2JGJiWBQZE/edit?usp=share_link"",""อำนาจเจริญ!I722"")+IMPORTRANGE(""https://docs.google.com/spreadsheets/d/"&amp;"1hb_taSOHanzRjqfzWPiFo8yiT83VV1L7vvUCLhOiHKc/edit?usp=share_link"",""อุดรธานี!I722"")+IMPORTRANGE(""https://docs.google.com/spreadsheets/d/17IOkEwkUd63EGNfyNDnM5de9YlZ7rwzTiW6-dokVjKI/edit?usp=share_link"",""อุบลราชธานี!I722"")
"),1076)</f>
        <v>1076</v>
      </c>
      <c r="J722" s="194">
        <f ca="1">J725+J728</f>
        <v>129.21275</v>
      </c>
      <c r="K722" s="195">
        <f t="shared" ca="1" si="330"/>
        <v>12.008619888475836</v>
      </c>
      <c r="L722" s="38"/>
      <c r="M722" s="189"/>
      <c r="N722" s="766"/>
      <c r="O722" s="38"/>
      <c r="P722" s="3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</row>
    <row r="723" spans="1:26" ht="18.75">
      <c r="A723" s="744"/>
      <c r="B723" s="576"/>
      <c r="C723" s="576"/>
      <c r="D723" s="576"/>
      <c r="E723" s="577" t="s">
        <v>307</v>
      </c>
      <c r="F723" s="576"/>
      <c r="G723" s="189"/>
      <c r="H723" s="182" t="s">
        <v>35</v>
      </c>
      <c r="I723" s="765">
        <f ca="1">IFERROR(__xludf.DUMMYFUNCTION("IMPORTRANGE(""https://docs.google.com/spreadsheets/d/1fb2B9NLcpJgjIieIJvenUTNPn0TimZDUi0OtYeiSQ_s/edit?usp=share_link"",""กาฬสินธุ์!I723"")+IMPORTRANGE(""https://docs.google.com/spreadsheets/d/1SaMnqrwRGmFYNR0MhpWmHuL5niYUd5E7vDq8X7whAlI/edit?usp=share_li"&amp;"nk"",""ขอนแก่น!I723"")
+IMPORTRANGE(""https://docs.google.com/spreadsheets/d/1xQzEtGHhTTgxHh6YUkKY1P4dRyjVhS74dGswLfAASA4/edit?usp=share_link"",""ชัยภูมิ!I723"")+IMPORTRANGE(""https://docs.google.com/spreadsheets/d/1EXMBoBxU3OFbjT2TRpneM33qFjqDzrKmn9ydcfl"&amp;"fI0o/edit?usp=share_link"",""นครพนม!I723"")+IMPORTRANGE(""https://docs.google.com/spreadsheets/d/1bDQrolntRWtHumK8W-x-HXKntwxB9S3sF5aDeRS66Ko/edit?usp=share_link"",""นครราชสีมา!I723"")+IMPORTRANGE(""https://docs.google.com/spreadsheets/d/1_MzZ-2gVPiCW-d2V"&amp;"cafoCmFJQTSrZ6SQyFcMqRRQQ2w/edit?usp=share_link"",""บึงกาฬ!I723"")
+IMPORTRANGE(""https://docs.google.com/spreadsheets/d/1B3lPpzOuaNwVItLwLEZYl_qEblfcx7dRnbRkAw0l-pE/edit?usp=share_link"",""บุรีรัมย์!I723"")+IMPORTRANGE(""https://docs.google.com/spreadshe"&amp;"ets/d/19GOkiOqnzYbevLYWrMk4qFOXe3rX14BkSA8X-mq-a40/edit?usp=share_link"",""มหาสารคาม!I723"")+IMPORTRANGE(""https://docs.google.com/spreadsheets/d/1uMKqWwuNQ-TCKboGA3Bb1qXb5uj2-faACNUINCz8PN4/edit?usp=share_link"",""มุกดาหาร!I723"")+IMPORTRANGE(""https://d"&amp;"ocs.google.com/spreadsheets/d/1oKaccgDdQABndOzGr688Dbfxb_V3YcF67VqEPBtdzsc/edit?usp=share_link"",""ยโสธร!I723"")+IMPORTRANGE(""https://docs.google.com/spreadsheets/d/1BRgc8xKpxZ0PX-gauieMVkV_IOxKSotf0yW8MabGprQ/edit?usp=share_link"",""ร้อยเอ็ด!I723"")+IMP"&amp;"ORTRANGE(""https://docs.google.com/spreadsheets/d/1IdolZc-dfdgMwAm_KZxYJl1sUOcIgnbGQzbWOlddedo/edit?usp=share_link"",""เลย!I723"")+IMPORTRANGE(""https://docs.google.com/spreadsheets/d/1tZ0nmtGuIRCaGAMXHlQU8EpR9LOAJvyKfc4f7EFmE34/edit?usp=share_link"",""ศร"&amp;"ีสะเกษ!I723"")+IMPORTRANGE(""https://docs.google.com/spreadsheets/d/1QC8psz9w0f9IVE9Xuc2FT_btkaOzZbbUSgYObpBuetM/edit?usp=share_link"",""สกลนคร!I723"")+IMPORTRANGE(""https://docs.google.com/spreadsheets/d/1wPdvRbu02d33MYVlbsCnyTiZpefEBs9NNktAnT1HZvw/edit?"&amp;"usp=share_link"",""สุรินทร์!I723"")+IMPORTRANGE(""https://docs.google.com/spreadsheets/d/1GVExpf-Exi_2gmuqTYH28fseTB9MoKPXWcXCbSt_YrM/edit?usp=share_link"",""หนองคาย!I723"")+IMPORTRANGE(""https://docs.google.com/spreadsheets/d/16UeMz0UgOB5BZcoxP75eYGcLFtG"&amp;"YRn9GoesD4OX9m5U/edit?usp=share_link"",""หนองบัวลำภู!I723"")+IMPORTRANGE(""https://docs.google.com/spreadsheets/d/1uUP8Zo1-qaJLuIkRU0qlwLSE3DHkbdrrj2JGJiWBQZE/edit?usp=share_link"",""อำนาจเจริญ!I723"")+IMPORTRANGE(""https://docs.google.com/spreadsheets/d/"&amp;"1hb_taSOHanzRjqfzWPiFo8yiT83VV1L7vvUCLhOiHKc/edit?usp=share_link"",""อุดรธานี!I723"")+IMPORTRANGE(""https://docs.google.com/spreadsheets/d/17IOkEwkUd63EGNfyNDnM5de9YlZ7rwzTiW6-dokVjKI/edit?usp=share_link"",""อุบลราชธานี!I723"")
"),99)</f>
        <v>99</v>
      </c>
      <c r="J723" s="37">
        <f ca="1">IFERROR(__xludf.DUMMYFUNCTION("IMPORTRANGE(""https://docs.google.com/spreadsheets/d/1fb2B9NLcpJgjIieIJvenUTNPn0TimZDUi0OtYeiSQ_s/edit?usp=share_link"",""กาฬสินธุ์!J723"")+IMPORTRANGE(""https://docs.google.com/spreadsheets/d/1SaMnqrwRGmFYNR0MhpWmHuL5niYUd5E7vDq8X7whAlI/edit?usp=share_li"&amp;"nk"",""ขอนแก่น!J723"")
+IMPORTRANGE(""https://docs.google.com/spreadsheets/d/1xQzEtGHhTTgxHh6YUkKY1P4dRyjVhS74dGswLfAASA4/edit?usp=share_link"",""ชัยภูมิ!J723"")+IMPORTRANGE(""https://docs.google.com/spreadsheets/d/1EXMBoBxU3OFbjT2TRpneM33qFjqDzrKmn9ydcfl"&amp;"fI0o/edit?usp=share_link"",""นครพนม!J723"")+IMPORTRANGE(""https://docs.google.com/spreadsheets/d/1bDQrolntRWtHumK8W-x-HXKntwxB9S3sF5aDeRS66Ko/edit?usp=share_link"",""นครราชสีมา!J723"")+IMPORTRANGE(""https://docs.google.com/spreadsheets/d/1_MzZ-2gVPiCW-d2V"&amp;"cafoCmFJQTSrZ6SQyFcMqRRQQ2w/edit?usp=share_link"",""บึงกาฬ!J723"")
+IMPORTRANGE(""https://docs.google.com/spreadsheets/d/1B3lPpzOuaNwVItLwLEZYl_qEblfcx7dRnbRkAw0l-pE/edit?usp=share_link"",""บุรีรัมย์!J723"")+IMPORTRANGE(""https://docs.google.com/spreadshe"&amp;"ets/d/19GOkiOqnzYbevLYWrMk4qFOXe3rX14BkSA8X-mq-a40/edit?usp=share_link"",""มหาสารคาม!J723"")+IMPORTRANGE(""https://docs.google.com/spreadsheets/d/1uMKqWwuNQ-TCKboGA3Bb1qXb5uj2-faACNUINCz8PN4/edit?usp=share_link"",""มุกดาหาร!J723"")+IMPORTRANGE(""https://d"&amp;"ocs.google.com/spreadsheets/d/1oKaccgDdQABndOzGr688Dbfxb_V3YcF67VqEPBtdzsc/edit?usp=share_link"",""ยโสธร!J723"")+IMPORTRANGE(""https://docs.google.com/spreadsheets/d/1BRgc8xKpxZ0PX-gauieMVkV_IOxKSotf0yW8MabGprQ/edit?usp=share_link"",""ร้อยเอ็ด!J723"")+IMP"&amp;"ORTRANGE(""https://docs.google.com/spreadsheets/d/1IdolZc-dfdgMwAm_KZxYJl1sUOcIgnbGQzbWOlddedo/edit?usp=share_link"",""เลย!J723"")+IMPORTRANGE(""https://docs.google.com/spreadsheets/d/1tZ0nmtGuIRCaGAMXHlQU8EpR9LOAJvyKfc4f7EFmE34/edit?usp=share_link"",""ศร"&amp;"ีสะเกษ!J723"")+IMPORTRANGE(""https://docs.google.com/spreadsheets/d/1QC8psz9w0f9IVE9Xuc2FT_btkaOzZbbUSgYObpBuetM/edit?usp=share_link"",""สกลนคร!J723"")+IMPORTRANGE(""https://docs.google.com/spreadsheets/d/1wPdvRbu02d33MYVlbsCnyTiZpefEBs9NNktAnT1HZvw/edit?"&amp;"usp=share_link"",""สุรินทร์!J723"")+IMPORTRANGE(""https://docs.google.com/spreadsheets/d/1GVExpf-Exi_2gmuqTYH28fseTB9MoKPXWcXCbSt_YrM/edit?usp=share_link"",""หนองคาย!J723"")+IMPORTRANGE(""https://docs.google.com/spreadsheets/d/16UeMz0UgOB5BZcoxP75eYGcLFtG"&amp;"YRn9GoesD4OX9m5U/edit?usp=share_link"",""หนองบัวลำภู!J723"")+IMPORTRANGE(""https://docs.google.com/spreadsheets/d/1uUP8Zo1-qaJLuIkRU0qlwLSE3DHkbdrrj2JGJiWBQZE/edit?usp=share_link"",""อำนาจเจริญ!J723"")+IMPORTRANGE(""https://docs.google.com/spreadsheets/d/"&amp;"1hb_taSOHanzRjqfzWPiFo8yiT83VV1L7vvUCLhOiHKc/edit?usp=share_link"",""อุดรธานี!J723"")+IMPORTRANGE(""https://docs.google.com/spreadsheets/d/17IOkEwkUd63EGNfyNDnM5de9YlZ7rwzTiW6-dokVjKI/edit?usp=share_link"",""อุบลราชธานี!J723"")
"),12)</f>
        <v>12</v>
      </c>
      <c r="K723" s="38">
        <f t="shared" ca="1" si="330"/>
        <v>12.121212121212121</v>
      </c>
      <c r="L723" s="38"/>
      <c r="M723" s="189"/>
      <c r="N723" s="766"/>
      <c r="O723" s="38"/>
      <c r="P723" s="3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</row>
    <row r="724" spans="1:26" ht="18.75">
      <c r="A724" s="744"/>
      <c r="B724" s="576"/>
      <c r="C724" s="576"/>
      <c r="D724" s="576"/>
      <c r="E724" s="576"/>
      <c r="F724" s="576"/>
      <c r="G724" s="189"/>
      <c r="H724" s="182" t="s">
        <v>34</v>
      </c>
      <c r="I724" s="765"/>
      <c r="J724" s="37">
        <f ca="1">IFERROR(__xludf.DUMMYFUNCTION("IMPORTRANGE(""https://docs.google.com/spreadsheets/d/1fb2B9NLcpJgjIieIJvenUTNPn0TimZDUi0OtYeiSQ_s/edit?usp=share_link"",""กาฬสินธุ์!J724"")+IMPORTRANGE(""https://docs.google.com/spreadsheets/d/1SaMnqrwRGmFYNR0MhpWmHuL5niYUd5E7vDq8X7whAlI/edit?usp=share_li"&amp;"nk"",""ขอนแก่น!J724"")
+IMPORTRANGE(""https://docs.google.com/spreadsheets/d/1xQzEtGHhTTgxHh6YUkKY1P4dRyjVhS74dGswLfAASA4/edit?usp=share_link"",""ชัยภูมิ!J724"")+IMPORTRANGE(""https://docs.google.com/spreadsheets/d/1EXMBoBxU3OFbjT2TRpneM33qFjqDzrKmn9ydcfl"&amp;"fI0o/edit?usp=share_link"",""นครพนม!J724"")+IMPORTRANGE(""https://docs.google.com/spreadsheets/d/1bDQrolntRWtHumK8W-x-HXKntwxB9S3sF5aDeRS66Ko/edit?usp=share_link"",""นครราชสีมา!J724"")+IMPORTRANGE(""https://docs.google.com/spreadsheets/d/1_MzZ-2gVPiCW-d2V"&amp;"cafoCmFJQTSrZ6SQyFcMqRRQQ2w/edit?usp=share_link"",""บึงกาฬ!J724"")
+IMPORTRANGE(""https://docs.google.com/spreadsheets/d/1B3lPpzOuaNwVItLwLEZYl_qEblfcx7dRnbRkAw0l-pE/edit?usp=share_link"",""บุรีรัมย์!J724"")+IMPORTRANGE(""https://docs.google.com/spreadshe"&amp;"ets/d/19GOkiOqnzYbevLYWrMk4qFOXe3rX14BkSA8X-mq-a40/edit?usp=share_link"",""มหาสารคาม!J724"")+IMPORTRANGE(""https://docs.google.com/spreadsheets/d/1uMKqWwuNQ-TCKboGA3Bb1qXb5uj2-faACNUINCz8PN4/edit?usp=share_link"",""มุกดาหาร!J724"")+IMPORTRANGE(""https://d"&amp;"ocs.google.com/spreadsheets/d/1oKaccgDdQABndOzGr688Dbfxb_V3YcF67VqEPBtdzsc/edit?usp=share_link"",""ยโสธร!J724"")+IMPORTRANGE(""https://docs.google.com/spreadsheets/d/1BRgc8xKpxZ0PX-gauieMVkV_IOxKSotf0yW8MabGprQ/edit?usp=share_link"",""ร้อยเอ็ด!J724"")+IMP"&amp;"ORTRANGE(""https://docs.google.com/spreadsheets/d/1IdolZc-dfdgMwAm_KZxYJl1sUOcIgnbGQzbWOlddedo/edit?usp=share_link"",""เลย!J724"")+IMPORTRANGE(""https://docs.google.com/spreadsheets/d/1tZ0nmtGuIRCaGAMXHlQU8EpR9LOAJvyKfc4f7EFmE34/edit?usp=share_link"",""ศร"&amp;"ีสะเกษ!J724"")+IMPORTRANGE(""https://docs.google.com/spreadsheets/d/1QC8psz9w0f9IVE9Xuc2FT_btkaOzZbbUSgYObpBuetM/edit?usp=share_link"",""สกลนคร!J724"")+IMPORTRANGE(""https://docs.google.com/spreadsheets/d/1wPdvRbu02d33MYVlbsCnyTiZpefEBs9NNktAnT1HZvw/edit?"&amp;"usp=share_link"",""สุรินทร์!J724"")+IMPORTRANGE(""https://docs.google.com/spreadsheets/d/1GVExpf-Exi_2gmuqTYH28fseTB9MoKPXWcXCbSt_YrM/edit?usp=share_link"",""หนองคาย!J724"")+IMPORTRANGE(""https://docs.google.com/spreadsheets/d/16UeMz0UgOB5BZcoxP75eYGcLFtG"&amp;"YRn9GoesD4OX9m5U/edit?usp=share_link"",""หนองบัวลำภู!J724"")+IMPORTRANGE(""https://docs.google.com/spreadsheets/d/1uUP8Zo1-qaJLuIkRU0qlwLSE3DHkbdrrj2JGJiWBQZE/edit?usp=share_link"",""อำนาจเจริญ!J724"")+IMPORTRANGE(""https://docs.google.com/spreadsheets/d/"&amp;"1hb_taSOHanzRjqfzWPiFo8yiT83VV1L7vvUCLhOiHKc/edit?usp=share_link"",""อุดรธานี!J724"")+IMPORTRANGE(""https://docs.google.com/spreadsheets/d/17IOkEwkUd63EGNfyNDnM5de9YlZ7rwzTiW6-dokVjKI/edit?usp=share_link"",""อุบลราชธานี!J724"")
"),17)</f>
        <v>17</v>
      </c>
      <c r="K724" s="38"/>
      <c r="L724" s="766"/>
      <c r="M724" s="189"/>
      <c r="N724" s="766"/>
      <c r="O724" s="38"/>
      <c r="P724" s="3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</row>
    <row r="725" spans="1:26" ht="18.75">
      <c r="A725" s="744"/>
      <c r="B725" s="576"/>
      <c r="C725" s="576"/>
      <c r="D725" s="576"/>
      <c r="E725" s="576"/>
      <c r="F725" s="576"/>
      <c r="G725" s="189"/>
      <c r="H725" s="182" t="s">
        <v>46</v>
      </c>
      <c r="I725" s="765">
        <f ca="1">IFERROR(__xludf.DUMMYFUNCTION("IMPORTRANGE(""https://docs.google.com/spreadsheets/d/1fb2B9NLcpJgjIieIJvenUTNPn0TimZDUi0OtYeiSQ_s/edit?usp=share_link"",""กาฬสินธุ์!I725"")+IMPORTRANGE(""https://docs.google.com/spreadsheets/d/1SaMnqrwRGmFYNR0MhpWmHuL5niYUd5E7vDq8X7whAlI/edit?usp=share_li"&amp;"nk"",""ขอนแก่น!I725"")
+IMPORTRANGE(""https://docs.google.com/spreadsheets/d/1xQzEtGHhTTgxHh6YUkKY1P4dRyjVhS74dGswLfAASA4/edit?usp=share_link"",""ชัยภูมิ!I725"")+IMPORTRANGE(""https://docs.google.com/spreadsheets/d/1EXMBoBxU3OFbjT2TRpneM33qFjqDzrKmn9ydcfl"&amp;"fI0o/edit?usp=share_link"",""นครพนม!I725"")+IMPORTRANGE(""https://docs.google.com/spreadsheets/d/1bDQrolntRWtHumK8W-x-HXKntwxB9S3sF5aDeRS66Ko/edit?usp=share_link"",""นครราชสีมา!I725"")+IMPORTRANGE(""https://docs.google.com/spreadsheets/d/1_MzZ-2gVPiCW-d2V"&amp;"cafoCmFJQTSrZ6SQyFcMqRRQQ2w/edit?usp=share_link"",""บึงกาฬ!I725"")
+IMPORTRANGE(""https://docs.google.com/spreadsheets/d/1B3lPpzOuaNwVItLwLEZYl_qEblfcx7dRnbRkAw0l-pE/edit?usp=share_link"",""บุรีรัมย์!I725"")+IMPORTRANGE(""https://docs.google.com/spreadshe"&amp;"ets/d/19GOkiOqnzYbevLYWrMk4qFOXe3rX14BkSA8X-mq-a40/edit?usp=share_link"",""มหาสารคาม!I725"")+IMPORTRANGE(""https://docs.google.com/spreadsheets/d/1uMKqWwuNQ-TCKboGA3Bb1qXb5uj2-faACNUINCz8PN4/edit?usp=share_link"",""มุกดาหาร!I725"")+IMPORTRANGE(""https://d"&amp;"ocs.google.com/spreadsheets/d/1oKaccgDdQABndOzGr688Dbfxb_V3YcF67VqEPBtdzsc/edit?usp=share_link"",""ยโสธร!I725"")+IMPORTRANGE(""https://docs.google.com/spreadsheets/d/1BRgc8xKpxZ0PX-gauieMVkV_IOxKSotf0yW8MabGprQ/edit?usp=share_link"",""ร้อยเอ็ด!I725"")+IMP"&amp;"ORTRANGE(""https://docs.google.com/spreadsheets/d/1IdolZc-dfdgMwAm_KZxYJl1sUOcIgnbGQzbWOlddedo/edit?usp=share_link"",""เลย!I725"")+IMPORTRANGE(""https://docs.google.com/spreadsheets/d/1tZ0nmtGuIRCaGAMXHlQU8EpR9LOAJvyKfc4f7EFmE34/edit?usp=share_link"",""ศร"&amp;"ีสะเกษ!I725"")+IMPORTRANGE(""https://docs.google.com/spreadsheets/d/1QC8psz9w0f9IVE9Xuc2FT_btkaOzZbbUSgYObpBuetM/edit?usp=share_link"",""สกลนคร!I725"")+IMPORTRANGE(""https://docs.google.com/spreadsheets/d/1wPdvRbu02d33MYVlbsCnyTiZpefEBs9NNktAnT1HZvw/edit?"&amp;"usp=share_link"",""สุรินทร์!I725"")+IMPORTRANGE(""https://docs.google.com/spreadsheets/d/1GVExpf-Exi_2gmuqTYH28fseTB9MoKPXWcXCbSt_YrM/edit?usp=share_link"",""หนองคาย!I725"")+IMPORTRANGE(""https://docs.google.com/spreadsheets/d/16UeMz0UgOB5BZcoxP75eYGcLFtG"&amp;"YRn9GoesD4OX9m5U/edit?usp=share_link"",""หนองบัวลำภู!I725"")+IMPORTRANGE(""https://docs.google.com/spreadsheets/d/1uUP8Zo1-qaJLuIkRU0qlwLSE3DHkbdrrj2JGJiWBQZE/edit?usp=share_link"",""อำนาจเจริญ!I725"")+IMPORTRANGE(""https://docs.google.com/spreadsheets/d/"&amp;"1hb_taSOHanzRjqfzWPiFo8yiT83VV1L7vvUCLhOiHKc/edit?usp=share_link"",""อุดรธานี!I725"")+IMPORTRANGE(""https://docs.google.com/spreadsheets/d/17IOkEwkUd63EGNfyNDnM5de9YlZ7rwzTiW6-dokVjKI/edit?usp=share_link"",""อุบลราชธานี!I725"")
"),1056)</f>
        <v>1056</v>
      </c>
      <c r="J725" s="37">
        <f ca="1">IFERROR(__xludf.DUMMYFUNCTION("IMPORTRANGE(""https://docs.google.com/spreadsheets/d/1fb2B9NLcpJgjIieIJvenUTNPn0TimZDUi0OtYeiSQ_s/edit?usp=share_link"",""กาฬสินธุ์!J725"")+IMPORTRANGE(""https://docs.google.com/spreadsheets/d/1SaMnqrwRGmFYNR0MhpWmHuL5niYUd5E7vDq8X7whAlI/edit?usp=share_li"&amp;"nk"",""ขอนแก่น!J725"")
+IMPORTRANGE(""https://docs.google.com/spreadsheets/d/1xQzEtGHhTTgxHh6YUkKY1P4dRyjVhS74dGswLfAASA4/edit?usp=share_link"",""ชัยภูมิ!J725"")+IMPORTRANGE(""https://docs.google.com/spreadsheets/d/1EXMBoBxU3OFbjT2TRpneM33qFjqDzrKmn9ydcfl"&amp;"fI0o/edit?usp=share_link"",""นครพนม!J725"")+IMPORTRANGE(""https://docs.google.com/spreadsheets/d/1bDQrolntRWtHumK8W-x-HXKntwxB9S3sF5aDeRS66Ko/edit?usp=share_link"",""นครราชสีมา!J725"")+IMPORTRANGE(""https://docs.google.com/spreadsheets/d/1_MzZ-2gVPiCW-d2V"&amp;"cafoCmFJQTSrZ6SQyFcMqRRQQ2w/edit?usp=share_link"",""บึงกาฬ!J725"")
+IMPORTRANGE(""https://docs.google.com/spreadsheets/d/1B3lPpzOuaNwVItLwLEZYl_qEblfcx7dRnbRkAw0l-pE/edit?usp=share_link"",""บุรีรัมย์!J725"")+IMPORTRANGE(""https://docs.google.com/spreadshe"&amp;"ets/d/19GOkiOqnzYbevLYWrMk4qFOXe3rX14BkSA8X-mq-a40/edit?usp=share_link"",""มหาสารคาม!J725"")+IMPORTRANGE(""https://docs.google.com/spreadsheets/d/1uMKqWwuNQ-TCKboGA3Bb1qXb5uj2-faACNUINCz8PN4/edit?usp=share_link"",""มุกดาหาร!J725"")+IMPORTRANGE(""https://d"&amp;"ocs.google.com/spreadsheets/d/1oKaccgDdQABndOzGr688Dbfxb_V3YcF67VqEPBtdzsc/edit?usp=share_link"",""ยโสธร!J725"")+IMPORTRANGE(""https://docs.google.com/spreadsheets/d/1BRgc8xKpxZ0PX-gauieMVkV_IOxKSotf0yW8MabGprQ/edit?usp=share_link"",""ร้อยเอ็ด!J725"")+IMP"&amp;"ORTRANGE(""https://docs.google.com/spreadsheets/d/1IdolZc-dfdgMwAm_KZxYJl1sUOcIgnbGQzbWOlddedo/edit?usp=share_link"",""เลย!J725"")+IMPORTRANGE(""https://docs.google.com/spreadsheets/d/1tZ0nmtGuIRCaGAMXHlQU8EpR9LOAJvyKfc4f7EFmE34/edit?usp=share_link"",""ศร"&amp;"ีสะเกษ!J725"")+IMPORTRANGE(""https://docs.google.com/spreadsheets/d/1QC8psz9w0f9IVE9Xuc2FT_btkaOzZbbUSgYObpBuetM/edit?usp=share_link"",""สกลนคร!J725"")+IMPORTRANGE(""https://docs.google.com/spreadsheets/d/1wPdvRbu02d33MYVlbsCnyTiZpefEBs9NNktAnT1HZvw/edit?"&amp;"usp=share_link"",""สุรินทร์!J725"")+IMPORTRANGE(""https://docs.google.com/spreadsheets/d/1GVExpf-Exi_2gmuqTYH28fseTB9MoKPXWcXCbSt_YrM/edit?usp=share_link"",""หนองคาย!J725"")+IMPORTRANGE(""https://docs.google.com/spreadsheets/d/16UeMz0UgOB5BZcoxP75eYGcLFtG"&amp;"YRn9GoesD4OX9m5U/edit?usp=share_link"",""หนองบัวลำภู!J725"")+IMPORTRANGE(""https://docs.google.com/spreadsheets/d/1uUP8Zo1-qaJLuIkRU0qlwLSE3DHkbdrrj2JGJiWBQZE/edit?usp=share_link"",""อำนาจเจริญ!J725"")+IMPORTRANGE(""https://docs.google.com/spreadsheets/d/"&amp;"1hb_taSOHanzRjqfzWPiFo8yiT83VV1L7vvUCLhOiHKc/edit?usp=share_link"",""อุดรธานี!J725"")+IMPORTRANGE(""https://docs.google.com/spreadsheets/d/17IOkEwkUd63EGNfyNDnM5de9YlZ7rwzTiW6-dokVjKI/edit?usp=share_link"",""อุบลราชธานี!J725"")
"),129.21275)</f>
        <v>129.21275</v>
      </c>
      <c r="K725" s="38">
        <f t="shared" ref="K725:K726" ca="1" si="331">IF(I725&gt;0,J725*100/I725,0)</f>
        <v>12.236055871212121</v>
      </c>
      <c r="L725" s="766"/>
      <c r="M725" s="189"/>
      <c r="N725" s="766"/>
      <c r="O725" s="38"/>
      <c r="P725" s="3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</row>
    <row r="726" spans="1:26" ht="18.75">
      <c r="A726" s="744"/>
      <c r="B726" s="576"/>
      <c r="C726" s="576"/>
      <c r="D726" s="576"/>
      <c r="E726" s="577" t="s">
        <v>308</v>
      </c>
      <c r="F726" s="576"/>
      <c r="G726" s="189"/>
      <c r="H726" s="182" t="s">
        <v>35</v>
      </c>
      <c r="I726" s="765">
        <f ca="1">IFERROR(__xludf.DUMMYFUNCTION("IMPORTRANGE(""https://docs.google.com/spreadsheets/d/1fb2B9NLcpJgjIieIJvenUTNPn0TimZDUi0OtYeiSQ_s/edit?usp=share_link"",""กาฬสินธุ์!I726"")+IMPORTRANGE(""https://docs.google.com/spreadsheets/d/1SaMnqrwRGmFYNR0MhpWmHuL5niYUd5E7vDq8X7whAlI/edit?usp=share_li"&amp;"nk"",""ขอนแก่น!I726"")
+IMPORTRANGE(""https://docs.google.com/spreadsheets/d/1xQzEtGHhTTgxHh6YUkKY1P4dRyjVhS74dGswLfAASA4/edit?usp=share_link"",""ชัยภูมิ!I726"")+IMPORTRANGE(""https://docs.google.com/spreadsheets/d/1EXMBoBxU3OFbjT2TRpneM33qFjqDzrKmn9ydcfl"&amp;"fI0o/edit?usp=share_link"",""นครพนม!I726"")+IMPORTRANGE(""https://docs.google.com/spreadsheets/d/1bDQrolntRWtHumK8W-x-HXKntwxB9S3sF5aDeRS66Ko/edit?usp=share_link"",""นครราชสีมา!I726"")+IMPORTRANGE(""https://docs.google.com/spreadsheets/d/1_MzZ-2gVPiCW-d2V"&amp;"cafoCmFJQTSrZ6SQyFcMqRRQQ2w/edit?usp=share_link"",""บึงกาฬ!I726"")
+IMPORTRANGE(""https://docs.google.com/spreadsheets/d/1B3lPpzOuaNwVItLwLEZYl_qEblfcx7dRnbRkAw0l-pE/edit?usp=share_link"",""บุรีรัมย์!I726"")+IMPORTRANGE(""https://docs.google.com/spreadshe"&amp;"ets/d/19GOkiOqnzYbevLYWrMk4qFOXe3rX14BkSA8X-mq-a40/edit?usp=share_link"",""มหาสารคาม!I726"")+IMPORTRANGE(""https://docs.google.com/spreadsheets/d/1uMKqWwuNQ-TCKboGA3Bb1qXb5uj2-faACNUINCz8PN4/edit?usp=share_link"",""มุกดาหาร!I726"")+IMPORTRANGE(""https://d"&amp;"ocs.google.com/spreadsheets/d/1oKaccgDdQABndOzGr688Dbfxb_V3YcF67VqEPBtdzsc/edit?usp=share_link"",""ยโสธร!I726"")+IMPORTRANGE(""https://docs.google.com/spreadsheets/d/1BRgc8xKpxZ0PX-gauieMVkV_IOxKSotf0yW8MabGprQ/edit?usp=share_link"",""ร้อยเอ็ด!I726"")+IMP"&amp;"ORTRANGE(""https://docs.google.com/spreadsheets/d/1IdolZc-dfdgMwAm_KZxYJl1sUOcIgnbGQzbWOlddedo/edit?usp=share_link"",""เลย!I726"")+IMPORTRANGE(""https://docs.google.com/spreadsheets/d/1tZ0nmtGuIRCaGAMXHlQU8EpR9LOAJvyKfc4f7EFmE34/edit?usp=share_link"",""ศร"&amp;"ีสะเกษ!I726"")+IMPORTRANGE(""https://docs.google.com/spreadsheets/d/1QC8psz9w0f9IVE9Xuc2FT_btkaOzZbbUSgYObpBuetM/edit?usp=share_link"",""สกลนคร!I726"")+IMPORTRANGE(""https://docs.google.com/spreadsheets/d/1wPdvRbu02d33MYVlbsCnyTiZpefEBs9NNktAnT1HZvw/edit?"&amp;"usp=share_link"",""สุรินทร์!I726"")+IMPORTRANGE(""https://docs.google.com/spreadsheets/d/1GVExpf-Exi_2gmuqTYH28fseTB9MoKPXWcXCbSt_YrM/edit?usp=share_link"",""หนองคาย!I726"")+IMPORTRANGE(""https://docs.google.com/spreadsheets/d/16UeMz0UgOB5BZcoxP75eYGcLFtG"&amp;"YRn9GoesD4OX9m5U/edit?usp=share_link"",""หนองบัวลำภู!I726"")+IMPORTRANGE(""https://docs.google.com/spreadsheets/d/1uUP8Zo1-qaJLuIkRU0qlwLSE3DHkbdrrj2JGJiWBQZE/edit?usp=share_link"",""อำนาจเจริญ!I726"")+IMPORTRANGE(""https://docs.google.com/spreadsheets/d/"&amp;"1hb_taSOHanzRjqfzWPiFo8yiT83VV1L7vvUCLhOiHKc/edit?usp=share_link"",""อุดรธานี!I726"")+IMPORTRANGE(""https://docs.google.com/spreadsheets/d/17IOkEwkUd63EGNfyNDnM5de9YlZ7rwzTiW6-dokVjKI/edit?usp=share_link"",""อุบลราชธานี!I726"")
"),2)</f>
        <v>2</v>
      </c>
      <c r="J726" s="37">
        <f ca="1">IFERROR(__xludf.DUMMYFUNCTION("IMPORTRANGE(""https://docs.google.com/spreadsheets/d/1fb2B9NLcpJgjIieIJvenUTNPn0TimZDUi0OtYeiSQ_s/edit?usp=share_link"",""กาฬสินธุ์!J726"")+IMPORTRANGE(""https://docs.google.com/spreadsheets/d/1SaMnqrwRGmFYNR0MhpWmHuL5niYUd5E7vDq8X7whAlI/edit?usp=share_li"&amp;"nk"",""ขอนแก่น!J726"")
+IMPORTRANGE(""https://docs.google.com/spreadsheets/d/1xQzEtGHhTTgxHh6YUkKY1P4dRyjVhS74dGswLfAASA4/edit?usp=share_link"",""ชัยภูมิ!J726"")+IMPORTRANGE(""https://docs.google.com/spreadsheets/d/1EXMBoBxU3OFbjT2TRpneM33qFjqDzrKmn9ydcfl"&amp;"fI0o/edit?usp=share_link"",""นครพนม!J726"")+IMPORTRANGE(""https://docs.google.com/spreadsheets/d/1bDQrolntRWtHumK8W-x-HXKntwxB9S3sF5aDeRS66Ko/edit?usp=share_link"",""นครราชสีมา!J726"")+IMPORTRANGE(""https://docs.google.com/spreadsheets/d/1_MzZ-2gVPiCW-d2V"&amp;"cafoCmFJQTSrZ6SQyFcMqRRQQ2w/edit?usp=share_link"",""บึงกาฬ!J726"")
+IMPORTRANGE(""https://docs.google.com/spreadsheets/d/1B3lPpzOuaNwVItLwLEZYl_qEblfcx7dRnbRkAw0l-pE/edit?usp=share_link"",""บุรีรัมย์!J726"")+IMPORTRANGE(""https://docs.google.com/spreadshe"&amp;"ets/d/19GOkiOqnzYbevLYWrMk4qFOXe3rX14BkSA8X-mq-a40/edit?usp=share_link"",""มหาสารคาม!J726"")+IMPORTRANGE(""https://docs.google.com/spreadsheets/d/1uMKqWwuNQ-TCKboGA3Bb1qXb5uj2-faACNUINCz8PN4/edit?usp=share_link"",""มุกดาหาร!J726"")+IMPORTRANGE(""https://d"&amp;"ocs.google.com/spreadsheets/d/1oKaccgDdQABndOzGr688Dbfxb_V3YcF67VqEPBtdzsc/edit?usp=share_link"",""ยโสธร!J726"")+IMPORTRANGE(""https://docs.google.com/spreadsheets/d/1BRgc8xKpxZ0PX-gauieMVkV_IOxKSotf0yW8MabGprQ/edit?usp=share_link"",""ร้อยเอ็ด!J726"")+IMP"&amp;"ORTRANGE(""https://docs.google.com/spreadsheets/d/1IdolZc-dfdgMwAm_KZxYJl1sUOcIgnbGQzbWOlddedo/edit?usp=share_link"",""เลย!J726"")+IMPORTRANGE(""https://docs.google.com/spreadsheets/d/1tZ0nmtGuIRCaGAMXHlQU8EpR9LOAJvyKfc4f7EFmE34/edit?usp=share_link"",""ศร"&amp;"ีสะเกษ!J726"")+IMPORTRANGE(""https://docs.google.com/spreadsheets/d/1QC8psz9w0f9IVE9Xuc2FT_btkaOzZbbUSgYObpBuetM/edit?usp=share_link"",""สกลนคร!J726"")+IMPORTRANGE(""https://docs.google.com/spreadsheets/d/1wPdvRbu02d33MYVlbsCnyTiZpefEBs9NNktAnT1HZvw/edit?"&amp;"usp=share_link"",""สุรินทร์!J726"")+IMPORTRANGE(""https://docs.google.com/spreadsheets/d/1GVExpf-Exi_2gmuqTYH28fseTB9MoKPXWcXCbSt_YrM/edit?usp=share_link"",""หนองคาย!J726"")+IMPORTRANGE(""https://docs.google.com/spreadsheets/d/16UeMz0UgOB5BZcoxP75eYGcLFtG"&amp;"YRn9GoesD4OX9m5U/edit?usp=share_link"",""หนองบัวลำภู!J726"")+IMPORTRANGE(""https://docs.google.com/spreadsheets/d/1uUP8Zo1-qaJLuIkRU0qlwLSE3DHkbdrrj2JGJiWBQZE/edit?usp=share_link"",""อำนาจเจริญ!J726"")+IMPORTRANGE(""https://docs.google.com/spreadsheets/d/"&amp;"1hb_taSOHanzRjqfzWPiFo8yiT83VV1L7vvUCLhOiHKc/edit?usp=share_link"",""อุดรธานี!J726"")+IMPORTRANGE(""https://docs.google.com/spreadsheets/d/17IOkEwkUd63EGNfyNDnM5de9YlZ7rwzTiW6-dokVjKI/edit?usp=share_link"",""อุบลราชธานี!J726"")
"),0)</f>
        <v>0</v>
      </c>
      <c r="K726" s="38">
        <f t="shared" ca="1" si="331"/>
        <v>0</v>
      </c>
      <c r="L726" s="38"/>
      <c r="M726" s="189"/>
      <c r="N726" s="766"/>
      <c r="O726" s="38"/>
      <c r="P726" s="3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</row>
    <row r="727" spans="1:26" ht="18.75">
      <c r="A727" s="744"/>
      <c r="B727" s="576"/>
      <c r="C727" s="576"/>
      <c r="D727" s="576"/>
      <c r="E727" s="576"/>
      <c r="F727" s="576"/>
      <c r="G727" s="189"/>
      <c r="H727" s="182" t="s">
        <v>34</v>
      </c>
      <c r="I727" s="765"/>
      <c r="J727" s="37">
        <f ca="1">IFERROR(__xludf.DUMMYFUNCTION("IMPORTRANGE(""https://docs.google.com/spreadsheets/d/1fb2B9NLcpJgjIieIJvenUTNPn0TimZDUi0OtYeiSQ_s/edit?usp=share_link"",""กาฬสินธุ์!J727"")+IMPORTRANGE(""https://docs.google.com/spreadsheets/d/1SaMnqrwRGmFYNR0MhpWmHuL5niYUd5E7vDq8X7whAlI/edit?usp=share_li"&amp;"nk"",""ขอนแก่น!J727"")
+IMPORTRANGE(""https://docs.google.com/spreadsheets/d/1xQzEtGHhTTgxHh6YUkKY1P4dRyjVhS74dGswLfAASA4/edit?usp=share_link"",""ชัยภูมิ!J727"")+IMPORTRANGE(""https://docs.google.com/spreadsheets/d/1EXMBoBxU3OFbjT2TRpneM33qFjqDzrKmn9ydcfl"&amp;"fI0o/edit?usp=share_link"",""นครพนม!J727"")+IMPORTRANGE(""https://docs.google.com/spreadsheets/d/1bDQrolntRWtHumK8W-x-HXKntwxB9S3sF5aDeRS66Ko/edit?usp=share_link"",""นครราชสีมา!J727"")+IMPORTRANGE(""https://docs.google.com/spreadsheets/d/1_MzZ-2gVPiCW-d2V"&amp;"cafoCmFJQTSrZ6SQyFcMqRRQQ2w/edit?usp=share_link"",""บึงกาฬ!J727"")
+IMPORTRANGE(""https://docs.google.com/spreadsheets/d/1B3lPpzOuaNwVItLwLEZYl_qEblfcx7dRnbRkAw0l-pE/edit?usp=share_link"",""บุรีรัมย์!J727"")+IMPORTRANGE(""https://docs.google.com/spreadshe"&amp;"ets/d/19GOkiOqnzYbevLYWrMk4qFOXe3rX14BkSA8X-mq-a40/edit?usp=share_link"",""มหาสารคาม!J727"")+IMPORTRANGE(""https://docs.google.com/spreadsheets/d/1uMKqWwuNQ-TCKboGA3Bb1qXb5uj2-faACNUINCz8PN4/edit?usp=share_link"",""มุกดาหาร!J727"")+IMPORTRANGE(""https://d"&amp;"ocs.google.com/spreadsheets/d/1oKaccgDdQABndOzGr688Dbfxb_V3YcF67VqEPBtdzsc/edit?usp=share_link"",""ยโสธร!J727"")+IMPORTRANGE(""https://docs.google.com/spreadsheets/d/1BRgc8xKpxZ0PX-gauieMVkV_IOxKSotf0yW8MabGprQ/edit?usp=share_link"",""ร้อยเอ็ด!J727"")+IMP"&amp;"ORTRANGE(""https://docs.google.com/spreadsheets/d/1IdolZc-dfdgMwAm_KZxYJl1sUOcIgnbGQzbWOlddedo/edit?usp=share_link"",""เลย!J727"")+IMPORTRANGE(""https://docs.google.com/spreadsheets/d/1tZ0nmtGuIRCaGAMXHlQU8EpR9LOAJvyKfc4f7EFmE34/edit?usp=share_link"",""ศร"&amp;"ีสะเกษ!J727"")+IMPORTRANGE(""https://docs.google.com/spreadsheets/d/1QC8psz9w0f9IVE9Xuc2FT_btkaOzZbbUSgYObpBuetM/edit?usp=share_link"",""สกลนคร!J727"")+IMPORTRANGE(""https://docs.google.com/spreadsheets/d/1wPdvRbu02d33MYVlbsCnyTiZpefEBs9NNktAnT1HZvw/edit?"&amp;"usp=share_link"",""สุรินทร์!J727"")+IMPORTRANGE(""https://docs.google.com/spreadsheets/d/1GVExpf-Exi_2gmuqTYH28fseTB9MoKPXWcXCbSt_YrM/edit?usp=share_link"",""หนองคาย!J727"")+IMPORTRANGE(""https://docs.google.com/spreadsheets/d/16UeMz0UgOB5BZcoxP75eYGcLFtG"&amp;"YRn9GoesD4OX9m5U/edit?usp=share_link"",""หนองบัวลำภู!J727"")+IMPORTRANGE(""https://docs.google.com/spreadsheets/d/1uUP8Zo1-qaJLuIkRU0qlwLSE3DHkbdrrj2JGJiWBQZE/edit?usp=share_link"",""อำนาจเจริญ!J727"")+IMPORTRANGE(""https://docs.google.com/spreadsheets/d/"&amp;"1hb_taSOHanzRjqfzWPiFo8yiT83VV1L7vvUCLhOiHKc/edit?usp=share_link"",""อุดรธานี!J727"")+IMPORTRANGE(""https://docs.google.com/spreadsheets/d/17IOkEwkUd63EGNfyNDnM5de9YlZ7rwzTiW6-dokVjKI/edit?usp=share_link"",""อุบลราชธานี!J727"")
"),0)</f>
        <v>0</v>
      </c>
      <c r="K727" s="38"/>
      <c r="L727" s="766"/>
      <c r="M727" s="189"/>
      <c r="N727" s="766"/>
      <c r="O727" s="38"/>
      <c r="P727" s="3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</row>
    <row r="728" spans="1:26" ht="18.75">
      <c r="A728" s="744"/>
      <c r="B728" s="576"/>
      <c r="C728" s="576"/>
      <c r="D728" s="576"/>
      <c r="E728" s="576"/>
      <c r="F728" s="576"/>
      <c r="G728" s="189"/>
      <c r="H728" s="182" t="s">
        <v>46</v>
      </c>
      <c r="I728" s="765">
        <f ca="1">IFERROR(__xludf.DUMMYFUNCTION("IMPORTRANGE(""https://docs.google.com/spreadsheets/d/1fb2B9NLcpJgjIieIJvenUTNPn0TimZDUi0OtYeiSQ_s/edit?usp=share_link"",""กาฬสินธุ์!I728"")+IMPORTRANGE(""https://docs.google.com/spreadsheets/d/1SaMnqrwRGmFYNR0MhpWmHuL5niYUd5E7vDq8X7whAlI/edit?usp=share_li"&amp;"nk"",""ขอนแก่น!I728"")
+IMPORTRANGE(""https://docs.google.com/spreadsheets/d/1xQzEtGHhTTgxHh6YUkKY1P4dRyjVhS74dGswLfAASA4/edit?usp=share_link"",""ชัยภูมิ!I728"")+IMPORTRANGE(""https://docs.google.com/spreadsheets/d/1EXMBoBxU3OFbjT2TRpneM33qFjqDzrKmn9ydcfl"&amp;"fI0o/edit?usp=share_link"",""นครพนม!I728"")+IMPORTRANGE(""https://docs.google.com/spreadsheets/d/1bDQrolntRWtHumK8W-x-HXKntwxB9S3sF5aDeRS66Ko/edit?usp=share_link"",""นครราชสีมา!I728"")+IMPORTRANGE(""https://docs.google.com/spreadsheets/d/1_MzZ-2gVPiCW-d2V"&amp;"cafoCmFJQTSrZ6SQyFcMqRRQQ2w/edit?usp=share_link"",""บึงกาฬ!I728"")
+IMPORTRANGE(""https://docs.google.com/spreadsheets/d/1B3lPpzOuaNwVItLwLEZYl_qEblfcx7dRnbRkAw0l-pE/edit?usp=share_link"",""บุรีรัมย์!I728"")+IMPORTRANGE(""https://docs.google.com/spreadshe"&amp;"ets/d/19GOkiOqnzYbevLYWrMk4qFOXe3rX14BkSA8X-mq-a40/edit?usp=share_link"",""มหาสารคาม!I728"")+IMPORTRANGE(""https://docs.google.com/spreadsheets/d/1uMKqWwuNQ-TCKboGA3Bb1qXb5uj2-faACNUINCz8PN4/edit?usp=share_link"",""มุกดาหาร!I728"")+IMPORTRANGE(""https://d"&amp;"ocs.google.com/spreadsheets/d/1oKaccgDdQABndOzGr688Dbfxb_V3YcF67VqEPBtdzsc/edit?usp=share_link"",""ยโสธร!I728"")+IMPORTRANGE(""https://docs.google.com/spreadsheets/d/1BRgc8xKpxZ0PX-gauieMVkV_IOxKSotf0yW8MabGprQ/edit?usp=share_link"",""ร้อยเอ็ด!I728"")+IMP"&amp;"ORTRANGE(""https://docs.google.com/spreadsheets/d/1IdolZc-dfdgMwAm_KZxYJl1sUOcIgnbGQzbWOlddedo/edit?usp=share_link"",""เลย!I728"")+IMPORTRANGE(""https://docs.google.com/spreadsheets/d/1tZ0nmtGuIRCaGAMXHlQU8EpR9LOAJvyKfc4f7EFmE34/edit?usp=share_link"",""ศร"&amp;"ีสะเกษ!I728"")+IMPORTRANGE(""https://docs.google.com/spreadsheets/d/1QC8psz9w0f9IVE9Xuc2FT_btkaOzZbbUSgYObpBuetM/edit?usp=share_link"",""สกลนคร!I728"")+IMPORTRANGE(""https://docs.google.com/spreadsheets/d/1wPdvRbu02d33MYVlbsCnyTiZpefEBs9NNktAnT1HZvw/edit?"&amp;"usp=share_link"",""สุรินทร์!I728"")+IMPORTRANGE(""https://docs.google.com/spreadsheets/d/1GVExpf-Exi_2gmuqTYH28fseTB9MoKPXWcXCbSt_YrM/edit?usp=share_link"",""หนองคาย!I728"")+IMPORTRANGE(""https://docs.google.com/spreadsheets/d/16UeMz0UgOB5BZcoxP75eYGcLFtG"&amp;"YRn9GoesD4OX9m5U/edit?usp=share_link"",""หนองบัวลำภู!I728"")+IMPORTRANGE(""https://docs.google.com/spreadsheets/d/1uUP8Zo1-qaJLuIkRU0qlwLSE3DHkbdrrj2JGJiWBQZE/edit?usp=share_link"",""อำนาจเจริญ!I728"")+IMPORTRANGE(""https://docs.google.com/spreadsheets/d/"&amp;"1hb_taSOHanzRjqfzWPiFo8yiT83VV1L7vvUCLhOiHKc/edit?usp=share_link"",""อุดรธานี!I728"")+IMPORTRANGE(""https://docs.google.com/spreadsheets/d/17IOkEwkUd63EGNfyNDnM5de9YlZ7rwzTiW6-dokVjKI/edit?usp=share_link"",""อุบลราชธานี!I728"")
"),20)</f>
        <v>20</v>
      </c>
      <c r="J728" s="37">
        <f ca="1">IFERROR(__xludf.DUMMYFUNCTION("IMPORTRANGE(""https://docs.google.com/spreadsheets/d/1fb2B9NLcpJgjIieIJvenUTNPn0TimZDUi0OtYeiSQ_s/edit?usp=share_link"",""กาฬสินธุ์!J728"")+IMPORTRANGE(""https://docs.google.com/spreadsheets/d/1SaMnqrwRGmFYNR0MhpWmHuL5niYUd5E7vDq8X7whAlI/edit?usp=share_li"&amp;"nk"",""ขอนแก่น!J728"")
+IMPORTRANGE(""https://docs.google.com/spreadsheets/d/1xQzEtGHhTTgxHh6YUkKY1P4dRyjVhS74dGswLfAASA4/edit?usp=share_link"",""ชัยภูมิ!J728"")+IMPORTRANGE(""https://docs.google.com/spreadsheets/d/1EXMBoBxU3OFbjT2TRpneM33qFjqDzrKmn9ydcfl"&amp;"fI0o/edit?usp=share_link"",""นครพนม!J728"")+IMPORTRANGE(""https://docs.google.com/spreadsheets/d/1bDQrolntRWtHumK8W-x-HXKntwxB9S3sF5aDeRS66Ko/edit?usp=share_link"",""นครราชสีมา!J728"")+IMPORTRANGE(""https://docs.google.com/spreadsheets/d/1_MzZ-2gVPiCW-d2V"&amp;"cafoCmFJQTSrZ6SQyFcMqRRQQ2w/edit?usp=share_link"",""บึงกาฬ!J728"")
+IMPORTRANGE(""https://docs.google.com/spreadsheets/d/1B3lPpzOuaNwVItLwLEZYl_qEblfcx7dRnbRkAw0l-pE/edit?usp=share_link"",""บุรีรัมย์!J728"")+IMPORTRANGE(""https://docs.google.com/spreadshe"&amp;"ets/d/19GOkiOqnzYbevLYWrMk4qFOXe3rX14BkSA8X-mq-a40/edit?usp=share_link"",""มหาสารคาม!J728"")+IMPORTRANGE(""https://docs.google.com/spreadsheets/d/1uMKqWwuNQ-TCKboGA3Bb1qXb5uj2-faACNUINCz8PN4/edit?usp=share_link"",""มุกดาหาร!J728"")+IMPORTRANGE(""https://d"&amp;"ocs.google.com/spreadsheets/d/1oKaccgDdQABndOzGr688Dbfxb_V3YcF67VqEPBtdzsc/edit?usp=share_link"",""ยโสธร!J728"")+IMPORTRANGE(""https://docs.google.com/spreadsheets/d/1BRgc8xKpxZ0PX-gauieMVkV_IOxKSotf0yW8MabGprQ/edit?usp=share_link"",""ร้อยเอ็ด!J728"")+IMP"&amp;"ORTRANGE(""https://docs.google.com/spreadsheets/d/1IdolZc-dfdgMwAm_KZxYJl1sUOcIgnbGQzbWOlddedo/edit?usp=share_link"",""เลย!J728"")+IMPORTRANGE(""https://docs.google.com/spreadsheets/d/1tZ0nmtGuIRCaGAMXHlQU8EpR9LOAJvyKfc4f7EFmE34/edit?usp=share_link"",""ศร"&amp;"ีสะเกษ!J728"")+IMPORTRANGE(""https://docs.google.com/spreadsheets/d/1QC8psz9w0f9IVE9Xuc2FT_btkaOzZbbUSgYObpBuetM/edit?usp=share_link"",""สกลนคร!J728"")+IMPORTRANGE(""https://docs.google.com/spreadsheets/d/1wPdvRbu02d33MYVlbsCnyTiZpefEBs9NNktAnT1HZvw/edit?"&amp;"usp=share_link"",""สุรินทร์!J728"")+IMPORTRANGE(""https://docs.google.com/spreadsheets/d/1GVExpf-Exi_2gmuqTYH28fseTB9MoKPXWcXCbSt_YrM/edit?usp=share_link"",""หนองคาย!J728"")+IMPORTRANGE(""https://docs.google.com/spreadsheets/d/16UeMz0UgOB5BZcoxP75eYGcLFtG"&amp;"YRn9GoesD4OX9m5U/edit?usp=share_link"",""หนองบัวลำภู!J728"")+IMPORTRANGE(""https://docs.google.com/spreadsheets/d/1uUP8Zo1-qaJLuIkRU0qlwLSE3DHkbdrrj2JGJiWBQZE/edit?usp=share_link"",""อำนาจเจริญ!J728"")+IMPORTRANGE(""https://docs.google.com/spreadsheets/d/"&amp;"1hb_taSOHanzRjqfzWPiFo8yiT83VV1L7vvUCLhOiHKc/edit?usp=share_link"",""อุดรธานี!J728"")+IMPORTRANGE(""https://docs.google.com/spreadsheets/d/17IOkEwkUd63EGNfyNDnM5de9YlZ7rwzTiW6-dokVjKI/edit?usp=share_link"",""อุบลราชธานี!J728"")
"),0)</f>
        <v>0</v>
      </c>
      <c r="K728" s="38">
        <f t="shared" ref="K728:K729" ca="1" si="332">IF(I728&gt;0,J728*100/I728,0)</f>
        <v>0</v>
      </c>
      <c r="L728" s="766"/>
      <c r="M728" s="189"/>
      <c r="N728" s="766"/>
      <c r="O728" s="38"/>
      <c r="P728" s="3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</row>
    <row r="729" spans="1:26" ht="19.5">
      <c r="A729" s="744"/>
      <c r="B729" s="576"/>
      <c r="C729" s="576"/>
      <c r="D729" s="577" t="s">
        <v>309</v>
      </c>
      <c r="E729" s="576"/>
      <c r="F729" s="576"/>
      <c r="G729" s="189"/>
      <c r="H729" s="192" t="s">
        <v>46</v>
      </c>
      <c r="I729" s="768">
        <f ca="1">IFERROR(__xludf.DUMMYFUNCTION("IMPORTRANGE(""https://docs.google.com/spreadsheets/d/1fb2B9NLcpJgjIieIJvenUTNPn0TimZDUi0OtYeiSQ_s/edit?usp=share_link"",""กาฬสินธุ์!I729"")+IMPORTRANGE(""https://docs.google.com/spreadsheets/d/1SaMnqrwRGmFYNR0MhpWmHuL5niYUd5E7vDq8X7whAlI/edit?usp=share_li"&amp;"nk"",""ขอนแก่น!I729"")
+IMPORTRANGE(""https://docs.google.com/spreadsheets/d/1xQzEtGHhTTgxHh6YUkKY1P4dRyjVhS74dGswLfAASA4/edit?usp=share_link"",""ชัยภูมิ!I729"")+IMPORTRANGE(""https://docs.google.com/spreadsheets/d/1EXMBoBxU3OFbjT2TRpneM33qFjqDzrKmn9ydcfl"&amp;"fI0o/edit?usp=share_link"",""นครพนม!I729"")+IMPORTRANGE(""https://docs.google.com/spreadsheets/d/1bDQrolntRWtHumK8W-x-HXKntwxB9S3sF5aDeRS66Ko/edit?usp=share_link"",""นครราชสีมา!I729"")+IMPORTRANGE(""https://docs.google.com/spreadsheets/d/1_MzZ-2gVPiCW-d2V"&amp;"cafoCmFJQTSrZ6SQyFcMqRRQQ2w/edit?usp=share_link"",""บึงกาฬ!I729"")
+IMPORTRANGE(""https://docs.google.com/spreadsheets/d/1B3lPpzOuaNwVItLwLEZYl_qEblfcx7dRnbRkAw0l-pE/edit?usp=share_link"",""บุรีรัมย์!I729"")+IMPORTRANGE(""https://docs.google.com/spreadshe"&amp;"ets/d/19GOkiOqnzYbevLYWrMk4qFOXe3rX14BkSA8X-mq-a40/edit?usp=share_link"",""มหาสารคาม!I729"")+IMPORTRANGE(""https://docs.google.com/spreadsheets/d/1uMKqWwuNQ-TCKboGA3Bb1qXb5uj2-faACNUINCz8PN4/edit?usp=share_link"",""มุกดาหาร!I729"")+IMPORTRANGE(""https://d"&amp;"ocs.google.com/spreadsheets/d/1oKaccgDdQABndOzGr688Dbfxb_V3YcF67VqEPBtdzsc/edit?usp=share_link"",""ยโสธร!I729"")+IMPORTRANGE(""https://docs.google.com/spreadsheets/d/1BRgc8xKpxZ0PX-gauieMVkV_IOxKSotf0yW8MabGprQ/edit?usp=share_link"",""ร้อยเอ็ด!I729"")+IMP"&amp;"ORTRANGE(""https://docs.google.com/spreadsheets/d/1IdolZc-dfdgMwAm_KZxYJl1sUOcIgnbGQzbWOlddedo/edit?usp=share_link"",""เลย!I729"")+IMPORTRANGE(""https://docs.google.com/spreadsheets/d/1tZ0nmtGuIRCaGAMXHlQU8EpR9LOAJvyKfc4f7EFmE34/edit?usp=share_link"",""ศร"&amp;"ีสะเกษ!I729"")+IMPORTRANGE(""https://docs.google.com/spreadsheets/d/1QC8psz9w0f9IVE9Xuc2FT_btkaOzZbbUSgYObpBuetM/edit?usp=share_link"",""สกลนคร!I729"")+IMPORTRANGE(""https://docs.google.com/spreadsheets/d/1wPdvRbu02d33MYVlbsCnyTiZpefEBs9NNktAnT1HZvw/edit?"&amp;"usp=share_link"",""สุรินทร์!I729"")+IMPORTRANGE(""https://docs.google.com/spreadsheets/d/1GVExpf-Exi_2gmuqTYH28fseTB9MoKPXWcXCbSt_YrM/edit?usp=share_link"",""หนองคาย!I729"")+IMPORTRANGE(""https://docs.google.com/spreadsheets/d/16UeMz0UgOB5BZcoxP75eYGcLFtG"&amp;"YRn9GoesD4OX9m5U/edit?usp=share_link"",""หนองบัวลำภู!I729"")+IMPORTRANGE(""https://docs.google.com/spreadsheets/d/1uUP8Zo1-qaJLuIkRU0qlwLSE3DHkbdrrj2JGJiWBQZE/edit?usp=share_link"",""อำนาจเจริญ!I729"")+IMPORTRANGE(""https://docs.google.com/spreadsheets/d/"&amp;"1hb_taSOHanzRjqfzWPiFo8yiT83VV1L7vvUCLhOiHKc/edit?usp=share_link"",""อุดรธานี!I729"")+IMPORTRANGE(""https://docs.google.com/spreadsheets/d/17IOkEwkUd63EGNfyNDnM5de9YlZ7rwzTiW6-dokVjKI/edit?usp=share_link"",""อุบลราชธานี!I729"")
"),1522)</f>
        <v>1522</v>
      </c>
      <c r="J729" s="194">
        <f ca="1">J732+J735</f>
        <v>1828</v>
      </c>
      <c r="K729" s="195">
        <f t="shared" ca="1" si="332"/>
        <v>120.10512483574244</v>
      </c>
      <c r="L729" s="38"/>
      <c r="M729" s="189"/>
      <c r="N729" s="766"/>
      <c r="O729" s="38"/>
      <c r="P729" s="3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</row>
    <row r="730" spans="1:26" ht="18.75">
      <c r="A730" s="744"/>
      <c r="B730" s="576"/>
      <c r="C730" s="576"/>
      <c r="D730" s="576"/>
      <c r="E730" s="577" t="s">
        <v>310</v>
      </c>
      <c r="F730" s="576"/>
      <c r="G730" s="189"/>
      <c r="H730" s="182" t="s">
        <v>35</v>
      </c>
      <c r="I730" s="765"/>
      <c r="J730" s="183">
        <f ca="1">IFERROR(__xludf.DUMMYFUNCTION("IMPORTRANGE(""https://docs.google.com/spreadsheets/d/1fb2B9NLcpJgjIieIJvenUTNPn0TimZDUi0OtYeiSQ_s/edit?usp=share_link"",""กาฬสินธุ์!J730"")+IMPORTRANGE(""https://docs.google.com/spreadsheets/d/1SaMnqrwRGmFYNR0MhpWmHuL5niYUd5E7vDq8X7whAlI/edit?usp=share_li"&amp;"nk"",""ขอนแก่น!J730"")
+IMPORTRANGE(""https://docs.google.com/spreadsheets/d/1xQzEtGHhTTgxHh6YUkKY1P4dRyjVhS74dGswLfAASA4/edit?usp=share_link"",""ชัยภูมิ!J730"")+IMPORTRANGE(""https://docs.google.com/spreadsheets/d/1EXMBoBxU3OFbjT2TRpneM33qFjqDzrKmn9ydcfl"&amp;"fI0o/edit?usp=share_link"",""นครพนม!J730"")+IMPORTRANGE(""https://docs.google.com/spreadsheets/d/1bDQrolntRWtHumK8W-x-HXKntwxB9S3sF5aDeRS66Ko/edit?usp=share_link"",""นครราชสีมา!J730"")+IMPORTRANGE(""https://docs.google.com/spreadsheets/d/1_MzZ-2gVPiCW-d2V"&amp;"cafoCmFJQTSrZ6SQyFcMqRRQQ2w/edit?usp=share_link"",""บึงกาฬ!J730"")
+IMPORTRANGE(""https://docs.google.com/spreadsheets/d/1B3lPpzOuaNwVItLwLEZYl_qEblfcx7dRnbRkAw0l-pE/edit?usp=share_link"",""บุรีรัมย์!J730"")+IMPORTRANGE(""https://docs.google.com/spreadshe"&amp;"ets/d/19GOkiOqnzYbevLYWrMk4qFOXe3rX14BkSA8X-mq-a40/edit?usp=share_link"",""มหาสารคาม!J730"")+IMPORTRANGE(""https://docs.google.com/spreadsheets/d/1uMKqWwuNQ-TCKboGA3Bb1qXb5uj2-faACNUINCz8PN4/edit?usp=share_link"",""มุกดาหาร!J730"")+IMPORTRANGE(""https://d"&amp;"ocs.google.com/spreadsheets/d/1oKaccgDdQABndOzGr688Dbfxb_V3YcF67VqEPBtdzsc/edit?usp=share_link"",""ยโสธร!J730"")+IMPORTRANGE(""https://docs.google.com/spreadsheets/d/1BRgc8xKpxZ0PX-gauieMVkV_IOxKSotf0yW8MabGprQ/edit?usp=share_link"",""ร้อยเอ็ด!J730"")+IMP"&amp;"ORTRANGE(""https://docs.google.com/spreadsheets/d/1IdolZc-dfdgMwAm_KZxYJl1sUOcIgnbGQzbWOlddedo/edit?usp=share_link"",""เลย!J730"")+IMPORTRANGE(""https://docs.google.com/spreadsheets/d/1tZ0nmtGuIRCaGAMXHlQU8EpR9LOAJvyKfc4f7EFmE34/edit?usp=share_link"",""ศร"&amp;"ีสะเกษ!J730"")+IMPORTRANGE(""https://docs.google.com/spreadsheets/d/1QC8psz9w0f9IVE9Xuc2FT_btkaOzZbbUSgYObpBuetM/edit?usp=share_link"",""สกลนคร!J730"")+IMPORTRANGE(""https://docs.google.com/spreadsheets/d/1wPdvRbu02d33MYVlbsCnyTiZpefEBs9NNktAnT1HZvw/edit?"&amp;"usp=share_link"",""สุรินทร์!J730"")+IMPORTRANGE(""https://docs.google.com/spreadsheets/d/1GVExpf-Exi_2gmuqTYH28fseTB9MoKPXWcXCbSt_YrM/edit?usp=share_link"",""หนองคาย!J730"")+IMPORTRANGE(""https://docs.google.com/spreadsheets/d/16UeMz0UgOB5BZcoxP75eYGcLFtG"&amp;"YRn9GoesD4OX9m5U/edit?usp=share_link"",""หนองบัวลำภู!J730"")+IMPORTRANGE(""https://docs.google.com/spreadsheets/d/1uUP8Zo1-qaJLuIkRU0qlwLSE3DHkbdrrj2JGJiWBQZE/edit?usp=share_link"",""อำนาจเจริญ!J730"")+IMPORTRANGE(""https://docs.google.com/spreadsheets/d/"&amp;"1hb_taSOHanzRjqfzWPiFo8yiT83VV1L7vvUCLhOiHKc/edit?usp=share_link"",""อุดรธานี!J730"")+IMPORTRANGE(""https://docs.google.com/spreadsheets/d/17IOkEwkUd63EGNfyNDnM5de9YlZ7rwzTiW6-dokVjKI/edit?usp=share_link"",""อุบลราชธานี!J730"")
"),40)</f>
        <v>40</v>
      </c>
      <c r="K730" s="38"/>
      <c r="L730" s="766"/>
      <c r="M730" s="38"/>
      <c r="N730" s="766"/>
      <c r="O730" s="38"/>
      <c r="P730" s="3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</row>
    <row r="731" spans="1:26" ht="18.75">
      <c r="A731" s="744"/>
      <c r="B731" s="576"/>
      <c r="C731" s="576"/>
      <c r="D731" s="576"/>
      <c r="E731" s="576"/>
      <c r="F731" s="576"/>
      <c r="G731" s="189"/>
      <c r="H731" s="182" t="s">
        <v>34</v>
      </c>
      <c r="I731" s="765"/>
      <c r="J731" s="183">
        <f ca="1">IFERROR(__xludf.DUMMYFUNCTION("IMPORTRANGE(""https://docs.google.com/spreadsheets/d/1fb2B9NLcpJgjIieIJvenUTNPn0TimZDUi0OtYeiSQ_s/edit?usp=share_link"",""กาฬสินธุ์!J731"")+IMPORTRANGE(""https://docs.google.com/spreadsheets/d/1SaMnqrwRGmFYNR0MhpWmHuL5niYUd5E7vDq8X7whAlI/edit?usp=share_li"&amp;"nk"",""ขอนแก่น!J731"")
+IMPORTRANGE(""https://docs.google.com/spreadsheets/d/1xQzEtGHhTTgxHh6YUkKY1P4dRyjVhS74dGswLfAASA4/edit?usp=share_link"",""ชัยภูมิ!J731"")+IMPORTRANGE(""https://docs.google.com/spreadsheets/d/1EXMBoBxU3OFbjT2TRpneM33qFjqDzrKmn9ydcfl"&amp;"fI0o/edit?usp=share_link"",""นครพนม!J731"")+IMPORTRANGE(""https://docs.google.com/spreadsheets/d/1bDQrolntRWtHumK8W-x-HXKntwxB9S3sF5aDeRS66Ko/edit?usp=share_link"",""นครราชสีมา!J731"")+IMPORTRANGE(""https://docs.google.com/spreadsheets/d/1_MzZ-2gVPiCW-d2V"&amp;"cafoCmFJQTSrZ6SQyFcMqRRQQ2w/edit?usp=share_link"",""บึงกาฬ!J731"")
+IMPORTRANGE(""https://docs.google.com/spreadsheets/d/1B3lPpzOuaNwVItLwLEZYl_qEblfcx7dRnbRkAw0l-pE/edit?usp=share_link"",""บุรีรัมย์!J731"")+IMPORTRANGE(""https://docs.google.com/spreadshe"&amp;"ets/d/19GOkiOqnzYbevLYWrMk4qFOXe3rX14BkSA8X-mq-a40/edit?usp=share_link"",""มหาสารคาม!J731"")+IMPORTRANGE(""https://docs.google.com/spreadsheets/d/1uMKqWwuNQ-TCKboGA3Bb1qXb5uj2-faACNUINCz8PN4/edit?usp=share_link"",""มุกดาหาร!J731"")+IMPORTRANGE(""https://d"&amp;"ocs.google.com/spreadsheets/d/1oKaccgDdQABndOzGr688Dbfxb_V3YcF67VqEPBtdzsc/edit?usp=share_link"",""ยโสธร!J731"")+IMPORTRANGE(""https://docs.google.com/spreadsheets/d/1BRgc8xKpxZ0PX-gauieMVkV_IOxKSotf0yW8MabGprQ/edit?usp=share_link"",""ร้อยเอ็ด!J731"")+IMP"&amp;"ORTRANGE(""https://docs.google.com/spreadsheets/d/1IdolZc-dfdgMwAm_KZxYJl1sUOcIgnbGQzbWOlddedo/edit?usp=share_link"",""เลย!J731"")+IMPORTRANGE(""https://docs.google.com/spreadsheets/d/1tZ0nmtGuIRCaGAMXHlQU8EpR9LOAJvyKfc4f7EFmE34/edit?usp=share_link"",""ศร"&amp;"ีสะเกษ!J731"")+IMPORTRANGE(""https://docs.google.com/spreadsheets/d/1QC8psz9w0f9IVE9Xuc2FT_btkaOzZbbUSgYObpBuetM/edit?usp=share_link"",""สกลนคร!J731"")+IMPORTRANGE(""https://docs.google.com/spreadsheets/d/1wPdvRbu02d33MYVlbsCnyTiZpefEBs9NNktAnT1HZvw/edit?"&amp;"usp=share_link"",""สุรินทร์!J731"")+IMPORTRANGE(""https://docs.google.com/spreadsheets/d/1GVExpf-Exi_2gmuqTYH28fseTB9MoKPXWcXCbSt_YrM/edit?usp=share_link"",""หนองคาย!J731"")+IMPORTRANGE(""https://docs.google.com/spreadsheets/d/16UeMz0UgOB5BZcoxP75eYGcLFtG"&amp;"YRn9GoesD4OX9m5U/edit?usp=share_link"",""หนองบัวลำภู!J731"")+IMPORTRANGE(""https://docs.google.com/spreadsheets/d/1uUP8Zo1-qaJLuIkRU0qlwLSE3DHkbdrrj2JGJiWBQZE/edit?usp=share_link"",""อำนาจเจริญ!J731"")+IMPORTRANGE(""https://docs.google.com/spreadsheets/d/"&amp;"1hb_taSOHanzRjqfzWPiFo8yiT83VV1L7vvUCLhOiHKc/edit?usp=share_link"",""อุดรธานี!J731"")+IMPORTRANGE(""https://docs.google.com/spreadsheets/d/17IOkEwkUd63EGNfyNDnM5de9YlZ7rwzTiW6-dokVjKI/edit?usp=share_link"",""อุบลราชธานี!J731"")
"),40)</f>
        <v>40</v>
      </c>
      <c r="K731" s="38"/>
      <c r="L731" s="766"/>
      <c r="M731" s="38"/>
      <c r="N731" s="766"/>
      <c r="O731" s="38"/>
      <c r="P731" s="3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</row>
    <row r="732" spans="1:26" ht="18.75">
      <c r="A732" s="744"/>
      <c r="B732" s="576"/>
      <c r="C732" s="576"/>
      <c r="D732" s="576"/>
      <c r="E732" s="576"/>
      <c r="F732" s="576"/>
      <c r="G732" s="189"/>
      <c r="H732" s="182" t="s">
        <v>46</v>
      </c>
      <c r="I732" s="765"/>
      <c r="J732" s="183">
        <f ca="1">IFERROR(__xludf.DUMMYFUNCTION("IMPORTRANGE(""https://docs.google.com/spreadsheets/d/1fb2B9NLcpJgjIieIJvenUTNPn0TimZDUi0OtYeiSQ_s/edit?usp=share_link"",""กาฬสินธุ์!J732"")+IMPORTRANGE(""https://docs.google.com/spreadsheets/d/1SaMnqrwRGmFYNR0MhpWmHuL5niYUd5E7vDq8X7whAlI/edit?usp=share_li"&amp;"nk"",""ขอนแก่น!J732"")
+IMPORTRANGE(""https://docs.google.com/spreadsheets/d/1xQzEtGHhTTgxHh6YUkKY1P4dRyjVhS74dGswLfAASA4/edit?usp=share_link"",""ชัยภูมิ!J732"")+IMPORTRANGE(""https://docs.google.com/spreadsheets/d/1EXMBoBxU3OFbjT2TRpneM33qFjqDzrKmn9ydcfl"&amp;"fI0o/edit?usp=share_link"",""นครพนม!J732"")+IMPORTRANGE(""https://docs.google.com/spreadsheets/d/1bDQrolntRWtHumK8W-x-HXKntwxB9S3sF5aDeRS66Ko/edit?usp=share_link"",""นครราชสีมา!J732"")+IMPORTRANGE(""https://docs.google.com/spreadsheets/d/1_MzZ-2gVPiCW-d2V"&amp;"cafoCmFJQTSrZ6SQyFcMqRRQQ2w/edit?usp=share_link"",""บึงกาฬ!J732"")
+IMPORTRANGE(""https://docs.google.com/spreadsheets/d/1B3lPpzOuaNwVItLwLEZYl_qEblfcx7dRnbRkAw0l-pE/edit?usp=share_link"",""บุรีรัมย์!J732"")+IMPORTRANGE(""https://docs.google.com/spreadshe"&amp;"ets/d/19GOkiOqnzYbevLYWrMk4qFOXe3rX14BkSA8X-mq-a40/edit?usp=share_link"",""มหาสารคาม!J732"")+IMPORTRANGE(""https://docs.google.com/spreadsheets/d/1uMKqWwuNQ-TCKboGA3Bb1qXb5uj2-faACNUINCz8PN4/edit?usp=share_link"",""มุกดาหาร!J732"")+IMPORTRANGE(""https://d"&amp;"ocs.google.com/spreadsheets/d/1oKaccgDdQABndOzGr688Dbfxb_V3YcF67VqEPBtdzsc/edit?usp=share_link"",""ยโสธร!J732"")+IMPORTRANGE(""https://docs.google.com/spreadsheets/d/1BRgc8xKpxZ0PX-gauieMVkV_IOxKSotf0yW8MabGprQ/edit?usp=share_link"",""ร้อยเอ็ด!J732"")+IMP"&amp;"ORTRANGE(""https://docs.google.com/spreadsheets/d/1IdolZc-dfdgMwAm_KZxYJl1sUOcIgnbGQzbWOlddedo/edit?usp=share_link"",""เลย!J732"")+IMPORTRANGE(""https://docs.google.com/spreadsheets/d/1tZ0nmtGuIRCaGAMXHlQU8EpR9LOAJvyKfc4f7EFmE34/edit?usp=share_link"",""ศร"&amp;"ีสะเกษ!J732"")+IMPORTRANGE(""https://docs.google.com/spreadsheets/d/1QC8psz9w0f9IVE9Xuc2FT_btkaOzZbbUSgYObpBuetM/edit?usp=share_link"",""สกลนคร!J732"")+IMPORTRANGE(""https://docs.google.com/spreadsheets/d/1wPdvRbu02d33MYVlbsCnyTiZpefEBs9NNktAnT1HZvw/edit?"&amp;"usp=share_link"",""สุรินทร์!J732"")+IMPORTRANGE(""https://docs.google.com/spreadsheets/d/1GVExpf-Exi_2gmuqTYH28fseTB9MoKPXWcXCbSt_YrM/edit?usp=share_link"",""หนองคาย!J732"")+IMPORTRANGE(""https://docs.google.com/spreadsheets/d/16UeMz0UgOB5BZcoxP75eYGcLFtG"&amp;"YRn9GoesD4OX9m5U/edit?usp=share_link"",""หนองบัวลำภู!J732"")+IMPORTRANGE(""https://docs.google.com/spreadsheets/d/1uUP8Zo1-qaJLuIkRU0qlwLSE3DHkbdrrj2JGJiWBQZE/edit?usp=share_link"",""อำนาจเจริญ!J732"")+IMPORTRANGE(""https://docs.google.com/spreadsheets/d/"&amp;"1hb_taSOHanzRjqfzWPiFo8yiT83VV1L7vvUCLhOiHKc/edit?usp=share_link"",""อุดรธานี!J732"")+IMPORTRANGE(""https://docs.google.com/spreadsheets/d/17IOkEwkUd63EGNfyNDnM5de9YlZ7rwzTiW6-dokVjKI/edit?usp=share_link"",""อุบลราชธานี!J732"")
"),343)</f>
        <v>343</v>
      </c>
      <c r="K732" s="38"/>
      <c r="L732" s="766"/>
      <c r="M732" s="38"/>
      <c r="N732" s="766"/>
      <c r="O732" s="38"/>
      <c r="P732" s="3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</row>
    <row r="733" spans="1:26" ht="18.75">
      <c r="A733" s="744"/>
      <c r="B733" s="576"/>
      <c r="C733" s="576"/>
      <c r="D733" s="576"/>
      <c r="E733" s="577" t="s">
        <v>311</v>
      </c>
      <c r="F733" s="576"/>
      <c r="G733" s="189"/>
      <c r="H733" s="182" t="s">
        <v>35</v>
      </c>
      <c r="I733" s="765"/>
      <c r="J733" s="183">
        <f ca="1">IFERROR(__xludf.DUMMYFUNCTION("IMPORTRANGE(""https://docs.google.com/spreadsheets/d/1fb2B9NLcpJgjIieIJvenUTNPn0TimZDUi0OtYeiSQ_s/edit?usp=share_link"",""กาฬสินธุ์!J733"")+IMPORTRANGE(""https://docs.google.com/spreadsheets/d/1SaMnqrwRGmFYNR0MhpWmHuL5niYUd5E7vDq8X7whAlI/edit?usp=share_li"&amp;"nk"",""ขอนแก่น!J733"")
+IMPORTRANGE(""https://docs.google.com/spreadsheets/d/1xQzEtGHhTTgxHh6YUkKY1P4dRyjVhS74dGswLfAASA4/edit?usp=share_link"",""ชัยภูมิ!J733"")+IMPORTRANGE(""https://docs.google.com/spreadsheets/d/1EXMBoBxU3OFbjT2TRpneM33qFjqDzrKmn9ydcfl"&amp;"fI0o/edit?usp=share_link"",""นครพนม!J733"")+IMPORTRANGE(""https://docs.google.com/spreadsheets/d/1bDQrolntRWtHumK8W-x-HXKntwxB9S3sF5aDeRS66Ko/edit?usp=share_link"",""นครราชสีมา!J733"")+IMPORTRANGE(""https://docs.google.com/spreadsheets/d/1_MzZ-2gVPiCW-d2V"&amp;"cafoCmFJQTSrZ6SQyFcMqRRQQ2w/edit?usp=share_link"",""บึงกาฬ!J733"")
+IMPORTRANGE(""https://docs.google.com/spreadsheets/d/1B3lPpzOuaNwVItLwLEZYl_qEblfcx7dRnbRkAw0l-pE/edit?usp=share_link"",""บุรีรัมย์!J733"")+IMPORTRANGE(""https://docs.google.com/spreadshe"&amp;"ets/d/19GOkiOqnzYbevLYWrMk4qFOXe3rX14BkSA8X-mq-a40/edit?usp=share_link"",""มหาสารคาม!J733"")+IMPORTRANGE(""https://docs.google.com/spreadsheets/d/1uMKqWwuNQ-TCKboGA3Bb1qXb5uj2-faACNUINCz8PN4/edit?usp=share_link"",""มุกดาหาร!J733"")+IMPORTRANGE(""https://d"&amp;"ocs.google.com/spreadsheets/d/1oKaccgDdQABndOzGr688Dbfxb_V3YcF67VqEPBtdzsc/edit?usp=share_link"",""ยโสธร!J733"")+IMPORTRANGE(""https://docs.google.com/spreadsheets/d/1BRgc8xKpxZ0PX-gauieMVkV_IOxKSotf0yW8MabGprQ/edit?usp=share_link"",""ร้อยเอ็ด!J733"")+IMP"&amp;"ORTRANGE(""https://docs.google.com/spreadsheets/d/1IdolZc-dfdgMwAm_KZxYJl1sUOcIgnbGQzbWOlddedo/edit?usp=share_link"",""เลย!J733"")+IMPORTRANGE(""https://docs.google.com/spreadsheets/d/1tZ0nmtGuIRCaGAMXHlQU8EpR9LOAJvyKfc4f7EFmE34/edit?usp=share_link"",""ศร"&amp;"ีสะเกษ!J733"")+IMPORTRANGE(""https://docs.google.com/spreadsheets/d/1QC8psz9w0f9IVE9Xuc2FT_btkaOzZbbUSgYObpBuetM/edit?usp=share_link"",""สกลนคร!J733"")+IMPORTRANGE(""https://docs.google.com/spreadsheets/d/1wPdvRbu02d33MYVlbsCnyTiZpefEBs9NNktAnT1HZvw/edit?"&amp;"usp=share_link"",""สุรินทร์!J733"")+IMPORTRANGE(""https://docs.google.com/spreadsheets/d/1GVExpf-Exi_2gmuqTYH28fseTB9MoKPXWcXCbSt_YrM/edit?usp=share_link"",""หนองคาย!J733"")+IMPORTRANGE(""https://docs.google.com/spreadsheets/d/16UeMz0UgOB5BZcoxP75eYGcLFtG"&amp;"YRn9GoesD4OX9m5U/edit?usp=share_link"",""หนองบัวลำภู!J733"")+IMPORTRANGE(""https://docs.google.com/spreadsheets/d/1uUP8Zo1-qaJLuIkRU0qlwLSE3DHkbdrrj2JGJiWBQZE/edit?usp=share_link"",""อำนาจเจริญ!J733"")+IMPORTRANGE(""https://docs.google.com/spreadsheets/d/"&amp;"1hb_taSOHanzRjqfzWPiFo8yiT83VV1L7vvUCLhOiHKc/edit?usp=share_link"",""อุดรธานี!J733"")+IMPORTRANGE(""https://docs.google.com/spreadsheets/d/17IOkEwkUd63EGNfyNDnM5de9YlZ7rwzTiW6-dokVjKI/edit?usp=share_link"",""อุบลราชธานี!J733"")
"),137)</f>
        <v>137</v>
      </c>
      <c r="K733" s="38"/>
      <c r="L733" s="766"/>
      <c r="M733" s="38"/>
      <c r="N733" s="766"/>
      <c r="O733" s="38"/>
      <c r="P733" s="3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</row>
    <row r="734" spans="1:26" ht="18.75">
      <c r="A734" s="744"/>
      <c r="B734" s="576"/>
      <c r="C734" s="576"/>
      <c r="D734" s="576"/>
      <c r="E734" s="576"/>
      <c r="F734" s="576"/>
      <c r="G734" s="189"/>
      <c r="H734" s="182" t="s">
        <v>34</v>
      </c>
      <c r="I734" s="765"/>
      <c r="J734" s="183">
        <f ca="1">IFERROR(__xludf.DUMMYFUNCTION("IMPORTRANGE(""https://docs.google.com/spreadsheets/d/1fb2B9NLcpJgjIieIJvenUTNPn0TimZDUi0OtYeiSQ_s/edit?usp=share_link"",""กาฬสินธุ์!J734"")+IMPORTRANGE(""https://docs.google.com/spreadsheets/d/1SaMnqrwRGmFYNR0MhpWmHuL5niYUd5E7vDq8X7whAlI/edit?usp=share_li"&amp;"nk"",""ขอนแก่น!J734"")
+IMPORTRANGE(""https://docs.google.com/spreadsheets/d/1xQzEtGHhTTgxHh6YUkKY1P4dRyjVhS74dGswLfAASA4/edit?usp=share_link"",""ชัยภูมิ!J734"")+IMPORTRANGE(""https://docs.google.com/spreadsheets/d/1EXMBoBxU3OFbjT2TRpneM33qFjqDzrKmn9ydcfl"&amp;"fI0o/edit?usp=share_link"",""นครพนม!J734"")+IMPORTRANGE(""https://docs.google.com/spreadsheets/d/1bDQrolntRWtHumK8W-x-HXKntwxB9S3sF5aDeRS66Ko/edit?usp=share_link"",""นครราชสีมา!J734"")+IMPORTRANGE(""https://docs.google.com/spreadsheets/d/1_MzZ-2gVPiCW-d2V"&amp;"cafoCmFJQTSrZ6SQyFcMqRRQQ2w/edit?usp=share_link"",""บึงกาฬ!J734"")
+IMPORTRANGE(""https://docs.google.com/spreadsheets/d/1B3lPpzOuaNwVItLwLEZYl_qEblfcx7dRnbRkAw0l-pE/edit?usp=share_link"",""บุรีรัมย์!J734"")+IMPORTRANGE(""https://docs.google.com/spreadshe"&amp;"ets/d/19GOkiOqnzYbevLYWrMk4qFOXe3rX14BkSA8X-mq-a40/edit?usp=share_link"",""มหาสารคาม!J734"")+IMPORTRANGE(""https://docs.google.com/spreadsheets/d/1uMKqWwuNQ-TCKboGA3Bb1qXb5uj2-faACNUINCz8PN4/edit?usp=share_link"",""มุกดาหาร!J734"")+IMPORTRANGE(""https://d"&amp;"ocs.google.com/spreadsheets/d/1oKaccgDdQABndOzGr688Dbfxb_V3YcF67VqEPBtdzsc/edit?usp=share_link"",""ยโสธร!J734"")+IMPORTRANGE(""https://docs.google.com/spreadsheets/d/1BRgc8xKpxZ0PX-gauieMVkV_IOxKSotf0yW8MabGprQ/edit?usp=share_link"",""ร้อยเอ็ด!J734"")+IMP"&amp;"ORTRANGE(""https://docs.google.com/spreadsheets/d/1IdolZc-dfdgMwAm_KZxYJl1sUOcIgnbGQzbWOlddedo/edit?usp=share_link"",""เลย!J734"")+IMPORTRANGE(""https://docs.google.com/spreadsheets/d/1tZ0nmtGuIRCaGAMXHlQU8EpR9LOAJvyKfc4f7EFmE34/edit?usp=share_link"",""ศร"&amp;"ีสะเกษ!J734"")+IMPORTRANGE(""https://docs.google.com/spreadsheets/d/1QC8psz9w0f9IVE9Xuc2FT_btkaOzZbbUSgYObpBuetM/edit?usp=share_link"",""สกลนคร!J734"")+IMPORTRANGE(""https://docs.google.com/spreadsheets/d/1wPdvRbu02d33MYVlbsCnyTiZpefEBs9NNktAnT1HZvw/edit?"&amp;"usp=share_link"",""สุรินทร์!J734"")+IMPORTRANGE(""https://docs.google.com/spreadsheets/d/1GVExpf-Exi_2gmuqTYH28fseTB9MoKPXWcXCbSt_YrM/edit?usp=share_link"",""หนองคาย!J734"")+IMPORTRANGE(""https://docs.google.com/spreadsheets/d/16UeMz0UgOB5BZcoxP75eYGcLFtG"&amp;"YRn9GoesD4OX9m5U/edit?usp=share_link"",""หนองบัวลำภู!J734"")+IMPORTRANGE(""https://docs.google.com/spreadsheets/d/1uUP8Zo1-qaJLuIkRU0qlwLSE3DHkbdrrj2JGJiWBQZE/edit?usp=share_link"",""อำนาจเจริญ!J734"")+IMPORTRANGE(""https://docs.google.com/spreadsheets/d/"&amp;"1hb_taSOHanzRjqfzWPiFo8yiT83VV1L7vvUCLhOiHKc/edit?usp=share_link"",""อุดรธานี!J734"")+IMPORTRANGE(""https://docs.google.com/spreadsheets/d/17IOkEwkUd63EGNfyNDnM5de9YlZ7rwzTiW6-dokVjKI/edit?usp=share_link"",""อุบลราชธานี!J734"")
"),148)</f>
        <v>148</v>
      </c>
      <c r="K734" s="38"/>
      <c r="L734" s="766"/>
      <c r="M734" s="38"/>
      <c r="N734" s="766"/>
      <c r="O734" s="38"/>
      <c r="P734" s="3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</row>
    <row r="735" spans="1:26" ht="19.5">
      <c r="A735" s="770"/>
      <c r="B735" s="771" t="s">
        <v>312</v>
      </c>
      <c r="C735" s="734"/>
      <c r="D735" s="734"/>
      <c r="E735" s="734"/>
      <c r="F735" s="734"/>
      <c r="G735" s="735"/>
      <c r="H735" s="422" t="s">
        <v>46</v>
      </c>
      <c r="I735" s="772"/>
      <c r="J735" s="424">
        <f ca="1">IFERROR(__xludf.DUMMYFUNCTION("IMPORTRANGE(""https://docs.google.com/spreadsheets/d/1fb2B9NLcpJgjIieIJvenUTNPn0TimZDUi0OtYeiSQ_s/edit?usp=share_link"",""กาฬสินธุ์!J735"")+IMPORTRANGE(""https://docs.google.com/spreadsheets/d/1SaMnqrwRGmFYNR0MhpWmHuL5niYUd5E7vDq8X7whAlI/edit?usp=share_li"&amp;"nk"",""ขอนแก่น!J735"")
+IMPORTRANGE(""https://docs.google.com/spreadsheets/d/1xQzEtGHhTTgxHh6YUkKY1P4dRyjVhS74dGswLfAASA4/edit?usp=share_link"",""ชัยภูมิ!J735"")+IMPORTRANGE(""https://docs.google.com/spreadsheets/d/1EXMBoBxU3OFbjT2TRpneM33qFjqDzrKmn9ydcfl"&amp;"fI0o/edit?usp=share_link"",""นครพนม!J735"")+IMPORTRANGE(""https://docs.google.com/spreadsheets/d/1bDQrolntRWtHumK8W-x-HXKntwxB9S3sF5aDeRS66Ko/edit?usp=share_link"",""นครราชสีมา!J735"")+IMPORTRANGE(""https://docs.google.com/spreadsheets/d/1_MzZ-2gVPiCW-d2V"&amp;"cafoCmFJQTSrZ6SQyFcMqRRQQ2w/edit?usp=share_link"",""บึงกาฬ!J735"")
+IMPORTRANGE(""https://docs.google.com/spreadsheets/d/1B3lPpzOuaNwVItLwLEZYl_qEblfcx7dRnbRkAw0l-pE/edit?usp=share_link"",""บุรีรัมย์!J735"")+IMPORTRANGE(""https://docs.google.com/spreadshe"&amp;"ets/d/19GOkiOqnzYbevLYWrMk4qFOXe3rX14BkSA8X-mq-a40/edit?usp=share_link"",""มหาสารคาม!J735"")+IMPORTRANGE(""https://docs.google.com/spreadsheets/d/1uMKqWwuNQ-TCKboGA3Bb1qXb5uj2-faACNUINCz8PN4/edit?usp=share_link"",""มุกดาหาร!J735"")+IMPORTRANGE(""https://d"&amp;"ocs.google.com/spreadsheets/d/1oKaccgDdQABndOzGr688Dbfxb_V3YcF67VqEPBtdzsc/edit?usp=share_link"",""ยโสธร!J735"")+IMPORTRANGE(""https://docs.google.com/spreadsheets/d/1BRgc8xKpxZ0PX-gauieMVkV_IOxKSotf0yW8MabGprQ/edit?usp=share_link"",""ร้อยเอ็ด!J735"")+IMP"&amp;"ORTRANGE(""https://docs.google.com/spreadsheets/d/1IdolZc-dfdgMwAm_KZxYJl1sUOcIgnbGQzbWOlddedo/edit?usp=share_link"",""เลย!J735"")+IMPORTRANGE(""https://docs.google.com/spreadsheets/d/1tZ0nmtGuIRCaGAMXHlQU8EpR9LOAJvyKfc4f7EFmE34/edit?usp=share_link"",""ศร"&amp;"ีสะเกษ!J735"")+IMPORTRANGE(""https://docs.google.com/spreadsheets/d/1QC8psz9w0f9IVE9Xuc2FT_btkaOzZbbUSgYObpBuetM/edit?usp=share_link"",""สกลนคร!J735"")+IMPORTRANGE(""https://docs.google.com/spreadsheets/d/1wPdvRbu02d33MYVlbsCnyTiZpefEBs9NNktAnT1HZvw/edit?"&amp;"usp=share_link"",""สุรินทร์!J735"")+IMPORTRANGE(""https://docs.google.com/spreadsheets/d/1GVExpf-Exi_2gmuqTYH28fseTB9MoKPXWcXCbSt_YrM/edit?usp=share_link"",""หนองคาย!J735"")+IMPORTRANGE(""https://docs.google.com/spreadsheets/d/16UeMz0UgOB5BZcoxP75eYGcLFtG"&amp;"YRn9GoesD4OX9m5U/edit?usp=share_link"",""หนองบัวลำภู!J735"")+IMPORTRANGE(""https://docs.google.com/spreadsheets/d/1uUP8Zo1-qaJLuIkRU0qlwLSE3DHkbdrrj2JGJiWBQZE/edit?usp=share_link"",""อำนาจเจริญ!J735"")+IMPORTRANGE(""https://docs.google.com/spreadsheets/d/"&amp;"1hb_taSOHanzRjqfzWPiFo8yiT83VV1L7vvUCLhOiHKc/edit?usp=share_link"",""อุดรธานี!J735"")+IMPORTRANGE(""https://docs.google.com/spreadsheets/d/17IOkEwkUd63EGNfyNDnM5de9YlZ7rwzTiW6-dokVjKI/edit?usp=share_link"",""อุบลราชธานี!J735"")
"),1485)</f>
        <v>1485</v>
      </c>
      <c r="K735" s="507"/>
      <c r="L735" s="773"/>
      <c r="M735" s="507"/>
      <c r="N735" s="773"/>
      <c r="O735" s="507"/>
      <c r="P735" s="507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</row>
    <row r="736" spans="1:26" ht="19.5" hidden="1">
      <c r="A736" s="774">
        <v>9</v>
      </c>
      <c r="B736" s="775" t="s">
        <v>313</v>
      </c>
      <c r="C736" s="776"/>
      <c r="D736" s="776"/>
      <c r="E736" s="776"/>
      <c r="F736" s="776"/>
      <c r="G736" s="777"/>
      <c r="H736" s="778" t="s">
        <v>46</v>
      </c>
      <c r="I736" s="779"/>
      <c r="J736" s="779">
        <f>J751</f>
        <v>0</v>
      </c>
      <c r="K736" s="780">
        <f>IF(I736&gt;0,J736*100/I736,0)</f>
        <v>0</v>
      </c>
      <c r="L736" s="781"/>
      <c r="M736" s="781"/>
      <c r="N736" s="781"/>
      <c r="O736" s="781"/>
      <c r="P736" s="781"/>
      <c r="Q736" s="604"/>
      <c r="R736" s="604"/>
      <c r="S736" s="604"/>
      <c r="T736" s="604"/>
      <c r="U736" s="604"/>
      <c r="V736" s="604"/>
      <c r="W736" s="604"/>
      <c r="X736" s="604"/>
      <c r="Y736" s="604"/>
      <c r="Z736" s="604"/>
    </row>
    <row r="737" spans="1:26" ht="19.5" hidden="1">
      <c r="A737" s="599"/>
      <c r="B737" s="600"/>
      <c r="C737" s="600" t="s">
        <v>16</v>
      </c>
      <c r="D737" s="864" t="s">
        <v>17</v>
      </c>
      <c r="E737" s="857"/>
      <c r="F737" s="857"/>
      <c r="G737" s="603"/>
      <c r="H737" s="646" t="s">
        <v>12</v>
      </c>
      <c r="I737" s="44"/>
      <c r="J737" s="44"/>
      <c r="K737" s="45"/>
      <c r="L737" s="647">
        <f t="shared" ref="L737:N737" si="333">L738+L739</f>
        <v>0</v>
      </c>
      <c r="M737" s="647">
        <f t="shared" si="333"/>
        <v>0</v>
      </c>
      <c r="N737" s="647">
        <f t="shared" si="333"/>
        <v>0</v>
      </c>
      <c r="O737" s="647">
        <f t="shared" ref="O737:O742" si="334">IF(L737&gt;0,N737*100/L737,0)</f>
        <v>0</v>
      </c>
      <c r="P737" s="647">
        <f t="shared" ref="P737:P742" si="335">IF(M737&gt;0,N737*100/M737,0)</f>
        <v>0</v>
      </c>
      <c r="Q737" s="604"/>
      <c r="R737" s="604"/>
      <c r="S737" s="604"/>
      <c r="T737" s="604"/>
      <c r="U737" s="604"/>
      <c r="V737" s="604"/>
      <c r="W737" s="604"/>
      <c r="X737" s="604"/>
      <c r="Y737" s="604"/>
      <c r="Z737" s="604"/>
    </row>
    <row r="738" spans="1:26" ht="18.75" hidden="1">
      <c r="A738" s="599"/>
      <c r="B738" s="600"/>
      <c r="C738" s="600"/>
      <c r="D738" s="601"/>
      <c r="E738" s="602" t="s">
        <v>185</v>
      </c>
      <c r="F738" s="600"/>
      <c r="G738" s="603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604"/>
      <c r="R738" s="604"/>
      <c r="S738" s="604"/>
      <c r="T738" s="604"/>
      <c r="U738" s="604"/>
      <c r="V738" s="604"/>
      <c r="W738" s="604"/>
      <c r="X738" s="604"/>
      <c r="Y738" s="604"/>
      <c r="Z738" s="604"/>
    </row>
    <row r="739" spans="1:26" ht="18.75" hidden="1">
      <c r="A739" s="599"/>
      <c r="B739" s="605"/>
      <c r="C739" s="600"/>
      <c r="D739" s="601"/>
      <c r="E739" s="602" t="s">
        <v>186</v>
      </c>
      <c r="F739" s="600"/>
      <c r="G739" s="603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604"/>
      <c r="R739" s="604"/>
      <c r="S739" s="604"/>
      <c r="T739" s="604"/>
      <c r="U739" s="604"/>
      <c r="V739" s="604"/>
      <c r="W739" s="604"/>
      <c r="X739" s="604"/>
      <c r="Y739" s="604"/>
      <c r="Z739" s="604"/>
    </row>
    <row r="740" spans="1:26" ht="19.5" hidden="1">
      <c r="A740" s="599"/>
      <c r="B740" s="605"/>
      <c r="C740" s="600"/>
      <c r="D740" s="782" t="s">
        <v>20</v>
      </c>
      <c r="E740" s="600"/>
      <c r="F740" s="600"/>
      <c r="G740" s="603"/>
      <c r="H740" s="646" t="s">
        <v>12</v>
      </c>
      <c r="I740" s="166"/>
      <c r="J740" s="166"/>
      <c r="K740" s="167"/>
      <c r="L740" s="647">
        <f t="shared" ref="L740:N740" si="338">L741+L742</f>
        <v>0</v>
      </c>
      <c r="M740" s="647">
        <f t="shared" si="338"/>
        <v>0</v>
      </c>
      <c r="N740" s="647">
        <f t="shared" si="338"/>
        <v>0</v>
      </c>
      <c r="O740" s="647">
        <f t="shared" si="334"/>
        <v>0</v>
      </c>
      <c r="P740" s="647">
        <f t="shared" si="335"/>
        <v>0</v>
      </c>
      <c r="Q740" s="604"/>
      <c r="R740" s="604"/>
      <c r="S740" s="604"/>
      <c r="T740" s="604"/>
      <c r="U740" s="604"/>
      <c r="V740" s="604"/>
      <c r="W740" s="604"/>
      <c r="X740" s="604"/>
      <c r="Y740" s="604"/>
      <c r="Z740" s="604"/>
    </row>
    <row r="741" spans="1:26" ht="18.75" hidden="1">
      <c r="A741" s="599"/>
      <c r="B741" s="605"/>
      <c r="C741" s="600"/>
      <c r="D741" s="601"/>
      <c r="E741" s="602" t="s">
        <v>185</v>
      </c>
      <c r="F741" s="600"/>
      <c r="G741" s="603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604"/>
      <c r="R741" s="604"/>
      <c r="S741" s="604"/>
      <c r="T741" s="604"/>
      <c r="U741" s="604"/>
      <c r="V741" s="604"/>
      <c r="W741" s="604"/>
      <c r="X741" s="604"/>
      <c r="Y741" s="604"/>
      <c r="Z741" s="604"/>
    </row>
    <row r="742" spans="1:26" ht="18.75" hidden="1">
      <c r="A742" s="599"/>
      <c r="B742" s="605"/>
      <c r="C742" s="600"/>
      <c r="D742" s="601"/>
      <c r="E742" s="602" t="s">
        <v>186</v>
      </c>
      <c r="F742" s="600"/>
      <c r="G742" s="603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604"/>
      <c r="R742" s="604"/>
      <c r="S742" s="604"/>
      <c r="T742" s="604"/>
      <c r="U742" s="604"/>
      <c r="V742" s="604"/>
      <c r="W742" s="604"/>
      <c r="X742" s="604"/>
      <c r="Y742" s="604"/>
      <c r="Z742" s="604"/>
    </row>
    <row r="743" spans="1:26" ht="18.75" hidden="1">
      <c r="A743" s="649"/>
      <c r="B743" s="605"/>
      <c r="C743" s="600"/>
      <c r="D743" s="600"/>
      <c r="E743" s="600"/>
      <c r="F743" s="602" t="s">
        <v>187</v>
      </c>
      <c r="G743" s="603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604"/>
      <c r="R743" s="604"/>
      <c r="S743" s="604"/>
      <c r="T743" s="604"/>
      <c r="U743" s="604"/>
      <c r="V743" s="604"/>
      <c r="W743" s="604"/>
      <c r="X743" s="604"/>
      <c r="Y743" s="604"/>
      <c r="Z743" s="604"/>
    </row>
    <row r="744" spans="1:26" ht="18.75" hidden="1">
      <c r="A744" s="649"/>
      <c r="B744" s="605"/>
      <c r="C744" s="600"/>
      <c r="D744" s="600"/>
      <c r="E744" s="600"/>
      <c r="F744" s="602" t="s">
        <v>188</v>
      </c>
      <c r="G744" s="603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604"/>
      <c r="R744" s="604"/>
      <c r="S744" s="604"/>
      <c r="T744" s="604"/>
      <c r="U744" s="604"/>
      <c r="V744" s="604"/>
      <c r="W744" s="604"/>
      <c r="X744" s="604"/>
      <c r="Y744" s="604"/>
      <c r="Z744" s="604"/>
    </row>
    <row r="745" spans="1:26" ht="18.75" hidden="1">
      <c r="A745" s="649"/>
      <c r="B745" s="605"/>
      <c r="C745" s="600"/>
      <c r="D745" s="600"/>
      <c r="E745" s="600"/>
      <c r="F745" s="602" t="s">
        <v>189</v>
      </c>
      <c r="G745" s="603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604"/>
      <c r="R745" s="604"/>
      <c r="S745" s="604"/>
      <c r="T745" s="604"/>
      <c r="U745" s="604"/>
      <c r="V745" s="604"/>
      <c r="W745" s="604"/>
      <c r="X745" s="604"/>
      <c r="Y745" s="604"/>
      <c r="Z745" s="604"/>
    </row>
    <row r="746" spans="1:26" ht="18.75" hidden="1">
      <c r="A746" s="649"/>
      <c r="B746" s="605"/>
      <c r="C746" s="600"/>
      <c r="D746" s="600"/>
      <c r="E746" s="600"/>
      <c r="F746" s="602" t="s">
        <v>190</v>
      </c>
      <c r="G746" s="603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604"/>
      <c r="R746" s="604"/>
      <c r="S746" s="604"/>
      <c r="T746" s="604"/>
      <c r="U746" s="604"/>
      <c r="V746" s="604"/>
      <c r="W746" s="604"/>
      <c r="X746" s="604"/>
      <c r="Y746" s="604"/>
      <c r="Z746" s="604"/>
    </row>
    <row r="747" spans="1:26" ht="19.5" hidden="1">
      <c r="A747" s="599"/>
      <c r="B747" s="605"/>
      <c r="C747" s="600"/>
      <c r="D747" s="782" t="s">
        <v>21</v>
      </c>
      <c r="E747" s="600"/>
      <c r="F747" s="600"/>
      <c r="G747" s="603"/>
      <c r="H747" s="783" t="s">
        <v>12</v>
      </c>
      <c r="I747" s="166"/>
      <c r="J747" s="166"/>
      <c r="K747" s="167"/>
      <c r="L747" s="647">
        <f t="shared" ref="L747:N747" si="339">L748+L749</f>
        <v>0</v>
      </c>
      <c r="M747" s="647">
        <f t="shared" si="339"/>
        <v>0</v>
      </c>
      <c r="N747" s="647">
        <f t="shared" si="339"/>
        <v>0</v>
      </c>
      <c r="O747" s="647">
        <f t="shared" ref="O747:O749" si="340">IF(L747&gt;0,N747*100/L747,0)</f>
        <v>0</v>
      </c>
      <c r="P747" s="647">
        <f t="shared" ref="P747:P749" si="341">IF(M747&gt;0,N747*100/M747,0)</f>
        <v>0</v>
      </c>
      <c r="Q747" s="604"/>
      <c r="R747" s="604"/>
      <c r="S747" s="604"/>
      <c r="T747" s="604"/>
      <c r="U747" s="604"/>
      <c r="V747" s="604"/>
      <c r="W747" s="604"/>
      <c r="X747" s="604"/>
      <c r="Y747" s="604"/>
      <c r="Z747" s="604"/>
    </row>
    <row r="748" spans="1:26" ht="18.75" hidden="1">
      <c r="A748" s="599"/>
      <c r="B748" s="605"/>
      <c r="C748" s="600"/>
      <c r="D748" s="600"/>
      <c r="E748" s="602" t="s">
        <v>18</v>
      </c>
      <c r="F748" s="600"/>
      <c r="G748" s="603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604"/>
      <c r="R748" s="604"/>
      <c r="S748" s="604"/>
      <c r="T748" s="604"/>
      <c r="U748" s="604"/>
      <c r="V748" s="604"/>
      <c r="W748" s="604"/>
      <c r="X748" s="604"/>
      <c r="Y748" s="604"/>
      <c r="Z748" s="604"/>
    </row>
    <row r="749" spans="1:26" ht="18.75" hidden="1">
      <c r="A749" s="599"/>
      <c r="B749" s="605"/>
      <c r="C749" s="600"/>
      <c r="D749" s="600"/>
      <c r="E749" s="602" t="s">
        <v>19</v>
      </c>
      <c r="F749" s="600"/>
      <c r="G749" s="603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604"/>
      <c r="R749" s="604"/>
      <c r="S749" s="604"/>
      <c r="T749" s="604"/>
      <c r="U749" s="604"/>
      <c r="V749" s="604"/>
      <c r="W749" s="604"/>
      <c r="X749" s="604"/>
      <c r="Y749" s="604"/>
      <c r="Z749" s="604"/>
    </row>
    <row r="750" spans="1:26" ht="19.5" hidden="1">
      <c r="A750" s="614"/>
      <c r="B750" s="615"/>
      <c r="C750" s="600" t="s">
        <v>16</v>
      </c>
      <c r="D750" s="784" t="s">
        <v>38</v>
      </c>
      <c r="E750" s="651"/>
      <c r="F750" s="651"/>
      <c r="G750" s="652"/>
      <c r="H750" s="366"/>
      <c r="I750" s="166"/>
      <c r="J750" s="166"/>
      <c r="K750" s="167"/>
      <c r="L750" s="167"/>
      <c r="M750" s="167"/>
      <c r="N750" s="167"/>
      <c r="O750" s="167"/>
      <c r="P750" s="167"/>
      <c r="Q750" s="604"/>
      <c r="R750" s="604"/>
      <c r="S750" s="604"/>
      <c r="T750" s="604"/>
      <c r="U750" s="604"/>
      <c r="V750" s="604"/>
      <c r="W750" s="604"/>
      <c r="X750" s="604"/>
      <c r="Y750" s="604"/>
      <c r="Z750" s="604"/>
    </row>
    <row r="751" spans="1:26" ht="18.75" hidden="1">
      <c r="A751" s="649"/>
      <c r="B751" s="605"/>
      <c r="C751" s="600"/>
      <c r="D751" s="600"/>
      <c r="E751" s="602" t="s">
        <v>314</v>
      </c>
      <c r="F751" s="600"/>
      <c r="G751" s="603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604"/>
      <c r="R751" s="604"/>
      <c r="S751" s="604"/>
      <c r="T751" s="604"/>
      <c r="U751" s="604"/>
      <c r="V751" s="604"/>
      <c r="W751" s="604"/>
      <c r="X751" s="604"/>
      <c r="Y751" s="604"/>
      <c r="Z751" s="604"/>
    </row>
    <row r="752" spans="1:26" ht="18.75" hidden="1">
      <c r="A752" s="649"/>
      <c r="B752" s="605"/>
      <c r="C752" s="600"/>
      <c r="D752" s="600"/>
      <c r="E752" s="600"/>
      <c r="F752" s="600"/>
      <c r="G752" s="603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604"/>
      <c r="R752" s="604"/>
      <c r="S752" s="604"/>
      <c r="T752" s="604"/>
      <c r="U752" s="604"/>
      <c r="V752" s="604"/>
      <c r="W752" s="604"/>
      <c r="X752" s="604"/>
      <c r="Y752" s="604"/>
      <c r="Z752" s="604"/>
    </row>
    <row r="753" spans="1:26" ht="19.5" hidden="1">
      <c r="A753" s="785">
        <v>10</v>
      </c>
      <c r="B753" s="786" t="s">
        <v>316</v>
      </c>
      <c r="C753" s="787"/>
      <c r="D753" s="787"/>
      <c r="E753" s="787"/>
      <c r="F753" s="787"/>
      <c r="G753" s="788"/>
      <c r="H753" s="789" t="s">
        <v>46</v>
      </c>
      <c r="I753" s="790"/>
      <c r="J753" s="790">
        <f>J768</f>
        <v>0</v>
      </c>
      <c r="K753" s="791">
        <f>IF(I753&gt;0,J753*100/I753,0)</f>
        <v>0</v>
      </c>
      <c r="L753" s="792"/>
      <c r="M753" s="792"/>
      <c r="N753" s="792"/>
      <c r="O753" s="792"/>
      <c r="P753" s="792"/>
      <c r="Q753" s="604"/>
      <c r="R753" s="604"/>
      <c r="S753" s="604"/>
      <c r="T753" s="604"/>
      <c r="U753" s="604"/>
      <c r="V753" s="604"/>
      <c r="W753" s="604"/>
      <c r="X753" s="604"/>
      <c r="Y753" s="604"/>
      <c r="Z753" s="604"/>
    </row>
    <row r="754" spans="1:26" ht="19.5" hidden="1">
      <c r="A754" s="599"/>
      <c r="B754" s="600"/>
      <c r="C754" s="600" t="s">
        <v>16</v>
      </c>
      <c r="D754" s="864" t="s">
        <v>17</v>
      </c>
      <c r="E754" s="857"/>
      <c r="F754" s="857"/>
      <c r="G754" s="603"/>
      <c r="H754" s="646" t="s">
        <v>12</v>
      </c>
      <c r="I754" s="44"/>
      <c r="J754" s="44"/>
      <c r="K754" s="45"/>
      <c r="L754" s="647">
        <f t="shared" ref="L754:N754" si="342">L755+L756</f>
        <v>0</v>
      </c>
      <c r="M754" s="647">
        <f t="shared" si="342"/>
        <v>0</v>
      </c>
      <c r="N754" s="647">
        <f t="shared" si="342"/>
        <v>0</v>
      </c>
      <c r="O754" s="647">
        <f t="shared" ref="O754:O759" si="343">IF(L754&gt;0,N754*100/L754,0)</f>
        <v>0</v>
      </c>
      <c r="P754" s="647">
        <f t="shared" ref="P754:P759" si="344">IF(M754&gt;0,N754*100/M754,0)</f>
        <v>0</v>
      </c>
      <c r="Q754" s="604"/>
      <c r="R754" s="604"/>
      <c r="S754" s="604"/>
      <c r="T754" s="604"/>
      <c r="U754" s="604"/>
      <c r="V754" s="604"/>
      <c r="W754" s="604"/>
      <c r="X754" s="604"/>
      <c r="Y754" s="604"/>
      <c r="Z754" s="604"/>
    </row>
    <row r="755" spans="1:26" ht="18.75" hidden="1">
      <c r="A755" s="599"/>
      <c r="B755" s="600"/>
      <c r="C755" s="600"/>
      <c r="D755" s="601"/>
      <c r="E755" s="602" t="s">
        <v>185</v>
      </c>
      <c r="F755" s="600"/>
      <c r="G755" s="603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604"/>
      <c r="R755" s="604"/>
      <c r="S755" s="604"/>
      <c r="T755" s="604"/>
      <c r="U755" s="604"/>
      <c r="V755" s="604"/>
      <c r="W755" s="604"/>
      <c r="X755" s="604"/>
      <c r="Y755" s="604"/>
      <c r="Z755" s="604"/>
    </row>
    <row r="756" spans="1:26" ht="18.75" hidden="1">
      <c r="A756" s="599"/>
      <c r="B756" s="605"/>
      <c r="C756" s="600"/>
      <c r="D756" s="601"/>
      <c r="E756" s="602" t="s">
        <v>186</v>
      </c>
      <c r="F756" s="600"/>
      <c r="G756" s="603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604"/>
      <c r="R756" s="604"/>
      <c r="S756" s="604"/>
      <c r="T756" s="604"/>
      <c r="U756" s="604"/>
      <c r="V756" s="604"/>
      <c r="W756" s="604"/>
      <c r="X756" s="604"/>
      <c r="Y756" s="604"/>
      <c r="Z756" s="604"/>
    </row>
    <row r="757" spans="1:26" ht="19.5" hidden="1">
      <c r="A757" s="599"/>
      <c r="B757" s="605"/>
      <c r="C757" s="600"/>
      <c r="D757" s="782" t="s">
        <v>20</v>
      </c>
      <c r="E757" s="600"/>
      <c r="F757" s="600"/>
      <c r="G757" s="603"/>
      <c r="H757" s="646" t="s">
        <v>12</v>
      </c>
      <c r="I757" s="166"/>
      <c r="J757" s="166"/>
      <c r="K757" s="167"/>
      <c r="L757" s="647">
        <f t="shared" ref="L757:N757" si="347">L758+L759</f>
        <v>0</v>
      </c>
      <c r="M757" s="647">
        <f t="shared" si="347"/>
        <v>0</v>
      </c>
      <c r="N757" s="647">
        <f t="shared" si="347"/>
        <v>0</v>
      </c>
      <c r="O757" s="647">
        <f t="shared" si="343"/>
        <v>0</v>
      </c>
      <c r="P757" s="647">
        <f t="shared" si="344"/>
        <v>0</v>
      </c>
      <c r="Q757" s="604"/>
      <c r="R757" s="604"/>
      <c r="S757" s="604"/>
      <c r="T757" s="604"/>
      <c r="U757" s="604"/>
      <c r="V757" s="604"/>
      <c r="W757" s="604"/>
      <c r="X757" s="604"/>
      <c r="Y757" s="604"/>
      <c r="Z757" s="604"/>
    </row>
    <row r="758" spans="1:26" ht="18.75" hidden="1">
      <c r="A758" s="599"/>
      <c r="B758" s="605"/>
      <c r="C758" s="600"/>
      <c r="D758" s="601"/>
      <c r="E758" s="602" t="s">
        <v>185</v>
      </c>
      <c r="F758" s="600"/>
      <c r="G758" s="603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604"/>
      <c r="R758" s="604"/>
      <c r="S758" s="604"/>
      <c r="T758" s="604"/>
      <c r="U758" s="604"/>
      <c r="V758" s="604"/>
      <c r="W758" s="604"/>
      <c r="X758" s="604"/>
      <c r="Y758" s="604"/>
      <c r="Z758" s="604"/>
    </row>
    <row r="759" spans="1:26" ht="18.75" hidden="1">
      <c r="A759" s="599"/>
      <c r="B759" s="605"/>
      <c r="C759" s="600"/>
      <c r="D759" s="601"/>
      <c r="E759" s="602" t="s">
        <v>186</v>
      </c>
      <c r="F759" s="600"/>
      <c r="G759" s="603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604"/>
      <c r="R759" s="604"/>
      <c r="S759" s="604"/>
      <c r="T759" s="604"/>
      <c r="U759" s="604"/>
      <c r="V759" s="604"/>
      <c r="W759" s="604"/>
      <c r="X759" s="604"/>
      <c r="Y759" s="604"/>
      <c r="Z759" s="604"/>
    </row>
    <row r="760" spans="1:26" ht="18.75" hidden="1">
      <c r="A760" s="649"/>
      <c r="B760" s="605"/>
      <c r="C760" s="600"/>
      <c r="D760" s="600"/>
      <c r="E760" s="600"/>
      <c r="F760" s="602" t="s">
        <v>187</v>
      </c>
      <c r="G760" s="603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604"/>
      <c r="R760" s="604"/>
      <c r="S760" s="604"/>
      <c r="T760" s="604"/>
      <c r="U760" s="604"/>
      <c r="V760" s="604"/>
      <c r="W760" s="604"/>
      <c r="X760" s="604"/>
      <c r="Y760" s="604"/>
      <c r="Z760" s="604"/>
    </row>
    <row r="761" spans="1:26" ht="18.75" hidden="1">
      <c r="A761" s="649"/>
      <c r="B761" s="605"/>
      <c r="C761" s="600"/>
      <c r="D761" s="600"/>
      <c r="E761" s="600"/>
      <c r="F761" s="602" t="s">
        <v>188</v>
      </c>
      <c r="G761" s="603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604"/>
      <c r="R761" s="604"/>
      <c r="S761" s="604"/>
      <c r="T761" s="604"/>
      <c r="U761" s="604"/>
      <c r="V761" s="604"/>
      <c r="W761" s="604"/>
      <c r="X761" s="604"/>
      <c r="Y761" s="604"/>
      <c r="Z761" s="604"/>
    </row>
    <row r="762" spans="1:26" ht="18.75" hidden="1">
      <c r="A762" s="649"/>
      <c r="B762" s="605"/>
      <c r="C762" s="600"/>
      <c r="D762" s="600"/>
      <c r="E762" s="600"/>
      <c r="F762" s="602" t="s">
        <v>189</v>
      </c>
      <c r="G762" s="603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604"/>
      <c r="R762" s="604"/>
      <c r="S762" s="604"/>
      <c r="T762" s="604"/>
      <c r="U762" s="604"/>
      <c r="V762" s="604"/>
      <c r="W762" s="604"/>
      <c r="X762" s="604"/>
      <c r="Y762" s="604"/>
      <c r="Z762" s="604"/>
    </row>
    <row r="763" spans="1:26" ht="18.75" hidden="1">
      <c r="A763" s="649"/>
      <c r="B763" s="605"/>
      <c r="C763" s="600"/>
      <c r="D763" s="600"/>
      <c r="E763" s="600"/>
      <c r="F763" s="602" t="s">
        <v>190</v>
      </c>
      <c r="G763" s="603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604"/>
      <c r="R763" s="604"/>
      <c r="S763" s="604"/>
      <c r="T763" s="604"/>
      <c r="U763" s="604"/>
      <c r="V763" s="604"/>
      <c r="W763" s="604"/>
      <c r="X763" s="604"/>
      <c r="Y763" s="604"/>
      <c r="Z763" s="604"/>
    </row>
    <row r="764" spans="1:26" ht="19.5" hidden="1">
      <c r="A764" s="599"/>
      <c r="B764" s="605"/>
      <c r="C764" s="600"/>
      <c r="D764" s="782" t="s">
        <v>21</v>
      </c>
      <c r="E764" s="600"/>
      <c r="F764" s="600"/>
      <c r="G764" s="603"/>
      <c r="H764" s="783" t="s">
        <v>12</v>
      </c>
      <c r="I764" s="166"/>
      <c r="J764" s="166"/>
      <c r="K764" s="167"/>
      <c r="L764" s="647">
        <f t="shared" ref="L764:N764" si="348">L765+L766</f>
        <v>0</v>
      </c>
      <c r="M764" s="647">
        <f t="shared" si="348"/>
        <v>0</v>
      </c>
      <c r="N764" s="647">
        <f t="shared" si="348"/>
        <v>0</v>
      </c>
      <c r="O764" s="647">
        <f t="shared" ref="O764:O766" si="349">IF(L764&gt;0,N764*100/L764,0)</f>
        <v>0</v>
      </c>
      <c r="P764" s="647">
        <f t="shared" ref="P764:P766" si="350">IF(M764&gt;0,N764*100/M764,0)</f>
        <v>0</v>
      </c>
      <c r="Q764" s="604"/>
      <c r="R764" s="604"/>
      <c r="S764" s="604"/>
      <c r="T764" s="604"/>
      <c r="U764" s="604"/>
      <c r="V764" s="604"/>
      <c r="W764" s="604"/>
      <c r="X764" s="604"/>
      <c r="Y764" s="604"/>
      <c r="Z764" s="604"/>
    </row>
    <row r="765" spans="1:26" ht="18.75" hidden="1">
      <c r="A765" s="599"/>
      <c r="B765" s="605"/>
      <c r="C765" s="600"/>
      <c r="D765" s="600"/>
      <c r="E765" s="602" t="s">
        <v>18</v>
      </c>
      <c r="F765" s="600"/>
      <c r="G765" s="603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604"/>
      <c r="R765" s="604"/>
      <c r="S765" s="604"/>
      <c r="T765" s="604"/>
      <c r="U765" s="604"/>
      <c r="V765" s="604"/>
      <c r="W765" s="604"/>
      <c r="X765" s="604"/>
      <c r="Y765" s="604"/>
      <c r="Z765" s="604"/>
    </row>
    <row r="766" spans="1:26" ht="18.75" hidden="1">
      <c r="A766" s="599"/>
      <c r="B766" s="605"/>
      <c r="C766" s="600"/>
      <c r="D766" s="600"/>
      <c r="E766" s="602" t="s">
        <v>19</v>
      </c>
      <c r="F766" s="600"/>
      <c r="G766" s="603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604"/>
      <c r="R766" s="604"/>
      <c r="S766" s="604"/>
      <c r="T766" s="604"/>
      <c r="U766" s="604"/>
      <c r="V766" s="604"/>
      <c r="W766" s="604"/>
      <c r="X766" s="604"/>
      <c r="Y766" s="604"/>
      <c r="Z766" s="604"/>
    </row>
    <row r="767" spans="1:26" ht="19.5" hidden="1">
      <c r="A767" s="614"/>
      <c r="B767" s="615"/>
      <c r="C767" s="600" t="s">
        <v>16</v>
      </c>
      <c r="D767" s="784" t="s">
        <v>38</v>
      </c>
      <c r="E767" s="651"/>
      <c r="F767" s="651"/>
      <c r="G767" s="652"/>
      <c r="H767" s="366"/>
      <c r="I767" s="166"/>
      <c r="J767" s="166"/>
      <c r="K767" s="167"/>
      <c r="L767" s="167"/>
      <c r="M767" s="167"/>
      <c r="N767" s="167"/>
      <c r="O767" s="167"/>
      <c r="P767" s="167"/>
      <c r="Q767" s="604"/>
      <c r="R767" s="604"/>
      <c r="S767" s="604"/>
      <c r="T767" s="604"/>
      <c r="U767" s="604"/>
      <c r="V767" s="604"/>
      <c r="W767" s="604"/>
      <c r="X767" s="604"/>
      <c r="Y767" s="604"/>
      <c r="Z767" s="604"/>
    </row>
    <row r="768" spans="1:26" ht="18.75" hidden="1">
      <c r="A768" s="649"/>
      <c r="B768" s="605"/>
      <c r="C768" s="600"/>
      <c r="D768" s="600"/>
      <c r="E768" s="602" t="s">
        <v>317</v>
      </c>
      <c r="F768" s="600"/>
      <c r="G768" s="603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604"/>
      <c r="R768" s="604"/>
      <c r="S768" s="604"/>
      <c r="T768" s="604"/>
      <c r="U768" s="604"/>
      <c r="V768" s="604"/>
      <c r="W768" s="604"/>
      <c r="X768" s="604"/>
      <c r="Y768" s="604"/>
      <c r="Z768" s="604"/>
    </row>
    <row r="769" spans="1:26" ht="19.5" hidden="1">
      <c r="A769" s="793">
        <v>11</v>
      </c>
      <c r="B769" s="794" t="s">
        <v>318</v>
      </c>
      <c r="C769" s="795"/>
      <c r="D769" s="795"/>
      <c r="E769" s="795"/>
      <c r="F769" s="795"/>
      <c r="G769" s="796"/>
      <c r="H769" s="797" t="s">
        <v>46</v>
      </c>
      <c r="I769" s="798"/>
      <c r="J769" s="798">
        <f>J784</f>
        <v>0</v>
      </c>
      <c r="K769" s="799">
        <f>IF(I769&gt;0,J769*100/I769,0)</f>
        <v>0</v>
      </c>
      <c r="L769" s="800"/>
      <c r="M769" s="800"/>
      <c r="N769" s="800"/>
      <c r="O769" s="800"/>
      <c r="P769" s="800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</row>
    <row r="770" spans="1:26" ht="19.5" hidden="1">
      <c r="A770" s="599"/>
      <c r="B770" s="600"/>
      <c r="C770" s="600" t="s">
        <v>16</v>
      </c>
      <c r="D770" s="864" t="s">
        <v>17</v>
      </c>
      <c r="E770" s="857"/>
      <c r="F770" s="857"/>
      <c r="G770" s="603"/>
      <c r="H770" s="646" t="s">
        <v>12</v>
      </c>
      <c r="I770" s="44"/>
      <c r="J770" s="44"/>
      <c r="K770" s="45"/>
      <c r="L770" s="647">
        <f t="shared" ref="L770:N770" si="351">L771+L772</f>
        <v>0</v>
      </c>
      <c r="M770" s="647">
        <f t="shared" si="351"/>
        <v>0</v>
      </c>
      <c r="N770" s="647">
        <f t="shared" si="351"/>
        <v>0</v>
      </c>
      <c r="O770" s="647">
        <f t="shared" ref="O770:O775" si="352">IF(L770&gt;0,N770*100/L770,0)</f>
        <v>0</v>
      </c>
      <c r="P770" s="647">
        <f t="shared" ref="P770:P775" si="353">IF(M770&gt;0,N770*100/M770,0)</f>
        <v>0</v>
      </c>
      <c r="Q770" s="604"/>
      <c r="R770" s="604"/>
      <c r="S770" s="604"/>
      <c r="T770" s="604"/>
      <c r="U770" s="604"/>
      <c r="V770" s="604"/>
      <c r="W770" s="604"/>
      <c r="X770" s="604"/>
      <c r="Y770" s="604"/>
      <c r="Z770" s="604"/>
    </row>
    <row r="771" spans="1:26" ht="18.75" hidden="1">
      <c r="A771" s="599"/>
      <c r="B771" s="600"/>
      <c r="C771" s="600"/>
      <c r="D771" s="601"/>
      <c r="E771" s="602" t="s">
        <v>185</v>
      </c>
      <c r="F771" s="600"/>
      <c r="G771" s="603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604"/>
      <c r="R771" s="604"/>
      <c r="S771" s="604"/>
      <c r="T771" s="604"/>
      <c r="U771" s="604"/>
      <c r="V771" s="604"/>
      <c r="W771" s="604"/>
      <c r="X771" s="604"/>
      <c r="Y771" s="604"/>
      <c r="Z771" s="604"/>
    </row>
    <row r="772" spans="1:26" ht="18.75" hidden="1">
      <c r="A772" s="599"/>
      <c r="B772" s="605"/>
      <c r="C772" s="600"/>
      <c r="D772" s="601"/>
      <c r="E772" s="602" t="s">
        <v>186</v>
      </c>
      <c r="F772" s="600"/>
      <c r="G772" s="603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604"/>
      <c r="R772" s="604"/>
      <c r="S772" s="604"/>
      <c r="T772" s="604"/>
      <c r="U772" s="604"/>
      <c r="V772" s="604"/>
      <c r="W772" s="604"/>
      <c r="X772" s="604"/>
      <c r="Y772" s="604"/>
      <c r="Z772" s="604"/>
    </row>
    <row r="773" spans="1:26" ht="19.5" hidden="1">
      <c r="A773" s="599"/>
      <c r="B773" s="605"/>
      <c r="C773" s="600"/>
      <c r="D773" s="782" t="s">
        <v>20</v>
      </c>
      <c r="E773" s="600"/>
      <c r="F773" s="600"/>
      <c r="G773" s="603"/>
      <c r="H773" s="646" t="s">
        <v>12</v>
      </c>
      <c r="I773" s="166"/>
      <c r="J773" s="166"/>
      <c r="K773" s="167"/>
      <c r="L773" s="647">
        <f t="shared" ref="L773:N773" si="356">L774+L775</f>
        <v>0</v>
      </c>
      <c r="M773" s="647">
        <f t="shared" si="356"/>
        <v>0</v>
      </c>
      <c r="N773" s="647">
        <f t="shared" si="356"/>
        <v>0</v>
      </c>
      <c r="O773" s="647">
        <f t="shared" si="352"/>
        <v>0</v>
      </c>
      <c r="P773" s="647">
        <f t="shared" si="353"/>
        <v>0</v>
      </c>
      <c r="Q773" s="604"/>
      <c r="R773" s="604"/>
      <c r="S773" s="604"/>
      <c r="T773" s="604"/>
      <c r="U773" s="604"/>
      <c r="V773" s="604"/>
      <c r="W773" s="604"/>
      <c r="X773" s="604"/>
      <c r="Y773" s="604"/>
      <c r="Z773" s="604"/>
    </row>
    <row r="774" spans="1:26" ht="18.75" hidden="1">
      <c r="A774" s="599"/>
      <c r="B774" s="605"/>
      <c r="C774" s="600"/>
      <c r="D774" s="601"/>
      <c r="E774" s="602" t="s">
        <v>185</v>
      </c>
      <c r="F774" s="600"/>
      <c r="G774" s="603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604"/>
      <c r="R774" s="604"/>
      <c r="S774" s="604"/>
      <c r="T774" s="604"/>
      <c r="U774" s="604"/>
      <c r="V774" s="604"/>
      <c r="W774" s="604"/>
      <c r="X774" s="604"/>
      <c r="Y774" s="604"/>
      <c r="Z774" s="604"/>
    </row>
    <row r="775" spans="1:26" ht="18.75" hidden="1">
      <c r="A775" s="599"/>
      <c r="B775" s="605"/>
      <c r="C775" s="600"/>
      <c r="D775" s="601"/>
      <c r="E775" s="602" t="s">
        <v>186</v>
      </c>
      <c r="F775" s="600"/>
      <c r="G775" s="603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604"/>
      <c r="R775" s="604"/>
      <c r="S775" s="604"/>
      <c r="T775" s="604"/>
      <c r="U775" s="604"/>
      <c r="V775" s="604"/>
      <c r="W775" s="604"/>
      <c r="X775" s="604"/>
      <c r="Y775" s="604"/>
      <c r="Z775" s="604"/>
    </row>
    <row r="776" spans="1:26" ht="18.75" hidden="1">
      <c r="A776" s="649"/>
      <c r="B776" s="605"/>
      <c r="C776" s="600"/>
      <c r="D776" s="600"/>
      <c r="E776" s="600"/>
      <c r="F776" s="602" t="s">
        <v>187</v>
      </c>
      <c r="G776" s="603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604"/>
      <c r="R776" s="604"/>
      <c r="S776" s="604"/>
      <c r="T776" s="604"/>
      <c r="U776" s="604"/>
      <c r="V776" s="604"/>
      <c r="W776" s="604"/>
      <c r="X776" s="604"/>
      <c r="Y776" s="604"/>
      <c r="Z776" s="604"/>
    </row>
    <row r="777" spans="1:26" ht="18.75" hidden="1">
      <c r="A777" s="649"/>
      <c r="B777" s="605"/>
      <c r="C777" s="600"/>
      <c r="D777" s="600"/>
      <c r="E777" s="600"/>
      <c r="F777" s="602" t="s">
        <v>188</v>
      </c>
      <c r="G777" s="603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604"/>
      <c r="R777" s="604"/>
      <c r="S777" s="604"/>
      <c r="T777" s="604"/>
      <c r="U777" s="604"/>
      <c r="V777" s="604"/>
      <c r="W777" s="604"/>
      <c r="X777" s="604"/>
      <c r="Y777" s="604"/>
      <c r="Z777" s="604"/>
    </row>
    <row r="778" spans="1:26" ht="18.75" hidden="1">
      <c r="A778" s="649"/>
      <c r="B778" s="605"/>
      <c r="C778" s="600"/>
      <c r="D778" s="600"/>
      <c r="E778" s="600"/>
      <c r="F778" s="602" t="s">
        <v>189</v>
      </c>
      <c r="G778" s="603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604"/>
      <c r="R778" s="604"/>
      <c r="S778" s="604"/>
      <c r="T778" s="604"/>
      <c r="U778" s="604"/>
      <c r="V778" s="604"/>
      <c r="W778" s="604"/>
      <c r="X778" s="604"/>
      <c r="Y778" s="604"/>
      <c r="Z778" s="604"/>
    </row>
    <row r="779" spans="1:26" ht="18.75" hidden="1">
      <c r="A779" s="649"/>
      <c r="B779" s="605"/>
      <c r="C779" s="600"/>
      <c r="D779" s="600"/>
      <c r="E779" s="600"/>
      <c r="F779" s="602" t="s">
        <v>190</v>
      </c>
      <c r="G779" s="603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604"/>
      <c r="R779" s="604"/>
      <c r="S779" s="604"/>
      <c r="T779" s="604"/>
      <c r="U779" s="604"/>
      <c r="V779" s="604"/>
      <c r="W779" s="604"/>
      <c r="X779" s="604"/>
      <c r="Y779" s="604"/>
      <c r="Z779" s="604"/>
    </row>
    <row r="780" spans="1:26" ht="19.5" hidden="1">
      <c r="A780" s="599"/>
      <c r="B780" s="605"/>
      <c r="C780" s="600"/>
      <c r="D780" s="782" t="s">
        <v>21</v>
      </c>
      <c r="E780" s="600"/>
      <c r="F780" s="600"/>
      <c r="G780" s="603"/>
      <c r="H780" s="783" t="s">
        <v>12</v>
      </c>
      <c r="I780" s="166"/>
      <c r="J780" s="166"/>
      <c r="K780" s="167"/>
      <c r="L780" s="647">
        <f t="shared" ref="L780:N780" si="357">L781+L782</f>
        <v>0</v>
      </c>
      <c r="M780" s="647">
        <f t="shared" si="357"/>
        <v>0</v>
      </c>
      <c r="N780" s="647">
        <f t="shared" si="357"/>
        <v>0</v>
      </c>
      <c r="O780" s="647">
        <f t="shared" ref="O780:O782" si="358">IF(L780&gt;0,N780*100/L780,0)</f>
        <v>0</v>
      </c>
      <c r="P780" s="647">
        <f t="shared" ref="P780:P782" si="359">IF(M780&gt;0,N780*100/M780,0)</f>
        <v>0</v>
      </c>
      <c r="Q780" s="604"/>
      <c r="R780" s="604"/>
      <c r="S780" s="604"/>
      <c r="T780" s="604"/>
      <c r="U780" s="604"/>
      <c r="V780" s="604"/>
      <c r="W780" s="604"/>
      <c r="X780" s="604"/>
      <c r="Y780" s="604"/>
      <c r="Z780" s="604"/>
    </row>
    <row r="781" spans="1:26" ht="18.75" hidden="1">
      <c r="A781" s="599"/>
      <c r="B781" s="605"/>
      <c r="C781" s="600"/>
      <c r="D781" s="600"/>
      <c r="E781" s="602" t="s">
        <v>18</v>
      </c>
      <c r="F781" s="600"/>
      <c r="G781" s="603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604"/>
      <c r="R781" s="604"/>
      <c r="S781" s="604"/>
      <c r="T781" s="604"/>
      <c r="U781" s="604"/>
      <c r="V781" s="604"/>
      <c r="W781" s="604"/>
      <c r="X781" s="604"/>
      <c r="Y781" s="604"/>
      <c r="Z781" s="604"/>
    </row>
    <row r="782" spans="1:26" ht="18.75" hidden="1">
      <c r="A782" s="599"/>
      <c r="B782" s="605"/>
      <c r="C782" s="600"/>
      <c r="D782" s="600"/>
      <c r="E782" s="602" t="s">
        <v>19</v>
      </c>
      <c r="F782" s="600"/>
      <c r="G782" s="603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604"/>
      <c r="R782" s="604"/>
      <c r="S782" s="604"/>
      <c r="T782" s="604"/>
      <c r="U782" s="604"/>
      <c r="V782" s="604"/>
      <c r="W782" s="604"/>
      <c r="X782" s="604"/>
      <c r="Y782" s="604"/>
      <c r="Z782" s="604"/>
    </row>
    <row r="783" spans="1:26" ht="19.5" hidden="1">
      <c r="A783" s="614"/>
      <c r="B783" s="615"/>
      <c r="C783" s="600" t="s">
        <v>16</v>
      </c>
      <c r="D783" s="784" t="s">
        <v>38</v>
      </c>
      <c r="E783" s="651"/>
      <c r="F783" s="651"/>
      <c r="G783" s="652"/>
      <c r="H783" s="801"/>
      <c r="I783" s="166"/>
      <c r="J783" s="166"/>
      <c r="K783" s="167"/>
      <c r="L783" s="167"/>
      <c r="M783" s="167"/>
      <c r="N783" s="167"/>
      <c r="O783" s="167"/>
      <c r="P783" s="167"/>
      <c r="Q783" s="604"/>
      <c r="R783" s="604"/>
      <c r="S783" s="604"/>
      <c r="T783" s="604"/>
      <c r="U783" s="604"/>
      <c r="V783" s="604"/>
      <c r="W783" s="604"/>
      <c r="X783" s="604"/>
      <c r="Y783" s="604"/>
      <c r="Z783" s="604"/>
    </row>
    <row r="784" spans="1:26" ht="18.75" hidden="1">
      <c r="A784" s="649"/>
      <c r="B784" s="605"/>
      <c r="C784" s="600"/>
      <c r="D784" s="600"/>
      <c r="E784" s="602" t="s">
        <v>319</v>
      </c>
      <c r="F784" s="600"/>
      <c r="G784" s="603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604"/>
      <c r="R784" s="604"/>
      <c r="S784" s="604"/>
      <c r="T784" s="604"/>
      <c r="U784" s="604"/>
      <c r="V784" s="604"/>
      <c r="W784" s="604"/>
      <c r="X784" s="604"/>
      <c r="Y784" s="604"/>
      <c r="Z784" s="604"/>
    </row>
    <row r="785" spans="1:26" ht="19.5">
      <c r="A785" s="802">
        <v>12</v>
      </c>
      <c r="B785" s="803" t="s">
        <v>320</v>
      </c>
      <c r="C785" s="804"/>
      <c r="D785" s="804"/>
      <c r="E785" s="804"/>
      <c r="F785" s="804"/>
      <c r="G785" s="805"/>
      <c r="H785" s="806" t="s">
        <v>46</v>
      </c>
      <c r="I785" s="807">
        <f t="shared" ref="I785:J785" ca="1" si="360">I801+I803</f>
        <v>47000</v>
      </c>
      <c r="J785" s="807">
        <f t="shared" ca="1" si="360"/>
        <v>50432.630000000005</v>
      </c>
      <c r="K785" s="808">
        <f ca="1">IF(I785&gt;0,J785*100/I785,0)</f>
        <v>107.30346808510639</v>
      </c>
      <c r="L785" s="809"/>
      <c r="M785" s="809"/>
      <c r="N785" s="809"/>
      <c r="O785" s="809"/>
      <c r="P785" s="809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</row>
    <row r="786" spans="1:26" ht="19.5">
      <c r="A786" s="597"/>
      <c r="B786" s="575"/>
      <c r="C786" s="576" t="s">
        <v>16</v>
      </c>
      <c r="D786" s="863" t="s">
        <v>17</v>
      </c>
      <c r="E786" s="857"/>
      <c r="F786" s="857"/>
      <c r="G786" s="189"/>
      <c r="H786" s="810" t="s">
        <v>12</v>
      </c>
      <c r="I786" s="811"/>
      <c r="J786" s="811"/>
      <c r="K786" s="812"/>
      <c r="L786" s="195">
        <f t="shared" ref="L786:N786" ca="1" si="361">L787+L788</f>
        <v>2156480</v>
      </c>
      <c r="M786" s="195">
        <f t="shared" ca="1" si="361"/>
        <v>2509853.7999999998</v>
      </c>
      <c r="N786" s="195">
        <f t="shared" ca="1" si="361"/>
        <v>2509853.7999999998</v>
      </c>
      <c r="O786" s="195">
        <f t="shared" ref="O786:O791" ca="1" si="362">IF(L786&gt;0,N786*100/L786,0)</f>
        <v>116.38660224068852</v>
      </c>
      <c r="P786" s="195">
        <f t="shared" ref="P786:P791" ca="1" si="363">IF(M786&gt;0,N786*100/M786,0)</f>
        <v>100</v>
      </c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</row>
    <row r="787" spans="1:26" ht="18.75" hidden="1">
      <c r="A787" s="599"/>
      <c r="B787" s="605"/>
      <c r="C787" s="600"/>
      <c r="D787" s="601"/>
      <c r="E787" s="602" t="s">
        <v>185</v>
      </c>
      <c r="F787" s="600"/>
      <c r="G787" s="603"/>
      <c r="H787" s="813" t="s">
        <v>12</v>
      </c>
      <c r="I787" s="811"/>
      <c r="J787" s="811"/>
      <c r="K787" s="812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604"/>
      <c r="R787" s="604"/>
      <c r="S787" s="604"/>
      <c r="T787" s="604"/>
      <c r="U787" s="604"/>
      <c r="V787" s="604"/>
      <c r="W787" s="604"/>
      <c r="X787" s="604"/>
      <c r="Y787" s="604"/>
      <c r="Z787" s="604"/>
    </row>
    <row r="788" spans="1:26" ht="18.75" hidden="1">
      <c r="A788" s="599"/>
      <c r="B788" s="605"/>
      <c r="C788" s="605"/>
      <c r="D788" s="615"/>
      <c r="E788" s="602" t="s">
        <v>186</v>
      </c>
      <c r="F788" s="600"/>
      <c r="G788" s="603"/>
      <c r="H788" s="813" t="s">
        <v>12</v>
      </c>
      <c r="I788" s="811"/>
      <c r="J788" s="811"/>
      <c r="K788" s="812"/>
      <c r="L788" s="45">
        <f t="shared" ref="L788:N788" ca="1" si="365">L791+L798</f>
        <v>2156480</v>
      </c>
      <c r="M788" s="45">
        <f t="shared" ca="1" si="365"/>
        <v>2509853.7999999998</v>
      </c>
      <c r="N788" s="45">
        <f t="shared" ca="1" si="365"/>
        <v>2509853.7999999998</v>
      </c>
      <c r="O788" s="45">
        <f t="shared" ca="1" si="362"/>
        <v>116.38660224068852</v>
      </c>
      <c r="P788" s="45">
        <f t="shared" ca="1" si="363"/>
        <v>100</v>
      </c>
      <c r="Q788" s="604"/>
      <c r="R788" s="604"/>
      <c r="S788" s="604"/>
      <c r="T788" s="604"/>
      <c r="U788" s="604"/>
      <c r="V788" s="604"/>
      <c r="W788" s="604"/>
      <c r="X788" s="604"/>
      <c r="Y788" s="604"/>
      <c r="Z788" s="604"/>
    </row>
    <row r="789" spans="1:26" ht="18.75">
      <c r="A789" s="597"/>
      <c r="B789" s="575"/>
      <c r="C789" s="575"/>
      <c r="D789" s="606" t="s">
        <v>20</v>
      </c>
      <c r="E789" s="576"/>
      <c r="F789" s="576"/>
      <c r="G789" s="189"/>
      <c r="H789" s="814" t="s">
        <v>12</v>
      </c>
      <c r="I789" s="815"/>
      <c r="J789" s="815"/>
      <c r="K789" s="816"/>
      <c r="L789" s="38">
        <f t="shared" ref="L789:N789" ca="1" si="366">L790+L791</f>
        <v>2156480</v>
      </c>
      <c r="M789" s="38">
        <f t="shared" ca="1" si="366"/>
        <v>2509853.7999999998</v>
      </c>
      <c r="N789" s="38">
        <f t="shared" ca="1" si="366"/>
        <v>2509853.7999999998</v>
      </c>
      <c r="O789" s="38">
        <f t="shared" ca="1" si="362"/>
        <v>116.38660224068852</v>
      </c>
      <c r="P789" s="38">
        <f t="shared" ca="1" si="363"/>
        <v>100</v>
      </c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</row>
    <row r="790" spans="1:26" ht="18.75" hidden="1">
      <c r="A790" s="599"/>
      <c r="B790" s="605"/>
      <c r="C790" s="605"/>
      <c r="D790" s="615"/>
      <c r="E790" s="602" t="s">
        <v>185</v>
      </c>
      <c r="F790" s="600"/>
      <c r="G790" s="603"/>
      <c r="H790" s="813" t="s">
        <v>12</v>
      </c>
      <c r="I790" s="811"/>
      <c r="J790" s="811"/>
      <c r="K790" s="812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604"/>
      <c r="R790" s="604"/>
      <c r="S790" s="604"/>
      <c r="T790" s="604"/>
      <c r="U790" s="604"/>
      <c r="V790" s="604"/>
      <c r="W790" s="604"/>
      <c r="X790" s="604"/>
      <c r="Y790" s="604"/>
      <c r="Z790" s="604"/>
    </row>
    <row r="791" spans="1:26" ht="18.75" hidden="1">
      <c r="A791" s="599"/>
      <c r="B791" s="605"/>
      <c r="C791" s="605"/>
      <c r="D791" s="615"/>
      <c r="E791" s="602" t="s">
        <v>186</v>
      </c>
      <c r="F791" s="600"/>
      <c r="G791" s="603"/>
      <c r="H791" s="813" t="s">
        <v>12</v>
      </c>
      <c r="I791" s="811"/>
      <c r="J791" s="811"/>
      <c r="K791" s="812"/>
      <c r="L791" s="45">
        <f ca="1">IFERROR(__xludf.DUMMYFUNCTION("IMPORTRANGE(""https://docs.google.com/spreadsheets/d/1fb2B9NLcpJgjIieIJvenUTNPn0TimZDUi0OtYeiSQ_s/edit?usp=share_link"",""กาฬสินธุ์!L791"")+IMPORTRANGE(""https://docs.google.com/spreadsheets/d/1SaMnqrwRGmFYNR0MhpWmHuL5niYUd5E7vDq8X7whAlI/edit?usp=share_li"&amp;"nk"",""ขอนแก่น!L791"")
+IMPORTRANGE(""https://docs.google.com/spreadsheets/d/1xQzEtGHhTTgxHh6YUkKY1P4dRyjVhS74dGswLfAASA4/edit?usp=share_link"",""ชัยภูมิ!L791"")+IMPORTRANGE(""https://docs.google.com/spreadsheets/d/1EXMBoBxU3OFbjT2TRpneM33qFjqDzrKmn9ydcfl"&amp;"fI0o/edit?usp=share_link"",""นครพนม!L791"")+IMPORTRANGE(""https://docs.google.com/spreadsheets/d/1bDQrolntRWtHumK8W-x-HXKntwxB9S3sF5aDeRS66Ko/edit?usp=share_link"",""นครราชสีมา!L791"")+IMPORTRANGE(""https://docs.google.com/spreadsheets/d/1_MzZ-2gVPiCW-d2V"&amp;"cafoCmFJQTSrZ6SQyFcMqRRQQ2w/edit?usp=share_link"",""บึงกาฬ!L791"")
+IMPORTRANGE(""https://docs.google.com/spreadsheets/d/1B3lPpzOuaNwVItLwLEZYl_qEblfcx7dRnbRkAw0l-pE/edit?usp=share_link"",""บุรีรัมย์!L791"")+IMPORTRANGE(""https://docs.google.com/spreadshe"&amp;"ets/d/19GOkiOqnzYbevLYWrMk4qFOXe3rX14BkSA8X-mq-a40/edit?usp=share_link"",""มหาสารคาม!L791"")+IMPORTRANGE(""https://docs.google.com/spreadsheets/d/1uMKqWwuNQ-TCKboGA3Bb1qXb5uj2-faACNUINCz8PN4/edit?usp=share_link"",""มุกดาหาร!L791"")+IMPORTRANGE(""https://d"&amp;"ocs.google.com/spreadsheets/d/1oKaccgDdQABndOzGr688Dbfxb_V3YcF67VqEPBtdzsc/edit?usp=share_link"",""ยโสธร!L791"")+IMPORTRANGE(""https://docs.google.com/spreadsheets/d/1BRgc8xKpxZ0PX-gauieMVkV_IOxKSotf0yW8MabGprQ/edit?usp=share_link"",""ร้อยเอ็ด!L791"")+IMP"&amp;"ORTRANGE(""https://docs.google.com/spreadsheets/d/1IdolZc-dfdgMwAm_KZxYJl1sUOcIgnbGQzbWOlddedo/edit?usp=share_link"",""เลย!L791"")+IMPORTRANGE(""https://docs.google.com/spreadsheets/d/1tZ0nmtGuIRCaGAMXHlQU8EpR9LOAJvyKfc4f7EFmE34/edit?usp=share_link"",""ศร"&amp;"ีสะเกษ!L791"")+IMPORTRANGE(""https://docs.google.com/spreadsheets/d/1QC8psz9w0f9IVE9Xuc2FT_btkaOzZbbUSgYObpBuetM/edit?usp=share_link"",""สกลนคร!L791"")+IMPORTRANGE(""https://docs.google.com/spreadsheets/d/1wPdvRbu02d33MYVlbsCnyTiZpefEBs9NNktAnT1HZvw/edit?"&amp;"usp=share_link"",""สุรินทร์!L791"")+IMPORTRANGE(""https://docs.google.com/spreadsheets/d/1GVExpf-Exi_2gmuqTYH28fseTB9MoKPXWcXCbSt_YrM/edit?usp=share_link"",""หนองคาย!L791"")+IMPORTRANGE(""https://docs.google.com/spreadsheets/d/16UeMz0UgOB5BZcoxP75eYGcLFtG"&amp;"YRn9GoesD4OX9m5U/edit?usp=share_link"",""หนองบัวลำภู!L791"")+IMPORTRANGE(""https://docs.google.com/spreadsheets/d/1uUP8Zo1-qaJLuIkRU0qlwLSE3DHkbdrrj2JGJiWBQZE/edit?usp=share_link"",""อำนาจเจริญ!L791"")+IMPORTRANGE(""https://docs.google.com/spreadsheets/d/"&amp;"1hb_taSOHanzRjqfzWPiFo8yiT83VV1L7vvUCLhOiHKc/edit?usp=share_link"",""อุดรธานี!L791"")+IMPORTRANGE(""https://docs.google.com/spreadsheets/d/17IOkEwkUd63EGNfyNDnM5de9YlZ7rwzTiW6-dokVjKI/edit?usp=share_link"",""อุบลราชธานี!L791"")
"),2156480)</f>
        <v>2156480</v>
      </c>
      <c r="M791" s="93">
        <f ca="1">IFERROR(__xludf.DUMMYFUNCTION("IMPORTRANGE(""https://docs.google.com/spreadsheets/d/1fb2B9NLcpJgjIieIJvenUTNPn0TimZDUi0OtYeiSQ_s/edit?usp=share_link"",""กาฬสินธุ์!M791"")+IMPORTRANGE(""https://docs.google.com/spreadsheets/d/1SaMnqrwRGmFYNR0MhpWmHuL5niYUd5E7vDq8X7whAlI/edit?usp=share_li"&amp;"nk"",""ขอนแก่น!M791"")
+IMPORTRANGE(""https://docs.google.com/spreadsheets/d/1xQzEtGHhTTgxHh6YUkKY1P4dRyjVhS74dGswLfAASA4/edit?usp=share_link"",""ชัยภูมิ!M791"")+IMPORTRANGE(""https://docs.google.com/spreadsheets/d/1EXMBoBxU3OFbjT2TRpneM33qFjqDzrKmn9ydcfl"&amp;"fI0o/edit?usp=share_link"",""นครพนม!M791"")+IMPORTRANGE(""https://docs.google.com/spreadsheets/d/1bDQrolntRWtHumK8W-x-HXKntwxB9S3sF5aDeRS66Ko/edit?usp=share_link"",""นครราชสีมา!M791"")+IMPORTRANGE(""https://docs.google.com/spreadsheets/d/1_MzZ-2gVPiCW-d2V"&amp;"cafoCmFJQTSrZ6SQyFcMqRRQQ2w/edit?usp=share_link"",""บึงกาฬ!M791"")
+IMPORTRANGE(""https://docs.google.com/spreadsheets/d/1B3lPpzOuaNwVItLwLEZYl_qEblfcx7dRnbRkAw0l-pE/edit?usp=share_link"",""บุรีรัมย์!M791"")+IMPORTRANGE(""https://docs.google.com/spreadshe"&amp;"ets/d/19GOkiOqnzYbevLYWrMk4qFOXe3rX14BkSA8X-mq-a40/edit?usp=share_link"",""มหาสารคาม!M791"")+IMPORTRANGE(""https://docs.google.com/spreadsheets/d/1uMKqWwuNQ-TCKboGA3Bb1qXb5uj2-faACNUINCz8PN4/edit?usp=share_link"",""มุกดาหาร!M791"")+IMPORTRANGE(""https://d"&amp;"ocs.google.com/spreadsheets/d/1oKaccgDdQABndOzGr688Dbfxb_V3YcF67VqEPBtdzsc/edit?usp=share_link"",""ยโสธร!M791"")+IMPORTRANGE(""https://docs.google.com/spreadsheets/d/1BRgc8xKpxZ0PX-gauieMVkV_IOxKSotf0yW8MabGprQ/edit?usp=share_link"",""ร้อยเอ็ด!M791"")+IMP"&amp;"ORTRANGE(""https://docs.google.com/spreadsheets/d/1IdolZc-dfdgMwAm_KZxYJl1sUOcIgnbGQzbWOlddedo/edit?usp=share_link"",""เลย!M791"")+IMPORTRANGE(""https://docs.google.com/spreadsheets/d/1tZ0nmtGuIRCaGAMXHlQU8EpR9LOAJvyKfc4f7EFmE34/edit?usp=share_link"",""ศร"&amp;"ีสะเกษ!M791"")+IMPORTRANGE(""https://docs.google.com/spreadsheets/d/1QC8psz9w0f9IVE9Xuc2FT_btkaOzZbbUSgYObpBuetM/edit?usp=share_link"",""สกลนคร!M791"")+IMPORTRANGE(""https://docs.google.com/spreadsheets/d/1wPdvRbu02d33MYVlbsCnyTiZpefEBs9NNktAnT1HZvw/edit?"&amp;"usp=share_link"",""สุรินทร์!M791"")+IMPORTRANGE(""https://docs.google.com/spreadsheets/d/1GVExpf-Exi_2gmuqTYH28fseTB9MoKPXWcXCbSt_YrM/edit?usp=share_link"",""หนองคาย!M791"")+IMPORTRANGE(""https://docs.google.com/spreadsheets/d/16UeMz0UgOB5BZcoxP75eYGcLFtG"&amp;"YRn9GoesD4OX9m5U/edit?usp=share_link"",""หนองบัวลำภู!M791"")+IMPORTRANGE(""https://docs.google.com/spreadsheets/d/1uUP8Zo1-qaJLuIkRU0qlwLSE3DHkbdrrj2JGJiWBQZE/edit?usp=share_link"",""อำนาจเจริญ!M791"")+IMPORTRANGE(""https://docs.google.com/spreadsheets/d/"&amp;"1hb_taSOHanzRjqfzWPiFo8yiT83VV1L7vvUCLhOiHKc/edit?usp=share_link"",""อุดรธานี!M791"")+IMPORTRANGE(""https://docs.google.com/spreadsheets/d/17IOkEwkUd63EGNfyNDnM5de9YlZ7rwzTiW6-dokVjKI/edit?usp=share_link"",""อุบลราชธานี!M791"")
"),2509853.8)</f>
        <v>2509853.7999999998</v>
      </c>
      <c r="N791" s="45">
        <f ca="1">N792+N793+N794+N795</f>
        <v>2509853.7999999998</v>
      </c>
      <c r="O791" s="45">
        <f t="shared" ca="1" si="362"/>
        <v>116.38660224068852</v>
      </c>
      <c r="P791" s="45">
        <f t="shared" ca="1" si="363"/>
        <v>100</v>
      </c>
      <c r="Q791" s="604"/>
      <c r="R791" s="604"/>
      <c r="S791" s="604"/>
      <c r="T791" s="604"/>
      <c r="U791" s="604"/>
      <c r="V791" s="604"/>
      <c r="W791" s="604"/>
      <c r="X791" s="604"/>
      <c r="Y791" s="604"/>
      <c r="Z791" s="604"/>
    </row>
    <row r="792" spans="1:26" ht="18.75">
      <c r="A792" s="574"/>
      <c r="B792" s="575"/>
      <c r="C792" s="576"/>
      <c r="D792" s="576"/>
      <c r="E792" s="576"/>
      <c r="F792" s="577" t="s">
        <v>187</v>
      </c>
      <c r="G792" s="189"/>
      <c r="H792" s="814" t="s">
        <v>12</v>
      </c>
      <c r="I792" s="811"/>
      <c r="J792" s="811"/>
      <c r="K792" s="812"/>
      <c r="L792" s="38"/>
      <c r="M792" s="38"/>
      <c r="N792" s="283">
        <f ca="1">IFERROR(__xludf.DUMMYFUNCTION("IMPORTRANGE(""https://docs.google.com/spreadsheets/d/1fb2B9NLcpJgjIieIJvenUTNPn0TimZDUi0OtYeiSQ_s/edit?usp=share_link"",""กาฬสินธุ์!N792"")+IMPORTRANGE(""https://docs.google.com/spreadsheets/d/1SaMnqrwRGmFYNR0MhpWmHuL5niYUd5E7vDq8X7whAlI/edit?usp=share_li"&amp;"nk"",""ขอนแก่น!N792"")
+IMPORTRANGE(""https://docs.google.com/spreadsheets/d/1xQzEtGHhTTgxHh6YUkKY1P4dRyjVhS74dGswLfAASA4/edit?usp=share_link"",""ชัยภูมิ!N792"")+IMPORTRANGE(""https://docs.google.com/spreadsheets/d/1EXMBoBxU3OFbjT2TRpneM33qFjqDzrKmn9ydcfl"&amp;"fI0o/edit?usp=share_link"",""นครพนม!N792"")+IMPORTRANGE(""https://docs.google.com/spreadsheets/d/1bDQrolntRWtHumK8W-x-HXKntwxB9S3sF5aDeRS66Ko/edit?usp=share_link"",""นครราชสีมา!N792"")+IMPORTRANGE(""https://docs.google.com/spreadsheets/d/1_MzZ-2gVPiCW-d2V"&amp;"cafoCmFJQTSrZ6SQyFcMqRRQQ2w/edit?usp=share_link"",""บึงกาฬ!N792"")
+IMPORTRANGE(""https://docs.google.com/spreadsheets/d/1B3lPpzOuaNwVItLwLEZYl_qEblfcx7dRnbRkAw0l-pE/edit?usp=share_link"",""บุรีรัมย์!N792"")+IMPORTRANGE(""https://docs.google.com/spreadshe"&amp;"ets/d/19GOkiOqnzYbevLYWrMk4qFOXe3rX14BkSA8X-mq-a40/edit?usp=share_link"",""มหาสารคาม!N792"")+IMPORTRANGE(""https://docs.google.com/spreadsheets/d/1uMKqWwuNQ-TCKboGA3Bb1qXb5uj2-faACNUINCz8PN4/edit?usp=share_link"",""มุกดาหาร!N792"")+IMPORTRANGE(""https://d"&amp;"ocs.google.com/spreadsheets/d/1oKaccgDdQABndOzGr688Dbfxb_V3YcF67VqEPBtdzsc/edit?usp=share_link"",""ยโสธร!N792"")+IMPORTRANGE(""https://docs.google.com/spreadsheets/d/1BRgc8xKpxZ0PX-gauieMVkV_IOxKSotf0yW8MabGprQ/edit?usp=share_link"",""ร้อยเอ็ด!N792"")+IMP"&amp;"ORTRANGE(""https://docs.google.com/spreadsheets/d/1IdolZc-dfdgMwAm_KZxYJl1sUOcIgnbGQzbWOlddedo/edit?usp=share_link"",""เลย!N792"")+IMPORTRANGE(""https://docs.google.com/spreadsheets/d/1tZ0nmtGuIRCaGAMXHlQU8EpR9LOAJvyKfc4f7EFmE34/edit?usp=share_link"",""ศร"&amp;"ีสะเกษ!N792"")+IMPORTRANGE(""https://docs.google.com/spreadsheets/d/1QC8psz9w0f9IVE9Xuc2FT_btkaOzZbbUSgYObpBuetM/edit?usp=share_link"",""สกลนคร!N792"")+IMPORTRANGE(""https://docs.google.com/spreadsheets/d/1wPdvRbu02d33MYVlbsCnyTiZpefEBs9NNktAnT1HZvw/edit?"&amp;"usp=share_link"",""สุรินทร์!N792"")+IMPORTRANGE(""https://docs.google.com/spreadsheets/d/1GVExpf-Exi_2gmuqTYH28fseTB9MoKPXWcXCbSt_YrM/edit?usp=share_link"",""หนองคาย!N792"")+IMPORTRANGE(""https://docs.google.com/spreadsheets/d/16UeMz0UgOB5BZcoxP75eYGcLFtG"&amp;"YRn9GoesD4OX9m5U/edit?usp=share_link"",""หนองบัวลำภู!N792"")+IMPORTRANGE(""https://docs.google.com/spreadsheets/d/1uUP8Zo1-qaJLuIkRU0qlwLSE3DHkbdrrj2JGJiWBQZE/edit?usp=share_link"",""อำนาจเจริญ!N792"")+IMPORTRANGE(""https://docs.google.com/spreadsheets/d/"&amp;"1hb_taSOHanzRjqfzWPiFo8yiT83VV1L7vvUCLhOiHKc/edit?usp=share_link"",""อุดรธานี!N792"")+IMPORTRANGE(""https://docs.google.com/spreadsheets/d/17IOkEwkUd63EGNfyNDnM5de9YlZ7rwzTiW6-dokVjKI/edit?usp=share_link"",""อุบลราชธานี!N792"")
"),0)</f>
        <v>0</v>
      </c>
      <c r="O792" s="38"/>
      <c r="P792" s="3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</row>
    <row r="793" spans="1:26" ht="18.75">
      <c r="A793" s="574"/>
      <c r="B793" s="575"/>
      <c r="C793" s="576"/>
      <c r="D793" s="576"/>
      <c r="E793" s="576"/>
      <c r="F793" s="577" t="s">
        <v>188</v>
      </c>
      <c r="G793" s="189"/>
      <c r="H793" s="814" t="s">
        <v>12</v>
      </c>
      <c r="I793" s="811"/>
      <c r="J793" s="811"/>
      <c r="K793" s="812"/>
      <c r="L793" s="38"/>
      <c r="M793" s="38"/>
      <c r="N793" s="283">
        <f ca="1">IFERROR(__xludf.DUMMYFUNCTION("IMPORTRANGE(""https://docs.google.com/spreadsheets/d/1fb2B9NLcpJgjIieIJvenUTNPn0TimZDUi0OtYeiSQ_s/edit?usp=share_link"",""กาฬสินธุ์!N793"")+IMPORTRANGE(""https://docs.google.com/spreadsheets/d/1SaMnqrwRGmFYNR0MhpWmHuL5niYUd5E7vDq8X7whAlI/edit?usp=share_li"&amp;"nk"",""ขอนแก่น!N793"")
+IMPORTRANGE(""https://docs.google.com/spreadsheets/d/1xQzEtGHhTTgxHh6YUkKY1P4dRyjVhS74dGswLfAASA4/edit?usp=share_link"",""ชัยภูมิ!N793"")+IMPORTRANGE(""https://docs.google.com/spreadsheets/d/1EXMBoBxU3OFbjT2TRpneM33qFjqDzrKmn9ydcfl"&amp;"fI0o/edit?usp=share_link"",""นครพนม!N793"")+IMPORTRANGE(""https://docs.google.com/spreadsheets/d/1bDQrolntRWtHumK8W-x-HXKntwxB9S3sF5aDeRS66Ko/edit?usp=share_link"",""นครราชสีมา!N793"")+IMPORTRANGE(""https://docs.google.com/spreadsheets/d/1_MzZ-2gVPiCW-d2V"&amp;"cafoCmFJQTSrZ6SQyFcMqRRQQ2w/edit?usp=share_link"",""บึงกาฬ!N793"")
+IMPORTRANGE(""https://docs.google.com/spreadsheets/d/1B3lPpzOuaNwVItLwLEZYl_qEblfcx7dRnbRkAw0l-pE/edit?usp=share_link"",""บุรีรัมย์!N793"")+IMPORTRANGE(""https://docs.google.com/spreadshe"&amp;"ets/d/19GOkiOqnzYbevLYWrMk4qFOXe3rX14BkSA8X-mq-a40/edit?usp=share_link"",""มหาสารคาม!N793"")+IMPORTRANGE(""https://docs.google.com/spreadsheets/d/1uMKqWwuNQ-TCKboGA3Bb1qXb5uj2-faACNUINCz8PN4/edit?usp=share_link"",""มุกดาหาร!N793"")+IMPORTRANGE(""https://d"&amp;"ocs.google.com/spreadsheets/d/1oKaccgDdQABndOzGr688Dbfxb_V3YcF67VqEPBtdzsc/edit?usp=share_link"",""ยโสธร!N793"")+IMPORTRANGE(""https://docs.google.com/spreadsheets/d/1BRgc8xKpxZ0PX-gauieMVkV_IOxKSotf0yW8MabGprQ/edit?usp=share_link"",""ร้อยเอ็ด!N793"")+IMP"&amp;"ORTRANGE(""https://docs.google.com/spreadsheets/d/1IdolZc-dfdgMwAm_KZxYJl1sUOcIgnbGQzbWOlddedo/edit?usp=share_link"",""เลย!N793"")+IMPORTRANGE(""https://docs.google.com/spreadsheets/d/1tZ0nmtGuIRCaGAMXHlQU8EpR9LOAJvyKfc4f7EFmE34/edit?usp=share_link"",""ศร"&amp;"ีสะเกษ!N793"")+IMPORTRANGE(""https://docs.google.com/spreadsheets/d/1QC8psz9w0f9IVE9Xuc2FT_btkaOzZbbUSgYObpBuetM/edit?usp=share_link"",""สกลนคร!N793"")+IMPORTRANGE(""https://docs.google.com/spreadsheets/d/1wPdvRbu02d33MYVlbsCnyTiZpefEBs9NNktAnT1HZvw/edit?"&amp;"usp=share_link"",""สุรินทร์!N793"")+IMPORTRANGE(""https://docs.google.com/spreadsheets/d/1GVExpf-Exi_2gmuqTYH28fseTB9MoKPXWcXCbSt_YrM/edit?usp=share_link"",""หนองคาย!N793"")+IMPORTRANGE(""https://docs.google.com/spreadsheets/d/16UeMz0UgOB5BZcoxP75eYGcLFtG"&amp;"YRn9GoesD4OX9m5U/edit?usp=share_link"",""หนองบัวลำภู!N793"")+IMPORTRANGE(""https://docs.google.com/spreadsheets/d/1uUP8Zo1-qaJLuIkRU0qlwLSE3DHkbdrrj2JGJiWBQZE/edit?usp=share_link"",""อำนาจเจริญ!N793"")+IMPORTRANGE(""https://docs.google.com/spreadsheets/d/"&amp;"1hb_taSOHanzRjqfzWPiFo8yiT83VV1L7vvUCLhOiHKc/edit?usp=share_link"",""อุดรธานี!N793"")+IMPORTRANGE(""https://docs.google.com/spreadsheets/d/17IOkEwkUd63EGNfyNDnM5de9YlZ7rwzTiW6-dokVjKI/edit?usp=share_link"",""อุบลราชธานี!N793"")
"),46755)</f>
        <v>46755</v>
      </c>
      <c r="O793" s="38"/>
      <c r="P793" s="3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</row>
    <row r="794" spans="1:26" ht="18.75">
      <c r="A794" s="574"/>
      <c r="B794" s="575"/>
      <c r="C794" s="576"/>
      <c r="D794" s="576"/>
      <c r="E794" s="576"/>
      <c r="F794" s="577" t="s">
        <v>189</v>
      </c>
      <c r="G794" s="189"/>
      <c r="H794" s="814" t="s">
        <v>12</v>
      </c>
      <c r="I794" s="811"/>
      <c r="J794" s="811"/>
      <c r="K794" s="812"/>
      <c r="L794" s="38"/>
      <c r="M794" s="38"/>
      <c r="N794" s="283">
        <f ca="1">IFERROR(__xludf.DUMMYFUNCTION("IMPORTRANGE(""https://docs.google.com/spreadsheets/d/1fb2B9NLcpJgjIieIJvenUTNPn0TimZDUi0OtYeiSQ_s/edit?usp=share_link"",""กาฬสินธุ์!N794"")+IMPORTRANGE(""https://docs.google.com/spreadsheets/d/1SaMnqrwRGmFYNR0MhpWmHuL5niYUd5E7vDq8X7whAlI/edit?usp=share_li"&amp;"nk"",""ขอนแก่น!N794"")
+IMPORTRANGE(""https://docs.google.com/spreadsheets/d/1xQzEtGHhTTgxHh6YUkKY1P4dRyjVhS74dGswLfAASA4/edit?usp=share_link"",""ชัยภูมิ!N794"")+IMPORTRANGE(""https://docs.google.com/spreadsheets/d/1EXMBoBxU3OFbjT2TRpneM33qFjqDzrKmn9ydcfl"&amp;"fI0o/edit?usp=share_link"",""นครพนม!N794"")+IMPORTRANGE(""https://docs.google.com/spreadsheets/d/1bDQrolntRWtHumK8W-x-HXKntwxB9S3sF5aDeRS66Ko/edit?usp=share_link"",""นครราชสีมา!N794"")+IMPORTRANGE(""https://docs.google.com/spreadsheets/d/1_MzZ-2gVPiCW-d2V"&amp;"cafoCmFJQTSrZ6SQyFcMqRRQQ2w/edit?usp=share_link"",""บึงกาฬ!N794"")
+IMPORTRANGE(""https://docs.google.com/spreadsheets/d/1B3lPpzOuaNwVItLwLEZYl_qEblfcx7dRnbRkAw0l-pE/edit?usp=share_link"",""บุรีรัมย์!N794"")+IMPORTRANGE(""https://docs.google.com/spreadshe"&amp;"ets/d/19GOkiOqnzYbevLYWrMk4qFOXe3rX14BkSA8X-mq-a40/edit?usp=share_link"",""มหาสารคาม!N794"")+IMPORTRANGE(""https://docs.google.com/spreadsheets/d/1uMKqWwuNQ-TCKboGA3Bb1qXb5uj2-faACNUINCz8PN4/edit?usp=share_link"",""มุกดาหาร!N794"")+IMPORTRANGE(""https://d"&amp;"ocs.google.com/spreadsheets/d/1oKaccgDdQABndOzGr688Dbfxb_V3YcF67VqEPBtdzsc/edit?usp=share_link"",""ยโสธร!N794"")+IMPORTRANGE(""https://docs.google.com/spreadsheets/d/1BRgc8xKpxZ0PX-gauieMVkV_IOxKSotf0yW8MabGprQ/edit?usp=share_link"",""ร้อยเอ็ด!N794"")+IMP"&amp;"ORTRANGE(""https://docs.google.com/spreadsheets/d/1IdolZc-dfdgMwAm_KZxYJl1sUOcIgnbGQzbWOlddedo/edit?usp=share_link"",""เลย!N794"")+IMPORTRANGE(""https://docs.google.com/spreadsheets/d/1tZ0nmtGuIRCaGAMXHlQU8EpR9LOAJvyKfc4f7EFmE34/edit?usp=share_link"",""ศร"&amp;"ีสะเกษ!N794"")+IMPORTRANGE(""https://docs.google.com/spreadsheets/d/1QC8psz9w0f9IVE9Xuc2FT_btkaOzZbbUSgYObpBuetM/edit?usp=share_link"",""สกลนคร!N794"")+IMPORTRANGE(""https://docs.google.com/spreadsheets/d/1wPdvRbu02d33MYVlbsCnyTiZpefEBs9NNktAnT1HZvw/edit?"&amp;"usp=share_link"",""สุรินทร์!N794"")+IMPORTRANGE(""https://docs.google.com/spreadsheets/d/1GVExpf-Exi_2gmuqTYH28fseTB9MoKPXWcXCbSt_YrM/edit?usp=share_link"",""หนองคาย!N794"")+IMPORTRANGE(""https://docs.google.com/spreadsheets/d/16UeMz0UgOB5BZcoxP75eYGcLFtG"&amp;"YRn9GoesD4OX9m5U/edit?usp=share_link"",""หนองบัวลำภู!N794"")+IMPORTRANGE(""https://docs.google.com/spreadsheets/d/1uUP8Zo1-qaJLuIkRU0qlwLSE3DHkbdrrj2JGJiWBQZE/edit?usp=share_link"",""อำนาจเจริญ!N794"")+IMPORTRANGE(""https://docs.google.com/spreadsheets/d/"&amp;"1hb_taSOHanzRjqfzWPiFo8yiT83VV1L7vvUCLhOiHKc/edit?usp=share_link"",""อุดรธานี!N794"")+IMPORTRANGE(""https://docs.google.com/spreadsheets/d/17IOkEwkUd63EGNfyNDnM5de9YlZ7rwzTiW6-dokVjKI/edit?usp=share_link"",""อุบลราชธานี!N794"")
"),806507.37)</f>
        <v>806507.37</v>
      </c>
      <c r="O794" s="38"/>
      <c r="P794" s="3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</row>
    <row r="795" spans="1:26" ht="18.75">
      <c r="A795" s="574"/>
      <c r="B795" s="575"/>
      <c r="C795" s="576"/>
      <c r="D795" s="576"/>
      <c r="E795" s="576"/>
      <c r="F795" s="577" t="s">
        <v>190</v>
      </c>
      <c r="G795" s="189"/>
      <c r="H795" s="814" t="s">
        <v>12</v>
      </c>
      <c r="I795" s="811"/>
      <c r="J795" s="811"/>
      <c r="K795" s="812"/>
      <c r="L795" s="38"/>
      <c r="M795" s="38"/>
      <c r="N795" s="283">
        <f ca="1">IFERROR(__xludf.DUMMYFUNCTION("IMPORTRANGE(""https://docs.google.com/spreadsheets/d/1fb2B9NLcpJgjIieIJvenUTNPn0TimZDUi0OtYeiSQ_s/edit?usp=share_link"",""กาฬสินธุ์!N795"")+IMPORTRANGE(""https://docs.google.com/spreadsheets/d/1SaMnqrwRGmFYNR0MhpWmHuL5niYUd5E7vDq8X7whAlI/edit?usp=share_li"&amp;"nk"",""ขอนแก่น!N795"")
+IMPORTRANGE(""https://docs.google.com/spreadsheets/d/1xQzEtGHhTTgxHh6YUkKY1P4dRyjVhS74dGswLfAASA4/edit?usp=share_link"",""ชัยภูมิ!N795"")+IMPORTRANGE(""https://docs.google.com/spreadsheets/d/1EXMBoBxU3OFbjT2TRpneM33qFjqDzrKmn9ydcfl"&amp;"fI0o/edit?usp=share_link"",""นครพนม!N795"")+IMPORTRANGE(""https://docs.google.com/spreadsheets/d/1bDQrolntRWtHumK8W-x-HXKntwxB9S3sF5aDeRS66Ko/edit?usp=share_link"",""นครราชสีมา!N795"")+IMPORTRANGE(""https://docs.google.com/spreadsheets/d/1_MzZ-2gVPiCW-d2V"&amp;"cafoCmFJQTSrZ6SQyFcMqRRQQ2w/edit?usp=share_link"",""บึงกาฬ!N795"")
+IMPORTRANGE(""https://docs.google.com/spreadsheets/d/1B3lPpzOuaNwVItLwLEZYl_qEblfcx7dRnbRkAw0l-pE/edit?usp=share_link"",""บุรีรัมย์!N795"")+IMPORTRANGE(""https://docs.google.com/spreadshe"&amp;"ets/d/19GOkiOqnzYbevLYWrMk4qFOXe3rX14BkSA8X-mq-a40/edit?usp=share_link"",""มหาสารคาม!N795"")+IMPORTRANGE(""https://docs.google.com/spreadsheets/d/1uMKqWwuNQ-TCKboGA3Bb1qXb5uj2-faACNUINCz8PN4/edit?usp=share_link"",""มุกดาหาร!N795"")+IMPORTRANGE(""https://d"&amp;"ocs.google.com/spreadsheets/d/1oKaccgDdQABndOzGr688Dbfxb_V3YcF67VqEPBtdzsc/edit?usp=share_link"",""ยโสธร!N795"")+IMPORTRANGE(""https://docs.google.com/spreadsheets/d/1BRgc8xKpxZ0PX-gauieMVkV_IOxKSotf0yW8MabGprQ/edit?usp=share_link"",""ร้อยเอ็ด!N795"")+IMP"&amp;"ORTRANGE(""https://docs.google.com/spreadsheets/d/1IdolZc-dfdgMwAm_KZxYJl1sUOcIgnbGQzbWOlddedo/edit?usp=share_link"",""เลย!N795"")+IMPORTRANGE(""https://docs.google.com/spreadsheets/d/1tZ0nmtGuIRCaGAMXHlQU8EpR9LOAJvyKfc4f7EFmE34/edit?usp=share_link"",""ศร"&amp;"ีสะเกษ!N795"")+IMPORTRANGE(""https://docs.google.com/spreadsheets/d/1QC8psz9w0f9IVE9Xuc2FT_btkaOzZbbUSgYObpBuetM/edit?usp=share_link"",""สกลนคร!N795"")+IMPORTRANGE(""https://docs.google.com/spreadsheets/d/1wPdvRbu02d33MYVlbsCnyTiZpefEBs9NNktAnT1HZvw/edit?"&amp;"usp=share_link"",""สุรินทร์!N795"")+IMPORTRANGE(""https://docs.google.com/spreadsheets/d/1GVExpf-Exi_2gmuqTYH28fseTB9MoKPXWcXCbSt_YrM/edit?usp=share_link"",""หนองคาย!N795"")+IMPORTRANGE(""https://docs.google.com/spreadsheets/d/16UeMz0UgOB5BZcoxP75eYGcLFtG"&amp;"YRn9GoesD4OX9m5U/edit?usp=share_link"",""หนองบัวลำภู!N795"")+IMPORTRANGE(""https://docs.google.com/spreadsheets/d/1uUP8Zo1-qaJLuIkRU0qlwLSE3DHkbdrrj2JGJiWBQZE/edit?usp=share_link"",""อำนาจเจริญ!N795"")+IMPORTRANGE(""https://docs.google.com/spreadsheets/d/"&amp;"1hb_taSOHanzRjqfzWPiFo8yiT83VV1L7vvUCLhOiHKc/edit?usp=share_link"",""อุดรธานี!N795"")+IMPORTRANGE(""https://docs.google.com/spreadsheets/d/17IOkEwkUd63EGNfyNDnM5de9YlZ7rwzTiW6-dokVjKI/edit?usp=share_link"",""อุบลราชธานี!N795"")
"),1656591.43)</f>
        <v>1656591.43</v>
      </c>
      <c r="O795" s="38"/>
      <c r="P795" s="3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</row>
    <row r="796" spans="1:26" ht="18.75">
      <c r="A796" s="597"/>
      <c r="B796" s="575"/>
      <c r="C796" s="576"/>
      <c r="D796" s="606" t="s">
        <v>21</v>
      </c>
      <c r="E796" s="576"/>
      <c r="F796" s="576"/>
      <c r="G796" s="189"/>
      <c r="H796" s="817" t="s">
        <v>12</v>
      </c>
      <c r="I796" s="815"/>
      <c r="J796" s="815"/>
      <c r="K796" s="816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</row>
    <row r="797" spans="1:26" ht="18.75" hidden="1">
      <c r="A797" s="599"/>
      <c r="B797" s="605"/>
      <c r="C797" s="600"/>
      <c r="D797" s="600"/>
      <c r="E797" s="602" t="s">
        <v>18</v>
      </c>
      <c r="F797" s="600"/>
      <c r="G797" s="603"/>
      <c r="H797" s="813" t="s">
        <v>12</v>
      </c>
      <c r="I797" s="815"/>
      <c r="J797" s="815"/>
      <c r="K797" s="816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604"/>
      <c r="R797" s="604"/>
      <c r="S797" s="604"/>
      <c r="T797" s="604"/>
      <c r="U797" s="604"/>
      <c r="V797" s="604"/>
      <c r="W797" s="604"/>
      <c r="X797" s="604"/>
      <c r="Y797" s="604"/>
      <c r="Z797" s="604"/>
    </row>
    <row r="798" spans="1:26" ht="18.75" hidden="1">
      <c r="A798" s="599"/>
      <c r="B798" s="605"/>
      <c r="C798" s="600"/>
      <c r="D798" s="600"/>
      <c r="E798" s="602" t="s">
        <v>19</v>
      </c>
      <c r="F798" s="600"/>
      <c r="G798" s="603"/>
      <c r="H798" s="818" t="s">
        <v>12</v>
      </c>
      <c r="I798" s="815"/>
      <c r="J798" s="815"/>
      <c r="K798" s="816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604"/>
      <c r="R798" s="604"/>
      <c r="S798" s="604"/>
      <c r="T798" s="604"/>
      <c r="U798" s="604"/>
      <c r="V798" s="604"/>
      <c r="W798" s="604"/>
      <c r="X798" s="604"/>
      <c r="Y798" s="604"/>
      <c r="Z798" s="604"/>
    </row>
    <row r="799" spans="1:26" ht="19.5">
      <c r="A799" s="608"/>
      <c r="B799" s="609"/>
      <c r="C799" s="576" t="s">
        <v>16</v>
      </c>
      <c r="D799" s="760" t="s">
        <v>38</v>
      </c>
      <c r="E799" s="612"/>
      <c r="F799" s="612"/>
      <c r="G799" s="613"/>
      <c r="H799" s="819"/>
      <c r="I799" s="815"/>
      <c r="J799" s="815"/>
      <c r="K799" s="816"/>
      <c r="L799" s="163"/>
      <c r="M799" s="163"/>
      <c r="N799" s="163"/>
      <c r="O799" s="163"/>
      <c r="P799" s="163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</row>
    <row r="800" spans="1:26" ht="18.75">
      <c r="A800" s="608"/>
      <c r="B800" s="609"/>
      <c r="C800" s="609"/>
      <c r="D800" s="609"/>
      <c r="E800" s="619"/>
      <c r="F800" s="187" t="s">
        <v>321</v>
      </c>
      <c r="G800" s="175"/>
      <c r="H800" s="820" t="s">
        <v>34</v>
      </c>
      <c r="I800" s="815"/>
      <c r="J800" s="821">
        <f ca="1">IFERROR(__xludf.DUMMYFUNCTION("IMPORTRANGE(""https://docs.google.com/spreadsheets/d/1fb2B9NLcpJgjIieIJvenUTNPn0TimZDUi0OtYeiSQ_s/edit?usp=share_link"",""กาฬสินธุ์!J800"")+IMPORTRANGE(""https://docs.google.com/spreadsheets/d/1SaMnqrwRGmFYNR0MhpWmHuL5niYUd5E7vDq8X7whAlI/edit?usp=share_li"&amp;"nk"",""ขอนแก่น!J800"")
+IMPORTRANGE(""https://docs.google.com/spreadsheets/d/1xQzEtGHhTTgxHh6YUkKY1P4dRyjVhS74dGswLfAASA4/edit?usp=share_link"",""ชัยภูมิ!J800"")+IMPORTRANGE(""https://docs.google.com/spreadsheets/d/1EXMBoBxU3OFbjT2TRpneM33qFjqDzrKmn9ydcfl"&amp;"fI0o/edit?usp=share_link"",""นครพนม!J800"")+IMPORTRANGE(""https://docs.google.com/spreadsheets/d/1bDQrolntRWtHumK8W-x-HXKntwxB9S3sF5aDeRS66Ko/edit?usp=share_link"",""นครราชสีมา!J800"")+IMPORTRANGE(""https://docs.google.com/spreadsheets/d/1_MzZ-2gVPiCW-d2V"&amp;"cafoCmFJQTSrZ6SQyFcMqRRQQ2w/edit?usp=share_link"",""บึงกาฬ!J800"")
+IMPORTRANGE(""https://docs.google.com/spreadsheets/d/1B3lPpzOuaNwVItLwLEZYl_qEblfcx7dRnbRkAw0l-pE/edit?usp=share_link"",""บุรีรัมย์!J800"")+IMPORTRANGE(""https://docs.google.com/spreadshe"&amp;"ets/d/19GOkiOqnzYbevLYWrMk4qFOXe3rX14BkSA8X-mq-a40/edit?usp=share_link"",""มหาสารคาม!J800"")+IMPORTRANGE(""https://docs.google.com/spreadsheets/d/1uMKqWwuNQ-TCKboGA3Bb1qXb5uj2-faACNUINCz8PN4/edit?usp=share_link"",""มุกดาหาร!J800"")+IMPORTRANGE(""https://d"&amp;"ocs.google.com/spreadsheets/d/1oKaccgDdQABndOzGr688Dbfxb_V3YcF67VqEPBtdzsc/edit?usp=share_link"",""ยโสธร!J800"")+IMPORTRANGE(""https://docs.google.com/spreadsheets/d/1BRgc8xKpxZ0PX-gauieMVkV_IOxKSotf0yW8MabGprQ/edit?usp=share_link"",""ร้อยเอ็ด!J800"")+IMP"&amp;"ORTRANGE(""https://docs.google.com/spreadsheets/d/1IdolZc-dfdgMwAm_KZxYJl1sUOcIgnbGQzbWOlddedo/edit?usp=share_link"",""เลย!J800"")+IMPORTRANGE(""https://docs.google.com/spreadsheets/d/1tZ0nmtGuIRCaGAMXHlQU8EpR9LOAJvyKfc4f7EFmE34/edit?usp=share_link"",""ศร"&amp;"ีสะเกษ!J800"")+IMPORTRANGE(""https://docs.google.com/spreadsheets/d/1QC8psz9w0f9IVE9Xuc2FT_btkaOzZbbUSgYObpBuetM/edit?usp=share_link"",""สกลนคร!J800"")+IMPORTRANGE(""https://docs.google.com/spreadsheets/d/1wPdvRbu02d33MYVlbsCnyTiZpefEBs9NNktAnT1HZvw/edit?"&amp;"usp=share_link"",""สุรินทร์!J800"")+IMPORTRANGE(""https://docs.google.com/spreadsheets/d/1GVExpf-Exi_2gmuqTYH28fseTB9MoKPXWcXCbSt_YrM/edit?usp=share_link"",""หนองคาย!J800"")+IMPORTRANGE(""https://docs.google.com/spreadsheets/d/16UeMz0UgOB5BZcoxP75eYGcLFtG"&amp;"YRn9GoesD4OX9m5U/edit?usp=share_link"",""หนองบัวลำภู!J800"")+IMPORTRANGE(""https://docs.google.com/spreadsheets/d/1uUP8Zo1-qaJLuIkRU0qlwLSE3DHkbdrrj2JGJiWBQZE/edit?usp=share_link"",""อำนาจเจริญ!J800"")+IMPORTRANGE(""https://docs.google.com/spreadsheets/d/"&amp;"1hb_taSOHanzRjqfzWPiFo8yiT83VV1L7vvUCLhOiHKc/edit?usp=share_link"",""อุดรธานี!J800"")+IMPORTRANGE(""https://docs.google.com/spreadsheets/d/17IOkEwkUd63EGNfyNDnM5de9YlZ7rwzTiW6-dokVjKI/edit?usp=share_link"",""อุบลราชธานี!J800"")
"),2309)</f>
        <v>2309</v>
      </c>
      <c r="K800" s="812"/>
      <c r="L800" s="38"/>
      <c r="M800" s="38"/>
      <c r="N800" s="38"/>
      <c r="O800" s="163"/>
      <c r="P800" s="163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</row>
    <row r="801" spans="1:26" ht="18.75">
      <c r="A801" s="608"/>
      <c r="B801" s="609"/>
      <c r="C801" s="609"/>
      <c r="D801" s="609"/>
      <c r="E801" s="619"/>
      <c r="F801" s="619"/>
      <c r="G801" s="175"/>
      <c r="H801" s="814" t="s">
        <v>46</v>
      </c>
      <c r="I801" s="821">
        <f ca="1">IFERROR(__xludf.DUMMYFUNCTION("IMPORTRANGE(""https://docs.google.com/spreadsheets/d/1fb2B9NLcpJgjIieIJvenUTNPn0TimZDUi0OtYeiSQ_s/edit?usp=share_link"",""กาฬสินธุ์!I801"")+IMPORTRANGE(""https://docs.google.com/spreadsheets/d/1SaMnqrwRGmFYNR0MhpWmHuL5niYUd5E7vDq8X7whAlI/edit?usp=share_li"&amp;"nk"",""ขอนแก่น!I801"")
+IMPORTRANGE(""https://docs.google.com/spreadsheets/d/1xQzEtGHhTTgxHh6YUkKY1P4dRyjVhS74dGswLfAASA4/edit?usp=share_link"",""ชัยภูมิ!I801"")+IMPORTRANGE(""https://docs.google.com/spreadsheets/d/1EXMBoBxU3OFbjT2TRpneM33qFjqDzrKmn9ydcfl"&amp;"fI0o/edit?usp=share_link"",""นครพนม!I801"")+IMPORTRANGE(""https://docs.google.com/spreadsheets/d/1bDQrolntRWtHumK8W-x-HXKntwxB9S3sF5aDeRS66Ko/edit?usp=share_link"",""นครราชสีมา!I801"")+IMPORTRANGE(""https://docs.google.com/spreadsheets/d/1_MzZ-2gVPiCW-d2V"&amp;"cafoCmFJQTSrZ6SQyFcMqRRQQ2w/edit?usp=share_link"",""บึงกาฬ!I801"")
+IMPORTRANGE(""https://docs.google.com/spreadsheets/d/1B3lPpzOuaNwVItLwLEZYl_qEblfcx7dRnbRkAw0l-pE/edit?usp=share_link"",""บุรีรัมย์!I801"")+IMPORTRANGE(""https://docs.google.com/spreadshe"&amp;"ets/d/19GOkiOqnzYbevLYWrMk4qFOXe3rX14BkSA8X-mq-a40/edit?usp=share_link"",""มหาสารคาม!I801"")+IMPORTRANGE(""https://docs.google.com/spreadsheets/d/1uMKqWwuNQ-TCKboGA3Bb1qXb5uj2-faACNUINCz8PN4/edit?usp=share_link"",""มุกดาหาร!I801"")+IMPORTRANGE(""https://d"&amp;"ocs.google.com/spreadsheets/d/1oKaccgDdQABndOzGr688Dbfxb_V3YcF67VqEPBtdzsc/edit?usp=share_link"",""ยโสธร!I801"")+IMPORTRANGE(""https://docs.google.com/spreadsheets/d/1BRgc8xKpxZ0PX-gauieMVkV_IOxKSotf0yW8MabGprQ/edit?usp=share_link"",""ร้อยเอ็ด!I801"")+IMP"&amp;"ORTRANGE(""https://docs.google.com/spreadsheets/d/1IdolZc-dfdgMwAm_KZxYJl1sUOcIgnbGQzbWOlddedo/edit?usp=share_link"",""เลย!I801"")+IMPORTRANGE(""https://docs.google.com/spreadsheets/d/1tZ0nmtGuIRCaGAMXHlQU8EpR9LOAJvyKfc4f7EFmE34/edit?usp=share_link"",""ศร"&amp;"ีสะเกษ!I801"")+IMPORTRANGE(""https://docs.google.com/spreadsheets/d/1QC8psz9w0f9IVE9Xuc2FT_btkaOzZbbUSgYObpBuetM/edit?usp=share_link"",""สกลนคร!I801"")+IMPORTRANGE(""https://docs.google.com/spreadsheets/d/1wPdvRbu02d33MYVlbsCnyTiZpefEBs9NNktAnT1HZvw/edit?"&amp;"usp=share_link"",""สุรินทร์!I801"")+IMPORTRANGE(""https://docs.google.com/spreadsheets/d/1GVExpf-Exi_2gmuqTYH28fseTB9MoKPXWcXCbSt_YrM/edit?usp=share_link"",""หนองคาย!I801"")+IMPORTRANGE(""https://docs.google.com/spreadsheets/d/16UeMz0UgOB5BZcoxP75eYGcLFtG"&amp;"YRn9GoesD4OX9m5U/edit?usp=share_link"",""หนองบัวลำภู!I801"")+IMPORTRANGE(""https://docs.google.com/spreadsheets/d/1uUP8Zo1-qaJLuIkRU0qlwLSE3DHkbdrrj2JGJiWBQZE/edit?usp=share_link"",""อำนาจเจริญ!I801"")+IMPORTRANGE(""https://docs.google.com/spreadsheets/d/"&amp;"1hb_taSOHanzRjqfzWPiFo8yiT83VV1L7vvUCLhOiHKc/edit?usp=share_link"",""อุดรธานี!I801"")+IMPORTRANGE(""https://docs.google.com/spreadsheets/d/17IOkEwkUd63EGNfyNDnM5de9YlZ7rwzTiW6-dokVjKI/edit?usp=share_link"",""อุบลราชธานี!I801"")
"),32000)</f>
        <v>32000</v>
      </c>
      <c r="J801" s="822">
        <f ca="1">IFERROR(__xludf.DUMMYFUNCTION("IMPORTRANGE(""https://docs.google.com/spreadsheets/d/1fb2B9NLcpJgjIieIJvenUTNPn0TimZDUi0OtYeiSQ_s/edit?usp=share_link"",""กาฬสินธุ์!J801"")+IMPORTRANGE(""https://docs.google.com/spreadsheets/d/1SaMnqrwRGmFYNR0MhpWmHuL5niYUd5E7vDq8X7whAlI/edit?usp=share_li"&amp;"nk"",""ขอนแก่น!J801"")
+IMPORTRANGE(""https://docs.google.com/spreadsheets/d/1xQzEtGHhTTgxHh6YUkKY1P4dRyjVhS74dGswLfAASA4/edit?usp=share_link"",""ชัยภูมิ!J801"")+IMPORTRANGE(""https://docs.google.com/spreadsheets/d/1EXMBoBxU3OFbjT2TRpneM33qFjqDzrKmn9ydcfl"&amp;"fI0o/edit?usp=share_link"",""นครพนม!J801"")+IMPORTRANGE(""https://docs.google.com/spreadsheets/d/1bDQrolntRWtHumK8W-x-HXKntwxB9S3sF5aDeRS66Ko/edit?usp=share_link"",""นครราชสีมา!J801"")+IMPORTRANGE(""https://docs.google.com/spreadsheets/d/1_MzZ-2gVPiCW-d2V"&amp;"cafoCmFJQTSrZ6SQyFcMqRRQQ2w/edit?usp=share_link"",""บึงกาฬ!J801"")
+IMPORTRANGE(""https://docs.google.com/spreadsheets/d/1B3lPpzOuaNwVItLwLEZYl_qEblfcx7dRnbRkAw0l-pE/edit?usp=share_link"",""บุรีรัมย์!J801"")+IMPORTRANGE(""https://docs.google.com/spreadshe"&amp;"ets/d/19GOkiOqnzYbevLYWrMk4qFOXe3rX14BkSA8X-mq-a40/edit?usp=share_link"",""มหาสารคาม!J801"")+IMPORTRANGE(""https://docs.google.com/spreadsheets/d/1uMKqWwuNQ-TCKboGA3Bb1qXb5uj2-faACNUINCz8PN4/edit?usp=share_link"",""มุกดาหาร!J801"")+IMPORTRANGE(""https://d"&amp;"ocs.google.com/spreadsheets/d/1oKaccgDdQABndOzGr688Dbfxb_V3YcF67VqEPBtdzsc/edit?usp=share_link"",""ยโสธร!J801"")+IMPORTRANGE(""https://docs.google.com/spreadsheets/d/1BRgc8xKpxZ0PX-gauieMVkV_IOxKSotf0yW8MabGprQ/edit?usp=share_link"",""ร้อยเอ็ด!J801"")+IMP"&amp;"ORTRANGE(""https://docs.google.com/spreadsheets/d/1IdolZc-dfdgMwAm_KZxYJl1sUOcIgnbGQzbWOlddedo/edit?usp=share_link"",""เลย!J801"")+IMPORTRANGE(""https://docs.google.com/spreadsheets/d/1tZ0nmtGuIRCaGAMXHlQU8EpR9LOAJvyKfc4f7EFmE34/edit?usp=share_link"",""ศร"&amp;"ีสะเกษ!J801"")+IMPORTRANGE(""https://docs.google.com/spreadsheets/d/1QC8psz9w0f9IVE9Xuc2FT_btkaOzZbbUSgYObpBuetM/edit?usp=share_link"",""สกลนคร!J801"")+IMPORTRANGE(""https://docs.google.com/spreadsheets/d/1wPdvRbu02d33MYVlbsCnyTiZpefEBs9NNktAnT1HZvw/edit?"&amp;"usp=share_link"",""สุรินทร์!J801"")+IMPORTRANGE(""https://docs.google.com/spreadsheets/d/1GVExpf-Exi_2gmuqTYH28fseTB9MoKPXWcXCbSt_YrM/edit?usp=share_link"",""หนองคาย!J801"")+IMPORTRANGE(""https://docs.google.com/spreadsheets/d/16UeMz0UgOB5BZcoxP75eYGcLFtG"&amp;"YRn9GoesD4OX9m5U/edit?usp=share_link"",""หนองบัวลำภู!J801"")+IMPORTRANGE(""https://docs.google.com/spreadsheets/d/1uUP8Zo1-qaJLuIkRU0qlwLSE3DHkbdrrj2JGJiWBQZE/edit?usp=share_link"",""อำนาจเจริญ!J801"")+IMPORTRANGE(""https://docs.google.com/spreadsheets/d/"&amp;"1hb_taSOHanzRjqfzWPiFo8yiT83VV1L7vvUCLhOiHKc/edit?usp=share_link"",""อุดรธานี!J801"")+IMPORTRANGE(""https://docs.google.com/spreadsheets/d/17IOkEwkUd63EGNfyNDnM5de9YlZ7rwzTiW6-dokVjKI/edit?usp=share_link"",""อุบลราชธานี!J801"")
"),33115)</f>
        <v>33115</v>
      </c>
      <c r="K801" s="823">
        <f ca="1">IF(I801&gt;0,J801*100/I801,0)</f>
        <v>103.484375</v>
      </c>
      <c r="L801" s="38"/>
      <c r="M801" s="38"/>
      <c r="N801" s="38"/>
      <c r="O801" s="163"/>
      <c r="P801" s="163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</row>
    <row r="802" spans="1:26" ht="18.75">
      <c r="A802" s="614"/>
      <c r="B802" s="615"/>
      <c r="C802" s="615"/>
      <c r="D802" s="615"/>
      <c r="E802" s="601"/>
      <c r="F802" s="824" t="s">
        <v>322</v>
      </c>
      <c r="G802" s="366"/>
      <c r="H802" s="820" t="s">
        <v>34</v>
      </c>
      <c r="I802" s="815"/>
      <c r="J802" s="821">
        <f ca="1">IFERROR(__xludf.DUMMYFUNCTION("IMPORTRANGE(""https://docs.google.com/spreadsheets/d/1fb2B9NLcpJgjIieIJvenUTNPn0TimZDUi0OtYeiSQ_s/edit?usp=share_link"",""กาฬสินธุ์!J802"")+IMPORTRANGE(""https://docs.google.com/spreadsheets/d/1SaMnqrwRGmFYNR0MhpWmHuL5niYUd5E7vDq8X7whAlI/edit?usp=share_li"&amp;"nk"",""ขอนแก่น!J802"")
+IMPORTRANGE(""https://docs.google.com/spreadsheets/d/1xQzEtGHhTTgxHh6YUkKY1P4dRyjVhS74dGswLfAASA4/edit?usp=share_link"",""ชัยภูมิ!J802"")+IMPORTRANGE(""https://docs.google.com/spreadsheets/d/1EXMBoBxU3OFbjT2TRpneM33qFjqDzrKmn9ydcfl"&amp;"fI0o/edit?usp=share_link"",""นครพนม!J802"")+IMPORTRANGE(""https://docs.google.com/spreadsheets/d/1bDQrolntRWtHumK8W-x-HXKntwxB9S3sF5aDeRS66Ko/edit?usp=share_link"",""นครราชสีมา!J802"")+IMPORTRANGE(""https://docs.google.com/spreadsheets/d/1_MzZ-2gVPiCW-d2V"&amp;"cafoCmFJQTSrZ6SQyFcMqRRQQ2w/edit?usp=share_link"",""บึงกาฬ!J802"")
+IMPORTRANGE(""https://docs.google.com/spreadsheets/d/1B3lPpzOuaNwVItLwLEZYl_qEblfcx7dRnbRkAw0l-pE/edit?usp=share_link"",""บุรีรัมย์!J802"")+IMPORTRANGE(""https://docs.google.com/spreadshe"&amp;"ets/d/19GOkiOqnzYbevLYWrMk4qFOXe3rX14BkSA8X-mq-a40/edit?usp=share_link"",""มหาสารคาม!J802"")+IMPORTRANGE(""https://docs.google.com/spreadsheets/d/1uMKqWwuNQ-TCKboGA3Bb1qXb5uj2-faACNUINCz8PN4/edit?usp=share_link"",""มุกดาหาร!J802"")+IMPORTRANGE(""https://d"&amp;"ocs.google.com/spreadsheets/d/1oKaccgDdQABndOzGr688Dbfxb_V3YcF67VqEPBtdzsc/edit?usp=share_link"",""ยโสธร!J802"")+IMPORTRANGE(""https://docs.google.com/spreadsheets/d/1BRgc8xKpxZ0PX-gauieMVkV_IOxKSotf0yW8MabGprQ/edit?usp=share_link"",""ร้อยเอ็ด!J802"")+IMP"&amp;"ORTRANGE(""https://docs.google.com/spreadsheets/d/1IdolZc-dfdgMwAm_KZxYJl1sUOcIgnbGQzbWOlddedo/edit?usp=share_link"",""เลย!J802"")+IMPORTRANGE(""https://docs.google.com/spreadsheets/d/1tZ0nmtGuIRCaGAMXHlQU8EpR9LOAJvyKfc4f7EFmE34/edit?usp=share_link"",""ศร"&amp;"ีสะเกษ!J802"")+IMPORTRANGE(""https://docs.google.com/spreadsheets/d/1QC8psz9w0f9IVE9Xuc2FT_btkaOzZbbUSgYObpBuetM/edit?usp=share_link"",""สกลนคร!J802"")+IMPORTRANGE(""https://docs.google.com/spreadsheets/d/1wPdvRbu02d33MYVlbsCnyTiZpefEBs9NNktAnT1HZvw/edit?"&amp;"usp=share_link"",""สุรินทร์!J802"")+IMPORTRANGE(""https://docs.google.com/spreadsheets/d/1GVExpf-Exi_2gmuqTYH28fseTB9MoKPXWcXCbSt_YrM/edit?usp=share_link"",""หนองคาย!J802"")+IMPORTRANGE(""https://docs.google.com/spreadsheets/d/16UeMz0UgOB5BZcoxP75eYGcLFtG"&amp;"YRn9GoesD4OX9m5U/edit?usp=share_link"",""หนองบัวลำภู!J802"")+IMPORTRANGE(""https://docs.google.com/spreadsheets/d/1uUP8Zo1-qaJLuIkRU0qlwLSE3DHkbdrrj2JGJiWBQZE/edit?usp=share_link"",""อำนาจเจริญ!J802"")+IMPORTRANGE(""https://docs.google.com/spreadsheets/d/"&amp;"1hb_taSOHanzRjqfzWPiFo8yiT83VV1L7vvUCLhOiHKc/edit?usp=share_link"",""อุดรธานี!J802"")+IMPORTRANGE(""https://docs.google.com/spreadsheets/d/17IOkEwkUd63EGNfyNDnM5de9YlZ7rwzTiW6-dokVjKI/edit?usp=share_link"",""อุบลราชธานี!J802"")
"),1407)</f>
        <v>1407</v>
      </c>
      <c r="K802" s="812"/>
      <c r="L802" s="167"/>
      <c r="M802" s="167"/>
      <c r="N802" s="167"/>
      <c r="O802" s="167"/>
      <c r="P802" s="167"/>
      <c r="Q802" s="604"/>
      <c r="R802" s="604"/>
      <c r="S802" s="604"/>
      <c r="T802" s="604"/>
      <c r="U802" s="604"/>
      <c r="V802" s="604"/>
      <c r="W802" s="604"/>
      <c r="X802" s="604"/>
      <c r="Y802" s="604"/>
      <c r="Z802" s="604"/>
    </row>
    <row r="803" spans="1:26" ht="18.75">
      <c r="A803" s="614"/>
      <c r="B803" s="615"/>
      <c r="C803" s="615"/>
      <c r="D803" s="615"/>
      <c r="E803" s="601"/>
      <c r="F803" s="601"/>
      <c r="G803" s="366"/>
      <c r="H803" s="820" t="s">
        <v>46</v>
      </c>
      <c r="I803" s="821">
        <f ca="1">IFERROR(__xludf.DUMMYFUNCTION("IMPORTRANGE(""https://docs.google.com/spreadsheets/d/1fb2B9NLcpJgjIieIJvenUTNPn0TimZDUi0OtYeiSQ_s/edit?usp=share_link"",""กาฬสินธุ์!I803"")+IMPORTRANGE(""https://docs.google.com/spreadsheets/d/1SaMnqrwRGmFYNR0MhpWmHuL5niYUd5E7vDq8X7whAlI/edit?usp=share_li"&amp;"nk"",""ขอนแก่น!I803"")
+IMPORTRANGE(""https://docs.google.com/spreadsheets/d/1xQzEtGHhTTgxHh6YUkKY1P4dRyjVhS74dGswLfAASA4/edit?usp=share_link"",""ชัยภูมิ!I803"")+IMPORTRANGE(""https://docs.google.com/spreadsheets/d/1EXMBoBxU3OFbjT2TRpneM33qFjqDzrKmn9ydcfl"&amp;"fI0o/edit?usp=share_link"",""นครพนม!I803"")+IMPORTRANGE(""https://docs.google.com/spreadsheets/d/1bDQrolntRWtHumK8W-x-HXKntwxB9S3sF5aDeRS66Ko/edit?usp=share_link"",""นครราชสีมา!I803"")+IMPORTRANGE(""https://docs.google.com/spreadsheets/d/1_MzZ-2gVPiCW-d2V"&amp;"cafoCmFJQTSrZ6SQyFcMqRRQQ2w/edit?usp=share_link"",""บึงกาฬ!I803"")
+IMPORTRANGE(""https://docs.google.com/spreadsheets/d/1B3lPpzOuaNwVItLwLEZYl_qEblfcx7dRnbRkAw0l-pE/edit?usp=share_link"",""บุรีรัมย์!I803"")+IMPORTRANGE(""https://docs.google.com/spreadshe"&amp;"ets/d/19GOkiOqnzYbevLYWrMk4qFOXe3rX14BkSA8X-mq-a40/edit?usp=share_link"",""มหาสารคาม!I803"")+IMPORTRANGE(""https://docs.google.com/spreadsheets/d/1uMKqWwuNQ-TCKboGA3Bb1qXb5uj2-faACNUINCz8PN4/edit?usp=share_link"",""มุกดาหาร!I803"")+IMPORTRANGE(""https://d"&amp;"ocs.google.com/spreadsheets/d/1oKaccgDdQABndOzGr688Dbfxb_V3YcF67VqEPBtdzsc/edit?usp=share_link"",""ยโสธร!I803"")+IMPORTRANGE(""https://docs.google.com/spreadsheets/d/1BRgc8xKpxZ0PX-gauieMVkV_IOxKSotf0yW8MabGprQ/edit?usp=share_link"",""ร้อยเอ็ด!I803"")+IMP"&amp;"ORTRANGE(""https://docs.google.com/spreadsheets/d/1IdolZc-dfdgMwAm_KZxYJl1sUOcIgnbGQzbWOlddedo/edit?usp=share_link"",""เลย!I803"")+IMPORTRANGE(""https://docs.google.com/spreadsheets/d/1tZ0nmtGuIRCaGAMXHlQU8EpR9LOAJvyKfc4f7EFmE34/edit?usp=share_link"",""ศร"&amp;"ีสะเกษ!I803"")+IMPORTRANGE(""https://docs.google.com/spreadsheets/d/1QC8psz9w0f9IVE9Xuc2FT_btkaOzZbbUSgYObpBuetM/edit?usp=share_link"",""สกลนคร!I803"")+IMPORTRANGE(""https://docs.google.com/spreadsheets/d/1wPdvRbu02d33MYVlbsCnyTiZpefEBs9NNktAnT1HZvw/edit?"&amp;"usp=share_link"",""สุรินทร์!I803"")+IMPORTRANGE(""https://docs.google.com/spreadsheets/d/1GVExpf-Exi_2gmuqTYH28fseTB9MoKPXWcXCbSt_YrM/edit?usp=share_link"",""หนองคาย!I803"")+IMPORTRANGE(""https://docs.google.com/spreadsheets/d/16UeMz0UgOB5BZcoxP75eYGcLFtG"&amp;"YRn9GoesD4OX9m5U/edit?usp=share_link"",""หนองบัวลำภู!I803"")+IMPORTRANGE(""https://docs.google.com/spreadsheets/d/1uUP8Zo1-qaJLuIkRU0qlwLSE3DHkbdrrj2JGJiWBQZE/edit?usp=share_link"",""อำนาจเจริญ!I803"")+IMPORTRANGE(""https://docs.google.com/spreadsheets/d/"&amp;"1hb_taSOHanzRjqfzWPiFo8yiT83VV1L7vvUCLhOiHKc/edit?usp=share_link"",""อุดรธานี!I803"")+IMPORTRANGE(""https://docs.google.com/spreadsheets/d/17IOkEwkUd63EGNfyNDnM5de9YlZ7rwzTiW6-dokVjKI/edit?usp=share_link"",""อุบลราชธานี!I803"")
"),15000)</f>
        <v>15000</v>
      </c>
      <c r="J803" s="822">
        <f ca="1">IFERROR(__xludf.DUMMYFUNCTION("IMPORTRANGE(""https://docs.google.com/spreadsheets/d/1fb2B9NLcpJgjIieIJvenUTNPn0TimZDUi0OtYeiSQ_s/edit?usp=share_link"",""กาฬสินธุ์!J803"")+IMPORTRANGE(""https://docs.google.com/spreadsheets/d/1SaMnqrwRGmFYNR0MhpWmHuL5niYUd5E7vDq8X7whAlI/edit?usp=share_li"&amp;"nk"",""ขอนแก่น!J803"")
+IMPORTRANGE(""https://docs.google.com/spreadsheets/d/1xQzEtGHhTTgxHh6YUkKY1P4dRyjVhS74dGswLfAASA4/edit?usp=share_link"",""ชัยภูมิ!J803"")+IMPORTRANGE(""https://docs.google.com/spreadsheets/d/1EXMBoBxU3OFbjT2TRpneM33qFjqDzrKmn9ydcfl"&amp;"fI0o/edit?usp=share_link"",""นครพนม!J803"")+IMPORTRANGE(""https://docs.google.com/spreadsheets/d/1bDQrolntRWtHumK8W-x-HXKntwxB9S3sF5aDeRS66Ko/edit?usp=share_link"",""นครราชสีมา!J803"")+IMPORTRANGE(""https://docs.google.com/spreadsheets/d/1_MzZ-2gVPiCW-d2V"&amp;"cafoCmFJQTSrZ6SQyFcMqRRQQ2w/edit?usp=share_link"",""บึงกาฬ!J803"")
+IMPORTRANGE(""https://docs.google.com/spreadsheets/d/1B3lPpzOuaNwVItLwLEZYl_qEblfcx7dRnbRkAw0l-pE/edit?usp=share_link"",""บุรีรัมย์!J803"")+IMPORTRANGE(""https://docs.google.com/spreadshe"&amp;"ets/d/19GOkiOqnzYbevLYWrMk4qFOXe3rX14BkSA8X-mq-a40/edit?usp=share_link"",""มหาสารคาม!J803"")+IMPORTRANGE(""https://docs.google.com/spreadsheets/d/1uMKqWwuNQ-TCKboGA3Bb1qXb5uj2-faACNUINCz8PN4/edit?usp=share_link"",""มุกดาหาร!J803"")+IMPORTRANGE(""https://d"&amp;"ocs.google.com/spreadsheets/d/1oKaccgDdQABndOzGr688Dbfxb_V3YcF67VqEPBtdzsc/edit?usp=share_link"",""ยโสธร!J803"")+IMPORTRANGE(""https://docs.google.com/spreadsheets/d/1BRgc8xKpxZ0PX-gauieMVkV_IOxKSotf0yW8MabGprQ/edit?usp=share_link"",""ร้อยเอ็ด!J803"")+IMP"&amp;"ORTRANGE(""https://docs.google.com/spreadsheets/d/1IdolZc-dfdgMwAm_KZxYJl1sUOcIgnbGQzbWOlddedo/edit?usp=share_link"",""เลย!J803"")+IMPORTRANGE(""https://docs.google.com/spreadsheets/d/1tZ0nmtGuIRCaGAMXHlQU8EpR9LOAJvyKfc4f7EFmE34/edit?usp=share_link"",""ศร"&amp;"ีสะเกษ!J803"")+IMPORTRANGE(""https://docs.google.com/spreadsheets/d/1QC8psz9w0f9IVE9Xuc2FT_btkaOzZbbUSgYObpBuetM/edit?usp=share_link"",""สกลนคร!J803"")+IMPORTRANGE(""https://docs.google.com/spreadsheets/d/1wPdvRbu02d33MYVlbsCnyTiZpefEBs9NNktAnT1HZvw/edit?"&amp;"usp=share_link"",""สุรินทร์!J803"")+IMPORTRANGE(""https://docs.google.com/spreadsheets/d/1GVExpf-Exi_2gmuqTYH28fseTB9MoKPXWcXCbSt_YrM/edit?usp=share_link"",""หนองคาย!J803"")+IMPORTRANGE(""https://docs.google.com/spreadsheets/d/16UeMz0UgOB5BZcoxP75eYGcLFtG"&amp;"YRn9GoesD4OX9m5U/edit?usp=share_link"",""หนองบัวลำภู!J803"")+IMPORTRANGE(""https://docs.google.com/spreadsheets/d/1uUP8Zo1-qaJLuIkRU0qlwLSE3DHkbdrrj2JGJiWBQZE/edit?usp=share_link"",""อำนาจเจริญ!J803"")+IMPORTRANGE(""https://docs.google.com/spreadsheets/d/"&amp;"1hb_taSOHanzRjqfzWPiFo8yiT83VV1L7vvUCLhOiHKc/edit?usp=share_link"",""อุดรธานี!J803"")+IMPORTRANGE(""https://docs.google.com/spreadsheets/d/17IOkEwkUd63EGNfyNDnM5de9YlZ7rwzTiW6-dokVjKI/edit?usp=share_link"",""อุบลราชธานี!J803"")
"),17317.63)</f>
        <v>17317.63</v>
      </c>
      <c r="K803" s="823">
        <f t="shared" ref="K803:K804" ca="1" si="370">IF(I803&gt;0,J803*100/I803,0)</f>
        <v>115.45086666666667</v>
      </c>
      <c r="L803" s="167"/>
      <c r="M803" s="167"/>
      <c r="N803" s="167"/>
      <c r="O803" s="167"/>
      <c r="P803" s="167"/>
      <c r="Q803" s="604"/>
      <c r="R803" s="604"/>
      <c r="S803" s="604"/>
      <c r="T803" s="604"/>
      <c r="U803" s="604"/>
      <c r="V803" s="604"/>
      <c r="W803" s="604"/>
      <c r="X803" s="604"/>
      <c r="Y803" s="604"/>
      <c r="Z803" s="604"/>
    </row>
    <row r="804" spans="1:26" ht="19.5" hidden="1">
      <c r="A804" s="793">
        <v>13</v>
      </c>
      <c r="B804" s="794" t="s">
        <v>323</v>
      </c>
      <c r="C804" s="795"/>
      <c r="D804" s="825"/>
      <c r="E804" s="795"/>
      <c r="F804" s="795"/>
      <c r="G804" s="796"/>
      <c r="H804" s="797" t="s">
        <v>46</v>
      </c>
      <c r="I804" s="798"/>
      <c r="J804" s="798">
        <f>J819</f>
        <v>0</v>
      </c>
      <c r="K804" s="799">
        <f t="shared" si="370"/>
        <v>0</v>
      </c>
      <c r="L804" s="800"/>
      <c r="M804" s="800"/>
      <c r="N804" s="800"/>
      <c r="O804" s="800"/>
      <c r="P804" s="800"/>
      <c r="Q804" s="604"/>
      <c r="R804" s="604"/>
      <c r="S804" s="604"/>
      <c r="T804" s="604"/>
      <c r="U804" s="604"/>
      <c r="V804" s="604"/>
      <c r="W804" s="604"/>
      <c r="X804" s="604"/>
      <c r="Y804" s="604"/>
      <c r="Z804" s="604"/>
    </row>
    <row r="805" spans="1:26" ht="19.5" hidden="1">
      <c r="A805" s="599"/>
      <c r="B805" s="600"/>
      <c r="C805" s="600" t="s">
        <v>16</v>
      </c>
      <c r="D805" s="864" t="s">
        <v>17</v>
      </c>
      <c r="E805" s="857"/>
      <c r="F805" s="857"/>
      <c r="G805" s="603"/>
      <c r="H805" s="646" t="s">
        <v>12</v>
      </c>
      <c r="I805" s="44"/>
      <c r="J805" s="44"/>
      <c r="K805" s="45"/>
      <c r="L805" s="647">
        <f t="shared" ref="L805:N805" si="371">L806+L807</f>
        <v>0</v>
      </c>
      <c r="M805" s="647">
        <f t="shared" si="371"/>
        <v>0</v>
      </c>
      <c r="N805" s="647">
        <f t="shared" si="371"/>
        <v>0</v>
      </c>
      <c r="O805" s="647">
        <f t="shared" ref="O805:O810" si="372">IF(L805&gt;0,N805*100/L805,0)</f>
        <v>0</v>
      </c>
      <c r="P805" s="647">
        <f t="shared" ref="P805:P810" si="373">IF(M805&gt;0,N805*100/M805,0)</f>
        <v>0</v>
      </c>
      <c r="Q805" s="604"/>
      <c r="R805" s="604"/>
      <c r="S805" s="604"/>
      <c r="T805" s="604"/>
      <c r="U805" s="604"/>
      <c r="V805" s="604"/>
      <c r="W805" s="604"/>
      <c r="X805" s="604"/>
      <c r="Y805" s="604"/>
      <c r="Z805" s="604"/>
    </row>
    <row r="806" spans="1:26" ht="18.75" hidden="1">
      <c r="A806" s="599"/>
      <c r="B806" s="600"/>
      <c r="C806" s="600"/>
      <c r="D806" s="615"/>
      <c r="E806" s="602" t="s">
        <v>185</v>
      </c>
      <c r="F806" s="600"/>
      <c r="G806" s="603"/>
      <c r="H806" s="165" t="s">
        <v>12</v>
      </c>
      <c r="I806" s="44"/>
      <c r="J806" s="44"/>
      <c r="K806" s="45"/>
      <c r="L806" s="45">
        <f t="shared" ref="L806:N806" si="374">L809+L816</f>
        <v>0</v>
      </c>
      <c r="M806" s="45">
        <f t="shared" si="374"/>
        <v>0</v>
      </c>
      <c r="N806" s="45">
        <f t="shared" si="374"/>
        <v>0</v>
      </c>
      <c r="O806" s="45">
        <f t="shared" si="372"/>
        <v>0</v>
      </c>
      <c r="P806" s="45">
        <f t="shared" si="373"/>
        <v>0</v>
      </c>
      <c r="Q806" s="604"/>
      <c r="R806" s="604"/>
      <c r="S806" s="604"/>
      <c r="T806" s="604"/>
      <c r="U806" s="604"/>
      <c r="V806" s="604"/>
      <c r="W806" s="604"/>
      <c r="X806" s="604"/>
      <c r="Y806" s="604"/>
      <c r="Z806" s="604"/>
    </row>
    <row r="807" spans="1:26" ht="18.75" hidden="1">
      <c r="A807" s="599"/>
      <c r="B807" s="600"/>
      <c r="C807" s="600"/>
      <c r="D807" s="615"/>
      <c r="E807" s="602" t="s">
        <v>186</v>
      </c>
      <c r="F807" s="600"/>
      <c r="G807" s="603"/>
      <c r="H807" s="165" t="s">
        <v>12</v>
      </c>
      <c r="I807" s="44"/>
      <c r="J807" s="44"/>
      <c r="K807" s="45"/>
      <c r="L807" s="45">
        <f t="shared" ref="L807:N807" si="375">L810+L817</f>
        <v>0</v>
      </c>
      <c r="M807" s="45">
        <f t="shared" si="375"/>
        <v>0</v>
      </c>
      <c r="N807" s="45">
        <f t="shared" si="375"/>
        <v>0</v>
      </c>
      <c r="O807" s="45">
        <f t="shared" si="372"/>
        <v>0</v>
      </c>
      <c r="P807" s="45">
        <f t="shared" si="373"/>
        <v>0</v>
      </c>
      <c r="Q807" s="604"/>
      <c r="R807" s="604"/>
      <c r="S807" s="604"/>
      <c r="T807" s="604"/>
      <c r="U807" s="604"/>
      <c r="V807" s="604"/>
      <c r="W807" s="604"/>
      <c r="X807" s="604"/>
      <c r="Y807" s="604"/>
      <c r="Z807" s="604"/>
    </row>
    <row r="808" spans="1:26" ht="19.5" hidden="1">
      <c r="A808" s="599"/>
      <c r="B808" s="605"/>
      <c r="C808" s="600"/>
      <c r="D808" s="866" t="s">
        <v>20</v>
      </c>
      <c r="E808" s="857"/>
      <c r="F808" s="857"/>
      <c r="G808" s="603"/>
      <c r="H808" s="646" t="s">
        <v>12</v>
      </c>
      <c r="I808" s="166"/>
      <c r="J808" s="166"/>
      <c r="K808" s="167"/>
      <c r="L808" s="647">
        <f t="shared" ref="L808:N808" si="376">L809+L810</f>
        <v>0</v>
      </c>
      <c r="M808" s="647">
        <f t="shared" si="376"/>
        <v>0</v>
      </c>
      <c r="N808" s="647">
        <f t="shared" si="376"/>
        <v>0</v>
      </c>
      <c r="O808" s="647">
        <f t="shared" si="372"/>
        <v>0</v>
      </c>
      <c r="P808" s="647">
        <f t="shared" si="373"/>
        <v>0</v>
      </c>
      <c r="Q808" s="604"/>
      <c r="R808" s="604"/>
      <c r="S808" s="604"/>
      <c r="T808" s="604"/>
      <c r="U808" s="604"/>
      <c r="V808" s="604"/>
      <c r="W808" s="604"/>
      <c r="X808" s="604"/>
      <c r="Y808" s="604"/>
      <c r="Z808" s="604"/>
    </row>
    <row r="809" spans="1:26" ht="18.75" hidden="1">
      <c r="A809" s="599"/>
      <c r="B809" s="600"/>
      <c r="C809" s="600"/>
      <c r="D809" s="615"/>
      <c r="E809" s="602" t="s">
        <v>185</v>
      </c>
      <c r="F809" s="600"/>
      <c r="G809" s="603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2"/>
        <v>0</v>
      </c>
      <c r="P809" s="45">
        <f t="shared" si="373"/>
        <v>0</v>
      </c>
      <c r="Q809" s="604"/>
      <c r="R809" s="604"/>
      <c r="S809" s="604"/>
      <c r="T809" s="604"/>
      <c r="U809" s="604"/>
      <c r="V809" s="604"/>
      <c r="W809" s="604"/>
      <c r="X809" s="604"/>
      <c r="Y809" s="604"/>
      <c r="Z809" s="604"/>
    </row>
    <row r="810" spans="1:26" ht="18.75" hidden="1">
      <c r="A810" s="599"/>
      <c r="B810" s="600"/>
      <c r="C810" s="600"/>
      <c r="D810" s="615"/>
      <c r="E810" s="602" t="s">
        <v>186</v>
      </c>
      <c r="F810" s="600"/>
      <c r="G810" s="603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2"/>
        <v>0</v>
      </c>
      <c r="P810" s="45">
        <f t="shared" si="373"/>
        <v>0</v>
      </c>
      <c r="Q810" s="604"/>
      <c r="R810" s="604"/>
      <c r="S810" s="604"/>
      <c r="T810" s="604"/>
      <c r="U810" s="604"/>
      <c r="V810" s="604"/>
      <c r="W810" s="604"/>
      <c r="X810" s="604"/>
      <c r="Y810" s="604"/>
      <c r="Z810" s="604"/>
    </row>
    <row r="811" spans="1:26" ht="18.75" hidden="1">
      <c r="A811" s="649"/>
      <c r="B811" s="605"/>
      <c r="C811" s="600"/>
      <c r="D811" s="605"/>
      <c r="E811" s="600"/>
      <c r="F811" s="602" t="s">
        <v>187</v>
      </c>
      <c r="G811" s="603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604"/>
      <c r="R811" s="604"/>
      <c r="S811" s="604"/>
      <c r="T811" s="604"/>
      <c r="U811" s="604"/>
      <c r="V811" s="604"/>
      <c r="W811" s="604"/>
      <c r="X811" s="604"/>
      <c r="Y811" s="604"/>
      <c r="Z811" s="604"/>
    </row>
    <row r="812" spans="1:26" ht="18.75" hidden="1">
      <c r="A812" s="649"/>
      <c r="B812" s="605"/>
      <c r="C812" s="600"/>
      <c r="D812" s="605"/>
      <c r="E812" s="600"/>
      <c r="F812" s="602" t="s">
        <v>188</v>
      </c>
      <c r="G812" s="603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604"/>
      <c r="R812" s="604"/>
      <c r="S812" s="604"/>
      <c r="T812" s="604"/>
      <c r="U812" s="604"/>
      <c r="V812" s="604"/>
      <c r="W812" s="604"/>
      <c r="X812" s="604"/>
      <c r="Y812" s="604"/>
      <c r="Z812" s="604"/>
    </row>
    <row r="813" spans="1:26" ht="18.75" hidden="1">
      <c r="A813" s="649"/>
      <c r="B813" s="605"/>
      <c r="C813" s="600"/>
      <c r="D813" s="605"/>
      <c r="E813" s="600"/>
      <c r="F813" s="602" t="s">
        <v>189</v>
      </c>
      <c r="G813" s="603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604"/>
      <c r="R813" s="604"/>
      <c r="S813" s="604"/>
      <c r="T813" s="604"/>
      <c r="U813" s="604"/>
      <c r="V813" s="604"/>
      <c r="W813" s="604"/>
      <c r="X813" s="604"/>
      <c r="Y813" s="604"/>
      <c r="Z813" s="604"/>
    </row>
    <row r="814" spans="1:26" ht="18.75" hidden="1">
      <c r="A814" s="649"/>
      <c r="B814" s="605"/>
      <c r="C814" s="600"/>
      <c r="D814" s="605"/>
      <c r="E814" s="600"/>
      <c r="F814" s="602" t="s">
        <v>190</v>
      </c>
      <c r="G814" s="603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604"/>
      <c r="R814" s="604"/>
      <c r="S814" s="604"/>
      <c r="T814" s="604"/>
      <c r="U814" s="604"/>
      <c r="V814" s="604"/>
      <c r="W814" s="604"/>
      <c r="X814" s="604"/>
      <c r="Y814" s="604"/>
      <c r="Z814" s="604"/>
    </row>
    <row r="815" spans="1:26" ht="19.5" hidden="1">
      <c r="A815" s="599"/>
      <c r="B815" s="605"/>
      <c r="C815" s="600"/>
      <c r="D815" s="866" t="s">
        <v>21</v>
      </c>
      <c r="E815" s="857"/>
      <c r="F815" s="857"/>
      <c r="G815" s="603"/>
      <c r="H815" s="783" t="s">
        <v>12</v>
      </c>
      <c r="I815" s="166"/>
      <c r="J815" s="166"/>
      <c r="K815" s="167"/>
      <c r="L815" s="647">
        <f t="shared" ref="L815:N815" si="377">L816+L817</f>
        <v>0</v>
      </c>
      <c r="M815" s="647">
        <f t="shared" si="377"/>
        <v>0</v>
      </c>
      <c r="N815" s="647">
        <f t="shared" si="377"/>
        <v>0</v>
      </c>
      <c r="O815" s="647">
        <f t="shared" ref="O815:O817" si="378">IF(L815&gt;0,N815*100/L815,0)</f>
        <v>0</v>
      </c>
      <c r="P815" s="647">
        <f t="shared" ref="P815:P817" si="379">IF(M815&gt;0,N815*100/M815,0)</f>
        <v>0</v>
      </c>
      <c r="Q815" s="604"/>
      <c r="R815" s="604"/>
      <c r="S815" s="604"/>
      <c r="T815" s="604"/>
      <c r="U815" s="604"/>
      <c r="V815" s="604"/>
      <c r="W815" s="604"/>
      <c r="X815" s="604"/>
      <c r="Y815" s="604"/>
      <c r="Z815" s="604"/>
    </row>
    <row r="816" spans="1:26" ht="18.75" hidden="1">
      <c r="A816" s="599"/>
      <c r="B816" s="605"/>
      <c r="C816" s="600"/>
      <c r="D816" s="605"/>
      <c r="E816" s="602" t="s">
        <v>18</v>
      </c>
      <c r="F816" s="600"/>
      <c r="G816" s="603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8"/>
        <v>0</v>
      </c>
      <c r="P816" s="45">
        <f t="shared" si="379"/>
        <v>0</v>
      </c>
      <c r="Q816" s="604"/>
      <c r="R816" s="604"/>
      <c r="S816" s="604"/>
      <c r="T816" s="604"/>
      <c r="U816" s="604"/>
      <c r="V816" s="604"/>
      <c r="W816" s="604"/>
      <c r="X816" s="604"/>
      <c r="Y816" s="604"/>
      <c r="Z816" s="604"/>
    </row>
    <row r="817" spans="1:26" ht="18.75" hidden="1">
      <c r="A817" s="599"/>
      <c r="B817" s="605"/>
      <c r="C817" s="600"/>
      <c r="D817" s="605"/>
      <c r="E817" s="602" t="s">
        <v>19</v>
      </c>
      <c r="F817" s="600"/>
      <c r="G817" s="603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8"/>
        <v>0</v>
      </c>
      <c r="P817" s="45">
        <f t="shared" si="379"/>
        <v>0</v>
      </c>
      <c r="Q817" s="604"/>
      <c r="R817" s="604"/>
      <c r="S817" s="604"/>
      <c r="T817" s="604"/>
      <c r="U817" s="604"/>
      <c r="V817" s="604"/>
      <c r="W817" s="604"/>
      <c r="X817" s="604"/>
      <c r="Y817" s="604"/>
      <c r="Z817" s="604"/>
    </row>
    <row r="818" spans="1:26" ht="19.5" hidden="1">
      <c r="A818" s="614"/>
      <c r="B818" s="615"/>
      <c r="C818" s="600" t="s">
        <v>16</v>
      </c>
      <c r="D818" s="826" t="s">
        <v>38</v>
      </c>
      <c r="E818" s="651"/>
      <c r="F818" s="651"/>
      <c r="G818" s="652"/>
      <c r="H818" s="366"/>
      <c r="I818" s="166"/>
      <c r="J818" s="166"/>
      <c r="K818" s="167"/>
      <c r="L818" s="167"/>
      <c r="M818" s="167"/>
      <c r="N818" s="167"/>
      <c r="O818" s="167"/>
      <c r="P818" s="167"/>
      <c r="Q818" s="604"/>
      <c r="R818" s="604"/>
      <c r="S818" s="604"/>
      <c r="T818" s="604"/>
      <c r="U818" s="604"/>
      <c r="V818" s="604"/>
      <c r="W818" s="604"/>
      <c r="X818" s="604"/>
      <c r="Y818" s="604"/>
      <c r="Z818" s="604"/>
    </row>
    <row r="819" spans="1:26" ht="18.75" hidden="1">
      <c r="A819" s="827"/>
      <c r="B819" s="828"/>
      <c r="C819" s="829"/>
      <c r="D819" s="828"/>
      <c r="E819" s="830" t="s">
        <v>324</v>
      </c>
      <c r="F819" s="829"/>
      <c r="G819" s="831"/>
      <c r="H819" s="832" t="s">
        <v>46</v>
      </c>
      <c r="I819" s="833"/>
      <c r="J819" s="833"/>
      <c r="K819" s="834"/>
      <c r="L819" s="834"/>
      <c r="M819" s="834"/>
      <c r="N819" s="834"/>
      <c r="O819" s="834"/>
      <c r="P819" s="834"/>
      <c r="Q819" s="604"/>
      <c r="R819" s="604"/>
      <c r="S819" s="604"/>
      <c r="T819" s="604"/>
      <c r="U819" s="604"/>
      <c r="V819" s="604"/>
      <c r="W819" s="604"/>
      <c r="X819" s="604"/>
      <c r="Y819" s="604"/>
      <c r="Z819" s="604"/>
    </row>
    <row r="820" spans="1:26" ht="19.5">
      <c r="A820" s="835" t="s">
        <v>325</v>
      </c>
      <c r="B820" s="836"/>
      <c r="C820" s="836"/>
      <c r="D820" s="837"/>
      <c r="E820" s="836"/>
      <c r="F820" s="836"/>
      <c r="G820" s="838"/>
      <c r="H820" s="839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215"/>
      <c r="J820" s="215"/>
      <c r="K820" s="840"/>
      <c r="L820" s="840"/>
      <c r="M820" s="840"/>
      <c r="N820" s="840"/>
      <c r="O820" s="840"/>
      <c r="P820" s="840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</row>
    <row r="821" spans="1:26" ht="18.75">
      <c r="A821" s="744"/>
      <c r="B821" s="577" t="s">
        <v>326</v>
      </c>
      <c r="C821" s="576"/>
      <c r="D821" s="575"/>
      <c r="E821" s="576"/>
      <c r="F821" s="576"/>
      <c r="G821" s="189"/>
      <c r="H821" s="36" t="s">
        <v>12</v>
      </c>
      <c r="I821" s="37">
        <f ca="1">IFERROR(__xludf.DUMMYFUNCTION("IMPORTRANGE(""https://docs.google.com/spreadsheets/d/1fb2B9NLcpJgjIieIJvenUTNPn0TimZDUi0OtYeiSQ_s/edit?usp=share_link"",""กาฬสินธุ์!I821"")+IMPORTRANGE(""https://docs.google.com/spreadsheets/d/1SaMnqrwRGmFYNR0MhpWmHuL5niYUd5E7vDq8X7whAlI/edit?usp=share_li"&amp;"nk"",""ขอนแก่น!I821"")
+IMPORTRANGE(""https://docs.google.com/spreadsheets/d/1xQzEtGHhTTgxHh6YUkKY1P4dRyjVhS74dGswLfAASA4/edit?usp=share_link"",""ชัยภูมิ!I821"")+IMPORTRANGE(""https://docs.google.com/spreadsheets/d/1EXMBoBxU3OFbjT2TRpneM33qFjqDzrKmn9ydcfl"&amp;"fI0o/edit?usp=share_link"",""นครพนม!I821"")+IMPORTRANGE(""https://docs.google.com/spreadsheets/d/1bDQrolntRWtHumK8W-x-HXKntwxB9S3sF5aDeRS66Ko/edit?usp=share_link"",""นครราชสีมา!I821"")+IMPORTRANGE(""https://docs.google.com/spreadsheets/d/1_MzZ-2gVPiCW-d2V"&amp;"cafoCmFJQTSrZ6SQyFcMqRRQQ2w/edit?usp=share_link"",""บึงกาฬ!I821"")
+IMPORTRANGE(""https://docs.google.com/spreadsheets/d/1B3lPpzOuaNwVItLwLEZYl_qEblfcx7dRnbRkAw0l-pE/edit?usp=share_link"",""บุรีรัมย์!I821"")+IMPORTRANGE(""https://docs.google.com/spreadshe"&amp;"ets/d/19GOkiOqnzYbevLYWrMk4qFOXe3rX14BkSA8X-mq-a40/edit?usp=share_link"",""มหาสารคาม!I821"")+IMPORTRANGE(""https://docs.google.com/spreadsheets/d/1uMKqWwuNQ-TCKboGA3Bb1qXb5uj2-faACNUINCz8PN4/edit?usp=share_link"",""มุกดาหาร!I821"")+IMPORTRANGE(""https://d"&amp;"ocs.google.com/spreadsheets/d/1oKaccgDdQABndOzGr688Dbfxb_V3YcF67VqEPBtdzsc/edit?usp=share_link"",""ยโสธร!I821"")+IMPORTRANGE(""https://docs.google.com/spreadsheets/d/1BRgc8xKpxZ0PX-gauieMVkV_IOxKSotf0yW8MabGprQ/edit?usp=share_link"",""ร้อยเอ็ด!I821"")+IMP"&amp;"ORTRANGE(""https://docs.google.com/spreadsheets/d/1IdolZc-dfdgMwAm_KZxYJl1sUOcIgnbGQzbWOlddedo/edit?usp=share_link"",""เลย!I821"")+IMPORTRANGE(""https://docs.google.com/spreadsheets/d/1tZ0nmtGuIRCaGAMXHlQU8EpR9LOAJvyKfc4f7EFmE34/edit?usp=share_link"",""ศร"&amp;"ีสะเกษ!I821"")+IMPORTRANGE(""https://docs.google.com/spreadsheets/d/1QC8psz9w0f9IVE9Xuc2FT_btkaOzZbbUSgYObpBuetM/edit?usp=share_link"",""สกลนคร!I821"")+IMPORTRANGE(""https://docs.google.com/spreadsheets/d/1wPdvRbu02d33MYVlbsCnyTiZpefEBs9NNktAnT1HZvw/edit?"&amp;"usp=share_link"",""สุรินทร์!I821"")+IMPORTRANGE(""https://docs.google.com/spreadsheets/d/1GVExpf-Exi_2gmuqTYH28fseTB9MoKPXWcXCbSt_YrM/edit?usp=share_link"",""หนองคาย!I821"")+IMPORTRANGE(""https://docs.google.com/spreadsheets/d/16UeMz0UgOB5BZcoxP75eYGcLFtG"&amp;"YRn9GoesD4OX9m5U/edit?usp=share_link"",""หนองบัวลำภู!I821"")+IMPORTRANGE(""https://docs.google.com/spreadsheets/d/1uUP8Zo1-qaJLuIkRU0qlwLSE3DHkbdrrj2JGJiWBQZE/edit?usp=share_link"",""อำนาจเจริญ!I821"")+IMPORTRANGE(""https://docs.google.com/spreadsheets/d/"&amp;"1hb_taSOHanzRjqfzWPiFo8yiT83VV1L7vvUCLhOiHKc/edit?usp=share_link"",""อุดรธานี!I821"")+IMPORTRANGE(""https://docs.google.com/spreadsheets/d/17IOkEwkUd63EGNfyNDnM5de9YlZ7rwzTiW6-dokVjKI/edit?usp=share_link"",""อุบลราชธานี!I821"")
"),128791403.389999)</f>
        <v>128791403.389999</v>
      </c>
      <c r="J821" s="37">
        <f ca="1">IFERROR(__xludf.DUMMYFUNCTION("IMPORTRANGE(""https://docs.google.com/spreadsheets/d/1fb2B9NLcpJgjIieIJvenUTNPn0TimZDUi0OtYeiSQ_s/edit?usp=share_link"",""กาฬสินธุ์!J821"")+IMPORTRANGE(""https://docs.google.com/spreadsheets/d/1SaMnqrwRGmFYNR0MhpWmHuL5niYUd5E7vDq8X7whAlI/edit?usp=share_li"&amp;"nk"",""ขอนแก่น!J821"")
+IMPORTRANGE(""https://docs.google.com/spreadsheets/d/1xQzEtGHhTTgxHh6YUkKY1P4dRyjVhS74dGswLfAASA4/edit?usp=share_link"",""ชัยภูมิ!J821"")+IMPORTRANGE(""https://docs.google.com/spreadsheets/d/1EXMBoBxU3OFbjT2TRpneM33qFjqDzrKmn9ydcfl"&amp;"fI0o/edit?usp=share_link"",""นครพนม!J821"")+IMPORTRANGE(""https://docs.google.com/spreadsheets/d/1bDQrolntRWtHumK8W-x-HXKntwxB9S3sF5aDeRS66Ko/edit?usp=share_link"",""นครราชสีมา!J821"")+IMPORTRANGE(""https://docs.google.com/spreadsheets/d/1_MzZ-2gVPiCW-d2V"&amp;"cafoCmFJQTSrZ6SQyFcMqRRQQ2w/edit?usp=share_link"",""บึงกาฬ!J821"")
+IMPORTRANGE(""https://docs.google.com/spreadsheets/d/1B3lPpzOuaNwVItLwLEZYl_qEblfcx7dRnbRkAw0l-pE/edit?usp=share_link"",""บุรีรัมย์!J821"")+IMPORTRANGE(""https://docs.google.com/spreadshe"&amp;"ets/d/19GOkiOqnzYbevLYWrMk4qFOXe3rX14BkSA8X-mq-a40/edit?usp=share_link"",""มหาสารคาม!J821"")+IMPORTRANGE(""https://docs.google.com/spreadsheets/d/1uMKqWwuNQ-TCKboGA3Bb1qXb5uj2-faACNUINCz8PN4/edit?usp=share_link"",""มุกดาหาร!J821"")+IMPORTRANGE(""https://d"&amp;"ocs.google.com/spreadsheets/d/1oKaccgDdQABndOzGr688Dbfxb_V3YcF67VqEPBtdzsc/edit?usp=share_link"",""ยโสธร!J821"")+IMPORTRANGE(""https://docs.google.com/spreadsheets/d/1BRgc8xKpxZ0PX-gauieMVkV_IOxKSotf0yW8MabGprQ/edit?usp=share_link"",""ร้อยเอ็ด!J821"")+IMP"&amp;"ORTRANGE(""https://docs.google.com/spreadsheets/d/1IdolZc-dfdgMwAm_KZxYJl1sUOcIgnbGQzbWOlddedo/edit?usp=share_link"",""เลย!J821"")+IMPORTRANGE(""https://docs.google.com/spreadsheets/d/1tZ0nmtGuIRCaGAMXHlQU8EpR9LOAJvyKfc4f7EFmE34/edit?usp=share_link"",""ศร"&amp;"ีสะเกษ!J821"")+IMPORTRANGE(""https://docs.google.com/spreadsheets/d/1QC8psz9w0f9IVE9Xuc2FT_btkaOzZbbUSgYObpBuetM/edit?usp=share_link"",""สกลนคร!J821"")+IMPORTRANGE(""https://docs.google.com/spreadsheets/d/1wPdvRbu02d33MYVlbsCnyTiZpefEBs9NNktAnT1HZvw/edit?"&amp;"usp=share_link"",""สุรินทร์!J821"")+IMPORTRANGE(""https://docs.google.com/spreadsheets/d/1GVExpf-Exi_2gmuqTYH28fseTB9MoKPXWcXCbSt_YrM/edit?usp=share_link"",""หนองคาย!J821"")+IMPORTRANGE(""https://docs.google.com/spreadsheets/d/16UeMz0UgOB5BZcoxP75eYGcLFtG"&amp;"YRn9GoesD4OX9m5U/edit?usp=share_link"",""หนองบัวลำภู!J821"")+IMPORTRANGE(""https://docs.google.com/spreadsheets/d/1uUP8Zo1-qaJLuIkRU0qlwLSE3DHkbdrrj2JGJiWBQZE/edit?usp=share_link"",""อำนาจเจริญ!J821"")+IMPORTRANGE(""https://docs.google.com/spreadsheets/d/"&amp;"1hb_taSOHanzRjqfzWPiFo8yiT83VV1L7vvUCLhOiHKc/edit?usp=share_link"",""อุดรธานี!J821"")+IMPORTRANGE(""https://docs.google.com/spreadsheets/d/17IOkEwkUd63EGNfyNDnM5de9YlZ7rwzTiW6-dokVjKI/edit?usp=share_link"",""อุบลราชธานี!J821"")
"),124950722.789999)</f>
        <v>124950722.78999899</v>
      </c>
      <c r="K821" s="38">
        <f t="shared" ref="K821:K828" ca="1" si="380">IF(I821&gt;0,J821*100/I821,0)</f>
        <v>97.017906087745715</v>
      </c>
      <c r="L821" s="38"/>
      <c r="M821" s="38"/>
      <c r="N821" s="38"/>
      <c r="O821" s="38"/>
      <c r="P821" s="3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</row>
    <row r="822" spans="1:26" ht="18.75">
      <c r="A822" s="744"/>
      <c r="B822" s="576"/>
      <c r="C822" s="576"/>
      <c r="D822" s="575"/>
      <c r="E822" s="576"/>
      <c r="F822" s="576"/>
      <c r="G822" s="189"/>
      <c r="H822" s="36" t="s">
        <v>35</v>
      </c>
      <c r="I822" s="37">
        <f ca="1">IFERROR(__xludf.DUMMYFUNCTION("IMPORTRANGE(""https://docs.google.com/spreadsheets/d/1fb2B9NLcpJgjIieIJvenUTNPn0TimZDUi0OtYeiSQ_s/edit?usp=share_link"",""กาฬสินธุ์!I822"")+IMPORTRANGE(""https://docs.google.com/spreadsheets/d/1SaMnqrwRGmFYNR0MhpWmHuL5niYUd5E7vDq8X7whAlI/edit?usp=share_li"&amp;"nk"",""ขอนแก่น!I822"")
+IMPORTRANGE(""https://docs.google.com/spreadsheets/d/1xQzEtGHhTTgxHh6YUkKY1P4dRyjVhS74dGswLfAASA4/edit?usp=share_link"",""ชัยภูมิ!I822"")+IMPORTRANGE(""https://docs.google.com/spreadsheets/d/1EXMBoBxU3OFbjT2TRpneM33qFjqDzrKmn9ydcfl"&amp;"fI0o/edit?usp=share_link"",""นครพนม!I822"")+IMPORTRANGE(""https://docs.google.com/spreadsheets/d/1bDQrolntRWtHumK8W-x-HXKntwxB9S3sF5aDeRS66Ko/edit?usp=share_link"",""นครราชสีมา!I822"")+IMPORTRANGE(""https://docs.google.com/spreadsheets/d/1_MzZ-2gVPiCW-d2V"&amp;"cafoCmFJQTSrZ6SQyFcMqRRQQ2w/edit?usp=share_link"",""บึงกาฬ!I822"")
+IMPORTRANGE(""https://docs.google.com/spreadsheets/d/1B3lPpzOuaNwVItLwLEZYl_qEblfcx7dRnbRkAw0l-pE/edit?usp=share_link"",""บุรีรัมย์!I822"")+IMPORTRANGE(""https://docs.google.com/spreadshe"&amp;"ets/d/19GOkiOqnzYbevLYWrMk4qFOXe3rX14BkSA8X-mq-a40/edit?usp=share_link"",""มหาสารคาม!I822"")+IMPORTRANGE(""https://docs.google.com/spreadsheets/d/1uMKqWwuNQ-TCKboGA3Bb1qXb5uj2-faACNUINCz8PN4/edit?usp=share_link"",""มุกดาหาร!I822"")+IMPORTRANGE(""https://d"&amp;"ocs.google.com/spreadsheets/d/1oKaccgDdQABndOzGr688Dbfxb_V3YcF67VqEPBtdzsc/edit?usp=share_link"",""ยโสธร!I822"")+IMPORTRANGE(""https://docs.google.com/spreadsheets/d/1BRgc8xKpxZ0PX-gauieMVkV_IOxKSotf0yW8MabGprQ/edit?usp=share_link"",""ร้อยเอ็ด!I822"")+IMP"&amp;"ORTRANGE(""https://docs.google.com/spreadsheets/d/1IdolZc-dfdgMwAm_KZxYJl1sUOcIgnbGQzbWOlddedo/edit?usp=share_link"",""เลย!I822"")+IMPORTRANGE(""https://docs.google.com/spreadsheets/d/1tZ0nmtGuIRCaGAMXHlQU8EpR9LOAJvyKfc4f7EFmE34/edit?usp=share_link"",""ศร"&amp;"ีสะเกษ!I822"")+IMPORTRANGE(""https://docs.google.com/spreadsheets/d/1QC8psz9w0f9IVE9Xuc2FT_btkaOzZbbUSgYObpBuetM/edit?usp=share_link"",""สกลนคร!I822"")+IMPORTRANGE(""https://docs.google.com/spreadsheets/d/1wPdvRbu02d33MYVlbsCnyTiZpefEBs9NNktAnT1HZvw/edit?"&amp;"usp=share_link"",""สุรินทร์!I822"")+IMPORTRANGE(""https://docs.google.com/spreadsheets/d/1GVExpf-Exi_2gmuqTYH28fseTB9MoKPXWcXCbSt_YrM/edit?usp=share_link"",""หนองคาย!I822"")+IMPORTRANGE(""https://docs.google.com/spreadsheets/d/16UeMz0UgOB5BZcoxP75eYGcLFtG"&amp;"YRn9GoesD4OX9m5U/edit?usp=share_link"",""หนองบัวลำภู!I822"")+IMPORTRANGE(""https://docs.google.com/spreadsheets/d/1uUP8Zo1-qaJLuIkRU0qlwLSE3DHkbdrrj2JGJiWBQZE/edit?usp=share_link"",""อำนาจเจริญ!I822"")+IMPORTRANGE(""https://docs.google.com/spreadsheets/d/"&amp;"1hb_taSOHanzRjqfzWPiFo8yiT83VV1L7vvUCLhOiHKc/edit?usp=share_link"",""อุดรธานี!I822"")+IMPORTRANGE(""https://docs.google.com/spreadsheets/d/17IOkEwkUd63EGNfyNDnM5de9YlZ7rwzTiW6-dokVjKI/edit?usp=share_link"",""อุบลราชธานี!I822"")
"),8370)</f>
        <v>8370</v>
      </c>
      <c r="J822" s="37">
        <f ca="1">IFERROR(__xludf.DUMMYFUNCTION("IMPORTRANGE(""https://docs.google.com/spreadsheets/d/1fb2B9NLcpJgjIieIJvenUTNPn0TimZDUi0OtYeiSQ_s/edit?usp=share_link"",""กาฬสินธุ์!J822"")+IMPORTRANGE(""https://docs.google.com/spreadsheets/d/1SaMnqrwRGmFYNR0MhpWmHuL5niYUd5E7vDq8X7whAlI/edit?usp=share_li"&amp;"nk"",""ขอนแก่น!J822"")
+IMPORTRANGE(""https://docs.google.com/spreadsheets/d/1xQzEtGHhTTgxHh6YUkKY1P4dRyjVhS74dGswLfAASA4/edit?usp=share_link"",""ชัยภูมิ!J822"")+IMPORTRANGE(""https://docs.google.com/spreadsheets/d/1EXMBoBxU3OFbjT2TRpneM33qFjqDzrKmn9ydcfl"&amp;"fI0o/edit?usp=share_link"",""นครพนม!J822"")+IMPORTRANGE(""https://docs.google.com/spreadsheets/d/1bDQrolntRWtHumK8W-x-HXKntwxB9S3sF5aDeRS66Ko/edit?usp=share_link"",""นครราชสีมา!J822"")+IMPORTRANGE(""https://docs.google.com/spreadsheets/d/1_MzZ-2gVPiCW-d2V"&amp;"cafoCmFJQTSrZ6SQyFcMqRRQQ2w/edit?usp=share_link"",""บึงกาฬ!J822"")
+IMPORTRANGE(""https://docs.google.com/spreadsheets/d/1B3lPpzOuaNwVItLwLEZYl_qEblfcx7dRnbRkAw0l-pE/edit?usp=share_link"",""บุรีรัมย์!J822"")+IMPORTRANGE(""https://docs.google.com/spreadshe"&amp;"ets/d/19GOkiOqnzYbevLYWrMk4qFOXe3rX14BkSA8X-mq-a40/edit?usp=share_link"",""มหาสารคาม!J822"")+IMPORTRANGE(""https://docs.google.com/spreadsheets/d/1uMKqWwuNQ-TCKboGA3Bb1qXb5uj2-faACNUINCz8PN4/edit?usp=share_link"",""มุกดาหาร!J822"")+IMPORTRANGE(""https://d"&amp;"ocs.google.com/spreadsheets/d/1oKaccgDdQABndOzGr688Dbfxb_V3YcF67VqEPBtdzsc/edit?usp=share_link"",""ยโสธร!J822"")+IMPORTRANGE(""https://docs.google.com/spreadsheets/d/1BRgc8xKpxZ0PX-gauieMVkV_IOxKSotf0yW8MabGprQ/edit?usp=share_link"",""ร้อยเอ็ด!J822"")+IMP"&amp;"ORTRANGE(""https://docs.google.com/spreadsheets/d/1IdolZc-dfdgMwAm_KZxYJl1sUOcIgnbGQzbWOlddedo/edit?usp=share_link"",""เลย!J822"")+IMPORTRANGE(""https://docs.google.com/spreadsheets/d/1tZ0nmtGuIRCaGAMXHlQU8EpR9LOAJvyKfc4f7EFmE34/edit?usp=share_link"",""ศร"&amp;"ีสะเกษ!J822"")+IMPORTRANGE(""https://docs.google.com/spreadsheets/d/1QC8psz9w0f9IVE9Xuc2FT_btkaOzZbbUSgYObpBuetM/edit?usp=share_link"",""สกลนคร!J822"")+IMPORTRANGE(""https://docs.google.com/spreadsheets/d/1wPdvRbu02d33MYVlbsCnyTiZpefEBs9NNktAnT1HZvw/edit?"&amp;"usp=share_link"",""สุรินทร์!J822"")+IMPORTRANGE(""https://docs.google.com/spreadsheets/d/1GVExpf-Exi_2gmuqTYH28fseTB9MoKPXWcXCbSt_YrM/edit?usp=share_link"",""หนองคาย!J822"")+IMPORTRANGE(""https://docs.google.com/spreadsheets/d/16UeMz0UgOB5BZcoxP75eYGcLFtG"&amp;"YRn9GoesD4OX9m5U/edit?usp=share_link"",""หนองบัวลำภู!J822"")+IMPORTRANGE(""https://docs.google.com/spreadsheets/d/1uUP8Zo1-qaJLuIkRU0qlwLSE3DHkbdrrj2JGJiWBQZE/edit?usp=share_link"",""อำนาจเจริญ!J822"")+IMPORTRANGE(""https://docs.google.com/spreadsheets/d/"&amp;"1hb_taSOHanzRjqfzWPiFo8yiT83VV1L7vvUCLhOiHKc/edit?usp=share_link"",""อุดรธานี!J822"")+IMPORTRANGE(""https://docs.google.com/spreadsheets/d/17IOkEwkUd63EGNfyNDnM5de9YlZ7rwzTiW6-dokVjKI/edit?usp=share_link"",""อุบลราชธานี!J822"")
"),7966)</f>
        <v>7966</v>
      </c>
      <c r="K822" s="38">
        <f t="shared" ca="1" si="380"/>
        <v>95.173237753882916</v>
      </c>
      <c r="L822" s="38"/>
      <c r="M822" s="38"/>
      <c r="N822" s="38"/>
      <c r="O822" s="38"/>
      <c r="P822" s="3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</row>
    <row r="823" spans="1:26" ht="18.75">
      <c r="A823" s="744"/>
      <c r="B823" s="577" t="s">
        <v>327</v>
      </c>
      <c r="C823" s="576"/>
      <c r="D823" s="575"/>
      <c r="E823" s="576"/>
      <c r="F823" s="576"/>
      <c r="G823" s="189"/>
      <c r="H823" s="36" t="s">
        <v>12</v>
      </c>
      <c r="I823" s="37">
        <f ca="1">IFERROR(__xludf.DUMMYFUNCTION("IMPORTRANGE(""https://docs.google.com/spreadsheets/d/1fb2B9NLcpJgjIieIJvenUTNPn0TimZDUi0OtYeiSQ_s/edit?usp=share_link"",""กาฬสินธุ์!I823"")+IMPORTRANGE(""https://docs.google.com/spreadsheets/d/1SaMnqrwRGmFYNR0MhpWmHuL5niYUd5E7vDq8X7whAlI/edit?usp=share_li"&amp;"nk"",""ขอนแก่น!I823"")
+IMPORTRANGE(""https://docs.google.com/spreadsheets/d/1xQzEtGHhTTgxHh6YUkKY1P4dRyjVhS74dGswLfAASA4/edit?usp=share_link"",""ชัยภูมิ!I823"")+IMPORTRANGE(""https://docs.google.com/spreadsheets/d/1EXMBoBxU3OFbjT2TRpneM33qFjqDzrKmn9ydcfl"&amp;"fI0o/edit?usp=share_link"",""นครพนม!I823"")+IMPORTRANGE(""https://docs.google.com/spreadsheets/d/1bDQrolntRWtHumK8W-x-HXKntwxB9S3sF5aDeRS66Ko/edit?usp=share_link"",""นครราชสีมา!I823"")+IMPORTRANGE(""https://docs.google.com/spreadsheets/d/1_MzZ-2gVPiCW-d2V"&amp;"cafoCmFJQTSrZ6SQyFcMqRRQQ2w/edit?usp=share_link"",""บึงกาฬ!I823"")
+IMPORTRANGE(""https://docs.google.com/spreadsheets/d/1B3lPpzOuaNwVItLwLEZYl_qEblfcx7dRnbRkAw0l-pE/edit?usp=share_link"",""บุรีรัมย์!I823"")+IMPORTRANGE(""https://docs.google.com/spreadshe"&amp;"ets/d/19GOkiOqnzYbevLYWrMk4qFOXe3rX14BkSA8X-mq-a40/edit?usp=share_link"",""มหาสารคาม!I823"")+IMPORTRANGE(""https://docs.google.com/spreadsheets/d/1uMKqWwuNQ-TCKboGA3Bb1qXb5uj2-faACNUINCz8PN4/edit?usp=share_link"",""มุกดาหาร!I823"")+IMPORTRANGE(""https://d"&amp;"ocs.google.com/spreadsheets/d/1oKaccgDdQABndOzGr688Dbfxb_V3YcF67VqEPBtdzsc/edit?usp=share_link"",""ยโสธร!I823"")+IMPORTRANGE(""https://docs.google.com/spreadsheets/d/1BRgc8xKpxZ0PX-gauieMVkV_IOxKSotf0yW8MabGprQ/edit?usp=share_link"",""ร้อยเอ็ด!I823"")+IMP"&amp;"ORTRANGE(""https://docs.google.com/spreadsheets/d/1IdolZc-dfdgMwAm_KZxYJl1sUOcIgnbGQzbWOlddedo/edit?usp=share_link"",""เลย!I823"")+IMPORTRANGE(""https://docs.google.com/spreadsheets/d/1tZ0nmtGuIRCaGAMXHlQU8EpR9LOAJvyKfc4f7EFmE34/edit?usp=share_link"",""ศร"&amp;"ีสะเกษ!I823"")+IMPORTRANGE(""https://docs.google.com/spreadsheets/d/1QC8psz9w0f9IVE9Xuc2FT_btkaOzZbbUSgYObpBuetM/edit?usp=share_link"",""สกลนคร!I823"")+IMPORTRANGE(""https://docs.google.com/spreadsheets/d/1wPdvRbu02d33MYVlbsCnyTiZpefEBs9NNktAnT1HZvw/edit?"&amp;"usp=share_link"",""สุรินทร์!I823"")+IMPORTRANGE(""https://docs.google.com/spreadsheets/d/1GVExpf-Exi_2gmuqTYH28fseTB9MoKPXWcXCbSt_YrM/edit?usp=share_link"",""หนองคาย!I823"")+IMPORTRANGE(""https://docs.google.com/spreadsheets/d/16UeMz0UgOB5BZcoxP75eYGcLFtG"&amp;"YRn9GoesD4OX9m5U/edit?usp=share_link"",""หนองบัวลำภู!I823"")+IMPORTRANGE(""https://docs.google.com/spreadsheets/d/1uUP8Zo1-qaJLuIkRU0qlwLSE3DHkbdrrj2JGJiWBQZE/edit?usp=share_link"",""อำนาจเจริญ!I823"")+IMPORTRANGE(""https://docs.google.com/spreadsheets/d/"&amp;"1hb_taSOHanzRjqfzWPiFo8yiT83VV1L7vvUCLhOiHKc/edit?usp=share_link"",""อุดรธานี!I823"")+IMPORTRANGE(""https://docs.google.com/spreadsheets/d/17IOkEwkUd63EGNfyNDnM5de9YlZ7rwzTiW6-dokVjKI/edit?usp=share_link"",""อุบลราชธานี!I823"")
"),154041157.95)</f>
        <v>154041157.94999999</v>
      </c>
      <c r="J823" s="37">
        <f ca="1">IFERROR(__xludf.DUMMYFUNCTION("IMPORTRANGE(""https://docs.google.com/spreadsheets/d/1fb2B9NLcpJgjIieIJvenUTNPn0TimZDUi0OtYeiSQ_s/edit?usp=share_link"",""กาฬสินธุ์!J823"")+IMPORTRANGE(""https://docs.google.com/spreadsheets/d/1SaMnqrwRGmFYNR0MhpWmHuL5niYUd5E7vDq8X7whAlI/edit?usp=share_li"&amp;"nk"",""ขอนแก่น!J823"")
+IMPORTRANGE(""https://docs.google.com/spreadsheets/d/1xQzEtGHhTTgxHh6YUkKY1P4dRyjVhS74dGswLfAASA4/edit?usp=share_link"",""ชัยภูมิ!J823"")+IMPORTRANGE(""https://docs.google.com/spreadsheets/d/1EXMBoBxU3OFbjT2TRpneM33qFjqDzrKmn9ydcfl"&amp;"fI0o/edit?usp=share_link"",""นครพนม!J823"")+IMPORTRANGE(""https://docs.google.com/spreadsheets/d/1bDQrolntRWtHumK8W-x-HXKntwxB9S3sF5aDeRS66Ko/edit?usp=share_link"",""นครราชสีมา!J823"")+IMPORTRANGE(""https://docs.google.com/spreadsheets/d/1_MzZ-2gVPiCW-d2V"&amp;"cafoCmFJQTSrZ6SQyFcMqRRQQ2w/edit?usp=share_link"",""บึงกาฬ!J823"")
+IMPORTRANGE(""https://docs.google.com/spreadsheets/d/1B3lPpzOuaNwVItLwLEZYl_qEblfcx7dRnbRkAw0l-pE/edit?usp=share_link"",""บุรีรัมย์!J823"")+IMPORTRANGE(""https://docs.google.com/spreadshe"&amp;"ets/d/19GOkiOqnzYbevLYWrMk4qFOXe3rX14BkSA8X-mq-a40/edit?usp=share_link"",""มหาสารคาม!J823"")+IMPORTRANGE(""https://docs.google.com/spreadsheets/d/1uMKqWwuNQ-TCKboGA3Bb1qXb5uj2-faACNUINCz8PN4/edit?usp=share_link"",""มุกดาหาร!J823"")+IMPORTRANGE(""https://d"&amp;"ocs.google.com/spreadsheets/d/1oKaccgDdQABndOzGr688Dbfxb_V3YcF67VqEPBtdzsc/edit?usp=share_link"",""ยโสธร!J823"")+IMPORTRANGE(""https://docs.google.com/spreadsheets/d/1BRgc8xKpxZ0PX-gauieMVkV_IOxKSotf0yW8MabGprQ/edit?usp=share_link"",""ร้อยเอ็ด!J823"")+IMP"&amp;"ORTRANGE(""https://docs.google.com/spreadsheets/d/1IdolZc-dfdgMwAm_KZxYJl1sUOcIgnbGQzbWOlddedo/edit?usp=share_link"",""เลย!J823"")+IMPORTRANGE(""https://docs.google.com/spreadsheets/d/1tZ0nmtGuIRCaGAMXHlQU8EpR9LOAJvyKfc4f7EFmE34/edit?usp=share_link"",""ศร"&amp;"ีสะเกษ!J823"")+IMPORTRANGE(""https://docs.google.com/spreadsheets/d/1QC8psz9w0f9IVE9Xuc2FT_btkaOzZbbUSgYObpBuetM/edit?usp=share_link"",""สกลนคร!J823"")+IMPORTRANGE(""https://docs.google.com/spreadsheets/d/1wPdvRbu02d33MYVlbsCnyTiZpefEBs9NNktAnT1HZvw/edit?"&amp;"usp=share_link"",""สุรินทร์!J823"")+IMPORTRANGE(""https://docs.google.com/spreadsheets/d/1GVExpf-Exi_2gmuqTYH28fseTB9MoKPXWcXCbSt_YrM/edit?usp=share_link"",""หนองคาย!J823"")+IMPORTRANGE(""https://docs.google.com/spreadsheets/d/16UeMz0UgOB5BZcoxP75eYGcLFtG"&amp;"YRn9GoesD4OX9m5U/edit?usp=share_link"",""หนองบัวลำภู!J823"")+IMPORTRANGE(""https://docs.google.com/spreadsheets/d/1uUP8Zo1-qaJLuIkRU0qlwLSE3DHkbdrrj2JGJiWBQZE/edit?usp=share_link"",""อำนาจเจริญ!J823"")+IMPORTRANGE(""https://docs.google.com/spreadsheets/d/"&amp;"1hb_taSOHanzRjqfzWPiFo8yiT83VV1L7vvUCLhOiHKc/edit?usp=share_link"",""อุดรธานี!J823"")+IMPORTRANGE(""https://docs.google.com/spreadsheets/d/17IOkEwkUd63EGNfyNDnM5de9YlZ7rwzTiW6-dokVjKI/edit?usp=share_link"",""อุบลราชธานี!J823"")
"),27966577.43)</f>
        <v>27966577.43</v>
      </c>
      <c r="K823" s="38">
        <f t="shared" ca="1" si="380"/>
        <v>18.155263049293382</v>
      </c>
      <c r="L823" s="38"/>
      <c r="M823" s="38"/>
      <c r="N823" s="38"/>
      <c r="O823" s="38"/>
      <c r="P823" s="3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</row>
    <row r="824" spans="1:26" ht="18.75">
      <c r="A824" s="744"/>
      <c r="B824" s="576"/>
      <c r="C824" s="576"/>
      <c r="D824" s="575"/>
      <c r="E824" s="576"/>
      <c r="F824" s="576"/>
      <c r="G824" s="189"/>
      <c r="H824" s="36" t="s">
        <v>35</v>
      </c>
      <c r="I824" s="37">
        <f ca="1">IFERROR(__xludf.DUMMYFUNCTION("IMPORTRANGE(""https://docs.google.com/spreadsheets/d/1fb2B9NLcpJgjIieIJvenUTNPn0TimZDUi0OtYeiSQ_s/edit?usp=share_link"",""กาฬสินธุ์!I824"")+IMPORTRANGE(""https://docs.google.com/spreadsheets/d/1SaMnqrwRGmFYNR0MhpWmHuL5niYUd5E7vDq8X7whAlI/edit?usp=share_li"&amp;"nk"",""ขอนแก่น!I824"")
+IMPORTRANGE(""https://docs.google.com/spreadsheets/d/1xQzEtGHhTTgxHh6YUkKY1P4dRyjVhS74dGswLfAASA4/edit?usp=share_link"",""ชัยภูมิ!I824"")+IMPORTRANGE(""https://docs.google.com/spreadsheets/d/1EXMBoBxU3OFbjT2TRpneM33qFjqDzrKmn9ydcfl"&amp;"fI0o/edit?usp=share_link"",""นครพนม!I824"")+IMPORTRANGE(""https://docs.google.com/spreadsheets/d/1bDQrolntRWtHumK8W-x-HXKntwxB9S3sF5aDeRS66Ko/edit?usp=share_link"",""นครราชสีมา!I824"")+IMPORTRANGE(""https://docs.google.com/spreadsheets/d/1_MzZ-2gVPiCW-d2V"&amp;"cafoCmFJQTSrZ6SQyFcMqRRQQ2w/edit?usp=share_link"",""บึงกาฬ!I824"")
+IMPORTRANGE(""https://docs.google.com/spreadsheets/d/1B3lPpzOuaNwVItLwLEZYl_qEblfcx7dRnbRkAw0l-pE/edit?usp=share_link"",""บุรีรัมย์!I824"")+IMPORTRANGE(""https://docs.google.com/spreadshe"&amp;"ets/d/19GOkiOqnzYbevLYWrMk4qFOXe3rX14BkSA8X-mq-a40/edit?usp=share_link"",""มหาสารคาม!I824"")+IMPORTRANGE(""https://docs.google.com/spreadsheets/d/1uMKqWwuNQ-TCKboGA3Bb1qXb5uj2-faACNUINCz8PN4/edit?usp=share_link"",""มุกดาหาร!I824"")+IMPORTRANGE(""https://d"&amp;"ocs.google.com/spreadsheets/d/1oKaccgDdQABndOzGr688Dbfxb_V3YcF67VqEPBtdzsc/edit?usp=share_link"",""ยโสธร!I824"")+IMPORTRANGE(""https://docs.google.com/spreadsheets/d/1BRgc8xKpxZ0PX-gauieMVkV_IOxKSotf0yW8MabGprQ/edit?usp=share_link"",""ร้อยเอ็ด!I824"")+IMP"&amp;"ORTRANGE(""https://docs.google.com/spreadsheets/d/1IdolZc-dfdgMwAm_KZxYJl1sUOcIgnbGQzbWOlddedo/edit?usp=share_link"",""เลย!I824"")+IMPORTRANGE(""https://docs.google.com/spreadsheets/d/1tZ0nmtGuIRCaGAMXHlQU8EpR9LOAJvyKfc4f7EFmE34/edit?usp=share_link"",""ศร"&amp;"ีสะเกษ!I824"")+IMPORTRANGE(""https://docs.google.com/spreadsheets/d/1QC8psz9w0f9IVE9Xuc2FT_btkaOzZbbUSgYObpBuetM/edit?usp=share_link"",""สกลนคร!I824"")+IMPORTRANGE(""https://docs.google.com/spreadsheets/d/1wPdvRbu02d33MYVlbsCnyTiZpefEBs9NNktAnT1HZvw/edit?"&amp;"usp=share_link"",""สุรินทร์!I824"")+IMPORTRANGE(""https://docs.google.com/spreadsheets/d/1GVExpf-Exi_2gmuqTYH28fseTB9MoKPXWcXCbSt_YrM/edit?usp=share_link"",""หนองคาย!I824"")+IMPORTRANGE(""https://docs.google.com/spreadsheets/d/16UeMz0UgOB5BZcoxP75eYGcLFtG"&amp;"YRn9GoesD4OX9m5U/edit?usp=share_link"",""หนองบัวลำภู!I824"")+IMPORTRANGE(""https://docs.google.com/spreadsheets/d/1uUP8Zo1-qaJLuIkRU0qlwLSE3DHkbdrrj2JGJiWBQZE/edit?usp=share_link"",""อำนาจเจริญ!I824"")+IMPORTRANGE(""https://docs.google.com/spreadsheets/d/"&amp;"1hb_taSOHanzRjqfzWPiFo8yiT83VV1L7vvUCLhOiHKc/edit?usp=share_link"",""อุดรธานี!I824"")+IMPORTRANGE(""https://docs.google.com/spreadsheets/d/17IOkEwkUd63EGNfyNDnM5de9YlZ7rwzTiW6-dokVjKI/edit?usp=share_link"",""อุบลราชธานี!I824"")
"),7300)</f>
        <v>7300</v>
      </c>
      <c r="J824" s="37">
        <f ca="1">IFERROR(__xludf.DUMMYFUNCTION("IMPORTRANGE(""https://docs.google.com/spreadsheets/d/1fb2B9NLcpJgjIieIJvenUTNPn0TimZDUi0OtYeiSQ_s/edit?usp=share_link"",""กาฬสินธุ์!J824"")+IMPORTRANGE(""https://docs.google.com/spreadsheets/d/1SaMnqrwRGmFYNR0MhpWmHuL5niYUd5E7vDq8X7whAlI/edit?usp=share_li"&amp;"nk"",""ขอนแก่น!J824"")
+IMPORTRANGE(""https://docs.google.com/spreadsheets/d/1xQzEtGHhTTgxHh6YUkKY1P4dRyjVhS74dGswLfAASA4/edit?usp=share_link"",""ชัยภูมิ!J824"")+IMPORTRANGE(""https://docs.google.com/spreadsheets/d/1EXMBoBxU3OFbjT2TRpneM33qFjqDzrKmn9ydcfl"&amp;"fI0o/edit?usp=share_link"",""นครพนม!J824"")+IMPORTRANGE(""https://docs.google.com/spreadsheets/d/1bDQrolntRWtHumK8W-x-HXKntwxB9S3sF5aDeRS66Ko/edit?usp=share_link"",""นครราชสีมา!J824"")+IMPORTRANGE(""https://docs.google.com/spreadsheets/d/1_MzZ-2gVPiCW-d2V"&amp;"cafoCmFJQTSrZ6SQyFcMqRRQQ2w/edit?usp=share_link"",""บึงกาฬ!J824"")
+IMPORTRANGE(""https://docs.google.com/spreadsheets/d/1B3lPpzOuaNwVItLwLEZYl_qEblfcx7dRnbRkAw0l-pE/edit?usp=share_link"",""บุรีรัมย์!J824"")+IMPORTRANGE(""https://docs.google.com/spreadshe"&amp;"ets/d/19GOkiOqnzYbevLYWrMk4qFOXe3rX14BkSA8X-mq-a40/edit?usp=share_link"",""มหาสารคาม!J824"")+IMPORTRANGE(""https://docs.google.com/spreadsheets/d/1uMKqWwuNQ-TCKboGA3Bb1qXb5uj2-faACNUINCz8PN4/edit?usp=share_link"",""มุกดาหาร!J824"")+IMPORTRANGE(""https://d"&amp;"ocs.google.com/spreadsheets/d/1oKaccgDdQABndOzGr688Dbfxb_V3YcF67VqEPBtdzsc/edit?usp=share_link"",""ยโสธร!J824"")+IMPORTRANGE(""https://docs.google.com/spreadsheets/d/1BRgc8xKpxZ0PX-gauieMVkV_IOxKSotf0yW8MabGprQ/edit?usp=share_link"",""ร้อยเอ็ด!J824"")+IMP"&amp;"ORTRANGE(""https://docs.google.com/spreadsheets/d/1IdolZc-dfdgMwAm_KZxYJl1sUOcIgnbGQzbWOlddedo/edit?usp=share_link"",""เลย!J824"")+IMPORTRANGE(""https://docs.google.com/spreadsheets/d/1tZ0nmtGuIRCaGAMXHlQU8EpR9LOAJvyKfc4f7EFmE34/edit?usp=share_link"",""ศร"&amp;"ีสะเกษ!J824"")+IMPORTRANGE(""https://docs.google.com/spreadsheets/d/1QC8psz9w0f9IVE9Xuc2FT_btkaOzZbbUSgYObpBuetM/edit?usp=share_link"",""สกลนคร!J824"")+IMPORTRANGE(""https://docs.google.com/spreadsheets/d/1wPdvRbu02d33MYVlbsCnyTiZpefEBs9NNktAnT1HZvw/edit?"&amp;"usp=share_link"",""สุรินทร์!J824"")+IMPORTRANGE(""https://docs.google.com/spreadsheets/d/1GVExpf-Exi_2gmuqTYH28fseTB9MoKPXWcXCbSt_YrM/edit?usp=share_link"",""หนองคาย!J824"")+IMPORTRANGE(""https://docs.google.com/spreadsheets/d/16UeMz0UgOB5BZcoxP75eYGcLFtG"&amp;"YRn9GoesD4OX9m5U/edit?usp=share_link"",""หนองบัวลำภู!J824"")+IMPORTRANGE(""https://docs.google.com/spreadsheets/d/1uUP8Zo1-qaJLuIkRU0qlwLSE3DHkbdrrj2JGJiWBQZE/edit?usp=share_link"",""อำนาจเจริญ!J824"")+IMPORTRANGE(""https://docs.google.com/spreadsheets/d/"&amp;"1hb_taSOHanzRjqfzWPiFo8yiT83VV1L7vvUCLhOiHKc/edit?usp=share_link"",""อุดรธานี!J824"")+IMPORTRANGE(""https://docs.google.com/spreadsheets/d/17IOkEwkUd63EGNfyNDnM5de9YlZ7rwzTiW6-dokVjKI/edit?usp=share_link"",""อุบลราชธานี!J824"")
"),3538)</f>
        <v>3538</v>
      </c>
      <c r="K824" s="38">
        <f t="shared" ca="1" si="380"/>
        <v>48.465753424657535</v>
      </c>
      <c r="L824" s="38"/>
      <c r="M824" s="38"/>
      <c r="N824" s="38"/>
      <c r="O824" s="38"/>
      <c r="P824" s="3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</row>
    <row r="825" spans="1:26" ht="18.75">
      <c r="A825" s="744"/>
      <c r="B825" s="577" t="s">
        <v>328</v>
      </c>
      <c r="C825" s="576"/>
      <c r="D825" s="575"/>
      <c r="E825" s="576"/>
      <c r="F825" s="576"/>
      <c r="G825" s="189"/>
      <c r="H825" s="36" t="s">
        <v>12</v>
      </c>
      <c r="I825" s="37">
        <f ca="1">IFERROR(__xludf.DUMMYFUNCTION("IMPORTRANGE(""https://docs.google.com/spreadsheets/d/1fb2B9NLcpJgjIieIJvenUTNPn0TimZDUi0OtYeiSQ_s/edit?usp=share_link"",""กาฬสินธุ์!I825"")+IMPORTRANGE(""https://docs.google.com/spreadsheets/d/1SaMnqrwRGmFYNR0MhpWmHuL5niYUd5E7vDq8X7whAlI/edit?usp=share_li"&amp;"nk"",""ขอนแก่น!I825"")
+IMPORTRANGE(""https://docs.google.com/spreadsheets/d/1xQzEtGHhTTgxHh6YUkKY1P4dRyjVhS74dGswLfAASA4/edit?usp=share_link"",""ชัยภูมิ!I825"")+IMPORTRANGE(""https://docs.google.com/spreadsheets/d/1EXMBoBxU3OFbjT2TRpneM33qFjqDzrKmn9ydcfl"&amp;"fI0o/edit?usp=share_link"",""นครพนม!I825"")+IMPORTRANGE(""https://docs.google.com/spreadsheets/d/1bDQrolntRWtHumK8W-x-HXKntwxB9S3sF5aDeRS66Ko/edit?usp=share_link"",""นครราชสีมา!I825"")+IMPORTRANGE(""https://docs.google.com/spreadsheets/d/1_MzZ-2gVPiCW-d2V"&amp;"cafoCmFJQTSrZ6SQyFcMqRRQQ2w/edit?usp=share_link"",""บึงกาฬ!I825"")
+IMPORTRANGE(""https://docs.google.com/spreadsheets/d/1B3lPpzOuaNwVItLwLEZYl_qEblfcx7dRnbRkAw0l-pE/edit?usp=share_link"",""บุรีรัมย์!I825"")+IMPORTRANGE(""https://docs.google.com/spreadshe"&amp;"ets/d/19GOkiOqnzYbevLYWrMk4qFOXe3rX14BkSA8X-mq-a40/edit?usp=share_link"",""มหาสารคาม!I825"")+IMPORTRANGE(""https://docs.google.com/spreadsheets/d/1uMKqWwuNQ-TCKboGA3Bb1qXb5uj2-faACNUINCz8PN4/edit?usp=share_link"",""มุกดาหาร!I825"")+IMPORTRANGE(""https://d"&amp;"ocs.google.com/spreadsheets/d/1oKaccgDdQABndOzGr688Dbfxb_V3YcF67VqEPBtdzsc/edit?usp=share_link"",""ยโสธร!I825"")+IMPORTRANGE(""https://docs.google.com/spreadsheets/d/1BRgc8xKpxZ0PX-gauieMVkV_IOxKSotf0yW8MabGprQ/edit?usp=share_link"",""ร้อยเอ็ด!I825"")+IMP"&amp;"ORTRANGE(""https://docs.google.com/spreadsheets/d/1IdolZc-dfdgMwAm_KZxYJl1sUOcIgnbGQzbWOlddedo/edit?usp=share_link"",""เลย!I825"")+IMPORTRANGE(""https://docs.google.com/spreadsheets/d/1tZ0nmtGuIRCaGAMXHlQU8EpR9LOAJvyKfc4f7EFmE34/edit?usp=share_link"",""ศร"&amp;"ีสะเกษ!I825"")+IMPORTRANGE(""https://docs.google.com/spreadsheets/d/1QC8psz9w0f9IVE9Xuc2FT_btkaOzZbbUSgYObpBuetM/edit?usp=share_link"",""สกลนคร!I825"")+IMPORTRANGE(""https://docs.google.com/spreadsheets/d/1wPdvRbu02d33MYVlbsCnyTiZpefEBs9NNktAnT1HZvw/edit?"&amp;"usp=share_link"",""สุรินทร์!I825"")+IMPORTRANGE(""https://docs.google.com/spreadsheets/d/1GVExpf-Exi_2gmuqTYH28fseTB9MoKPXWcXCbSt_YrM/edit?usp=share_link"",""หนองคาย!I825"")+IMPORTRANGE(""https://docs.google.com/spreadsheets/d/16UeMz0UgOB5BZcoxP75eYGcLFtG"&amp;"YRn9GoesD4OX9m5U/edit?usp=share_link"",""หนองบัวลำภู!I825"")+IMPORTRANGE(""https://docs.google.com/spreadsheets/d/1uUP8Zo1-qaJLuIkRU0qlwLSE3DHkbdrrj2JGJiWBQZE/edit?usp=share_link"",""อำนาจเจริญ!I825"")+IMPORTRANGE(""https://docs.google.com/spreadsheets/d/"&amp;"1hb_taSOHanzRjqfzWPiFo8yiT83VV1L7vvUCLhOiHKc/edit?usp=share_link"",""อุดรธานี!I825"")+IMPORTRANGE(""https://docs.google.com/spreadsheets/d/17IOkEwkUd63EGNfyNDnM5de9YlZ7rwzTiW6-dokVjKI/edit?usp=share_link"",""อุบลราชธานี!I825"")
"),9570098.33999999)</f>
        <v>9570098.3399999905</v>
      </c>
      <c r="J825" s="37">
        <f ca="1">IFERROR(__xludf.DUMMYFUNCTION("IMPORTRANGE(""https://docs.google.com/spreadsheets/d/1fb2B9NLcpJgjIieIJvenUTNPn0TimZDUi0OtYeiSQ_s/edit?usp=share_link"",""กาฬสินธุ์!J825"")+IMPORTRANGE(""https://docs.google.com/spreadsheets/d/1SaMnqrwRGmFYNR0MhpWmHuL5niYUd5E7vDq8X7whAlI/edit?usp=share_li"&amp;"nk"",""ขอนแก่น!J825"")
+IMPORTRANGE(""https://docs.google.com/spreadsheets/d/1xQzEtGHhTTgxHh6YUkKY1P4dRyjVhS74dGswLfAASA4/edit?usp=share_link"",""ชัยภูมิ!J825"")+IMPORTRANGE(""https://docs.google.com/spreadsheets/d/1EXMBoBxU3OFbjT2TRpneM33qFjqDzrKmn9ydcfl"&amp;"fI0o/edit?usp=share_link"",""นครพนม!J825"")+IMPORTRANGE(""https://docs.google.com/spreadsheets/d/1bDQrolntRWtHumK8W-x-HXKntwxB9S3sF5aDeRS66Ko/edit?usp=share_link"",""นครราชสีมา!J825"")+IMPORTRANGE(""https://docs.google.com/spreadsheets/d/1_MzZ-2gVPiCW-d2V"&amp;"cafoCmFJQTSrZ6SQyFcMqRRQQ2w/edit?usp=share_link"",""บึงกาฬ!J825"")
+IMPORTRANGE(""https://docs.google.com/spreadsheets/d/1B3lPpzOuaNwVItLwLEZYl_qEblfcx7dRnbRkAw0l-pE/edit?usp=share_link"",""บุรีรัมย์!J825"")+IMPORTRANGE(""https://docs.google.com/spreadshe"&amp;"ets/d/19GOkiOqnzYbevLYWrMk4qFOXe3rX14BkSA8X-mq-a40/edit?usp=share_link"",""มหาสารคาม!J825"")+IMPORTRANGE(""https://docs.google.com/spreadsheets/d/1uMKqWwuNQ-TCKboGA3Bb1qXb5uj2-faACNUINCz8PN4/edit?usp=share_link"",""มุกดาหาร!J825"")+IMPORTRANGE(""https://d"&amp;"ocs.google.com/spreadsheets/d/1oKaccgDdQABndOzGr688Dbfxb_V3YcF67VqEPBtdzsc/edit?usp=share_link"",""ยโสธร!J825"")+IMPORTRANGE(""https://docs.google.com/spreadsheets/d/1BRgc8xKpxZ0PX-gauieMVkV_IOxKSotf0yW8MabGprQ/edit?usp=share_link"",""ร้อยเอ็ด!J825"")+IMP"&amp;"ORTRANGE(""https://docs.google.com/spreadsheets/d/1IdolZc-dfdgMwAm_KZxYJl1sUOcIgnbGQzbWOlddedo/edit?usp=share_link"",""เลย!J825"")+IMPORTRANGE(""https://docs.google.com/spreadsheets/d/1tZ0nmtGuIRCaGAMXHlQU8EpR9LOAJvyKfc4f7EFmE34/edit?usp=share_link"",""ศร"&amp;"ีสะเกษ!J825"")+IMPORTRANGE(""https://docs.google.com/spreadsheets/d/1QC8psz9w0f9IVE9Xuc2FT_btkaOzZbbUSgYObpBuetM/edit?usp=share_link"",""สกลนคร!J825"")+IMPORTRANGE(""https://docs.google.com/spreadsheets/d/1wPdvRbu02d33MYVlbsCnyTiZpefEBs9NNktAnT1HZvw/edit?"&amp;"usp=share_link"",""สุรินทร์!J825"")+IMPORTRANGE(""https://docs.google.com/spreadsheets/d/1GVExpf-Exi_2gmuqTYH28fseTB9MoKPXWcXCbSt_YrM/edit?usp=share_link"",""หนองคาย!J825"")+IMPORTRANGE(""https://docs.google.com/spreadsheets/d/16UeMz0UgOB5BZcoxP75eYGcLFtG"&amp;"YRn9GoesD4OX9m5U/edit?usp=share_link"",""หนองบัวลำภู!J825"")+IMPORTRANGE(""https://docs.google.com/spreadsheets/d/1uUP8Zo1-qaJLuIkRU0qlwLSE3DHkbdrrj2JGJiWBQZE/edit?usp=share_link"",""อำนาจเจริญ!J825"")+IMPORTRANGE(""https://docs.google.com/spreadsheets/d/"&amp;"1hb_taSOHanzRjqfzWPiFo8yiT83VV1L7vvUCLhOiHKc/edit?usp=share_link"",""อุดรธานี!J825"")+IMPORTRANGE(""https://docs.google.com/spreadsheets/d/17IOkEwkUd63EGNfyNDnM5de9YlZ7rwzTiW6-dokVjKI/edit?usp=share_link"",""อุบลราชธานี!J825"")
"),3752224.35999999)</f>
        <v>3752224.3599999901</v>
      </c>
      <c r="K825" s="38">
        <f t="shared" ca="1" si="380"/>
        <v>39.207793135383746</v>
      </c>
      <c r="L825" s="38"/>
      <c r="M825" s="38"/>
      <c r="N825" s="38"/>
      <c r="O825" s="38"/>
      <c r="P825" s="3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</row>
    <row r="826" spans="1:26" ht="18.75">
      <c r="A826" s="744"/>
      <c r="B826" s="576"/>
      <c r="C826" s="576"/>
      <c r="D826" s="575"/>
      <c r="E826" s="576"/>
      <c r="F826" s="576"/>
      <c r="G826" s="189"/>
      <c r="H826" s="36" t="s">
        <v>35</v>
      </c>
      <c r="I826" s="37">
        <f ca="1">IFERROR(__xludf.DUMMYFUNCTION("IMPORTRANGE(""https://docs.google.com/spreadsheets/d/1fb2B9NLcpJgjIieIJvenUTNPn0TimZDUi0OtYeiSQ_s/edit?usp=share_link"",""กาฬสินธุ์!I826"")+IMPORTRANGE(""https://docs.google.com/spreadsheets/d/1SaMnqrwRGmFYNR0MhpWmHuL5niYUd5E7vDq8X7whAlI/edit?usp=share_li"&amp;"nk"",""ขอนแก่น!I826"")
+IMPORTRANGE(""https://docs.google.com/spreadsheets/d/1xQzEtGHhTTgxHh6YUkKY1P4dRyjVhS74dGswLfAASA4/edit?usp=share_link"",""ชัยภูมิ!I826"")+IMPORTRANGE(""https://docs.google.com/spreadsheets/d/1EXMBoBxU3OFbjT2TRpneM33qFjqDzrKmn9ydcfl"&amp;"fI0o/edit?usp=share_link"",""นครพนม!I826"")+IMPORTRANGE(""https://docs.google.com/spreadsheets/d/1bDQrolntRWtHumK8W-x-HXKntwxB9S3sF5aDeRS66Ko/edit?usp=share_link"",""นครราชสีมา!I826"")+IMPORTRANGE(""https://docs.google.com/spreadsheets/d/1_MzZ-2gVPiCW-d2V"&amp;"cafoCmFJQTSrZ6SQyFcMqRRQQ2w/edit?usp=share_link"",""บึงกาฬ!I826"")
+IMPORTRANGE(""https://docs.google.com/spreadsheets/d/1B3lPpzOuaNwVItLwLEZYl_qEblfcx7dRnbRkAw0l-pE/edit?usp=share_link"",""บุรีรัมย์!I826"")+IMPORTRANGE(""https://docs.google.com/spreadshe"&amp;"ets/d/19GOkiOqnzYbevLYWrMk4qFOXe3rX14BkSA8X-mq-a40/edit?usp=share_link"",""มหาสารคาม!I826"")+IMPORTRANGE(""https://docs.google.com/spreadsheets/d/1uMKqWwuNQ-TCKboGA3Bb1qXb5uj2-faACNUINCz8PN4/edit?usp=share_link"",""มุกดาหาร!I826"")+IMPORTRANGE(""https://d"&amp;"ocs.google.com/spreadsheets/d/1oKaccgDdQABndOzGr688Dbfxb_V3YcF67VqEPBtdzsc/edit?usp=share_link"",""ยโสธร!I826"")+IMPORTRANGE(""https://docs.google.com/spreadsheets/d/1BRgc8xKpxZ0PX-gauieMVkV_IOxKSotf0yW8MabGprQ/edit?usp=share_link"",""ร้อยเอ็ด!I826"")+IMP"&amp;"ORTRANGE(""https://docs.google.com/spreadsheets/d/1IdolZc-dfdgMwAm_KZxYJl1sUOcIgnbGQzbWOlddedo/edit?usp=share_link"",""เลย!I826"")+IMPORTRANGE(""https://docs.google.com/spreadsheets/d/1tZ0nmtGuIRCaGAMXHlQU8EpR9LOAJvyKfc4f7EFmE34/edit?usp=share_link"",""ศร"&amp;"ีสะเกษ!I826"")+IMPORTRANGE(""https://docs.google.com/spreadsheets/d/1QC8psz9w0f9IVE9Xuc2FT_btkaOzZbbUSgYObpBuetM/edit?usp=share_link"",""สกลนคร!I826"")+IMPORTRANGE(""https://docs.google.com/spreadsheets/d/1wPdvRbu02d33MYVlbsCnyTiZpefEBs9NNktAnT1HZvw/edit?"&amp;"usp=share_link"",""สุรินทร์!I826"")+IMPORTRANGE(""https://docs.google.com/spreadsheets/d/1GVExpf-Exi_2gmuqTYH28fseTB9MoKPXWcXCbSt_YrM/edit?usp=share_link"",""หนองคาย!I826"")+IMPORTRANGE(""https://docs.google.com/spreadsheets/d/16UeMz0UgOB5BZcoxP75eYGcLFtG"&amp;"YRn9GoesD4OX9m5U/edit?usp=share_link"",""หนองบัวลำภู!I826"")+IMPORTRANGE(""https://docs.google.com/spreadsheets/d/1uUP8Zo1-qaJLuIkRU0qlwLSE3DHkbdrrj2JGJiWBQZE/edit?usp=share_link"",""อำนาจเจริญ!I826"")+IMPORTRANGE(""https://docs.google.com/spreadsheets/d/"&amp;"1hb_taSOHanzRjqfzWPiFo8yiT83VV1L7vvUCLhOiHKc/edit?usp=share_link"",""อุดรธานี!I826"")+IMPORTRANGE(""https://docs.google.com/spreadsheets/d/17IOkEwkUd63EGNfyNDnM5de9YlZ7rwzTiW6-dokVjKI/edit?usp=share_link"",""อุบลราชธานี!I826"")
"),1207)</f>
        <v>1207</v>
      </c>
      <c r="J826" s="37">
        <f ca="1">IFERROR(__xludf.DUMMYFUNCTION("IMPORTRANGE(""https://docs.google.com/spreadsheets/d/1fb2B9NLcpJgjIieIJvenUTNPn0TimZDUi0OtYeiSQ_s/edit?usp=share_link"",""กาฬสินธุ์!J826"")+IMPORTRANGE(""https://docs.google.com/spreadsheets/d/1SaMnqrwRGmFYNR0MhpWmHuL5niYUd5E7vDq8X7whAlI/edit?usp=share_li"&amp;"nk"",""ขอนแก่น!J826"")
+IMPORTRANGE(""https://docs.google.com/spreadsheets/d/1xQzEtGHhTTgxHh6YUkKY1P4dRyjVhS74dGswLfAASA4/edit?usp=share_link"",""ชัยภูมิ!J826"")+IMPORTRANGE(""https://docs.google.com/spreadsheets/d/1EXMBoBxU3OFbjT2TRpneM33qFjqDzrKmn9ydcfl"&amp;"fI0o/edit?usp=share_link"",""นครพนม!J826"")+IMPORTRANGE(""https://docs.google.com/spreadsheets/d/1bDQrolntRWtHumK8W-x-HXKntwxB9S3sF5aDeRS66Ko/edit?usp=share_link"",""นครราชสีมา!J826"")+IMPORTRANGE(""https://docs.google.com/spreadsheets/d/1_MzZ-2gVPiCW-d2V"&amp;"cafoCmFJQTSrZ6SQyFcMqRRQQ2w/edit?usp=share_link"",""บึงกาฬ!J826"")
+IMPORTRANGE(""https://docs.google.com/spreadsheets/d/1B3lPpzOuaNwVItLwLEZYl_qEblfcx7dRnbRkAw0l-pE/edit?usp=share_link"",""บุรีรัมย์!J826"")+IMPORTRANGE(""https://docs.google.com/spreadshe"&amp;"ets/d/19GOkiOqnzYbevLYWrMk4qFOXe3rX14BkSA8X-mq-a40/edit?usp=share_link"",""มหาสารคาม!J826"")+IMPORTRANGE(""https://docs.google.com/spreadsheets/d/1uMKqWwuNQ-TCKboGA3Bb1qXb5uj2-faACNUINCz8PN4/edit?usp=share_link"",""มุกดาหาร!J826"")+IMPORTRANGE(""https://d"&amp;"ocs.google.com/spreadsheets/d/1oKaccgDdQABndOzGr688Dbfxb_V3YcF67VqEPBtdzsc/edit?usp=share_link"",""ยโสธร!J826"")+IMPORTRANGE(""https://docs.google.com/spreadsheets/d/1BRgc8xKpxZ0PX-gauieMVkV_IOxKSotf0yW8MabGprQ/edit?usp=share_link"",""ร้อยเอ็ด!J826"")+IMP"&amp;"ORTRANGE(""https://docs.google.com/spreadsheets/d/1IdolZc-dfdgMwAm_KZxYJl1sUOcIgnbGQzbWOlddedo/edit?usp=share_link"",""เลย!J826"")+IMPORTRANGE(""https://docs.google.com/spreadsheets/d/1tZ0nmtGuIRCaGAMXHlQU8EpR9LOAJvyKfc4f7EFmE34/edit?usp=share_link"",""ศร"&amp;"ีสะเกษ!J826"")+IMPORTRANGE(""https://docs.google.com/spreadsheets/d/1QC8psz9w0f9IVE9Xuc2FT_btkaOzZbbUSgYObpBuetM/edit?usp=share_link"",""สกลนคร!J826"")+IMPORTRANGE(""https://docs.google.com/spreadsheets/d/1wPdvRbu02d33MYVlbsCnyTiZpefEBs9NNktAnT1HZvw/edit?"&amp;"usp=share_link"",""สุรินทร์!J826"")+IMPORTRANGE(""https://docs.google.com/spreadsheets/d/1GVExpf-Exi_2gmuqTYH28fseTB9MoKPXWcXCbSt_YrM/edit?usp=share_link"",""หนองคาย!J826"")+IMPORTRANGE(""https://docs.google.com/spreadsheets/d/16UeMz0UgOB5BZcoxP75eYGcLFtG"&amp;"YRn9GoesD4OX9m5U/edit?usp=share_link"",""หนองบัวลำภู!J826"")+IMPORTRANGE(""https://docs.google.com/spreadsheets/d/1uUP8Zo1-qaJLuIkRU0qlwLSE3DHkbdrrj2JGJiWBQZE/edit?usp=share_link"",""อำนาจเจริญ!J826"")+IMPORTRANGE(""https://docs.google.com/spreadsheets/d/"&amp;"1hb_taSOHanzRjqfzWPiFo8yiT83VV1L7vvUCLhOiHKc/edit?usp=share_link"",""อุดรธานี!J826"")+IMPORTRANGE(""https://docs.google.com/spreadsheets/d/17IOkEwkUd63EGNfyNDnM5de9YlZ7rwzTiW6-dokVjKI/edit?usp=share_link"",""อุบลราชธานี!J826"")
"),1235)</f>
        <v>1235</v>
      </c>
      <c r="K826" s="38">
        <f t="shared" ca="1" si="380"/>
        <v>102.31980115990058</v>
      </c>
      <c r="L826" s="38"/>
      <c r="M826" s="38"/>
      <c r="N826" s="38"/>
      <c r="O826" s="38"/>
      <c r="P826" s="3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</row>
    <row r="827" spans="1:26" ht="18.75">
      <c r="A827" s="744"/>
      <c r="B827" s="577" t="s">
        <v>329</v>
      </c>
      <c r="C827" s="576"/>
      <c r="D827" s="575"/>
      <c r="E827" s="576"/>
      <c r="F827" s="576"/>
      <c r="G827" s="189"/>
      <c r="H827" s="36" t="s">
        <v>12</v>
      </c>
      <c r="I827" s="37">
        <f ca="1">IFERROR(__xludf.DUMMYFUNCTION("IMPORTRANGE(""https://docs.google.com/spreadsheets/d/1fb2B9NLcpJgjIieIJvenUTNPn0TimZDUi0OtYeiSQ_s/edit?usp=share_link"",""กาฬสินธุ์!I827"")+IMPORTRANGE(""https://docs.google.com/spreadsheets/d/1SaMnqrwRGmFYNR0MhpWmHuL5niYUd5E7vDq8X7whAlI/edit?usp=share_li"&amp;"nk"",""ขอนแก่น!I827"")
+IMPORTRANGE(""https://docs.google.com/spreadsheets/d/1xQzEtGHhTTgxHh6YUkKY1P4dRyjVhS74dGswLfAASA4/edit?usp=share_link"",""ชัยภูมิ!I827"")+IMPORTRANGE(""https://docs.google.com/spreadsheets/d/1EXMBoBxU3OFbjT2TRpneM33qFjqDzrKmn9ydcfl"&amp;"fI0o/edit?usp=share_link"",""นครพนม!I827"")+IMPORTRANGE(""https://docs.google.com/spreadsheets/d/1bDQrolntRWtHumK8W-x-HXKntwxB9S3sF5aDeRS66Ko/edit?usp=share_link"",""นครราชสีมา!I827"")+IMPORTRANGE(""https://docs.google.com/spreadsheets/d/1_MzZ-2gVPiCW-d2V"&amp;"cafoCmFJQTSrZ6SQyFcMqRRQQ2w/edit?usp=share_link"",""บึงกาฬ!I827"")
+IMPORTRANGE(""https://docs.google.com/spreadsheets/d/1B3lPpzOuaNwVItLwLEZYl_qEblfcx7dRnbRkAw0l-pE/edit?usp=share_link"",""บุรีรัมย์!I827"")+IMPORTRANGE(""https://docs.google.com/spreadshe"&amp;"ets/d/19GOkiOqnzYbevLYWrMk4qFOXe3rX14BkSA8X-mq-a40/edit?usp=share_link"",""มหาสารคาม!I827"")+IMPORTRANGE(""https://docs.google.com/spreadsheets/d/1uMKqWwuNQ-TCKboGA3Bb1qXb5uj2-faACNUINCz8PN4/edit?usp=share_link"",""มุกดาหาร!I827"")+IMPORTRANGE(""https://d"&amp;"ocs.google.com/spreadsheets/d/1oKaccgDdQABndOzGr688Dbfxb_V3YcF67VqEPBtdzsc/edit?usp=share_link"",""ยโสธร!I827"")+IMPORTRANGE(""https://docs.google.com/spreadsheets/d/1BRgc8xKpxZ0PX-gauieMVkV_IOxKSotf0yW8MabGprQ/edit?usp=share_link"",""ร้อยเอ็ด!I827"")+IMP"&amp;"ORTRANGE(""https://docs.google.com/spreadsheets/d/1IdolZc-dfdgMwAm_KZxYJl1sUOcIgnbGQzbWOlddedo/edit?usp=share_link"",""เลย!I827"")+IMPORTRANGE(""https://docs.google.com/spreadsheets/d/1tZ0nmtGuIRCaGAMXHlQU8EpR9LOAJvyKfc4f7EFmE34/edit?usp=share_link"",""ศร"&amp;"ีสะเกษ!I827"")+IMPORTRANGE(""https://docs.google.com/spreadsheets/d/1QC8psz9w0f9IVE9Xuc2FT_btkaOzZbbUSgYObpBuetM/edit?usp=share_link"",""สกลนคร!I827"")+IMPORTRANGE(""https://docs.google.com/spreadsheets/d/1wPdvRbu02d33MYVlbsCnyTiZpefEBs9NNktAnT1HZvw/edit?"&amp;"usp=share_link"",""สุรินทร์!I827"")+IMPORTRANGE(""https://docs.google.com/spreadsheets/d/1GVExpf-Exi_2gmuqTYH28fseTB9MoKPXWcXCbSt_YrM/edit?usp=share_link"",""หนองคาย!I827"")+IMPORTRANGE(""https://docs.google.com/spreadsheets/d/16UeMz0UgOB5BZcoxP75eYGcLFtG"&amp;"YRn9GoesD4OX9m5U/edit?usp=share_link"",""หนองบัวลำภู!I827"")+IMPORTRANGE(""https://docs.google.com/spreadsheets/d/1uUP8Zo1-qaJLuIkRU0qlwLSE3DHkbdrrj2JGJiWBQZE/edit?usp=share_link"",""อำนาจเจริญ!I827"")+IMPORTRANGE(""https://docs.google.com/spreadsheets/d/"&amp;"1hb_taSOHanzRjqfzWPiFo8yiT83VV1L7vvUCLhOiHKc/edit?usp=share_link"",""อุดรธานี!I827"")+IMPORTRANGE(""https://docs.google.com/spreadsheets/d/17IOkEwkUd63EGNfyNDnM5de9YlZ7rwzTiW6-dokVjKI/edit?usp=share_link"",""อุบลราชธานี!I827"")
"),142100000)</f>
        <v>142100000</v>
      </c>
      <c r="J827" s="37">
        <f ca="1">IFERROR(__xludf.DUMMYFUNCTION("IMPORTRANGE(""https://docs.google.com/spreadsheets/d/1fb2B9NLcpJgjIieIJvenUTNPn0TimZDUi0OtYeiSQ_s/edit?usp=share_link"",""กาฬสินธุ์!J827"")+IMPORTRANGE(""https://docs.google.com/spreadsheets/d/1SaMnqrwRGmFYNR0MhpWmHuL5niYUd5E7vDq8X7whAlI/edit?usp=share_li"&amp;"nk"",""ขอนแก่น!J827"")
+IMPORTRANGE(""https://docs.google.com/spreadsheets/d/1xQzEtGHhTTgxHh6YUkKY1P4dRyjVhS74dGswLfAASA4/edit?usp=share_link"",""ชัยภูมิ!J827"")+IMPORTRANGE(""https://docs.google.com/spreadsheets/d/1EXMBoBxU3OFbjT2TRpneM33qFjqDzrKmn9ydcfl"&amp;"fI0o/edit?usp=share_link"",""นครพนม!J827"")+IMPORTRANGE(""https://docs.google.com/spreadsheets/d/1bDQrolntRWtHumK8W-x-HXKntwxB9S3sF5aDeRS66Ko/edit?usp=share_link"",""นครราชสีมา!J827"")+IMPORTRANGE(""https://docs.google.com/spreadsheets/d/1_MzZ-2gVPiCW-d2V"&amp;"cafoCmFJQTSrZ6SQyFcMqRRQQ2w/edit?usp=share_link"",""บึงกาฬ!J827"")
+IMPORTRANGE(""https://docs.google.com/spreadsheets/d/1B3lPpzOuaNwVItLwLEZYl_qEblfcx7dRnbRkAw0l-pE/edit?usp=share_link"",""บุรีรัมย์!J827"")+IMPORTRANGE(""https://docs.google.com/spreadshe"&amp;"ets/d/19GOkiOqnzYbevLYWrMk4qFOXe3rX14BkSA8X-mq-a40/edit?usp=share_link"",""มหาสารคาม!J827"")+IMPORTRANGE(""https://docs.google.com/spreadsheets/d/1uMKqWwuNQ-TCKboGA3Bb1qXb5uj2-faACNUINCz8PN4/edit?usp=share_link"",""มุกดาหาร!J827"")+IMPORTRANGE(""https://d"&amp;"ocs.google.com/spreadsheets/d/1oKaccgDdQABndOzGr688Dbfxb_V3YcF67VqEPBtdzsc/edit?usp=share_link"",""ยโสธร!J827"")+IMPORTRANGE(""https://docs.google.com/spreadsheets/d/1BRgc8xKpxZ0PX-gauieMVkV_IOxKSotf0yW8MabGprQ/edit?usp=share_link"",""ร้อยเอ็ด!J827"")+IMP"&amp;"ORTRANGE(""https://docs.google.com/spreadsheets/d/1IdolZc-dfdgMwAm_KZxYJl1sUOcIgnbGQzbWOlddedo/edit?usp=share_link"",""เลย!J827"")+IMPORTRANGE(""https://docs.google.com/spreadsheets/d/1tZ0nmtGuIRCaGAMXHlQU8EpR9LOAJvyKfc4f7EFmE34/edit?usp=share_link"",""ศร"&amp;"ีสะเกษ!J827"")+IMPORTRANGE(""https://docs.google.com/spreadsheets/d/1QC8psz9w0f9IVE9Xuc2FT_btkaOzZbbUSgYObpBuetM/edit?usp=share_link"",""สกลนคร!J827"")+IMPORTRANGE(""https://docs.google.com/spreadsheets/d/1wPdvRbu02d33MYVlbsCnyTiZpefEBs9NNktAnT1HZvw/edit?"&amp;"usp=share_link"",""สุรินทร์!J827"")+IMPORTRANGE(""https://docs.google.com/spreadsheets/d/1GVExpf-Exi_2gmuqTYH28fseTB9MoKPXWcXCbSt_YrM/edit?usp=share_link"",""หนองคาย!J827"")+IMPORTRANGE(""https://docs.google.com/spreadsheets/d/16UeMz0UgOB5BZcoxP75eYGcLFtG"&amp;"YRn9GoesD4OX9m5U/edit?usp=share_link"",""หนองบัวลำภู!J827"")+IMPORTRANGE(""https://docs.google.com/spreadsheets/d/1uUP8Zo1-qaJLuIkRU0qlwLSE3DHkbdrrj2JGJiWBQZE/edit?usp=share_link"",""อำนาจเจริญ!J827"")+IMPORTRANGE(""https://docs.google.com/spreadsheets/d/"&amp;"1hb_taSOHanzRjqfzWPiFo8yiT83VV1L7vvUCLhOiHKc/edit?usp=share_link"",""อุดรธานี!J827"")+IMPORTRANGE(""https://docs.google.com/spreadsheets/d/17IOkEwkUd63EGNfyNDnM5de9YlZ7rwzTiW6-dokVjKI/edit?usp=share_link"",""อุบลราชธานี!J827"")
"),155846000)</f>
        <v>155846000</v>
      </c>
      <c r="K827" s="38">
        <f t="shared" ca="1" si="380"/>
        <v>109.67346938775511</v>
      </c>
      <c r="L827" s="38"/>
      <c r="M827" s="38"/>
      <c r="N827" s="38"/>
      <c r="O827" s="38"/>
      <c r="P827" s="3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</row>
    <row r="828" spans="1:26" ht="18.75">
      <c r="A828" s="841"/>
      <c r="B828" s="749"/>
      <c r="C828" s="749"/>
      <c r="D828" s="748"/>
      <c r="E828" s="749"/>
      <c r="F828" s="749"/>
      <c r="G828" s="842"/>
      <c r="H828" s="843" t="s">
        <v>35</v>
      </c>
      <c r="I828" s="506">
        <f ca="1">IFERROR(__xludf.DUMMYFUNCTION("IMPORTRANGE(""https://docs.google.com/spreadsheets/d/1fb2B9NLcpJgjIieIJvenUTNPn0TimZDUi0OtYeiSQ_s/edit?usp=share_link"",""กาฬสินธุ์!I828"")+IMPORTRANGE(""https://docs.google.com/spreadsheets/d/1SaMnqrwRGmFYNR0MhpWmHuL5niYUd5E7vDq8X7whAlI/edit?usp=share_li"&amp;"nk"",""ขอนแก่น!I828"")
+IMPORTRANGE(""https://docs.google.com/spreadsheets/d/1xQzEtGHhTTgxHh6YUkKY1P4dRyjVhS74dGswLfAASA4/edit?usp=share_link"",""ชัยภูมิ!I828"")+IMPORTRANGE(""https://docs.google.com/spreadsheets/d/1EXMBoBxU3OFbjT2TRpneM33qFjqDzrKmn9ydcfl"&amp;"fI0o/edit?usp=share_link"",""นครพนม!I828"")+IMPORTRANGE(""https://docs.google.com/spreadsheets/d/1bDQrolntRWtHumK8W-x-HXKntwxB9S3sF5aDeRS66Ko/edit?usp=share_link"",""นครราชสีมา!I828"")+IMPORTRANGE(""https://docs.google.com/spreadsheets/d/1_MzZ-2gVPiCW-d2V"&amp;"cafoCmFJQTSrZ6SQyFcMqRRQQ2w/edit?usp=share_link"",""บึงกาฬ!I828"")
+IMPORTRANGE(""https://docs.google.com/spreadsheets/d/1B3lPpzOuaNwVItLwLEZYl_qEblfcx7dRnbRkAw0l-pE/edit?usp=share_link"",""บุรีรัมย์!I828"")+IMPORTRANGE(""https://docs.google.com/spreadshe"&amp;"ets/d/19GOkiOqnzYbevLYWrMk4qFOXe3rX14BkSA8X-mq-a40/edit?usp=share_link"",""มหาสารคาม!I828"")+IMPORTRANGE(""https://docs.google.com/spreadsheets/d/1uMKqWwuNQ-TCKboGA3Bb1qXb5uj2-faACNUINCz8PN4/edit?usp=share_link"",""มุกดาหาร!I828"")+IMPORTRANGE(""https://d"&amp;"ocs.google.com/spreadsheets/d/1oKaccgDdQABndOzGr688Dbfxb_V3YcF67VqEPBtdzsc/edit?usp=share_link"",""ยโสธร!I828"")+IMPORTRANGE(""https://docs.google.com/spreadsheets/d/1BRgc8xKpxZ0PX-gauieMVkV_IOxKSotf0yW8MabGprQ/edit?usp=share_link"",""ร้อยเอ็ด!I828"")+IMP"&amp;"ORTRANGE(""https://docs.google.com/spreadsheets/d/1IdolZc-dfdgMwAm_KZxYJl1sUOcIgnbGQzbWOlddedo/edit?usp=share_link"",""เลย!I828"")+IMPORTRANGE(""https://docs.google.com/spreadsheets/d/1tZ0nmtGuIRCaGAMXHlQU8EpR9LOAJvyKfc4f7EFmE34/edit?usp=share_link"",""ศร"&amp;"ีสะเกษ!I828"")+IMPORTRANGE(""https://docs.google.com/spreadsheets/d/1QC8psz9w0f9IVE9Xuc2FT_btkaOzZbbUSgYObpBuetM/edit?usp=share_link"",""สกลนคร!I828"")+IMPORTRANGE(""https://docs.google.com/spreadsheets/d/1wPdvRbu02d33MYVlbsCnyTiZpefEBs9NNktAnT1HZvw/edit?"&amp;"usp=share_link"",""สุรินทร์!I828"")+IMPORTRANGE(""https://docs.google.com/spreadsheets/d/1GVExpf-Exi_2gmuqTYH28fseTB9MoKPXWcXCbSt_YrM/edit?usp=share_link"",""หนองคาย!I828"")+IMPORTRANGE(""https://docs.google.com/spreadsheets/d/16UeMz0UgOB5BZcoxP75eYGcLFtG"&amp;"YRn9GoesD4OX9m5U/edit?usp=share_link"",""หนองบัวลำภู!I828"")+IMPORTRANGE(""https://docs.google.com/spreadsheets/d/1uUP8Zo1-qaJLuIkRU0qlwLSE3DHkbdrrj2JGJiWBQZE/edit?usp=share_link"",""อำนาจเจริญ!I828"")+IMPORTRANGE(""https://docs.google.com/spreadsheets/d/"&amp;"1hb_taSOHanzRjqfzWPiFo8yiT83VV1L7vvUCLhOiHKc/edit?usp=share_link"",""อุดรธานี!I828"")+IMPORTRANGE(""https://docs.google.com/spreadsheets/d/17IOkEwkUd63EGNfyNDnM5de9YlZ7rwzTiW6-dokVjKI/edit?usp=share_link"",""อุบลราชธานี!I828"")
"),5177)</f>
        <v>5177</v>
      </c>
      <c r="J828" s="506">
        <f ca="1">IFERROR(__xludf.DUMMYFUNCTION("IMPORTRANGE(""https://docs.google.com/spreadsheets/d/1fb2B9NLcpJgjIieIJvenUTNPn0TimZDUi0OtYeiSQ_s/edit?usp=share_link"",""กาฬสินธุ์!J828"")+IMPORTRANGE(""https://docs.google.com/spreadsheets/d/1SaMnqrwRGmFYNR0MhpWmHuL5niYUd5E7vDq8X7whAlI/edit?usp=share_li"&amp;"nk"",""ขอนแก่น!J828"")
+IMPORTRANGE(""https://docs.google.com/spreadsheets/d/1xQzEtGHhTTgxHh6YUkKY1P4dRyjVhS74dGswLfAASA4/edit?usp=share_link"",""ชัยภูมิ!J828"")+IMPORTRANGE(""https://docs.google.com/spreadsheets/d/1EXMBoBxU3OFbjT2TRpneM33qFjqDzrKmn9ydcfl"&amp;"fI0o/edit?usp=share_link"",""นครพนม!J828"")+IMPORTRANGE(""https://docs.google.com/spreadsheets/d/1bDQrolntRWtHumK8W-x-HXKntwxB9S3sF5aDeRS66Ko/edit?usp=share_link"",""นครราชสีมา!J828"")+IMPORTRANGE(""https://docs.google.com/spreadsheets/d/1_MzZ-2gVPiCW-d2V"&amp;"cafoCmFJQTSrZ6SQyFcMqRRQQ2w/edit?usp=share_link"",""บึงกาฬ!J828"")
+IMPORTRANGE(""https://docs.google.com/spreadsheets/d/1B3lPpzOuaNwVItLwLEZYl_qEblfcx7dRnbRkAw0l-pE/edit?usp=share_link"",""บุรีรัมย์!J828"")+IMPORTRANGE(""https://docs.google.com/spreadshe"&amp;"ets/d/19GOkiOqnzYbevLYWrMk4qFOXe3rX14BkSA8X-mq-a40/edit?usp=share_link"",""มหาสารคาม!J828"")+IMPORTRANGE(""https://docs.google.com/spreadsheets/d/1uMKqWwuNQ-TCKboGA3Bb1qXb5uj2-faACNUINCz8PN4/edit?usp=share_link"",""มุกดาหาร!J828"")+IMPORTRANGE(""https://d"&amp;"ocs.google.com/spreadsheets/d/1oKaccgDdQABndOzGr688Dbfxb_V3YcF67VqEPBtdzsc/edit?usp=share_link"",""ยโสธร!J828"")+IMPORTRANGE(""https://docs.google.com/spreadsheets/d/1BRgc8xKpxZ0PX-gauieMVkV_IOxKSotf0yW8MabGprQ/edit?usp=share_link"",""ร้อยเอ็ด!J828"")+IMP"&amp;"ORTRANGE(""https://docs.google.com/spreadsheets/d/1IdolZc-dfdgMwAm_KZxYJl1sUOcIgnbGQzbWOlddedo/edit?usp=share_link"",""เลย!J828"")+IMPORTRANGE(""https://docs.google.com/spreadsheets/d/1tZ0nmtGuIRCaGAMXHlQU8EpR9LOAJvyKfc4f7EFmE34/edit?usp=share_link"",""ศร"&amp;"ีสะเกษ!J828"")+IMPORTRANGE(""https://docs.google.com/spreadsheets/d/1QC8psz9w0f9IVE9Xuc2FT_btkaOzZbbUSgYObpBuetM/edit?usp=share_link"",""สกลนคร!J828"")+IMPORTRANGE(""https://docs.google.com/spreadsheets/d/1wPdvRbu02d33MYVlbsCnyTiZpefEBs9NNktAnT1HZvw/edit?"&amp;"usp=share_link"",""สุรินทร์!J828"")+IMPORTRANGE(""https://docs.google.com/spreadsheets/d/1GVExpf-Exi_2gmuqTYH28fseTB9MoKPXWcXCbSt_YrM/edit?usp=share_link"",""หนองคาย!J828"")+IMPORTRANGE(""https://docs.google.com/spreadsheets/d/16UeMz0UgOB5BZcoxP75eYGcLFtG"&amp;"YRn9GoesD4OX9m5U/edit?usp=share_link"",""หนองบัวลำภู!J828"")+IMPORTRANGE(""https://docs.google.com/spreadsheets/d/1uUP8Zo1-qaJLuIkRU0qlwLSE3DHkbdrrj2JGJiWBQZE/edit?usp=share_link"",""อำนาจเจริญ!J828"")+IMPORTRANGE(""https://docs.google.com/spreadsheets/d/"&amp;"1hb_taSOHanzRjqfzWPiFo8yiT83VV1L7vvUCLhOiHKc/edit?usp=share_link"",""อุดรธานี!J828"")+IMPORTRANGE(""https://docs.google.com/spreadsheets/d/17IOkEwkUd63EGNfyNDnM5de9YlZ7rwzTiW6-dokVjKI/edit?usp=share_link"",""อุบลราชธานี!J828"")
"),4384)</f>
        <v>4384</v>
      </c>
      <c r="K828" s="507">
        <f t="shared" ca="1" si="380"/>
        <v>84.682248406412981</v>
      </c>
      <c r="L828" s="507"/>
      <c r="M828" s="507"/>
      <c r="N828" s="507"/>
      <c r="O828" s="507"/>
      <c r="P828" s="507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96C67-22BD-40B0-BF08-58FA96E8403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348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364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6638981</v>
      </c>
      <c r="M8" s="22">
        <f t="shared" ca="1" si="0"/>
        <v>7027558</v>
      </c>
      <c r="N8" s="22">
        <f t="shared" ca="1" si="0"/>
        <v>7027558</v>
      </c>
      <c r="O8" s="22">
        <f t="shared" ref="O8:O16" ca="1" si="1">IF(L8&gt;0,N8*100/L8,0)</f>
        <v>105.85296147104503</v>
      </c>
      <c r="P8" s="22">
        <f t="shared" ref="P8:P16" ca="1" si="2">IF(M8&gt;0,N8*100/M8,0)</f>
        <v>100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6638981</v>
      </c>
      <c r="M10" s="30">
        <f t="shared" ca="1" si="3"/>
        <v>7027558</v>
      </c>
      <c r="N10" s="30">
        <f t="shared" ca="1" si="3"/>
        <v>7027558</v>
      </c>
      <c r="O10" s="30">
        <f t="shared" ca="1" si="1"/>
        <v>105.85296147104503</v>
      </c>
      <c r="P10" s="30">
        <f t="shared" ca="1" si="2"/>
        <v>100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3" t="s">
        <v>12</v>
      </c>
      <c r="I11" s="270"/>
      <c r="J11" s="270"/>
      <c r="K11" s="498"/>
      <c r="L11" s="498">
        <f t="shared" ref="L11:N11" ca="1" si="4">L12+L13</f>
        <v>5534381</v>
      </c>
      <c r="M11" s="498">
        <f t="shared" ca="1" si="4"/>
        <v>6018258</v>
      </c>
      <c r="N11" s="498">
        <f t="shared" ca="1" si="4"/>
        <v>6018258</v>
      </c>
      <c r="O11" s="498">
        <f t="shared" ca="1" si="1"/>
        <v>108.74310966303187</v>
      </c>
      <c r="P11" s="498">
        <f t="shared" ca="1" si="2"/>
        <v>100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7"/>
      <c r="J12" s="617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7"/>
      <c r="J13" s="617"/>
      <c r="K13" s="93"/>
      <c r="L13" s="93">
        <f t="shared" ca="1" si="5"/>
        <v>5534381</v>
      </c>
      <c r="M13" s="93">
        <f t="shared" ca="1" si="5"/>
        <v>6018258</v>
      </c>
      <c r="N13" s="93">
        <f t="shared" ca="1" si="5"/>
        <v>6018258</v>
      </c>
      <c r="O13" s="93">
        <f t="shared" ca="1" si="1"/>
        <v>108.74310966303187</v>
      </c>
      <c r="P13" s="93">
        <f t="shared" ca="1" si="2"/>
        <v>100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3" t="s">
        <v>12</v>
      </c>
      <c r="I14" s="270"/>
      <c r="J14" s="270"/>
      <c r="K14" s="498"/>
      <c r="L14" s="498">
        <f t="shared" ref="L14:N14" ca="1" si="6">L15+L16</f>
        <v>1104600</v>
      </c>
      <c r="M14" s="498">
        <f t="shared" ca="1" si="6"/>
        <v>1009300</v>
      </c>
      <c r="N14" s="498">
        <f t="shared" ca="1" si="6"/>
        <v>1009300</v>
      </c>
      <c r="O14" s="498">
        <f t="shared" ca="1" si="1"/>
        <v>91.372442513126927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7"/>
      <c r="J15" s="617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1104600</v>
      </c>
      <c r="M16" s="52">
        <f t="shared" ca="1" si="7"/>
        <v>1009300</v>
      </c>
      <c r="N16" s="52">
        <f t="shared" ca="1" si="7"/>
        <v>1009300</v>
      </c>
      <c r="O16" s="52">
        <f t="shared" ca="1" si="1"/>
        <v>91.372442513126927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4267682</v>
      </c>
      <c r="M18" s="22">
        <f t="shared" ca="1" si="8"/>
        <v>4616824</v>
      </c>
      <c r="N18" s="22">
        <f t="shared" ca="1" si="8"/>
        <v>4616824</v>
      </c>
      <c r="O18" s="22">
        <f t="shared" ref="O18:O26" ca="1" si="9">IF(L18&gt;0,N18*100/L18,0)</f>
        <v>108.18106878628727</v>
      </c>
      <c r="P18" s="22">
        <f t="shared" ref="P18:P26" ca="1" si="10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4267682</v>
      </c>
      <c r="M20" s="30">
        <f t="shared" ca="1" si="11"/>
        <v>4616824</v>
      </c>
      <c r="N20" s="30">
        <f t="shared" ca="1" si="11"/>
        <v>4616824</v>
      </c>
      <c r="O20" s="30">
        <f t="shared" ca="1" si="9"/>
        <v>108.18106878628727</v>
      </c>
      <c r="P20" s="30">
        <f t="shared" ca="1" si="10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3" t="s">
        <v>12</v>
      </c>
      <c r="I21" s="270"/>
      <c r="J21" s="270"/>
      <c r="K21" s="498"/>
      <c r="L21" s="498">
        <f t="shared" ref="L21:N21" ca="1" si="12">L22+L23</f>
        <v>3163082</v>
      </c>
      <c r="M21" s="498">
        <f t="shared" ca="1" si="12"/>
        <v>3607524</v>
      </c>
      <c r="N21" s="498">
        <f t="shared" ca="1" si="12"/>
        <v>3607524</v>
      </c>
      <c r="O21" s="498">
        <f t="shared" ca="1" si="9"/>
        <v>114.05091616341278</v>
      </c>
      <c r="P21" s="498">
        <f t="shared" ca="1" si="10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7"/>
      <c r="J22" s="617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7"/>
      <c r="J23" s="617"/>
      <c r="K23" s="93"/>
      <c r="L23" s="93">
        <f t="shared" ca="1" si="13"/>
        <v>3163082</v>
      </c>
      <c r="M23" s="93">
        <f t="shared" ca="1" si="13"/>
        <v>3607524</v>
      </c>
      <c r="N23" s="93">
        <f t="shared" ca="1" si="13"/>
        <v>3607524</v>
      </c>
      <c r="O23" s="93">
        <f t="shared" ca="1" si="9"/>
        <v>114.05091616341278</v>
      </c>
      <c r="P23" s="93">
        <f t="shared" ca="1" si="10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3" t="s">
        <v>12</v>
      </c>
      <c r="I24" s="270"/>
      <c r="J24" s="270"/>
      <c r="K24" s="498"/>
      <c r="L24" s="498">
        <f t="shared" ref="L24:N24" ca="1" si="14">L25+L26</f>
        <v>1104600</v>
      </c>
      <c r="M24" s="498">
        <f t="shared" ca="1" si="14"/>
        <v>1009300</v>
      </c>
      <c r="N24" s="498">
        <f t="shared" ca="1" si="14"/>
        <v>1009300</v>
      </c>
      <c r="O24" s="498">
        <f t="shared" ca="1" si="9"/>
        <v>91.372442513126927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7"/>
      <c r="J25" s="617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1104600</v>
      </c>
      <c r="M26" s="52">
        <f t="shared" ca="1" si="15"/>
        <v>1009300</v>
      </c>
      <c r="N26" s="52">
        <f t="shared" ca="1" si="15"/>
        <v>1009300</v>
      </c>
      <c r="O26" s="52">
        <f t="shared" ca="1" si="9"/>
        <v>91.372442513126927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2371299</v>
      </c>
      <c r="M28" s="22">
        <f t="shared" ca="1" si="16"/>
        <v>2410734</v>
      </c>
      <c r="N28" s="22">
        <f t="shared" si="16"/>
        <v>2410734</v>
      </c>
      <c r="O28" s="22">
        <f t="shared" ref="O28:O37" ca="1" si="17">IF(L28&gt;0,N28*100/L28,0)</f>
        <v>101.66301255134844</v>
      </c>
      <c r="P28" s="22">
        <f t="shared" ref="P28:P37" ca="1" si="18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2371299</v>
      </c>
      <c r="M30" s="30">
        <f t="shared" ca="1" si="19"/>
        <v>2410734</v>
      </c>
      <c r="N30" s="30">
        <f t="shared" si="19"/>
        <v>2410734</v>
      </c>
      <c r="O30" s="30">
        <f t="shared" ca="1" si="17"/>
        <v>101.66301255134844</v>
      </c>
      <c r="P30" s="30">
        <f t="shared" ca="1" si="18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3" t="s">
        <v>12</v>
      </c>
      <c r="I31" s="270"/>
      <c r="J31" s="270"/>
      <c r="K31" s="498"/>
      <c r="L31" s="498">
        <f t="shared" ref="L31:N31" ca="1" si="20">L32+L33</f>
        <v>2371299</v>
      </c>
      <c r="M31" s="498">
        <f t="shared" ca="1" si="20"/>
        <v>2410734</v>
      </c>
      <c r="N31" s="498">
        <f t="shared" si="20"/>
        <v>2410734</v>
      </c>
      <c r="O31" s="498">
        <f t="shared" ca="1" si="17"/>
        <v>101.66301255134844</v>
      </c>
      <c r="P31" s="498">
        <f t="shared" ca="1" si="18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7"/>
      <c r="J32" s="617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7"/>
      <c r="J33" s="617"/>
      <c r="K33" s="93"/>
      <c r="L33" s="93">
        <f t="shared" ca="1" si="21"/>
        <v>2371299</v>
      </c>
      <c r="M33" s="93">
        <f t="shared" ca="1" si="21"/>
        <v>2410734</v>
      </c>
      <c r="N33" s="93">
        <f t="shared" si="21"/>
        <v>2410734</v>
      </c>
      <c r="O33" s="93">
        <f t="shared" ca="1" si="17"/>
        <v>101.66301255134844</v>
      </c>
      <c r="P33" s="93">
        <f t="shared" ca="1" si="18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3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7"/>
      <c r="J35" s="617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7" t="s">
        <v>24</v>
      </c>
      <c r="B37" s="868"/>
      <c r="C37" s="868"/>
      <c r="D37" s="868"/>
      <c r="E37" s="868"/>
      <c r="F37" s="868"/>
      <c r="G37" s="869"/>
      <c r="H37" s="870"/>
      <c r="I37" s="871"/>
      <c r="J37" s="871"/>
      <c r="K37" s="872"/>
      <c r="L37" s="873">
        <f t="shared" ref="L37:N37" ca="1" si="24">L41+L53+L66+L88+L119+L132+L149+L165+L181+L261+L277+L298+L315+L328+L345+L389+L402</f>
        <v>4267682</v>
      </c>
      <c r="M37" s="873">
        <f t="shared" ca="1" si="24"/>
        <v>4616824</v>
      </c>
      <c r="N37" s="873">
        <f t="shared" ca="1" si="24"/>
        <v>4616824</v>
      </c>
      <c r="O37" s="873">
        <f t="shared" ca="1" si="17"/>
        <v>108.18106878628727</v>
      </c>
      <c r="P37" s="873">
        <f t="shared" ca="1" si="18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439342</v>
      </c>
      <c r="M41" s="85">
        <f t="shared" ca="1" si="25"/>
        <v>584024</v>
      </c>
      <c r="N41" s="85">
        <f t="shared" ca="1" si="25"/>
        <v>584024</v>
      </c>
      <c r="O41" s="85">
        <f t="shared" ref="O41:O49" ca="1" si="26">IF(L41&gt;0,N41*100/L41,0)</f>
        <v>132.93152031902252</v>
      </c>
      <c r="P41" s="85">
        <f t="shared" ref="P41:P49" ca="1" si="27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439342</v>
      </c>
      <c r="M43" s="92">
        <f t="shared" ca="1" si="28"/>
        <v>584024</v>
      </c>
      <c r="N43" s="92">
        <f t="shared" ca="1" si="28"/>
        <v>584024</v>
      </c>
      <c r="O43" s="92">
        <f t="shared" ca="1" si="26"/>
        <v>132.93152031902252</v>
      </c>
      <c r="P43" s="92">
        <f t="shared" ca="1" si="27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3" t="s">
        <v>12</v>
      </c>
      <c r="I44" s="270"/>
      <c r="J44" s="270"/>
      <c r="K44" s="498"/>
      <c r="L44" s="498">
        <f t="shared" ref="L44:N44" ca="1" si="29">L45+L46</f>
        <v>439342</v>
      </c>
      <c r="M44" s="498">
        <f t="shared" ca="1" si="29"/>
        <v>584024</v>
      </c>
      <c r="N44" s="498">
        <f t="shared" ca="1" si="29"/>
        <v>584024</v>
      </c>
      <c r="O44" s="498">
        <f t="shared" ca="1" si="26"/>
        <v>132.93152031902252</v>
      </c>
      <c r="P44" s="498">
        <f t="shared" ca="1" si="27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7"/>
      <c r="J45" s="617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7"/>
      <c r="J46" s="617"/>
      <c r="K46" s="93"/>
      <c r="L46" s="93">
        <f ca="1">IFERROR(__xludf.DUMMYFUNCTION("IMPORTRANGE(""https://docs.google.com/spreadsheets/d/1MeEWN-I1oV_STSDYn1IFDPWt_1FKiwhDph83XaGc0o0/edit?usp=sharing"",""งบพรบ!M40"")"),439342)</f>
        <v>439342</v>
      </c>
      <c r="M46" s="93">
        <f ca="1">IFERROR(__xludf.DUMMYFUNCTION("IMPORTRANGE(""https://docs.google.com/spreadsheets/d/1MeEWN-I1oV_STSDYn1IFDPWt_1FKiwhDph83XaGc0o0/edit?usp=sharing"",""งบพรบ!R40"")"),584024)</f>
        <v>584024</v>
      </c>
      <c r="N46" s="93">
        <f ca="1">IFERROR(__xludf.DUMMYFUNCTION("IMPORTRANGE(""https://docs.google.com/spreadsheets/d/1MeEWN-I1oV_STSDYn1IFDPWt_1FKiwhDph83XaGc0o0/edit?usp=sharing"",""งบพรบ!T40"")"),584024)</f>
        <v>584024</v>
      </c>
      <c r="O46" s="93">
        <f t="shared" ca="1" si="26"/>
        <v>132.93152031902252</v>
      </c>
      <c r="P46" s="93">
        <f t="shared" ca="1" si="27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3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7"/>
      <c r="J48" s="617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IFERROR(__xludf.DUMMYFUNCTION("IMPORTRANGE(""https://docs.google.com/spreadsheets/d/1MeEWN-I1oV_STSDYn1IFDPWt_1FKiwhDph83XaGc0o0/edit?usp=sharing"",""งบพรบ!P40"")"),0)</f>
        <v>0</v>
      </c>
      <c r="M49" s="52">
        <f ca="1">IFERROR(__xludf.DUMMYFUNCTION("IMPORTRANGE(""https://docs.google.com/spreadsheets/d/1MeEWN-I1oV_STSDYn1IFDPWt_1FKiwhDph83XaGc0o0/edit?usp=sharing"",""งบพรบ!S40"")"),0)</f>
        <v>0</v>
      </c>
      <c r="N49" s="52">
        <f ca="1">IFERROR(__xludf.DUMMYFUNCTION("IMPORTRANGE(""https://docs.google.com/spreadsheets/d/1MeEWN-I1oV_STSDYn1IFDPWt_1FKiwhDph83XaGc0o0/edit?usp=sharing"",""งบพรบ!U40"")"),0)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696600</v>
      </c>
      <c r="M53" s="116">
        <f t="shared" ca="1" si="31"/>
        <v>719100</v>
      </c>
      <c r="N53" s="116">
        <f t="shared" ca="1" si="31"/>
        <v>719100</v>
      </c>
      <c r="O53" s="116">
        <f t="shared" ref="O53:O61" ca="1" si="32">IF(L53&gt;0,N53*100/L53,0)</f>
        <v>103.22997416020672</v>
      </c>
      <c r="P53" s="116">
        <f t="shared" ref="P53:P61" ca="1" si="33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696600</v>
      </c>
      <c r="M55" s="123">
        <f t="shared" ca="1" si="34"/>
        <v>719100</v>
      </c>
      <c r="N55" s="123">
        <f t="shared" ca="1" si="34"/>
        <v>719100</v>
      </c>
      <c r="O55" s="123">
        <f t="shared" ca="1" si="32"/>
        <v>103.22997416020672</v>
      </c>
      <c r="P55" s="123">
        <f t="shared" ca="1" si="33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3" t="s">
        <v>12</v>
      </c>
      <c r="I56" s="270"/>
      <c r="J56" s="270"/>
      <c r="K56" s="498"/>
      <c r="L56" s="498">
        <f t="shared" ref="L56:N56" ca="1" si="35">L57+L58</f>
        <v>696600</v>
      </c>
      <c r="M56" s="498">
        <f t="shared" ca="1" si="35"/>
        <v>719100</v>
      </c>
      <c r="N56" s="498">
        <f t="shared" ca="1" si="35"/>
        <v>719100</v>
      </c>
      <c r="O56" s="498">
        <f t="shared" ca="1" si="32"/>
        <v>103.22997416020672</v>
      </c>
      <c r="P56" s="498">
        <f t="shared" ca="1" si="33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7"/>
      <c r="J57" s="617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7"/>
      <c r="J58" s="617"/>
      <c r="K58" s="93"/>
      <c r="L58" s="93">
        <f ca="1">IFERROR(__xludf.DUMMYFUNCTION("IMPORTRANGE(""https://docs.google.com/spreadsheets/d/1MeEWN-I1oV_STSDYn1IFDPWt_1FKiwhDph83XaGc0o0/edit?usp=sharing"",""งบพรบ!W40"")"),696600)</f>
        <v>696600</v>
      </c>
      <c r="M58" s="93">
        <f ca="1">IFERROR(__xludf.DUMMYFUNCTION("IMPORTRANGE(""https://docs.google.com/spreadsheets/d/1MeEWN-I1oV_STSDYn1IFDPWt_1FKiwhDph83XaGc0o0/edit?usp=sharing"",""งบพรบ!AB40"")"),719100)</f>
        <v>719100</v>
      </c>
      <c r="N58" s="93">
        <f ca="1">IFERROR(__xludf.DUMMYFUNCTION("IMPORTRANGE(""https://docs.google.com/spreadsheets/d/1MeEWN-I1oV_STSDYn1IFDPWt_1FKiwhDph83XaGc0o0/edit?usp=sharing"",""งบพรบ!AD40"")"),719100)</f>
        <v>719100</v>
      </c>
      <c r="O58" s="93">
        <f t="shared" ca="1" si="32"/>
        <v>103.22997416020672</v>
      </c>
      <c r="P58" s="93">
        <f t="shared" ca="1" si="33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3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7"/>
      <c r="J60" s="617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IFERROR(__xludf.DUMMYFUNCTION("IMPORTRANGE(""https://docs.google.com/spreadsheets/d/1MeEWN-I1oV_STSDYn1IFDPWt_1FKiwhDph83XaGc0o0/edit?usp=sharing"",""งบพรบ!Z40"")"),0)</f>
        <v>0</v>
      </c>
      <c r="M61" s="52">
        <f ca="1">IFERROR(__xludf.DUMMYFUNCTION("IMPORTRANGE(""https://docs.google.com/spreadsheets/d/1MeEWN-I1oV_STSDYn1IFDPWt_1FKiwhDph83XaGc0o0/edit?usp=sharing"",""งบพรบ!AC40"")"),0)</f>
        <v>0</v>
      </c>
      <c r="N61" s="52">
        <f ca="1">IFERROR(__xludf.DUMMYFUNCTION("IMPORTRANGE(""https://docs.google.com/spreadsheets/d/1MeEWN-I1oV_STSDYn1IFDPWt_1FKiwhDph83XaGc0o0/edit?usp=sharing"",""งบพรบ!AE40"")"),0)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920900</v>
      </c>
      <c r="M66" s="155">
        <f t="shared" ca="1" si="39"/>
        <v>936940</v>
      </c>
      <c r="N66" s="155">
        <f t="shared" ca="1" si="39"/>
        <v>936940</v>
      </c>
      <c r="O66" s="155">
        <f t="shared" ref="O66:O74" ca="1" si="40">IF(L66&gt;0,N66*100/L66,0)</f>
        <v>101.74177435117819</v>
      </c>
      <c r="P66" s="155">
        <f t="shared" ref="P66:P74" ca="1" si="41">IF(M66&gt;0,N66*100/M66,0)</f>
        <v>100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7"/>
      <c r="J67" s="617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7"/>
      <c r="J68" s="617"/>
      <c r="K68" s="93"/>
      <c r="L68" s="93">
        <f t="shared" ca="1" si="42"/>
        <v>920900</v>
      </c>
      <c r="M68" s="93">
        <f t="shared" ca="1" si="42"/>
        <v>936940</v>
      </c>
      <c r="N68" s="93">
        <f t="shared" ca="1" si="42"/>
        <v>936940</v>
      </c>
      <c r="O68" s="93">
        <f t="shared" ca="1" si="40"/>
        <v>101.74177435117819</v>
      </c>
      <c r="P68" s="93">
        <f t="shared" ca="1" si="41"/>
        <v>100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920900</v>
      </c>
      <c r="M69" s="498">
        <f t="shared" ca="1" si="43"/>
        <v>936940</v>
      </c>
      <c r="N69" s="498">
        <f t="shared" ca="1" si="43"/>
        <v>936940</v>
      </c>
      <c r="O69" s="498">
        <f t="shared" ca="1" si="40"/>
        <v>101.74177435117819</v>
      </c>
      <c r="P69" s="498">
        <f t="shared" ca="1" si="41"/>
        <v>100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IFERROR(__xludf.DUMMYFUNCTION("IMPORTRANGE(""https://docs.google.com/spreadsheets/d/1MeEWN-I1oV_STSDYn1IFDPWt_1FKiwhDph83XaGc0o0/edit?usp=sharing"",""งบพรบ!AG40"")"),920900)</f>
        <v>920900</v>
      </c>
      <c r="M71" s="93">
        <f ca="1">IFERROR(__xludf.DUMMYFUNCTION("IMPORTRANGE(""https://docs.google.com/spreadsheets/d/1MeEWN-I1oV_STSDYn1IFDPWt_1FKiwhDph83XaGc0o0/edit?usp=sharing"",""งบพรบ!AL40"")"),936940)</f>
        <v>936940</v>
      </c>
      <c r="N71" s="93">
        <f ca="1">IFERROR(__xludf.DUMMYFUNCTION("IMPORTRANGE(""https://docs.google.com/spreadsheets/d/1MeEWN-I1oV_STSDYn1IFDPWt_1FKiwhDph83XaGc0o0/edit?usp=sharing"",""งบพรบ!AN40"")"),936940)</f>
        <v>936940</v>
      </c>
      <c r="O71" s="93">
        <f t="shared" ca="1" si="40"/>
        <v>101.74177435117819</v>
      </c>
      <c r="P71" s="93">
        <f t="shared" ca="1" si="41"/>
        <v>100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IFERROR(__xludf.DUMMYFUNCTION("IMPORTRANGE(""https://docs.google.com/spreadsheets/d/1MeEWN-I1oV_STSDYn1IFDPWt_1FKiwhDph83XaGc0o0/edit?usp=sharing"",""งบพรบ!AJ40"")"),0)</f>
        <v>0</v>
      </c>
      <c r="M74" s="93">
        <f ca="1">IFERROR(__xludf.DUMMYFUNCTION("IMPORTRANGE(""https://docs.google.com/spreadsheets/d/1MeEWN-I1oV_STSDYn1IFDPWt_1FKiwhDph83XaGc0o0/edit?usp=sharing"",""งบพรบ!AM40"")"),0)</f>
        <v>0</v>
      </c>
      <c r="N74" s="93">
        <f ca="1">IFERROR(__xludf.DUMMYFUNCTION("IMPORTRANGE(""https://docs.google.com/spreadsheets/d/1MeEWN-I1oV_STSDYn1IFDPWt_1FKiwhDph83XaGc0o0/edit?usp=sharing"",""งบพรบ!AO40"")"),0)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7" t="s">
        <v>38</v>
      </c>
      <c r="E75" s="173"/>
      <c r="F75" s="173"/>
      <c r="G75" s="174"/>
      <c r="H75" s="76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4" t="s">
        <v>34</v>
      </c>
      <c r="I78" s="184">
        <f ca="1">IFERROR(__xludf.DUMMYFUNCTION("IMPORTRANGE(""https://docs.google.com/spreadsheets/d/1QqKyyYR6Q21VydFLVH3TRQUabQu_ym0Zz7PgGX0-kHA/edit?usp=sharing"",""แผน!H40"")"),0)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4" t="s">
        <v>35</v>
      </c>
      <c r="I79" s="184">
        <f ca="1">IFERROR(__xludf.DUMMYFUNCTION("IMPORTRANGE(""https://docs.google.com/spreadsheets/d/1QqKyyYR6Q21VydFLVH3TRQUabQu_ym0Zz7PgGX0-kHA/edit?usp=sharing"",""แผน!I40"")"),0)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4" t="s">
        <v>34</v>
      </c>
      <c r="I80" s="184">
        <f ca="1">IFERROR(__xludf.DUMMYFUNCTION("IMPORTRANGE(""https://docs.google.com/spreadsheets/d/1QqKyyYR6Q21VydFLVH3TRQUabQu_ym0Zz7PgGX0-kHA/edit?usp=sharing"",""แผน!F40"")"),0)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4" t="s">
        <v>35</v>
      </c>
      <c r="I81" s="184">
        <f ca="1">IFERROR(__xludf.DUMMYFUNCTION("IMPORTRANGE(""https://docs.google.com/spreadsheets/d/1QqKyyYR6Q21VydFLVH3TRQUabQu_ym0Zz7PgGX0-kHA/edit?usp=sharing"",""แผน!G40"")"),0)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4" t="s">
        <v>34</v>
      </c>
      <c r="I82" s="184">
        <f ca="1">IFERROR(__xludf.DUMMYFUNCTION("IMPORTRANGE(""https://docs.google.com/spreadsheets/d/1QqKyyYR6Q21VydFLVH3TRQUabQu_ym0Zz7PgGX0-kHA/edit?usp=sharing"",""แผน!D40"")"),1)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4" t="s">
        <v>35</v>
      </c>
      <c r="I83" s="184">
        <f ca="1">IFERROR(__xludf.DUMMYFUNCTION("IMPORTRANGE(""https://docs.google.com/spreadsheets/d/1QqKyyYR6Q21VydFLVH3TRQUabQu_ym0Zz7PgGX0-kHA/edit?usp=sharing"",""แผน!E40"")"),30)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IFERROR(__xludf.DUMMYFUNCTION("IMPORTRANGE(""https://docs.google.com/spreadsheets/d/1QqKyyYR6Q21VydFLVH3TRQUabQu_ym0Zz7PgGX0-kHA/edit?usp=sharing"",""แผน!J40"")"),1)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86340</v>
      </c>
      <c r="M88" s="155">
        <f t="shared" ca="1" si="49"/>
        <v>112040</v>
      </c>
      <c r="N88" s="155">
        <f t="shared" ca="1" si="49"/>
        <v>112040</v>
      </c>
      <c r="O88" s="155">
        <f t="shared" ref="O88:O96" ca="1" si="50">IF(L88&gt;0,N88*100/L88,0)</f>
        <v>129.76604123233727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7"/>
      <c r="J89" s="617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7"/>
      <c r="J90" s="617"/>
      <c r="K90" s="93"/>
      <c r="L90" s="93">
        <f t="shared" ca="1" si="52"/>
        <v>86340</v>
      </c>
      <c r="M90" s="93">
        <f t="shared" ca="1" si="52"/>
        <v>112040</v>
      </c>
      <c r="N90" s="93">
        <f t="shared" ca="1" si="52"/>
        <v>112040</v>
      </c>
      <c r="O90" s="93">
        <f t="shared" ca="1" si="50"/>
        <v>129.76604123233727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86340</v>
      </c>
      <c r="M91" s="498">
        <f t="shared" ca="1" si="53"/>
        <v>112040</v>
      </c>
      <c r="N91" s="498">
        <f t="shared" ca="1" si="53"/>
        <v>112040</v>
      </c>
      <c r="O91" s="498">
        <f t="shared" ca="1" si="50"/>
        <v>129.76604123233727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IFERROR(__xludf.DUMMYFUNCTION("IMPORTRANGE(""https://docs.google.com/spreadsheets/d/1MeEWN-I1oV_STSDYn1IFDPWt_1FKiwhDph83XaGc0o0/edit?usp=sharing"",""งบพรบ!AQ40"")"),86340)</f>
        <v>86340</v>
      </c>
      <c r="M93" s="93">
        <f ca="1">IFERROR(__xludf.DUMMYFUNCTION("IMPORTRANGE(""https://docs.google.com/spreadsheets/d/1MeEWN-I1oV_STSDYn1IFDPWt_1FKiwhDph83XaGc0o0/edit?usp=sharing"",""งบพรบ!AV40"")"),112040)</f>
        <v>112040</v>
      </c>
      <c r="N93" s="93">
        <f ca="1">IFERROR(__xludf.DUMMYFUNCTION("IMPORTRANGE(""https://docs.google.com/spreadsheets/d/1MeEWN-I1oV_STSDYn1IFDPWt_1FKiwhDph83XaGc0o0/edit?usp=sharing"",""งบพรบ!AX40"")"),112040)</f>
        <v>112040</v>
      </c>
      <c r="O93" s="93">
        <f t="shared" ca="1" si="50"/>
        <v>129.76604123233727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IFERROR(__xludf.DUMMYFUNCTION("IMPORTRANGE(""https://docs.google.com/spreadsheets/d/1MeEWN-I1oV_STSDYn1IFDPWt_1FKiwhDph83XaGc0o0/edit?usp=sharing"",""งบพรบ!AT40"")"),0)</f>
        <v>0</v>
      </c>
      <c r="M96" s="93">
        <f ca="1">IFERROR(__xludf.DUMMYFUNCTION("IMPORTRANGE(""https://docs.google.com/spreadsheets/d/1MeEWN-I1oV_STSDYn1IFDPWt_1FKiwhDph83XaGc0o0/edit?usp=sharing"",""งบพรบ!AW40"")"),0)</f>
        <v>0</v>
      </c>
      <c r="N96" s="93">
        <f ca="1">IFERROR(__xludf.DUMMYFUNCTION("IMPORTRANGE(""https://docs.google.com/spreadsheets/d/1MeEWN-I1oV_STSDYn1IFDPWt_1FKiwhDph83XaGc0o0/edit?usp=sharing"",""งบพรบ!AY40"")"),0)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7" t="s">
        <v>38</v>
      </c>
      <c r="E97" s="173"/>
      <c r="F97" s="173"/>
      <c r="G97" s="174"/>
      <c r="H97" s="762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3" t="s">
        <v>46</v>
      </c>
      <c r="I98" s="270">
        <f ca="1">IFERROR(__xludf.DUMMYFUNCTION("IMPORTRANGE(""https://docs.google.com/spreadsheets/d/1QqKyyYR6Q21VydFLVH3TRQUabQu_ym0Zz7PgGX0-kHA/edit?usp=sharing"",""แผน!K40"")"),30)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3" t="s">
        <v>35</v>
      </c>
      <c r="I99" s="270">
        <f ca="1">IFERROR(__xludf.DUMMYFUNCTION("IMPORTRANGE(""https://docs.google.com/spreadsheets/d/1QqKyyYR6Q21VydFLVH3TRQUabQu_ym0Zz7PgGX0-kHA/edit?usp=sharing"",""แผน!L40"")"),10)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3" t="s">
        <v>49</v>
      </c>
      <c r="I100" s="270">
        <f ca="1">IFERROR(__xludf.DUMMYFUNCTION("IMPORTRANGE(""https://docs.google.com/spreadsheets/d/1QqKyyYR6Q21VydFLVH3TRQUabQu_ym0Zz7PgGX0-kHA/edit?usp=sharing"",""แผน!M40"")"),2)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3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6" t="s">
        <v>47</v>
      </c>
      <c r="F102" s="178"/>
      <c r="G102" s="179"/>
      <c r="H102" s="623" t="s">
        <v>46</v>
      </c>
      <c r="I102" s="270">
        <f ca="1">IFERROR(__xludf.DUMMYFUNCTION("IMPORTRANGE(""https://docs.google.com/spreadsheets/d/1QqKyyYR6Q21VydFLVH3TRQUabQu_ym0Zz7PgGX0-kHA/edit?usp=sharing"",""แผน!N40"")"),30)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3" t="s">
        <v>35</v>
      </c>
      <c r="I103" s="270">
        <f ca="1">IFERROR(__xludf.DUMMYFUNCTION("IMPORTRANGE(""https://docs.google.com/spreadsheets/d/1QqKyyYR6Q21VydFLVH3TRQUabQu_ym0Zz7PgGX0-kHA/edit?usp=sharing"",""แผน!O40"")"),10)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3" t="s">
        <v>35</v>
      </c>
      <c r="I104" s="270">
        <f ca="1">IFERROR(__xludf.DUMMYFUNCTION("IMPORTRANGE(""https://docs.google.com/spreadsheets/d/1QqKyyYR6Q21VydFLVH3TRQUabQu_ym0Zz7PgGX0-kHA/edit?usp=sharing"",""แผน!O40"")"),10)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3" t="s">
        <v>49</v>
      </c>
      <c r="I106" s="270">
        <f ca="1">IFERROR(__xludf.DUMMYFUNCTION("IMPORTRANGE(""https://docs.google.com/spreadsheets/d/1QqKyyYR6Q21VydFLVH3TRQUabQu_ym0Zz7PgGX0-kHA/edit?usp=sharing"",""แผน!P40"")"),1)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3" t="s">
        <v>49</v>
      </c>
      <c r="I107" s="270">
        <f ca="1">IFERROR(__xludf.DUMMYFUNCTION("IMPORTRANGE(""https://docs.google.com/spreadsheets/d/1QqKyyYR6Q21VydFLVH3TRQUabQu_ym0Zz7PgGX0-kHA/edit?usp=sharing"",""แผน!P40"")"),1)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3" t="s">
        <v>49</v>
      </c>
      <c r="I109" s="270">
        <f ca="1">IFERROR(__xludf.DUMMYFUNCTION("IMPORTRANGE(""https://docs.google.com/spreadsheets/d/1QqKyyYR6Q21VydFLVH3TRQUabQu_ym0Zz7PgGX0-kHA/edit?usp=sharing"",""แผน!Q40"")"),1)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3" t="s">
        <v>49</v>
      </c>
      <c r="I110" s="270">
        <f ca="1">IFERROR(__xludf.DUMMYFUNCTION("IMPORTRANGE(""https://docs.google.com/spreadsheets/d/1QqKyyYR6Q21VydFLVH3TRQUabQu_ym0Zz7PgGX0-kHA/edit?usp=sharing"",""แผน!Q40"")"),1)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7" t="s">
        <v>35</v>
      </c>
      <c r="I111" s="193">
        <f ca="1">IFERROR(__xludf.DUMMYFUNCTION("IMPORTRANGE(""https://docs.google.com/spreadsheets/d/1QqKyyYR6Q21VydFLVH3TRQUabQu_ym0Zz7PgGX0-kHA/edit?usp=sharing"",""แผน!R40"")"),10)</f>
        <v>10</v>
      </c>
      <c r="J111" s="681">
        <f>J114</f>
        <v>10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1">
        <f t="shared" si="59"/>
        <v>2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2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IFERROR(__xludf.DUMMYFUNCTION("IMPORTRANGE(""https://docs.google.com/spreadsheets/d/1QqKyyYR6Q21VydFLVH3TRQUabQu_ym0Zz7PgGX0-kHA/edit?usp=sharing"",""แผน!R40"")"),10)</f>
        <v>10</v>
      </c>
      <c r="J113" s="215">
        <v>10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IFERROR(__xludf.DUMMYFUNCTION("IMPORTRANGE(""https://docs.google.com/spreadsheets/d/1QqKyyYR6Q21VydFLVH3TRQUabQu_ym0Zz7PgGX0-kHA/edit?usp=sharing"",""แผน!R40"")"),10)</f>
        <v>10</v>
      </c>
      <c r="J114" s="215">
        <v>10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IFERROR(__xludf.DUMMYFUNCTION("IMPORTRANGE(""https://docs.google.com/spreadsheets/d/1QqKyyYR6Q21VydFLVH3TRQUabQu_ym0Zz7PgGX0-kHA/edit?usp=sharing"",""แผน!S40"")"),1)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IFERROR(__xludf.DUMMYFUNCTION("IMPORTRANGE(""https://docs.google.com/spreadsheets/d/1QqKyyYR6Q21VydFLVH3TRQUabQu_ym0Zz7PgGX0-kHA/edit?usp=sharing"",""แผน!T40"")"),1)</f>
        <v>1</v>
      </c>
      <c r="J116" s="215">
        <v>1</v>
      </c>
      <c r="K116" s="498">
        <f t="shared" ca="1" si="5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7"/>
      <c r="J120" s="617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7"/>
      <c r="J121" s="617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IFERROR(__xludf.DUMMYFUNCTION("IMPORTRANGE(""https://docs.google.com/spreadsheets/d/1MeEWN-I1oV_STSDYn1IFDPWt_1FKiwhDph83XaGc0o0/edit?usp=sharing"",""งบพรบ!BA40"")"),0)</f>
        <v>0</v>
      </c>
      <c r="M124" s="93">
        <f ca="1">IFERROR(__xludf.DUMMYFUNCTION("IMPORTRANGE(""https://docs.google.com/spreadsheets/d/1MeEWN-I1oV_STSDYn1IFDPWt_1FKiwhDph83XaGc0o0/edit?usp=sharing"",""งบพรบ!BF40"")"),0)</f>
        <v>0</v>
      </c>
      <c r="N124" s="93">
        <f ca="1">IFERROR(__xludf.DUMMYFUNCTION("IMPORTRANGE(""https://docs.google.com/spreadsheets/d/1MeEWN-I1oV_STSDYn1IFDPWt_1FKiwhDph83XaGc0o0/edit?usp=sharing"",""งบพรบ!BH40"")"),0)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IFERROR(__xludf.DUMMYFUNCTION("IMPORTRANGE(""https://docs.google.com/spreadsheets/d/1MeEWN-I1oV_STSDYn1IFDPWt_1FKiwhDph83XaGc0o0/edit?usp=sharing"",""งบพรบ!BD40"")"),0)</f>
        <v>0</v>
      </c>
      <c r="M127" s="93">
        <f ca="1">IFERROR(__xludf.DUMMYFUNCTION("IMPORTRANGE(""https://docs.google.com/spreadsheets/d/1MeEWN-I1oV_STSDYn1IFDPWt_1FKiwhDph83XaGc0o0/edit?usp=sharing"",""งบพรบ!BG40"")"),0)</f>
        <v>0</v>
      </c>
      <c r="N127" s="93">
        <f ca="1">IFERROR(__xludf.DUMMYFUNCTION("IMPORTRANGE(""https://docs.google.com/spreadsheets/d/1MeEWN-I1oV_STSDYn1IFDPWt_1FKiwhDph83XaGc0o0/edit?usp=sharing"",""งบพรบ!BI40"")"),0)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164655</v>
      </c>
      <c r="N132" s="155">
        <f t="shared" ca="1" si="69"/>
        <v>164655</v>
      </c>
      <c r="O132" s="155">
        <f t="shared" ref="O132:O140" ca="1" si="70">IF(L132&gt;0,N132*100/L132,0)</f>
        <v>108.57208796281033</v>
      </c>
      <c r="P132" s="155">
        <f t="shared" ref="P132:P140" ca="1" si="71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7"/>
      <c r="J133" s="617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7"/>
      <c r="J134" s="617"/>
      <c r="K134" s="93"/>
      <c r="L134" s="93">
        <f t="shared" ca="1" si="72"/>
        <v>151655</v>
      </c>
      <c r="M134" s="93">
        <f t="shared" ca="1" si="72"/>
        <v>164655</v>
      </c>
      <c r="N134" s="93">
        <f t="shared" ca="1" si="72"/>
        <v>164655</v>
      </c>
      <c r="O134" s="93">
        <f t="shared" ca="1" si="70"/>
        <v>108.57208796281033</v>
      </c>
      <c r="P134" s="93">
        <f t="shared" ca="1" si="71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48655</v>
      </c>
      <c r="M135" s="498">
        <f t="shared" ca="1" si="73"/>
        <v>61655</v>
      </c>
      <c r="N135" s="498">
        <f t="shared" ca="1" si="73"/>
        <v>61655</v>
      </c>
      <c r="O135" s="498">
        <f t="shared" ca="1" si="70"/>
        <v>126.71873394306854</v>
      </c>
      <c r="P135" s="498">
        <f t="shared" ca="1" si="71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IFERROR(__xludf.DUMMYFUNCTION("IMPORTRANGE(""https://docs.google.com/spreadsheets/d/1MeEWN-I1oV_STSDYn1IFDPWt_1FKiwhDph83XaGc0o0/edit?usp=sharing"",""งบพรบ!BK40"")"),48655)</f>
        <v>48655</v>
      </c>
      <c r="M137" s="93">
        <f ca="1">IFERROR(__xludf.DUMMYFUNCTION("IMPORTRANGE(""https://docs.google.com/spreadsheets/d/1MeEWN-I1oV_STSDYn1IFDPWt_1FKiwhDph83XaGc0o0/edit?usp=sharing"",""งบพรบ!BP40"")"),61655)</f>
        <v>61655</v>
      </c>
      <c r="N137" s="93">
        <f ca="1">IFERROR(__xludf.DUMMYFUNCTION("IMPORTRANGE(""https://docs.google.com/spreadsheets/d/1MeEWN-I1oV_STSDYn1IFDPWt_1FKiwhDph83XaGc0o0/edit?usp=sharing"",""งบพรบ!BR40"")"),61655)</f>
        <v>61655</v>
      </c>
      <c r="O137" s="93">
        <f t="shared" ca="1" si="70"/>
        <v>126.71873394306854</v>
      </c>
      <c r="P137" s="93">
        <f t="shared" ca="1" si="71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103000</v>
      </c>
      <c r="N138" s="498">
        <f t="shared" ca="1" si="74"/>
        <v>103000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IFERROR(__xludf.DUMMYFUNCTION("IMPORTRANGE(""https://docs.google.com/spreadsheets/d/1MeEWN-I1oV_STSDYn1IFDPWt_1FKiwhDph83XaGc0o0/edit?usp=sharing"",""งบพรบ!BN40"")"),103000)</f>
        <v>103000</v>
      </c>
      <c r="M140" s="93">
        <f ca="1">IFERROR(__xludf.DUMMYFUNCTION("IMPORTRANGE(""https://docs.google.com/spreadsheets/d/1MeEWN-I1oV_STSDYn1IFDPWt_1FKiwhDph83XaGc0o0/edit?usp=sharing"",""งบพรบ!BQ40"")"),103000)</f>
        <v>103000</v>
      </c>
      <c r="N140" s="93">
        <f ca="1">IFERROR(__xludf.DUMMYFUNCTION("IMPORTRANGE(""https://docs.google.com/spreadsheets/d/1MeEWN-I1oV_STSDYn1IFDPWt_1FKiwhDph83XaGc0o0/edit?usp=sharing"",""งบพรบ!BS40"")"),103000)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IFERROR(__xludf.DUMMYFUNCTION("IMPORTRANGE(""https://docs.google.com/spreadsheets/d/1QqKyyYR6Q21VydFLVH3TRQUabQu_ym0Zz7PgGX0-kHA/edit?usp=sharing"",""แผน!U40"")"),5)</f>
        <v>5</v>
      </c>
      <c r="J144" s="215">
        <v>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IFERROR(__xludf.DUMMYFUNCTION("IMPORTRANGE(""https://docs.google.com/spreadsheets/d/1QqKyyYR6Q21VydFLVH3TRQUabQu_ym0Zz7PgGX0-kHA/edit?usp=sharing"",""แผน!V40"")"),10)</f>
        <v>10</v>
      </c>
      <c r="J145" s="215">
        <v>10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IFERROR(__xludf.DUMMYFUNCTION("IMPORTRANGE(""https://docs.google.com/spreadsheets/d/1QqKyyYR6Q21VydFLVH3TRQUabQu_ym0Zz7PgGX0-kHA/edit?usp=sharing"",""แผน!W40"")"),1)</f>
        <v>1</v>
      </c>
      <c r="J146" s="215">
        <v>1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7"/>
      <c r="J150" s="617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7"/>
      <c r="J151" s="617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IFERROR(__xludf.DUMMYFUNCTION("IMPORTRANGE(""https://docs.google.com/spreadsheets/d/1MeEWN-I1oV_STSDYn1IFDPWt_1FKiwhDph83XaGc0o0/edit?usp=sharing"",""งบพรบ!BU40"")"),0)</f>
        <v>0</v>
      </c>
      <c r="M154" s="93">
        <f ca="1">IFERROR(__xludf.DUMMYFUNCTION("IMPORTRANGE(""https://docs.google.com/spreadsheets/d/1MeEWN-I1oV_STSDYn1IFDPWt_1FKiwhDph83XaGc0o0/edit?usp=sharing"",""งบพรบ!BZ40"")"),0)</f>
        <v>0</v>
      </c>
      <c r="N154" s="93">
        <f ca="1">IFERROR(__xludf.DUMMYFUNCTION("IMPORTRANGE(""https://docs.google.com/spreadsheets/d/1MeEWN-I1oV_STSDYn1IFDPWt_1FKiwhDph83XaGc0o0/edit?usp=sharing"",""งบพรบ!CB40"")"),0)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IFERROR(__xludf.DUMMYFUNCTION("IMPORTRANGE(""https://docs.google.com/spreadsheets/d/1MeEWN-I1oV_STSDYn1IFDPWt_1FKiwhDph83XaGc0o0/edit?usp=sharing"",""งบพรบ!BX40"")"),0)</f>
        <v>0</v>
      </c>
      <c r="M157" s="93">
        <f ca="1">IFERROR(__xludf.DUMMYFUNCTION("IMPORTRANGE(""https://docs.google.com/spreadsheets/d/1MeEWN-I1oV_STSDYn1IFDPWt_1FKiwhDph83XaGc0o0/edit?usp=sharing"",""งบพรบ!CA40"")"),0)</f>
        <v>0</v>
      </c>
      <c r="N157" s="93">
        <f ca="1">IFERROR(__xludf.DUMMYFUNCTION("IMPORTRANGE(""https://docs.google.com/spreadsheets/d/1MeEWN-I1oV_STSDYn1IFDPWt_1FKiwhDph83XaGc0o0/edit?usp=sharing"",""งบพรบ!CC40"")"),0)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IFERROR(__xludf.DUMMYFUNCTION("IMPORTRANGE(""https://docs.google.com/spreadsheets/d/1QqKyyYR6Q21VydFLVH3TRQUabQu_ym0Zz7PgGX0-kHA/edit?usp=sharing"",""แผน!X40"")"),0)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7"/>
      <c r="J160" s="617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37955</v>
      </c>
      <c r="N165" s="155">
        <f t="shared" ca="1" si="84"/>
        <v>37955</v>
      </c>
      <c r="O165" s="155">
        <f t="shared" ref="O165:O173" ca="1" si="85">IF(L165&gt;0,N165*100/L165,0)</f>
        <v>172.09249603264567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7"/>
      <c r="J166" s="617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7"/>
      <c r="J167" s="617"/>
      <c r="K167" s="93"/>
      <c r="L167" s="93">
        <f t="shared" ca="1" si="87"/>
        <v>22055</v>
      </c>
      <c r="M167" s="93">
        <f t="shared" ca="1" si="87"/>
        <v>37955</v>
      </c>
      <c r="N167" s="93">
        <f t="shared" ca="1" si="87"/>
        <v>37955</v>
      </c>
      <c r="O167" s="93">
        <f t="shared" ca="1" si="85"/>
        <v>172.09249603264567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37955</v>
      </c>
      <c r="N168" s="498">
        <f t="shared" ca="1" si="88"/>
        <v>37955</v>
      </c>
      <c r="O168" s="498">
        <f t="shared" ca="1" si="85"/>
        <v>172.09249603264567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IFERROR(__xludf.DUMMYFUNCTION("IMPORTRANGE(""https://docs.google.com/spreadsheets/d/1MeEWN-I1oV_STSDYn1IFDPWt_1FKiwhDph83XaGc0o0/edit?usp=sharing"",""งบพรบ!CE40"")"),22055)</f>
        <v>22055</v>
      </c>
      <c r="M170" s="93">
        <f ca="1">IFERROR(__xludf.DUMMYFUNCTION("IMPORTRANGE(""https://docs.google.com/spreadsheets/d/1MeEWN-I1oV_STSDYn1IFDPWt_1FKiwhDph83XaGc0o0/edit?usp=sharing"",""งบพรบ!CJ40"")"),37955)</f>
        <v>37955</v>
      </c>
      <c r="N170" s="93">
        <f ca="1">IFERROR(__xludf.DUMMYFUNCTION("IMPORTRANGE(""https://docs.google.com/spreadsheets/d/1MeEWN-I1oV_STSDYn1IFDPWt_1FKiwhDph83XaGc0o0/edit?usp=sharing"",""งบพรบ!CL40"")"),37955)</f>
        <v>37955</v>
      </c>
      <c r="O170" s="93">
        <f t="shared" ca="1" si="85"/>
        <v>172.09249603264567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IFERROR(__xludf.DUMMYFUNCTION("IMPORTRANGE(""https://docs.google.com/spreadsheets/d/1MeEWN-I1oV_STSDYn1IFDPWt_1FKiwhDph83XaGc0o0/edit?usp=sharing"",""งบพรบ!CH40"")"),0)</f>
        <v>0</v>
      </c>
      <c r="M173" s="93">
        <f ca="1">IFERROR(__xludf.DUMMYFUNCTION("IMPORTRANGE(""https://docs.google.com/spreadsheets/d/1MeEWN-I1oV_STSDYn1IFDPWt_1FKiwhDph83XaGc0o0/edit?usp=sharing"",""งบพรบ!CK40"")"),0)</f>
        <v>0</v>
      </c>
      <c r="N173" s="93">
        <f ca="1">IFERROR(__xludf.DUMMYFUNCTION("IMPORTRANGE(""https://docs.google.com/spreadsheets/d/1MeEWN-I1oV_STSDYn1IFDPWt_1FKiwhDph83XaGc0o0/edit?usp=sharing"",""งบพรบ!CM40"")"),0)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7" t="s">
        <v>38</v>
      </c>
      <c r="E175" s="173"/>
      <c r="F175" s="173"/>
      <c r="G175" s="174"/>
      <c r="H175" s="76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6" t="s">
        <v>85</v>
      </c>
      <c r="E176" s="178"/>
      <c r="F176" s="178"/>
      <c r="G176" s="179"/>
      <c r="H176" s="623" t="s">
        <v>35</v>
      </c>
      <c r="I176" s="270">
        <f ca="1">IFERROR(__xludf.DUMMYFUNCTION("IMPORTRANGE(""https://docs.google.com/spreadsheets/d/1QqKyyYR6Q21VydFLVH3TRQUabQu_ym0Zz7PgGX0-kHA/edit?usp=sharing"",""แผน!Y40"")"),11)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84000</v>
      </c>
      <c r="M181" s="155">
        <f t="shared" ca="1" si="92"/>
        <v>84000</v>
      </c>
      <c r="N181" s="155">
        <f t="shared" ca="1" si="92"/>
        <v>84000</v>
      </c>
      <c r="O181" s="155">
        <f t="shared" ref="O181:O189" ca="1" si="93">IF(L181&gt;0,N181*100/L181,0)</f>
        <v>100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7"/>
      <c r="J182" s="617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7"/>
      <c r="J183" s="617"/>
      <c r="K183" s="93"/>
      <c r="L183" s="93">
        <f t="shared" ca="1" si="95"/>
        <v>84000</v>
      </c>
      <c r="M183" s="93">
        <f t="shared" ca="1" si="95"/>
        <v>84000</v>
      </c>
      <c r="N183" s="93">
        <f t="shared" ca="1" si="95"/>
        <v>84000</v>
      </c>
      <c r="O183" s="93">
        <f t="shared" ca="1" si="93"/>
        <v>100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84000</v>
      </c>
      <c r="M184" s="498">
        <f t="shared" ca="1" si="96"/>
        <v>84000</v>
      </c>
      <c r="N184" s="498">
        <f t="shared" ca="1" si="96"/>
        <v>84000</v>
      </c>
      <c r="O184" s="498">
        <f t="shared" ca="1" si="93"/>
        <v>100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IFERROR(__xludf.DUMMYFUNCTION("IMPORTRANGE(""https://docs.google.com/spreadsheets/d/1MeEWN-I1oV_STSDYn1IFDPWt_1FKiwhDph83XaGc0o0/edit?usp=sharing"",""งบพรบ!CO40"")"),84000)</f>
        <v>84000</v>
      </c>
      <c r="M186" s="93">
        <f ca="1">IFERROR(__xludf.DUMMYFUNCTION("IMPORTRANGE(""https://docs.google.com/spreadsheets/d/1MeEWN-I1oV_STSDYn1IFDPWt_1FKiwhDph83XaGc0o0/edit?usp=sharing"",""งบพรบ!CT40"")"),84000)</f>
        <v>84000</v>
      </c>
      <c r="N186" s="93">
        <f ca="1">IFERROR(__xludf.DUMMYFUNCTION("IMPORTRANGE(""https://docs.google.com/spreadsheets/d/1MeEWN-I1oV_STSDYn1IFDPWt_1FKiwhDph83XaGc0o0/edit?usp=sharing"",""งบพรบ!CV40"")"),84000)</f>
        <v>84000</v>
      </c>
      <c r="O186" s="93">
        <f t="shared" ca="1" si="93"/>
        <v>100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IFERROR(__xludf.DUMMYFUNCTION("IMPORTRANGE(""https://docs.google.com/spreadsheets/d/1MeEWN-I1oV_STSDYn1IFDPWt_1FKiwhDph83XaGc0o0/edit?usp=sharing"",""งบพรบ!CR40"")"),0)</f>
        <v>0</v>
      </c>
      <c r="M189" s="93">
        <f ca="1">IFERROR(__xludf.DUMMYFUNCTION("IMPORTRANGE(""https://docs.google.com/spreadsheets/d/1MeEWN-I1oV_STSDYn1IFDPWt_1FKiwhDph83XaGc0o0/edit?usp=sharing"",""งบพรบ!CU40"")"),0)</f>
        <v>0</v>
      </c>
      <c r="N189" s="93">
        <f ca="1">IFERROR(__xludf.DUMMYFUNCTION("IMPORTRANGE(""https://docs.google.com/spreadsheets/d/1MeEWN-I1oV_STSDYn1IFDPWt_1FKiwhDph83XaGc0o0/edit?usp=sharing"",""งบพรบ!CW40"")"),0)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8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IFERROR(__xludf.DUMMYFUNCTION("IMPORTRANGE(""https://docs.google.com/spreadsheets/d/1QqKyyYR6Q21VydFLVH3TRQUabQu_ym0Zz7PgGX0-kHA/edit?usp=sharing"",""แผน!Z40"")"),6000)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7" t="s">
        <v>38</v>
      </c>
      <c r="E192" s="173"/>
      <c r="F192" s="173"/>
      <c r="G192" s="174"/>
      <c r="H192" s="762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4" t="s">
        <v>90</v>
      </c>
      <c r="I193" s="270">
        <f ca="1">IFERROR(__xludf.DUMMYFUNCTION("IMPORTRANGE(""https://docs.google.com/spreadsheets/d/1QqKyyYR6Q21VydFLVH3TRQUabQu_ym0Zz7PgGX0-kHA/edit?usp=sharing"",""แผน!AC40"")"),4)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82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82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8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IFERROR(__xludf.DUMMYFUNCTION("IMPORTRANGE(""https://docs.google.com/spreadsheets/d/1QqKyyYR6Q21VydFLVH3TRQUabQu_ym0Zz7PgGX0-kHA/edit?usp=sharing"",""แผน!AE40"")"),3000)</f>
        <v>3000</v>
      </c>
      <c r="M199" s="498"/>
      <c r="N199" s="840">
        <v>3000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3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IFERROR(__xludf.DUMMYFUNCTION("IMPORTRANGE(""https://docs.google.com/spreadsheets/d/1QqKyyYR6Q21VydFLVH3TRQUabQu_ym0Zz7PgGX0-kHA/edit?usp=sharing"",""แผน!AF40"")"),24000)</f>
        <v>24000</v>
      </c>
      <c r="M200" s="498"/>
      <c r="N200" s="840">
        <v>24000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3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IFERROR(__xludf.DUMMYFUNCTION("IMPORTRANGE(""https://docs.google.com/spreadsheets/d/1QqKyyYR6Q21VydFLVH3TRQUabQu_ym0Zz7PgGX0-kHA/edit?usp=sharing"",""แผน!AG40"")"),12000)</f>
        <v>12000</v>
      </c>
      <c r="M201" s="498"/>
      <c r="N201" s="840">
        <v>12000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3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IFERROR(__xludf.DUMMYFUNCTION("IMPORTRANGE(""https://docs.google.com/spreadsheets/d/1QqKyyYR6Q21VydFLVH3TRQUabQu_ym0Zz7PgGX0-kHA/edit?usp=sharing"",""แผน!AH40"")"),0)</f>
        <v>0</v>
      </c>
      <c r="M202" s="498"/>
      <c r="N202" s="840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7" t="s">
        <v>38</v>
      </c>
      <c r="E203" s="173"/>
      <c r="F203" s="173"/>
      <c r="G203" s="174"/>
      <c r="H203" s="76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2" t="s">
        <v>96</v>
      </c>
      <c r="I204" s="270">
        <f ca="1">IFERROR(__xludf.DUMMYFUNCTION("IMPORTRANGE(""https://docs.google.com/spreadsheets/d/1QqKyyYR6Q21VydFLVH3TRQUabQu_ym0Zz7PgGX0-kHA/edit?usp=sharing"",""แผน!AI40"")"),3)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2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2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8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IFERROR(__xludf.DUMMYFUNCTION("IMPORTRANGE(""https://docs.google.com/spreadsheets/d/1QqKyyYR6Q21VydFLVH3TRQUabQu_ym0Zz7PgGX0-kHA/edit?usp=sharing"",""แผน!AK40"")"),1000)</f>
        <v>1000</v>
      </c>
      <c r="M210" s="498"/>
      <c r="N210" s="840">
        <v>4070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IFERROR(__xludf.DUMMYFUNCTION("IMPORTRANGE(""https://docs.google.com/spreadsheets/d/1QqKyyYR6Q21VydFLVH3TRQUabQu_ym0Zz7PgGX0-kHA/edit?usp=sharing"",""แผน!AL40"")"),5000)</f>
        <v>5000</v>
      </c>
      <c r="M211" s="498"/>
      <c r="N211" s="840">
        <v>5000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IFERROR(__xludf.DUMMYFUNCTION("IMPORTRANGE(""https://docs.google.com/spreadsheets/d/1QqKyyYR6Q21VydFLVH3TRQUabQu_ym0Zz7PgGX0-kHA/edit?usp=sharing"",""แผน!AM40"")"),8000)</f>
        <v>8000</v>
      </c>
      <c r="M212" s="498"/>
      <c r="N212" s="840">
        <v>4930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7" t="s">
        <v>38</v>
      </c>
      <c r="E213" s="173"/>
      <c r="F213" s="173"/>
      <c r="G213" s="174"/>
      <c r="H213" s="762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2" t="s">
        <v>96</v>
      </c>
      <c r="I214" s="270">
        <f ca="1">IFERROR(__xludf.DUMMYFUNCTION("IMPORTRANGE(""https://docs.google.com/spreadsheets/d/1QqKyyYR6Q21VydFLVH3TRQUabQu_ym0Zz7PgGX0-kHA/edit?usp=sharing"",""แผน!AN40"")"),1)</f>
        <v>1</v>
      </c>
      <c r="J214" s="215">
        <v>1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2" t="s">
        <v>96</v>
      </c>
      <c r="I215" s="270">
        <f ca="1">IFERROR(__xludf.DUMMYFUNCTION("IMPORTRANGE(""https://docs.google.com/spreadsheets/d/1QqKyyYR6Q21VydFLVH3TRQUabQu_ym0Zz7PgGX0-kHA/edit?usp=sharing"",""แผน!AN40"")"),1)</f>
        <v>1</v>
      </c>
      <c r="J215" s="215">
        <v>1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40000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8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25000</v>
      </c>
      <c r="M217" s="155"/>
      <c r="N217" s="155">
        <f>N218+N219+N220</f>
        <v>25000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IFERROR(__xludf.DUMMYFUNCTION("IMPORTRANGE(""https://docs.google.com/spreadsheets/d/1QqKyyYR6Q21VydFLVH3TRQUabQu_ym0Zz7PgGX0-kHA/edit?usp=sharing"",""แผน!AP40"")"),5000)</f>
        <v>5000</v>
      </c>
      <c r="M218" s="498"/>
      <c r="N218" s="840">
        <v>6500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IFERROR(__xludf.DUMMYFUNCTION("IMPORTRANGE(""https://docs.google.com/spreadsheets/d/1QqKyyYR6Q21VydFLVH3TRQUabQu_ym0Zz7PgGX0-kHA/edit?usp=sharing"",""แผน!AQ40"")"),10000)</f>
        <v>10000</v>
      </c>
      <c r="M219" s="498"/>
      <c r="N219" s="840">
        <v>11268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IFERROR(__xludf.DUMMYFUNCTION("IMPORTRANGE(""https://docs.google.com/spreadsheets/d/1QqKyyYR6Q21VydFLVH3TRQUabQu_ym0Zz7PgGX0-kHA/edit?usp=sharing"",""แผน!AR40"")"),10000)</f>
        <v>10000</v>
      </c>
      <c r="M220" s="498"/>
      <c r="N220" s="840">
        <v>7232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7" t="s">
        <v>38</v>
      </c>
      <c r="E221" s="173"/>
      <c r="F221" s="173"/>
      <c r="G221" s="174"/>
      <c r="H221" s="76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4" t="s">
        <v>109</v>
      </c>
      <c r="I223" s="270">
        <f ca="1">IFERROR(__xludf.DUMMYFUNCTION("IMPORTRANGE(""https://docs.google.com/spreadsheets/d/1QqKyyYR6Q21VydFLVH3TRQUabQu_ym0Zz7PgGX0-kHA/edit?usp=sharing"",""แผน!AT40"")"),40000)</f>
        <v>40000</v>
      </c>
      <c r="J223" s="215">
        <v>40000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4" t="s">
        <v>109</v>
      </c>
      <c r="I224" s="270">
        <f ca="1">IFERROR(__xludf.DUMMYFUNCTION("IMPORTRANGE(""https://docs.google.com/spreadsheets/d/1QqKyyYR6Q21VydFLVH3TRQUabQu_ym0Zz7PgGX0-kHA/edit?usp=sharing"",""แผน!AT40"")"),40000)</f>
        <v>40000</v>
      </c>
      <c r="J224" s="215">
        <v>40000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4" t="s">
        <v>35</v>
      </c>
      <c r="I225" s="270">
        <f ca="1">IFERROR(__xludf.DUMMYFUNCTION("IMPORTRANGE(""https://docs.google.com/spreadsheets/d/1QqKyyYR6Q21VydFLVH3TRQUabQu_ym0Zz7PgGX0-kHA/edit?usp=sharing"",""แผน!AS40"")"),10)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8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2"/>
      <c r="P227" s="8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7"/>
      <c r="J229" s="617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7"/>
      <c r="J230" s="617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7"/>
      <c r="J231" s="617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7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7">
        <f t="shared" ref="I233:J233" ca="1" si="108">I244+I255</f>
        <v>0</v>
      </c>
      <c r="J233" s="617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7"/>
      <c r="J234" s="617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7">
        <f t="shared" ref="I235:J236" si="109">I246+I257</f>
        <v>0</v>
      </c>
      <c r="J235" s="617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7">
        <f t="shared" si="109"/>
        <v>0</v>
      </c>
      <c r="J236" s="617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IFERROR(__xludf.DUMMYFUNCTION("IMPORTRANGE(""https://docs.google.com/spreadsheets/d/1QqKyyYR6Q21VydFLVH3TRQUabQu_ym0Zz7PgGX0-kHA/edit?usp=sharing"",""แผน!AV40"")"),0)</f>
        <v>0</v>
      </c>
      <c r="M239" s="322"/>
      <c r="N239" s="88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IFERROR(__xludf.DUMMYFUNCTION("IMPORTRANGE(""https://docs.google.com/spreadsheets/d/1QqKyyYR6Q21VydFLVH3TRQUabQu_ym0Zz7PgGX0-kHA/edit?usp=sharing"",""แผน!AW40"")"),0)</f>
        <v>0</v>
      </c>
      <c r="M240" s="322"/>
      <c r="N240" s="88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IFERROR(__xludf.DUMMYFUNCTION("IMPORTRANGE(""https://docs.google.com/spreadsheets/d/1QqKyyYR6Q21VydFLVH3TRQUabQu_ym0Zz7PgGX0-kHA/edit?usp=sharing"",""แผน!AX40"")"),0)</f>
        <v>0</v>
      </c>
      <c r="M241" s="322"/>
      <c r="N241" s="88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IFERROR(__xludf.DUMMYFUNCTION("IMPORTRANGE(""https://docs.google.com/spreadsheets/d/1QqKyyYR6Q21VydFLVH3TRQUabQu_ym0Zz7PgGX0-kHA/edit?usp=sharing"",""แผน!AY40"")"),0)</f>
        <v>0</v>
      </c>
      <c r="M242" s="322"/>
      <c r="N242" s="88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7" t="s">
        <v>38</v>
      </c>
      <c r="E243" s="173"/>
      <c r="F243" s="173"/>
      <c r="G243" s="174"/>
      <c r="H243" s="762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4" t="s">
        <v>35</v>
      </c>
      <c r="I244" s="270">
        <f ca="1">IFERROR(__xludf.DUMMYFUNCTION("IMPORTRANGE(""https://docs.google.com/spreadsheets/d/1QqKyyYR6Q21VydFLVH3TRQUabQu_ym0Zz7PgGX0-kHA/edit?usp=sharing"",""แผน!BE40"")"),0)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4" t="s">
        <v>43</v>
      </c>
      <c r="E245" s="178"/>
      <c r="F245" s="178"/>
      <c r="G245" s="179"/>
      <c r="H245" s="764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4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4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8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IFERROR(__xludf.DUMMYFUNCTION("IMPORTRANGE(""https://docs.google.com/spreadsheets/d/1QqKyyYR6Q21VydFLVH3TRQUabQu_ym0Zz7PgGX0-kHA/edit?usp=sharing"",""แผน!AZ40"")"),0)</f>
        <v>0</v>
      </c>
      <c r="M250" s="322"/>
      <c r="N250" s="88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IFERROR(__xludf.DUMMYFUNCTION("IMPORTRANGE(""https://docs.google.com/spreadsheets/d/1QqKyyYR6Q21VydFLVH3TRQUabQu_ym0Zz7PgGX0-kHA/edit?usp=sharing"",""แผน!BA40"")"),0)</f>
        <v>0</v>
      </c>
      <c r="M251" s="322"/>
      <c r="N251" s="88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IFERROR(__xludf.DUMMYFUNCTION("IMPORTRANGE(""https://docs.google.com/spreadsheets/d/1QqKyyYR6Q21VydFLVH3TRQUabQu_ym0Zz7PgGX0-kHA/edit?usp=sharing"",""แผน!BB40"")"),0)</f>
        <v>0</v>
      </c>
      <c r="M252" s="322"/>
      <c r="N252" s="88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IFERROR(__xludf.DUMMYFUNCTION("IMPORTRANGE(""https://docs.google.com/spreadsheets/d/1QqKyyYR6Q21VydFLVH3TRQUabQu_ym0Zz7PgGX0-kHA/edit?usp=sharing"",""แผน!BC40"")"),0)</f>
        <v>0</v>
      </c>
      <c r="M253" s="322"/>
      <c r="N253" s="88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7" t="s">
        <v>38</v>
      </c>
      <c r="E254" s="173"/>
      <c r="F254" s="173"/>
      <c r="G254" s="174"/>
      <c r="H254" s="762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4" t="s">
        <v>35</v>
      </c>
      <c r="I255" s="270">
        <f ca="1">IFERROR(__xludf.DUMMYFUNCTION("IMPORTRANGE(""https://docs.google.com/spreadsheets/d/1QqKyyYR6Q21VydFLVH3TRQUabQu_ym0Zz7PgGX0-kHA/edit?usp=sharing"",""แผน!BF40"")"),0)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4" t="s">
        <v>43</v>
      </c>
      <c r="E256" s="178"/>
      <c r="F256" s="178"/>
      <c r="G256" s="179"/>
      <c r="H256" s="764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4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4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26900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7"/>
      <c r="J262" s="617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7"/>
      <c r="J263" s="617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26900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26900</v>
      </c>
      <c r="N264" s="498">
        <f t="shared" ca="1" si="120"/>
        <v>26900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IFERROR(__xludf.DUMMYFUNCTION("IMPORTRANGE(""https://docs.google.com/spreadsheets/d/1MeEWN-I1oV_STSDYn1IFDPWt_1FKiwhDph83XaGc0o0/edit?usp=sharing"",""งบพรบ!CY40"")"),26900)</f>
        <v>26900</v>
      </c>
      <c r="M266" s="93">
        <f ca="1">IFERROR(__xludf.DUMMYFUNCTION("IMPORTRANGE(""https://docs.google.com/spreadsheets/d/1MeEWN-I1oV_STSDYn1IFDPWt_1FKiwhDph83XaGc0o0/edit?usp=sharing"",""งบพรบ!DD40"")"),26900)</f>
        <v>26900</v>
      </c>
      <c r="N266" s="93">
        <f ca="1">IFERROR(__xludf.DUMMYFUNCTION("IMPORTRANGE(""https://docs.google.com/spreadsheets/d/1MeEWN-I1oV_STSDYn1IFDPWt_1FKiwhDph83XaGc0o0/edit?usp=sharing"",""งบพรบ!DF40"")"),26900)</f>
        <v>26900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IFERROR(__xludf.DUMMYFUNCTION("IMPORTRANGE(""https://docs.google.com/spreadsheets/d/1MeEWN-I1oV_STSDYn1IFDPWt_1FKiwhDph83XaGc0o0/edit?usp=sharing"",""งบพรบ!DB40"")"),0)</f>
        <v>0</v>
      </c>
      <c r="M269" s="93">
        <f ca="1">IFERROR(__xludf.DUMMYFUNCTION("IMPORTRANGE(""https://docs.google.com/spreadsheets/d/1MeEWN-I1oV_STSDYn1IFDPWt_1FKiwhDph83XaGc0o0/edit?usp=sharing"",""งบพรบ!DE40"")"),0)</f>
        <v>0</v>
      </c>
      <c r="N269" s="93">
        <f ca="1">IFERROR(__xludf.DUMMYFUNCTION("IMPORTRANGE(""https://docs.google.com/spreadsheets/d/1MeEWN-I1oV_STSDYn1IFDPWt_1FKiwhDph83XaGc0o0/edit?usp=sharing"",""งบพรบ!DG40"")"),0)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7" t="s">
        <v>38</v>
      </c>
      <c r="E270" s="173"/>
      <c r="F270" s="173"/>
      <c r="G270" s="174"/>
      <c r="H270" s="76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IFERROR(__xludf.DUMMYFUNCTION("IMPORTRANGE(""https://docs.google.com/spreadsheets/d/1QqKyyYR6Q21VydFLVH3TRQUabQu_ym0Zz7PgGX0-kHA/edit?usp=sharing"",""แผน!EA40"")"),22)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6">
        <v>0</v>
      </c>
      <c r="J272" s="506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5">
        <f t="shared" ref="I276:J276" ca="1" si="124">I287</f>
        <v>50</v>
      </c>
      <c r="J276" s="885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22630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7"/>
      <c r="J278" s="617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7"/>
      <c r="J279" s="617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22630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22630</v>
      </c>
      <c r="M280" s="498">
        <f t="shared" ca="1" si="129"/>
        <v>22630</v>
      </c>
      <c r="N280" s="498">
        <f t="shared" ca="1" si="129"/>
        <v>22630</v>
      </c>
      <c r="O280" s="498">
        <f t="shared" ca="1" si="126"/>
        <v>100</v>
      </c>
      <c r="P280" s="49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IFERROR(__xludf.DUMMYFUNCTION("IMPORTRANGE(""https://docs.google.com/spreadsheets/d/1MeEWN-I1oV_STSDYn1IFDPWt_1FKiwhDph83XaGc0o0/edit?usp=sharing"",""งบพรบ!DI40"")"),22630)</f>
        <v>22630</v>
      </c>
      <c r="M282" s="93">
        <f ca="1">IFERROR(__xludf.DUMMYFUNCTION("IMPORTRANGE(""https://docs.google.com/spreadsheets/d/1MeEWN-I1oV_STSDYn1IFDPWt_1FKiwhDph83XaGc0o0/edit?usp=sharing"",""งบพรบ!DN40"")"),22630)</f>
        <v>22630</v>
      </c>
      <c r="N282" s="93">
        <f ca="1">IFERROR(__xludf.DUMMYFUNCTION("IMPORTRANGE(""https://docs.google.com/spreadsheets/d/1MeEWN-I1oV_STSDYn1IFDPWt_1FKiwhDph83XaGc0o0/edit?usp=sharing"",""งบพรบ!DP40"")"),22630)</f>
        <v>22630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IFERROR(__xludf.DUMMYFUNCTION("IMPORTRANGE(""https://docs.google.com/spreadsheets/d/1MeEWN-I1oV_STSDYn1IFDPWt_1FKiwhDph83XaGc0o0/edit?usp=sharing"",""งบพรบ!DL40"")"),0)</f>
        <v>0</v>
      </c>
      <c r="M285" s="93">
        <f ca="1">IFERROR(__xludf.DUMMYFUNCTION("IMPORTRANGE(""https://docs.google.com/spreadsheets/d/1MeEWN-I1oV_STSDYn1IFDPWt_1FKiwhDph83XaGc0o0/edit?usp=sharing"",""งบพรบ!DO40"")"),0)</f>
        <v>0</v>
      </c>
      <c r="N285" s="93">
        <f ca="1">IFERROR(__xludf.DUMMYFUNCTION("IMPORTRANGE(""https://docs.google.com/spreadsheets/d/1MeEWN-I1oV_STSDYn1IFDPWt_1FKiwhDph83XaGc0o0/edit?usp=sharing"",""งบพรบ!DQ40"")"),0)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7" t="s">
        <v>38</v>
      </c>
      <c r="E286" s="173"/>
      <c r="F286" s="173"/>
      <c r="G286" s="174"/>
      <c r="H286" s="76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6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IFERROR(__xludf.DUMMYFUNCTION("IMPORTRANGE(""https://docs.google.com/spreadsheets/d/1QqKyyYR6Q21VydFLVH3TRQUabQu_ym0Zz7PgGX0-kHA/edit?usp=sharing"",""แผน!EC40"")"),50)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6" t="s">
        <v>130</v>
      </c>
      <c r="E288" s="171"/>
      <c r="F288" s="178"/>
      <c r="G288" s="179"/>
      <c r="H288" s="180" t="s">
        <v>35</v>
      </c>
      <c r="I288" s="681">
        <f ca="1">IFERROR(__xludf.DUMMYFUNCTION("IMPORTRANGE(""https://docs.google.com/spreadsheets/d/1QqKyyYR6Q21VydFLVH3TRQUabQu_ym0Zz7PgGX0-kHA/edit?usp=sharing"",""แผน!EB40"")"),5)</f>
        <v>5</v>
      </c>
      <c r="J288" s="681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6" t="s">
        <v>132</v>
      </c>
      <c r="F290" s="178"/>
      <c r="G290" s="179"/>
      <c r="H290" s="764" t="s">
        <v>35</v>
      </c>
      <c r="I290" s="184">
        <f ca="1">IFERROR(__xludf.DUMMYFUNCTION("IMPORTRANGE(""https://docs.google.com/spreadsheets/d/1QqKyyYR6Q21VydFLVH3TRQUabQu_ym0Zz7PgGX0-kHA/edit?usp=sharing"",""แผน!EB40"")"),5)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6" t="s">
        <v>133</v>
      </c>
      <c r="F291" s="178"/>
      <c r="G291" s="179"/>
      <c r="H291" s="764" t="s">
        <v>35</v>
      </c>
      <c r="I291" s="184">
        <f ca="1">IFERROR(__xludf.DUMMYFUNCTION("IMPORTRANGE(""https://docs.google.com/spreadsheets/d/1QqKyyYR6Q21VydFLVH3TRQUabQu_ym0Zz7PgGX0-kHA/edit?usp=sharing"",""แผน!EB40"")"),5)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6" t="s">
        <v>132</v>
      </c>
      <c r="F293" s="178"/>
      <c r="G293" s="179"/>
      <c r="H293" s="764" t="s">
        <v>35</v>
      </c>
      <c r="I293" s="184">
        <f ca="1">IFERROR(__xludf.DUMMYFUNCTION("IMPORTRANGE(""https://docs.google.com/spreadsheets/d/1QqKyyYR6Q21VydFLVH3TRQUabQu_ym0Zz7PgGX0-kHA/edit?usp=sharing"",""แผน!EB40"")"),5)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4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IFERROR(__xludf.DUMMYFUNCTION("IMPORTRANGE(""https://docs.google.com/spreadsheets/d/1QqKyyYR6Q21VydFLVH3TRQUabQu_ym0Zz7PgGX0-kHA/edit?usp=sharing"",""แผน!EB40"")"),5)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101440</v>
      </c>
      <c r="N298" s="155">
        <f t="shared" ca="1" si="135"/>
        <v>101440</v>
      </c>
      <c r="O298" s="155">
        <f t="shared" ref="O298:O306" ca="1" si="136">IF(L298&gt;0,N298*100/L298,0)</f>
        <v>123.10679611650485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7"/>
      <c r="J299" s="617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7"/>
      <c r="J300" s="617"/>
      <c r="K300" s="93"/>
      <c r="L300" s="93">
        <f t="shared" ca="1" si="138"/>
        <v>82400</v>
      </c>
      <c r="M300" s="93">
        <f t="shared" ca="1" si="138"/>
        <v>101440</v>
      </c>
      <c r="N300" s="93">
        <f t="shared" ca="1" si="138"/>
        <v>101440</v>
      </c>
      <c r="O300" s="93">
        <f t="shared" ca="1" si="136"/>
        <v>123.10679611650485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101440</v>
      </c>
      <c r="N301" s="498">
        <f t="shared" ca="1" si="139"/>
        <v>101440</v>
      </c>
      <c r="O301" s="498">
        <f t="shared" ca="1" si="136"/>
        <v>123.10679611650485</v>
      </c>
      <c r="P301" s="49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IFERROR(__xludf.DUMMYFUNCTION("IMPORTRANGE(""https://docs.google.com/spreadsheets/d/1MeEWN-I1oV_STSDYn1IFDPWt_1FKiwhDph83XaGc0o0/edit?usp=sharing"",""งบพรบ!DS40"")"),82400)</f>
        <v>82400</v>
      </c>
      <c r="M303" s="93">
        <f ca="1">IFERROR(__xludf.DUMMYFUNCTION("IMPORTRANGE(""https://docs.google.com/spreadsheets/d/1MeEWN-I1oV_STSDYn1IFDPWt_1FKiwhDph83XaGc0o0/edit?usp=sharing"",""งบพรบ!DX40"")"),101440)</f>
        <v>101440</v>
      </c>
      <c r="N303" s="93">
        <f ca="1">IFERROR(__xludf.DUMMYFUNCTION("IMPORTRANGE(""https://docs.google.com/spreadsheets/d/1MeEWN-I1oV_STSDYn1IFDPWt_1FKiwhDph83XaGc0o0/edit?usp=sharing"",""งบพรบ!DZ40"")"),101440)</f>
        <v>101440</v>
      </c>
      <c r="O303" s="93">
        <f t="shared" ca="1" si="136"/>
        <v>123.10679611650485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IFERROR(__xludf.DUMMYFUNCTION("IMPORTRANGE(""https://docs.google.com/spreadsheets/d/1MeEWN-I1oV_STSDYn1IFDPWt_1FKiwhDph83XaGc0o0/edit?usp=sharing"",""งบพรบ!DV40"")"),0)</f>
        <v>0</v>
      </c>
      <c r="M306" s="93">
        <f ca="1">IFERROR(__xludf.DUMMYFUNCTION("IMPORTRANGE(""https://docs.google.com/spreadsheets/d/1MeEWN-I1oV_STSDYn1IFDPWt_1FKiwhDph83XaGc0o0/edit?usp=sharing"",""งบพรบ!DY40"")"),0)</f>
        <v>0</v>
      </c>
      <c r="N306" s="93">
        <f ca="1">IFERROR(__xludf.DUMMYFUNCTION("IMPORTRANGE(""https://docs.google.com/spreadsheets/d/1MeEWN-I1oV_STSDYn1IFDPWt_1FKiwhDph83XaGc0o0/edit?usp=sharing"",""งบพรบ!EA40"")"),0)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7" t="s">
        <v>38</v>
      </c>
      <c r="E307" s="173"/>
      <c r="F307" s="173"/>
      <c r="G307" s="174"/>
      <c r="H307" s="762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4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4" t="s">
        <v>35</v>
      </c>
      <c r="I309" s="270">
        <f ca="1">IFERROR(__xludf.DUMMYFUNCTION("IMPORTRANGE(""https://docs.google.com/spreadsheets/d/1QqKyyYR6Q21VydFLVH3TRQUabQu_ym0Zz7PgGX0-kHA/edit?usp=sharing"",""แผน!ED40"")"),20)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4" t="s">
        <v>35</v>
      </c>
      <c r="I310" s="270">
        <f ca="1">IFERROR(__xludf.DUMMYFUNCTION("IMPORTRANGE(""https://docs.google.com/spreadsheets/d/1QqKyyYR6Q21VydFLVH3TRQUabQu_ym0Zz7PgGX0-kHA/edit?usp=sharing"",""แผน!ED40"")"),20)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4" t="s">
        <v>35</v>
      </c>
      <c r="I311" s="270">
        <f ca="1">IFERROR(__xludf.DUMMYFUNCTION("IMPORTRANGE(""https://docs.google.com/spreadsheets/d/1QqKyyYR6Q21VydFLVH3TRQUabQu_ym0Zz7PgGX0-kHA/edit?usp=sharing"",""แผน!ED40"")"),20)</f>
        <v>20</v>
      </c>
      <c r="J311" s="215">
        <v>20</v>
      </c>
      <c r="K311" s="498">
        <f t="shared" ca="1" si="141"/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4" t="s">
        <v>35</v>
      </c>
      <c r="I312" s="270">
        <f ca="1">IFERROR(__xludf.DUMMYFUNCTION("IMPORTRANGE(""https://docs.google.com/spreadsheets/d/1QqKyyYR6Q21VydFLVH3TRQUabQu_ym0Zz7PgGX0-kHA/edit?usp=sharing"",""แผน!EE40"")"),4)</f>
        <v>4</v>
      </c>
      <c r="J312" s="215">
        <v>4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7"/>
      <c r="J316" s="617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7"/>
      <c r="J317" s="617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IFERROR(__xludf.DUMMYFUNCTION("IMPORTRANGE(""https://docs.google.com/spreadsheets/d/1MeEWN-I1oV_STSDYn1IFDPWt_1FKiwhDph83XaGc0o0/edit?usp=sharing"",""งบพรบ!EC40"")"),0)</f>
        <v>0</v>
      </c>
      <c r="M320" s="93">
        <f ca="1">IFERROR(__xludf.DUMMYFUNCTION("IMPORTRANGE(""https://docs.google.com/spreadsheets/d/1MeEWN-I1oV_STSDYn1IFDPWt_1FKiwhDph83XaGc0o0/edit?usp=sharing"",""งบพรบ!EH40"")"),0)</f>
        <v>0</v>
      </c>
      <c r="N320" s="93">
        <f ca="1">IFERROR(__xludf.DUMMYFUNCTION("IMPORTRANGE(""https://docs.google.com/spreadsheets/d/1MeEWN-I1oV_STSDYn1IFDPWt_1FKiwhDph83XaGc0o0/edit?usp=sharing"",""งบพรบ!EJ40"")"),0)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IFERROR(__xludf.DUMMYFUNCTION("IMPORTRANGE(""https://docs.google.com/spreadsheets/d/1MeEWN-I1oV_STSDYn1IFDPWt_1FKiwhDph83XaGc0o0/edit?usp=sharing"",""งบพรบ!EF40"")"),0)</f>
        <v>0</v>
      </c>
      <c r="M323" s="93">
        <f ca="1">IFERROR(__xludf.DUMMYFUNCTION("IMPORTRANGE(""https://docs.google.com/spreadsheets/d/1MeEWN-I1oV_STSDYn1IFDPWt_1FKiwhDph83XaGc0o0/edit?usp=sharing"",""งบพรบ!EI40"")"),0)</f>
        <v>0</v>
      </c>
      <c r="N323" s="93">
        <f ca="1">IFERROR(__xludf.DUMMYFUNCTION("IMPORTRANGE(""https://docs.google.com/spreadsheets/d/1MeEWN-I1oV_STSDYn1IFDPWt_1FKiwhDph83XaGc0o0/edit?usp=sharing"",""งบพรบ!EK40"")"),0)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7" t="s">
        <v>38</v>
      </c>
      <c r="E324" s="173"/>
      <c r="F324" s="173"/>
      <c r="G324" s="174"/>
      <c r="H324" s="762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3" t="s">
        <v>146</v>
      </c>
      <c r="I325" s="270">
        <f ca="1">IFERROR(__xludf.DUMMYFUNCTION("IMPORTRANGE(""https://docs.google.com/spreadsheets/d/1QqKyyYR6Q21VydFLVH3TRQUabQu_ym0Zz7PgGX0-kHA/edit?usp=sharing"",""แผน!EF40"")"),0)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IFERROR(__xludf.DUMMYFUNCTION("IMPORTRANGE(""https://docs.google.com/spreadsheets/d/1QqKyyYR6Q21VydFLVH3TRQUabQu_ym0Zz7PgGX0-kHA/edit?usp=sharing"",""แผน!EG40"")"),2300)</f>
        <v>2300</v>
      </c>
      <c r="J327" s="444">
        <f ca="1">J338+J341+J342+J343</f>
        <v>2911</v>
      </c>
      <c r="K327" s="445">
        <f ca="1">IF(I327&gt;0,J327*100/I327,0)</f>
        <v>126.56521739130434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1020000</v>
      </c>
      <c r="M328" s="155">
        <f t="shared" ca="1" si="149"/>
        <v>1022200</v>
      </c>
      <c r="N328" s="155">
        <f t="shared" ca="1" si="149"/>
        <v>1022200</v>
      </c>
      <c r="O328" s="155">
        <f t="shared" ref="O328:O336" ca="1" si="150">IF(L328&gt;0,N328*100/L328,0)</f>
        <v>100.21568627450981</v>
      </c>
      <c r="P328" s="155">
        <f t="shared" ref="P328:P336" ca="1" si="151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7"/>
      <c r="J329" s="617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7"/>
      <c r="J330" s="617"/>
      <c r="K330" s="93"/>
      <c r="L330" s="93">
        <f t="shared" ca="1" si="152"/>
        <v>1020000</v>
      </c>
      <c r="M330" s="93">
        <f t="shared" ca="1" si="152"/>
        <v>1022200</v>
      </c>
      <c r="N330" s="93">
        <f t="shared" ca="1" si="152"/>
        <v>1022200</v>
      </c>
      <c r="O330" s="93">
        <f t="shared" ca="1" si="150"/>
        <v>100.21568627450981</v>
      </c>
      <c r="P330" s="93">
        <f t="shared" ca="1" si="151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170000</v>
      </c>
      <c r="M331" s="498">
        <f t="shared" ca="1" si="153"/>
        <v>267500</v>
      </c>
      <c r="N331" s="498">
        <f t="shared" ca="1" si="153"/>
        <v>267500</v>
      </c>
      <c r="O331" s="498">
        <f t="shared" ca="1" si="150"/>
        <v>157.35294117647058</v>
      </c>
      <c r="P331" s="498">
        <f t="shared" ca="1" si="151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IFERROR(__xludf.DUMMYFUNCTION("IMPORTRANGE(""https://docs.google.com/spreadsheets/d/1MeEWN-I1oV_STSDYn1IFDPWt_1FKiwhDph83XaGc0o0/edit?usp=sharing"",""งบพรบ!EM40"")"),170000)</f>
        <v>170000</v>
      </c>
      <c r="M333" s="93">
        <f ca="1">IFERROR(__xludf.DUMMYFUNCTION("IMPORTRANGE(""https://docs.google.com/spreadsheets/d/1MeEWN-I1oV_STSDYn1IFDPWt_1FKiwhDph83XaGc0o0/edit?usp=sharing"",""งบพรบ!ER40"")"),267500)</f>
        <v>267500</v>
      </c>
      <c r="N333" s="93">
        <f ca="1">IFERROR(__xludf.DUMMYFUNCTION("IMPORTRANGE(""https://docs.google.com/spreadsheets/d/1MeEWN-I1oV_STSDYn1IFDPWt_1FKiwhDph83XaGc0o0/edit?usp=sharing"",""งบพรบ!ET40"")"),267500)</f>
        <v>267500</v>
      </c>
      <c r="O333" s="93">
        <f t="shared" ca="1" si="150"/>
        <v>157.35294117647058</v>
      </c>
      <c r="P333" s="93">
        <f t="shared" ca="1" si="151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850000</v>
      </c>
      <c r="M334" s="498">
        <f t="shared" ca="1" si="154"/>
        <v>754700</v>
      </c>
      <c r="N334" s="498">
        <f t="shared" ca="1" si="154"/>
        <v>754700</v>
      </c>
      <c r="O334" s="498">
        <f t="shared" ca="1" si="150"/>
        <v>88.788235294117641</v>
      </c>
      <c r="P334" s="498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IFERROR(__xludf.DUMMYFUNCTION("IMPORTRANGE(""https://docs.google.com/spreadsheets/d/1MeEWN-I1oV_STSDYn1IFDPWt_1FKiwhDph83XaGc0o0/edit?usp=sharing"",""งบพรบ!EP40"")"),850000)</f>
        <v>850000</v>
      </c>
      <c r="M336" s="93">
        <f ca="1">IFERROR(__xludf.DUMMYFUNCTION("IMPORTRANGE(""https://docs.google.com/spreadsheets/d/1MeEWN-I1oV_STSDYn1IFDPWt_1FKiwhDph83XaGc0o0/edit?usp=sharing"",""งบพรบ!ES40"")"),754700)</f>
        <v>754700</v>
      </c>
      <c r="N336" s="93">
        <f ca="1">IFERROR(__xludf.DUMMYFUNCTION("IMPORTRANGE(""https://docs.google.com/spreadsheets/d/1MeEWN-I1oV_STSDYn1IFDPWt_1FKiwhDph83XaGc0o0/edit?usp=sharing"",""งบพรบ!EU40"")"),754700)</f>
        <v>754700</v>
      </c>
      <c r="O336" s="93">
        <f t="shared" ca="1" si="150"/>
        <v>88.788235294117641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86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62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IFERROR(__xludf.DUMMYFUNCTION("IMPORTRANGE(""https://docs.google.com/spreadsheets/d/1QqKyyYR6Q21VydFLVH3TRQUabQu_ym0Zz7PgGX0-kHA/edit?usp=sharing"",""แผน!EG40"")"),2300)</f>
        <v>2300</v>
      </c>
      <c r="J338" s="270">
        <f ca="1">IFERROR(__xludf.DUMMYFUNCTION("IMPORTRANGE(""https://docs.google.com/spreadsheets/d/1kVcqe37tkHyjCSG3S0O1AXqVkqjo8mSIZil3BcpIysc/edit?usp=sharing"",""ศูนย์!D40"")"),2370)</f>
        <v>2370</v>
      </c>
      <c r="K338" s="498">
        <f ca="1">IF(I338&gt;0,J338*100/I338,0)</f>
        <v>103.04347826086956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IFERROR(__xludf.DUMMYFUNCTION("IMPORTRANGE(""https://docs.google.com/spreadsheets/d/1QqKyyYR6Q21VydFLVH3TRQUabQu_ym0Zz7PgGX0-kHA/edit?usp=sharing"",""แผน!EH40"")"),6)</f>
        <v>6</v>
      </c>
      <c r="J340" s="270">
        <f ca="1">IFERROR(__xludf.DUMMYFUNCTION("IMPORTRANGE(""https://docs.google.com/spreadsheets/d/1kVcqe37tkHyjCSG3S0O1AXqVkqjo8mSIZil3BcpIysc/edit?usp=sharing"",""ศูนย์!E40"")"),6)</f>
        <v>6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IFERROR(__xludf.DUMMYFUNCTION("IMPORTRANGE(""https://docs.google.com/spreadsheets/d/1kVcqe37tkHyjCSG3S0O1AXqVkqjo8mSIZil3BcpIysc/edit?usp=sharing"",""ศูนย์!F40"")"),541)</f>
        <v>541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IFERROR(__xludf.DUMMYFUNCTION("IMPORTRANGE(""https://docs.google.com/spreadsheets/d/1kVcqe37tkHyjCSG3S0O1AXqVkqjo8mSIZil3BcpIysc/edit?usp=sharing"",""ศูนย์!G40"")"),0)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IFERROR(__xludf.DUMMYFUNCTION("IMPORTRANGE(""https://docs.google.com/spreadsheets/d/1kVcqe37tkHyjCSG3S0O1AXqVkqjo8mSIZil3BcpIysc/edit?usp=sharing"",""ศูนย์!H40"")"),0)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714860</v>
      </c>
      <c r="M345" s="155">
        <f t="shared" ca="1" si="155"/>
        <v>804940</v>
      </c>
      <c r="N345" s="155">
        <f t="shared" ca="1" si="155"/>
        <v>804940</v>
      </c>
      <c r="O345" s="155">
        <f t="shared" ref="O345:O353" ca="1" si="156">IF(L345&gt;0,N345*100/L345,0)</f>
        <v>112.60106874073246</v>
      </c>
      <c r="P345" s="155">
        <f t="shared" ref="P345:P353" ca="1" si="157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7"/>
      <c r="J346" s="617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7"/>
      <c r="J347" s="617"/>
      <c r="K347" s="93"/>
      <c r="L347" s="93">
        <f t="shared" ca="1" si="158"/>
        <v>714860</v>
      </c>
      <c r="M347" s="93">
        <f t="shared" ca="1" si="158"/>
        <v>804940</v>
      </c>
      <c r="N347" s="93">
        <f t="shared" ca="1" si="158"/>
        <v>804940</v>
      </c>
      <c r="O347" s="93">
        <f t="shared" ca="1" si="156"/>
        <v>112.60106874073246</v>
      </c>
      <c r="P347" s="93">
        <f t="shared" ca="1" si="157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563260</v>
      </c>
      <c r="M348" s="498">
        <f t="shared" ca="1" si="159"/>
        <v>653340</v>
      </c>
      <c r="N348" s="498">
        <f t="shared" ca="1" si="159"/>
        <v>653340</v>
      </c>
      <c r="O348" s="498">
        <f t="shared" ca="1" si="156"/>
        <v>115.99261442317935</v>
      </c>
      <c r="P348" s="498">
        <f t="shared" ca="1" si="157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IFERROR(__xludf.DUMMYFUNCTION("IMPORTRANGE(""https://docs.google.com/spreadsheets/d/1MeEWN-I1oV_STSDYn1IFDPWt_1FKiwhDph83XaGc0o0/edit?usp=sharing"",""งบพรบ!EW40"")"),563260)</f>
        <v>563260</v>
      </c>
      <c r="M350" s="93">
        <f ca="1">IFERROR(__xludf.DUMMYFUNCTION("IMPORTRANGE(""https://docs.google.com/spreadsheets/d/1MeEWN-I1oV_STSDYn1IFDPWt_1FKiwhDph83XaGc0o0/edit?usp=sharing"",""งบพรบ!FB40"")"),653340)</f>
        <v>653340</v>
      </c>
      <c r="N350" s="93">
        <f ca="1">IFERROR(__xludf.DUMMYFUNCTION("IMPORTRANGE(""https://docs.google.com/spreadsheets/d/1MeEWN-I1oV_STSDYn1IFDPWt_1FKiwhDph83XaGc0o0/edit?usp=sharing"",""งบพรบ!FD40"")"),653340)</f>
        <v>653340</v>
      </c>
      <c r="O350" s="93">
        <f t="shared" ca="1" si="156"/>
        <v>115.99261442317935</v>
      </c>
      <c r="P350" s="93">
        <f t="shared" ca="1" si="157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151600</v>
      </c>
      <c r="M351" s="498">
        <f t="shared" ca="1" si="160"/>
        <v>151600</v>
      </c>
      <c r="N351" s="498">
        <f t="shared" ca="1" si="160"/>
        <v>151600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IFERROR(__xludf.DUMMYFUNCTION("IMPORTRANGE(""https://docs.google.com/spreadsheets/d/1MeEWN-I1oV_STSDYn1IFDPWt_1FKiwhDph83XaGc0o0/edit?usp=sharing"",""งบพรบ!EZ40"")"),151600)</f>
        <v>151600</v>
      </c>
      <c r="M353" s="93">
        <f ca="1">IFERROR(__xludf.DUMMYFUNCTION("IMPORTRANGE(""https://docs.google.com/spreadsheets/d/1MeEWN-I1oV_STSDYn1IFDPWt_1FKiwhDph83XaGc0o0/edit?usp=sharing"",""งบพรบ!FC40"")"),151600)</f>
        <v>151600</v>
      </c>
      <c r="N353" s="93">
        <f ca="1">IFERROR(__xludf.DUMMYFUNCTION("IMPORTRANGE(""https://docs.google.com/spreadsheets/d/1MeEWN-I1oV_STSDYn1IFDPWt_1FKiwhDph83XaGc0o0/edit?usp=sharing"",""งบพรบ!FE40"")"),151600)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8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IFERROR(__xludf.DUMMYFUNCTION("IMPORTRANGE(""https://docs.google.com/spreadsheets/d/1QqKyyYR6Q21VydFLVH3TRQUabQu_ym0Zz7PgGX0-kHA/edit?usp=sharing"",""แผน!EP40"")"),224)</f>
        <v>224</v>
      </c>
      <c r="J355" s="465">
        <f ca="1">J362</f>
        <v>300</v>
      </c>
      <c r="K355" s="466">
        <f ca="1">IF(I355&gt;0,J355*100/I355,0)</f>
        <v>133.92857142857142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77" t="s">
        <v>38</v>
      </c>
      <c r="E357" s="173"/>
      <c r="F357" s="173"/>
      <c r="G357" s="174"/>
      <c r="H357" s="762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IFERROR(__xludf.DUMMYFUNCTION("IMPORTRANGE(""https://docs.google.com/spreadsheets/d/1XWAQStnk-4SwqDmLtmXYiTMKHgktTP8We1SCoS47DrQ/edit?usp=sharing"",""จัดที่ดิน!W40"")"),413)</f>
        <v>413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IFERROR(__xludf.DUMMYFUNCTION("IMPORTRANGE(""https://docs.google.com/spreadsheets/d/1QqKyyYR6Q21VydFLVH3TRQUabQu_ym0Zz7PgGX0-kHA/edit?usp=sharing"",""แผน!EO40"")"),2240)</f>
        <v>2240</v>
      </c>
      <c r="J359" s="270">
        <f ca="1">IFERROR(__xludf.DUMMYFUNCTION("IMPORTRANGE(""https://docs.google.com/spreadsheets/d/1XWAQStnk-4SwqDmLtmXYiTMKHgktTP8We1SCoS47DrQ/edit?usp=sharing"",""จัดที่ดิน!X40"")"),2462.79)</f>
        <v>2462.79</v>
      </c>
      <c r="K359" s="498">
        <f t="shared" ca="1" si="161"/>
        <v>109.94598214285715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4" t="s">
        <v>35</v>
      </c>
      <c r="I360" s="270">
        <f ca="1">IFERROR(__xludf.DUMMYFUNCTION("IMPORTRANGE(""https://docs.google.com/spreadsheets/d/1QqKyyYR6Q21VydFLVH3TRQUabQu_ym0Zz7PgGX0-kHA/edit?usp=sharing"",""แผน!EP40"")"),224)</f>
        <v>224</v>
      </c>
      <c r="J360" s="270">
        <f ca="1">IFERROR(__xludf.DUMMYFUNCTION("IMPORTRANGE(""https://docs.google.com/spreadsheets/d/1XWAQStnk-4SwqDmLtmXYiTMKHgktTP8We1SCoS47DrQ/edit?usp=sharing"",""จัดที่ดิน!Y40"")"),355)</f>
        <v>355</v>
      </c>
      <c r="K360" s="498">
        <f t="shared" ca="1" si="161"/>
        <v>158.48214285714286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IFERROR(__xludf.DUMMYFUNCTION("IMPORTRANGE(""https://docs.google.com/spreadsheets/d/1XWAQStnk-4SwqDmLtmXYiTMKHgktTP8We1SCoS47DrQ/edit?usp=sharing"",""จัดที่ดิน!Z40"")"),1964.08)</f>
        <v>1964.08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4" t="s">
        <v>35</v>
      </c>
      <c r="I362" s="270">
        <f ca="1">IFERROR(__xludf.DUMMYFUNCTION("IMPORTRANGE(""https://docs.google.com/spreadsheets/d/1QqKyyYR6Q21VydFLVH3TRQUabQu_ym0Zz7PgGX0-kHA/edit?usp=sharing"",""แผน!EP40"")"),224)</f>
        <v>224</v>
      </c>
      <c r="J362" s="270">
        <f ca="1">IFERROR(__xludf.DUMMYFUNCTION("IMPORTRANGE(""https://docs.google.com/spreadsheets/d/1XWAQStnk-4SwqDmLtmXYiTMKHgktTP8We1SCoS47DrQ/edit?usp=sharing"",""จัดที่ดิน!AA40"")"),300)</f>
        <v>300</v>
      </c>
      <c r="K362" s="498">
        <f t="shared" ca="1" si="161"/>
        <v>133.92857142857142</v>
      </c>
      <c r="L362" s="163"/>
      <c r="M362" s="163"/>
      <c r="N362" s="163"/>
      <c r="O362" s="163"/>
      <c r="P362" s="163"/>
    </row>
    <row r="363" spans="1:26" ht="18.75" hidden="1">
      <c r="A363" s="499" t="s">
        <v>169</v>
      </c>
      <c r="B363" s="178"/>
      <c r="C363" s="171"/>
      <c r="D363" s="178"/>
      <c r="E363" s="447"/>
      <c r="F363" s="178"/>
      <c r="G363" s="179"/>
      <c r="H363" s="76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IFERROR(__xludf.DUMMYFUNCTION("IMPORTRANGE(""https://docs.google.com/spreadsheets/d/1XWAQStnk-4SwqDmLtmXYiTMKHgktTP8We1SCoS47DrQ/edit?usp=sharing"",""จัดที่ดิน!AB40"")"),1677.15)</f>
        <v>1677.15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t="shared" ref="I364:J364" ca="1" si="162">I365+I374</f>
        <v>374</v>
      </c>
      <c r="J364" s="479">
        <f t="shared" ca="1" si="162"/>
        <v>608</v>
      </c>
      <c r="K364" s="480">
        <f t="shared" ca="1" si="161"/>
        <v>162.56684491978609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IFERROR(__xludf.DUMMYFUNCTION("IMPORTRANGE(""https://docs.google.com/spreadsheets/d/1QqKyyYR6Q21VydFLVH3TRQUabQu_ym0Zz7PgGX0-kHA/edit?usp=sharing"",""แผน!EJ40"")"),24)</f>
        <v>24</v>
      </c>
      <c r="J365" s="491">
        <f ca="1">J372</f>
        <v>61</v>
      </c>
      <c r="K365" s="492">
        <f t="shared" ca="1" si="161"/>
        <v>254.16666666666666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77" t="s">
        <v>38</v>
      </c>
      <c r="E367" s="173"/>
      <c r="F367" s="173"/>
      <c r="G367" s="174"/>
      <c r="H367" s="762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IFERROR(__xludf.DUMMYFUNCTION("IMPORTRANGE(""https://docs.google.com/spreadsheets/d/1XWAQStnk-4SwqDmLtmXYiTMKHgktTP8We1SCoS47DrQ/edit?usp=sharing"",""จัดที่ดิน!E40"")"),94)</f>
        <v>94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IFERROR(__xludf.DUMMYFUNCTION("IMPORTRANGE(""https://docs.google.com/spreadsheets/d/1QqKyyYR6Q21VydFLVH3TRQUabQu_ym0Zz7PgGX0-kHA/edit?usp=sharing"",""แผน!EI40"")"),240)</f>
        <v>240</v>
      </c>
      <c r="J369" s="270">
        <f ca="1">IFERROR(__xludf.DUMMYFUNCTION("IMPORTRANGE(""https://docs.google.com/spreadsheets/d/1XWAQStnk-4SwqDmLtmXYiTMKHgktTP8We1SCoS47DrQ/edit?usp=sharing"",""จัดที่ดิน!F40"")"),360.35)</f>
        <v>360.35</v>
      </c>
      <c r="K369" s="498">
        <f t="shared" ca="1" si="163"/>
        <v>150.14583333333334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4" t="s">
        <v>35</v>
      </c>
      <c r="I370" s="270">
        <f ca="1">IFERROR(__xludf.DUMMYFUNCTION("IMPORTRANGE(""https://docs.google.com/spreadsheets/d/1QqKyyYR6Q21VydFLVH3TRQUabQu_ym0Zz7PgGX0-kHA/edit?usp=sharing"",""แผน!EJ40"")"),24)</f>
        <v>24</v>
      </c>
      <c r="J370" s="270">
        <f ca="1">IFERROR(__xludf.DUMMYFUNCTION("IMPORTRANGE(""https://docs.google.com/spreadsheets/d/1XWAQStnk-4SwqDmLtmXYiTMKHgktTP8We1SCoS47DrQ/edit?usp=sharing"",""จัดที่ดิน!G40"")"),93)</f>
        <v>93</v>
      </c>
      <c r="K370" s="498">
        <f t="shared" ca="1" si="163"/>
        <v>387.5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IFERROR(__xludf.DUMMYFUNCTION("IMPORTRANGE(""https://docs.google.com/spreadsheets/d/1XWAQStnk-4SwqDmLtmXYiTMKHgktTP8We1SCoS47DrQ/edit?usp=sharing"",""จัดที่ดิน!H40"")"),344.54)</f>
        <v>344.54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4" t="s">
        <v>35</v>
      </c>
      <c r="I372" s="270">
        <f ca="1">IFERROR(__xludf.DUMMYFUNCTION("IMPORTRANGE(""https://docs.google.com/spreadsheets/d/1QqKyyYR6Q21VydFLVH3TRQUabQu_ym0Zz7PgGX0-kHA/edit?usp=sharing"",""แผน!EJ40"")"),24)</f>
        <v>24</v>
      </c>
      <c r="J372" s="270">
        <f ca="1">IFERROR(__xludf.DUMMYFUNCTION("IMPORTRANGE(""https://docs.google.com/spreadsheets/d/1XWAQStnk-4SwqDmLtmXYiTMKHgktTP8We1SCoS47DrQ/edit?usp=sharing"",""จัดที่ดิน!I40"")"),61)</f>
        <v>61</v>
      </c>
      <c r="K372" s="498">
        <f t="shared" ca="1" si="163"/>
        <v>254.16666666666666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8"/>
      <c r="C373" s="171"/>
      <c r="D373" s="178"/>
      <c r="E373" s="447"/>
      <c r="F373" s="178"/>
      <c r="G373" s="179"/>
      <c r="H373" s="76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IFERROR(__xludf.DUMMYFUNCTION("IMPORTRANGE(""https://docs.google.com/spreadsheets/d/1XWAQStnk-4SwqDmLtmXYiTMKHgktTP8We1SCoS47DrQ/edit?usp=sharing"",""จัดที่ดิน!J40"")"),225.2)</f>
        <v>225.2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IFERROR(__xludf.DUMMYFUNCTION("IMPORTRANGE(""https://docs.google.com/spreadsheets/d/1QqKyyYR6Q21VydFLVH3TRQUabQu_ym0Zz7PgGX0-kHA/edit?usp=sharing"",""แผน!EU40"")"),350)</f>
        <v>350</v>
      </c>
      <c r="J374" s="491">
        <f ca="1">J381</f>
        <v>547</v>
      </c>
      <c r="K374" s="492">
        <f t="shared" ca="1" si="163"/>
        <v>156.28571428571428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77" t="s">
        <v>38</v>
      </c>
      <c r="E376" s="173"/>
      <c r="F376" s="173"/>
      <c r="G376" s="174"/>
      <c r="H376" s="762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IFERROR(__xludf.DUMMYFUNCTION("IMPORTRANGE(""https://docs.google.com/spreadsheets/d/1XWAQStnk-4SwqDmLtmXYiTMKHgktTP8We1SCoS47DrQ/edit?usp=sharing"",""จัดที่ดิน!AH40"")"),319)</f>
        <v>319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IFERROR(__xludf.DUMMYFUNCTION("IMPORTRANGE(""https://docs.google.com/spreadsheets/d/1QqKyyYR6Q21VydFLVH3TRQUabQu_ym0Zz7PgGX0-kHA/edit?usp=sharing"",""แผน!ET40"")"),2000)</f>
        <v>2000</v>
      </c>
      <c r="J378" s="270">
        <f ca="1">IFERROR(__xludf.DUMMYFUNCTION("IMPORTRANGE(""https://docs.google.com/spreadsheets/d/1XWAQStnk-4SwqDmLtmXYiTMKHgktTP8We1SCoS47DrQ/edit?usp=sharing"",""จัดที่ดิน!AI40"")"),2102.44)</f>
        <v>2102.44</v>
      </c>
      <c r="K378" s="498">
        <f t="shared" ca="1" si="164"/>
        <v>105.122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4" t="s">
        <v>35</v>
      </c>
      <c r="I379" s="270">
        <f ca="1">IFERROR(__xludf.DUMMYFUNCTION("IMPORTRANGE(""https://docs.google.com/spreadsheets/d/1QqKyyYR6Q21VydFLVH3TRQUabQu_ym0Zz7PgGX0-kHA/edit?usp=sharing"",""แผน!EU40"")"),350)</f>
        <v>350</v>
      </c>
      <c r="J379" s="270">
        <f ca="1">IFERROR(__xludf.DUMMYFUNCTION("IMPORTRANGE(""https://docs.google.com/spreadsheets/d/1XWAQStnk-4SwqDmLtmXYiTMKHgktTP8We1SCoS47DrQ/edit?usp=sharing"",""จัดที่ดิน!AJ40"")"),571)</f>
        <v>571</v>
      </c>
      <c r="K379" s="498">
        <f t="shared" ca="1" si="164"/>
        <v>163.14285714285714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IFERROR(__xludf.DUMMYFUNCTION("IMPORTRANGE(""https://docs.google.com/spreadsheets/d/1XWAQStnk-4SwqDmLtmXYiTMKHgktTP8We1SCoS47DrQ/edit?usp=sharing"",""จัดที่ดิน!AK40"")"),5070.07)</f>
        <v>5070.07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4" t="s">
        <v>35</v>
      </c>
      <c r="I381" s="270">
        <f ca="1">IFERROR(__xludf.DUMMYFUNCTION("IMPORTRANGE(""https://docs.google.com/spreadsheets/d/1QqKyyYR6Q21VydFLVH3TRQUabQu_ym0Zz7PgGX0-kHA/edit?usp=sharing"",""แผน!EU40"")"),350)</f>
        <v>350</v>
      </c>
      <c r="J381" s="270">
        <f ca="1">IFERROR(__xludf.DUMMYFUNCTION("IMPORTRANGE(""https://docs.google.com/spreadsheets/d/1XWAQStnk-4SwqDmLtmXYiTMKHgktTP8We1SCoS47DrQ/edit?usp=sharing"",""จัดที่ดิน!AL40"")"),547)</f>
        <v>547</v>
      </c>
      <c r="K381" s="498">
        <f t="shared" ca="1" si="164"/>
        <v>156.28571428571428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8"/>
      <c r="C382" s="171"/>
      <c r="D382" s="178"/>
      <c r="E382" s="447"/>
      <c r="F382" s="178"/>
      <c r="G382" s="179"/>
      <c r="H382" s="76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IFERROR(__xludf.DUMMYFUNCTION("IMPORTRANGE(""https://docs.google.com/spreadsheets/d/1XWAQStnk-4SwqDmLtmXYiTMKHgktTP8We1SCoS47DrQ/edit?usp=sharing"",""จัดที่ดิน!AM40"")"),4888.51)</f>
        <v>4888.51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500"/>
      <c r="B383" s="501"/>
      <c r="C383" s="291"/>
      <c r="D383" s="889" t="s">
        <v>170</v>
      </c>
      <c r="E383" s="291"/>
      <c r="F383" s="291"/>
      <c r="G383" s="503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86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62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4" t="s">
        <v>171</v>
      </c>
      <c r="F385" s="381"/>
      <c r="G385" s="382"/>
      <c r="H385" s="505" t="s">
        <v>35</v>
      </c>
      <c r="I385" s="506">
        <f ca="1">IFERROR(__xludf.DUMMYFUNCTION("IMPORTRANGE(""https://docs.google.com/spreadsheets/d/1QqKyyYR6Q21VydFLVH3TRQUabQu_ym0Zz7PgGX0-kHA/edit?usp=sharing"",""แผน!EW40"")"),80)</f>
        <v>80</v>
      </c>
      <c r="J385" s="506">
        <f ca="1">IFERROR(__xludf.DUMMYFUNCTION("IMPORTRANGE(""https://docs.google.com/spreadsheets/d/1XWAQStnk-4SwqDmLtmXYiTMKHgktTP8We1SCoS47DrQ/edit?usp=sharing"",""จัดที่ดิน!AP40"")"),110)</f>
        <v>110</v>
      </c>
      <c r="K385" s="507">
        <f ca="1">IF(I385&gt;0,J385*100/I385,0)</f>
        <v>137.5</v>
      </c>
      <c r="L385" s="385"/>
      <c r="M385" s="385"/>
      <c r="N385" s="385"/>
      <c r="O385" s="385"/>
      <c r="P385" s="385"/>
    </row>
    <row r="386" spans="1:26" ht="19.5" hidden="1">
      <c r="A386" s="508" t="s">
        <v>172</v>
      </c>
      <c r="B386" s="509"/>
      <c r="C386" s="509"/>
      <c r="D386" s="509"/>
      <c r="E386" s="510"/>
      <c r="F386" s="510"/>
      <c r="G386" s="511"/>
      <c r="H386" s="512"/>
      <c r="I386" s="513"/>
      <c r="J386" s="513"/>
      <c r="K386" s="514"/>
      <c r="L386" s="514"/>
      <c r="M386" s="514"/>
      <c r="N386" s="514"/>
      <c r="O386" s="514"/>
      <c r="P386" s="514"/>
    </row>
    <row r="387" spans="1:26" ht="19.5" hidden="1">
      <c r="A387" s="515" t="s">
        <v>173</v>
      </c>
      <c r="B387" s="516"/>
      <c r="C387" s="516"/>
      <c r="D387" s="517"/>
      <c r="E387" s="516"/>
      <c r="F387" s="516"/>
      <c r="G387" s="516"/>
      <c r="H387" s="518"/>
      <c r="I387" s="519"/>
      <c r="J387" s="519"/>
      <c r="K387" s="520"/>
      <c r="L387" s="520"/>
      <c r="M387" s="520"/>
      <c r="N387" s="520"/>
      <c r="O387" s="520"/>
      <c r="P387" s="520"/>
    </row>
    <row r="388" spans="1:26" ht="19.5" hidden="1">
      <c r="A388" s="521"/>
      <c r="B388" s="522" t="s">
        <v>174</v>
      </c>
      <c r="C388" s="523"/>
      <c r="D388" s="524"/>
      <c r="E388" s="524"/>
      <c r="F388" s="524"/>
      <c r="G388" s="525"/>
      <c r="H388" s="526" t="s">
        <v>66</v>
      </c>
      <c r="I388" s="527">
        <f t="shared" ref="I388:J388" si="165">I400</f>
        <v>0</v>
      </c>
      <c r="J388" s="527">
        <f t="shared" si="165"/>
        <v>0</v>
      </c>
      <c r="K388" s="528">
        <f>IF(I388&gt;0,J388*100/I388,0)</f>
        <v>0</v>
      </c>
      <c r="L388" s="529"/>
      <c r="M388" s="529"/>
      <c r="N388" s="529"/>
      <c r="O388" s="529"/>
      <c r="P388" s="529"/>
    </row>
    <row r="389" spans="1:26" ht="19.5" hidden="1">
      <c r="A389" s="147"/>
      <c r="B389" s="148"/>
      <c r="C389" s="149" t="s">
        <v>16</v>
      </c>
      <c r="D389" s="87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7"/>
      <c r="J390" s="617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7"/>
      <c r="J391" s="617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IFERROR(__xludf.DUMMYFUNCTION("IMPORTRANGE(""https://docs.google.com/spreadsheets/d/1MeEWN-I1oV_STSDYn1IFDPWt_1FKiwhDph83XaGc0o0/edit?usp=sharing"",""งบพรบ!FG40"")"),0)</f>
        <v>0</v>
      </c>
      <c r="M394" s="93">
        <f ca="1">IFERROR(__xludf.DUMMYFUNCTION("IMPORTRANGE(""https://docs.google.com/spreadsheets/d/1MeEWN-I1oV_STSDYn1IFDPWt_1FKiwhDph83XaGc0o0/edit?usp=sharing"",""งบพรบ!FL40"")"),0)</f>
        <v>0</v>
      </c>
      <c r="N394" s="93">
        <f ca="1">IFERROR(__xludf.DUMMYFUNCTION("IMPORTRANGE(""https://docs.google.com/spreadsheets/d/1MeEWN-I1oV_STSDYn1IFDPWt_1FKiwhDph83XaGc0o0/edit?usp=sharing"",""งบพรบ!FN40"")"),0)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IFERROR(__xludf.DUMMYFUNCTION("IMPORTRANGE(""https://docs.google.com/spreadsheets/d/1MeEWN-I1oV_STSDYn1IFDPWt_1FKiwhDph83XaGc0o0/edit?usp=sharing"",""งบพรบ!FJ40"")"),0)</f>
        <v>0</v>
      </c>
      <c r="M397" s="93">
        <f ca="1">IFERROR(__xludf.DUMMYFUNCTION("IMPORTRANGE(""https://docs.google.com/spreadsheets/d/1MeEWN-I1oV_STSDYn1IFDPWt_1FKiwhDph83XaGc0o0/edit?usp=sharing"",""งบพรบ!FM40"")"),0)</f>
        <v>0</v>
      </c>
      <c r="N397" s="93">
        <f ca="1">IFERROR(__xludf.DUMMYFUNCTION("IMPORTRANGE(""https://docs.google.com/spreadsheets/d/1MeEWN-I1oV_STSDYn1IFDPWt_1FKiwhDph83XaGc0o0/edit?usp=sharing"",""งบพรบ!FO40"")"),0)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7" t="s">
        <v>38</v>
      </c>
      <c r="E398" s="173"/>
      <c r="F398" s="173"/>
      <c r="G398" s="174"/>
      <c r="H398" s="762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30"/>
      <c r="B399" s="148"/>
      <c r="C399" s="531"/>
      <c r="D399" s="532" t="s">
        <v>175</v>
      </c>
      <c r="E399" s="415"/>
      <c r="F399" s="148"/>
      <c r="G399" s="151"/>
      <c r="H399" s="533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4"/>
      <c r="M399" s="534"/>
      <c r="N399" s="534"/>
      <c r="O399" s="534"/>
      <c r="P399" s="534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1"/>
      <c r="B401" s="522" t="s">
        <v>177</v>
      </c>
      <c r="C401" s="523"/>
      <c r="D401" s="524"/>
      <c r="E401" s="524"/>
      <c r="F401" s="524"/>
      <c r="G401" s="525"/>
      <c r="H401" s="526" t="s">
        <v>66</v>
      </c>
      <c r="I401" s="527">
        <f t="shared" ref="I401:J401" si="173">I412</f>
        <v>0</v>
      </c>
      <c r="J401" s="527">
        <f t="shared" si="173"/>
        <v>0</v>
      </c>
      <c r="K401" s="528">
        <f t="shared" si="172"/>
        <v>0</v>
      </c>
      <c r="L401" s="529"/>
      <c r="M401" s="529"/>
      <c r="N401" s="529"/>
      <c r="O401" s="529"/>
      <c r="P401" s="529"/>
    </row>
    <row r="402" spans="1:26" ht="19.5" hidden="1">
      <c r="A402" s="147"/>
      <c r="B402" s="148"/>
      <c r="C402" s="149" t="s">
        <v>16</v>
      </c>
      <c r="D402" s="87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7"/>
      <c r="J403" s="617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7"/>
      <c r="J404" s="617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IFERROR(__xludf.DUMMYFUNCTION("IMPORTRANGE(""https://docs.google.com/spreadsheets/d/1MeEWN-I1oV_STSDYn1IFDPWt_1FKiwhDph83XaGc0o0/edit?usp=sharing"",""งบพรบ!FQ40"")"),0)</f>
        <v>0</v>
      </c>
      <c r="M407" s="93">
        <f ca="1">IFERROR(__xludf.DUMMYFUNCTION("IMPORTRANGE(""https://docs.google.com/spreadsheets/d/1MeEWN-I1oV_STSDYn1IFDPWt_1FKiwhDph83XaGc0o0/edit?usp=sharing"",""งบพรบ!FV40"")"),0)</f>
        <v>0</v>
      </c>
      <c r="N407" s="93">
        <f ca="1">IFERROR(__xludf.DUMMYFUNCTION("IMPORTRANGE(""https://docs.google.com/spreadsheets/d/1MeEWN-I1oV_STSDYn1IFDPWt_1FKiwhDph83XaGc0o0/edit?usp=sharing"",""งบพรบ!FX40"")"),0)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IFERROR(__xludf.DUMMYFUNCTION("IMPORTRANGE(""https://docs.google.com/spreadsheets/d/1MeEWN-I1oV_STSDYn1IFDPWt_1FKiwhDph83XaGc0o0/edit?usp=sharing"",""งบพรบ!FT40"")"),0)</f>
        <v>0</v>
      </c>
      <c r="M410" s="93">
        <f ca="1">IFERROR(__xludf.DUMMYFUNCTION("IMPORTRANGE(""https://docs.google.com/spreadsheets/d/1MeEWN-I1oV_STSDYn1IFDPWt_1FKiwhDph83XaGc0o0/edit?usp=sharing"",""งบพรบ!FW40"")"),0)</f>
        <v>0</v>
      </c>
      <c r="N410" s="93">
        <f ca="1">IFERROR(__xludf.DUMMYFUNCTION("IMPORTRANGE(""https://docs.google.com/spreadsheets/d/1MeEWN-I1oV_STSDYn1IFDPWt_1FKiwhDph83XaGc0o0/edit?usp=sharing"",""งบพรบ!FY40"")"),0)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90" t="s">
        <v>38</v>
      </c>
      <c r="E411" s="536"/>
      <c r="F411" s="536"/>
      <c r="G411" s="537"/>
      <c r="H411" s="762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8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9"/>
      <c r="B413" s="540"/>
      <c r="C413" s="540"/>
      <c r="D413" s="541" t="s">
        <v>179</v>
      </c>
      <c r="E413" s="540"/>
      <c r="F413" s="540"/>
      <c r="G413" s="542"/>
      <c r="H413" s="543" t="s">
        <v>180</v>
      </c>
      <c r="I413" s="544">
        <v>0</v>
      </c>
      <c r="J413" s="545">
        <v>0</v>
      </c>
      <c r="K413" s="546">
        <f t="shared" si="180"/>
        <v>0</v>
      </c>
      <c r="L413" s="547"/>
      <c r="M413" s="547"/>
      <c r="N413" s="547"/>
      <c r="O413" s="547"/>
      <c r="P413" s="547"/>
    </row>
    <row r="414" spans="1:26" ht="19.5">
      <c r="A414" s="548" t="s">
        <v>181</v>
      </c>
      <c r="B414" s="549"/>
      <c r="C414" s="549"/>
      <c r="D414" s="549"/>
      <c r="E414" s="549"/>
      <c r="F414" s="549"/>
      <c r="G414" s="550"/>
      <c r="H414" s="551"/>
      <c r="I414" s="552"/>
      <c r="J414" s="552"/>
      <c r="K414" s="553"/>
      <c r="L414" s="554">
        <f t="shared" ref="L414:N414" ca="1" si="181">L419+L444+L467+L502+L523+L544+L629+L655+L685+L737+L754+L770+L786+L805</f>
        <v>2371299</v>
      </c>
      <c r="M414" s="554">
        <f t="shared" ca="1" si="181"/>
        <v>2410734</v>
      </c>
      <c r="N414" s="554">
        <f t="shared" si="181"/>
        <v>2410734</v>
      </c>
      <c r="O414" s="554">
        <f ca="1">IF(L414&gt;0,N414*100/L414,0)</f>
        <v>101.66301255134844</v>
      </c>
      <c r="P414" s="554">
        <f ca="1">IF(M414&gt;0,N414*100/M414,0)</f>
        <v>100</v>
      </c>
    </row>
    <row r="415" spans="1:26" ht="19.5">
      <c r="A415" s="555" t="s">
        <v>182</v>
      </c>
      <c r="B415" s="556"/>
      <c r="C415" s="556"/>
      <c r="D415" s="556"/>
      <c r="E415" s="556"/>
      <c r="F415" s="556"/>
      <c r="G415" s="556"/>
      <c r="H415" s="557"/>
      <c r="I415" s="558"/>
      <c r="J415" s="558"/>
      <c r="K415" s="559"/>
      <c r="L415" s="560"/>
      <c r="M415" s="560"/>
      <c r="N415" s="560"/>
      <c r="O415" s="560"/>
      <c r="P415" s="560"/>
    </row>
    <row r="416" spans="1:26" ht="19.5">
      <c r="A416" s="555" t="s">
        <v>183</v>
      </c>
      <c r="B416" s="556"/>
      <c r="C416" s="556"/>
      <c r="D416" s="556"/>
      <c r="E416" s="556"/>
      <c r="F416" s="556"/>
      <c r="G416" s="561"/>
      <c r="H416" s="562"/>
      <c r="I416" s="563"/>
      <c r="J416" s="563"/>
      <c r="K416" s="560"/>
      <c r="L416" s="560"/>
      <c r="M416" s="560"/>
      <c r="N416" s="560"/>
      <c r="O416" s="560"/>
      <c r="P416" s="560"/>
    </row>
    <row r="417" spans="1:26" ht="39">
      <c r="A417" s="564">
        <v>1</v>
      </c>
      <c r="B417" s="566" t="s">
        <v>184</v>
      </c>
      <c r="C417" s="566"/>
      <c r="D417" s="567"/>
      <c r="E417" s="567"/>
      <c r="F417" s="567"/>
      <c r="G417" s="568"/>
      <c r="H417" s="569" t="s">
        <v>35</v>
      </c>
      <c r="I417" s="570">
        <f t="shared" ref="I417:J418" ca="1" si="182">I433</f>
        <v>35</v>
      </c>
      <c r="J417" s="570">
        <f t="shared" ca="1" si="182"/>
        <v>35</v>
      </c>
      <c r="K417" s="571">
        <f t="shared" ref="K417:K418" ca="1" si="183">IF(I417&gt;0,J417*100/I417,0)</f>
        <v>100</v>
      </c>
      <c r="L417" s="572"/>
      <c r="M417" s="572"/>
      <c r="N417" s="572"/>
      <c r="O417" s="572"/>
      <c r="P417" s="572"/>
    </row>
    <row r="418" spans="1:26" ht="19.5">
      <c r="A418" s="573"/>
      <c r="B418" s="564"/>
      <c r="C418" s="566"/>
      <c r="D418" s="567"/>
      <c r="E418" s="567"/>
      <c r="F418" s="567"/>
      <c r="G418" s="568"/>
      <c r="H418" s="569" t="s">
        <v>49</v>
      </c>
      <c r="I418" s="570">
        <f t="shared" ca="1" si="182"/>
        <v>1</v>
      </c>
      <c r="J418" s="570">
        <f t="shared" si="182"/>
        <v>1</v>
      </c>
      <c r="K418" s="571">
        <f t="shared" ca="1" si="183"/>
        <v>100</v>
      </c>
      <c r="L418" s="572"/>
      <c r="M418" s="572"/>
      <c r="N418" s="572"/>
      <c r="O418" s="572"/>
      <c r="P418" s="572"/>
    </row>
    <row r="419" spans="1:26" ht="19.5">
      <c r="A419" s="147"/>
      <c r="B419" s="148"/>
      <c r="C419" s="148" t="s">
        <v>16</v>
      </c>
      <c r="D419" s="891" t="s">
        <v>17</v>
      </c>
      <c r="E419" s="862"/>
      <c r="F419" s="86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115060</v>
      </c>
      <c r="M419" s="155">
        <f t="shared" ca="1" si="184"/>
        <v>120060</v>
      </c>
      <c r="N419" s="155">
        <f t="shared" si="184"/>
        <v>120060</v>
      </c>
      <c r="O419" s="155">
        <f t="shared" ref="O419:O424" ca="1" si="185">IF(L419&gt;0,N419*100/L419,0)</f>
        <v>104.34555883886668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7"/>
      <c r="J420" s="617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7"/>
      <c r="J421" s="617"/>
      <c r="K421" s="93"/>
      <c r="L421" s="93">
        <f t="shared" ca="1" si="187"/>
        <v>115060</v>
      </c>
      <c r="M421" s="93">
        <f t="shared" ca="1" si="187"/>
        <v>120060</v>
      </c>
      <c r="N421" s="93">
        <f t="shared" si="187"/>
        <v>120060</v>
      </c>
      <c r="O421" s="93">
        <f t="shared" ca="1" si="185"/>
        <v>104.34555883886668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115060</v>
      </c>
      <c r="M422" s="498">
        <f t="shared" ca="1" si="188"/>
        <v>120060</v>
      </c>
      <c r="N422" s="498">
        <f t="shared" si="188"/>
        <v>120060</v>
      </c>
      <c r="O422" s="498">
        <f t="shared" ca="1" si="185"/>
        <v>104.34555883886668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7"/>
      <c r="J423" s="617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7"/>
      <c r="J424" s="617"/>
      <c r="K424" s="93"/>
      <c r="L424" s="93">
        <f ca="1">IFERROR(__xludf.DUMMYFUNCTION("IMPORTRANGE(""https://docs.google.com/spreadsheets/d/1QqKyyYR6Q21VydFLVH3TRQUabQu_ym0Zz7PgGX0-kHA/edit?usp=sharing"",""แผน!EY40"")"),115060)</f>
        <v>115060</v>
      </c>
      <c r="M424" s="93">
        <f ca="1">L424+5000</f>
        <v>120060</v>
      </c>
      <c r="N424" s="93">
        <f>N425+N426+N427+N428</f>
        <v>120060</v>
      </c>
      <c r="O424" s="93">
        <f t="shared" ca="1" si="185"/>
        <v>104.34555883886668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4"/>
      <c r="B425" s="575"/>
      <c r="C425" s="763"/>
      <c r="D425" s="763"/>
      <c r="E425" s="763"/>
      <c r="F425" s="763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40">
        <v>84800</v>
      </c>
      <c r="O425" s="498"/>
      <c r="P425" s="49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</row>
    <row r="426" spans="1:26" ht="18.75">
      <c r="A426" s="574"/>
      <c r="B426" s="575"/>
      <c r="C426" s="763"/>
      <c r="D426" s="763"/>
      <c r="E426" s="763"/>
      <c r="F426" s="763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40">
        <v>0</v>
      </c>
      <c r="O426" s="498"/>
      <c r="P426" s="49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</row>
    <row r="427" spans="1:26" ht="18.75">
      <c r="A427" s="574"/>
      <c r="B427" s="575"/>
      <c r="C427" s="763"/>
      <c r="D427" s="763"/>
      <c r="E427" s="763"/>
      <c r="F427" s="763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40">
        <v>0</v>
      </c>
      <c r="O427" s="498"/>
      <c r="P427" s="49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40">
        <v>35260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92" t="s">
        <v>38</v>
      </c>
      <c r="E432" s="580"/>
      <c r="F432" s="580"/>
      <c r="G432" s="581"/>
      <c r="H432" s="582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1">
        <f ca="1">I435</f>
        <v>35</v>
      </c>
      <c r="J433" s="681">
        <f ca="1">IF(AND(J435=I435,J437=I437,J439=I439),I437+I439,IF(AND(J435=I437,J437=I437),I437,IF(AND(J435=I439,J439=I439),I439,0)))</f>
        <v>35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1">
        <f t="shared" ref="I434:J434" ca="1" si="193">I438+I440</f>
        <v>1</v>
      </c>
      <c r="J434" s="681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3" t="s">
        <v>35</v>
      </c>
      <c r="I435" s="583">
        <f ca="1">IFERROR(__xludf.DUMMYFUNCTION("IMPORTRANGE(""https://docs.google.com/spreadsheets/d/1QqKyyYR6Q21VydFLVH3TRQUabQu_ym0Zz7PgGX0-kHA/edit?usp=sharing"",""แผน!FC40"")"),35)</f>
        <v>35</v>
      </c>
      <c r="J435" s="584">
        <v>35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3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3" t="s">
        <v>35</v>
      </c>
      <c r="I437" s="583">
        <f ca="1">IFERROR(__xludf.DUMMYFUNCTION("IMPORTRANGE(""https://docs.google.com/spreadsheets/d/1QqKyyYR6Q21VydFLVH3TRQUabQu_ym0Zz7PgGX0-kHA/edit?usp=sharing"",""แผน!FD40"")"),0)</f>
        <v>0</v>
      </c>
      <c r="J437" s="584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3" t="s">
        <v>49</v>
      </c>
      <c r="I438" s="270">
        <f ca="1">IFERROR(__xludf.DUMMYFUNCTION("IMPORTRANGE(""https://docs.google.com/spreadsheets/d/1QqKyyYR6Q21VydFLVH3TRQUabQu_ym0Zz7PgGX0-kHA/edit?usp=sharing"",""แผน!FE40"")"),0)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3" t="s">
        <v>35</v>
      </c>
      <c r="I439" s="583">
        <f ca="1">IFERROR(__xludf.DUMMYFUNCTION("IMPORTRANGE(""https://docs.google.com/spreadsheets/d/1QqKyyYR6Q21VydFLVH3TRQUabQu_ym0Zz7PgGX0-kHA/edit?usp=sharing"",""แผน!FF40"")"),35)</f>
        <v>35</v>
      </c>
      <c r="J439" s="584">
        <v>35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3" t="s">
        <v>49</v>
      </c>
      <c r="I440" s="270">
        <f ca="1">IFERROR(__xludf.DUMMYFUNCTION("IMPORTRANGE(""https://docs.google.com/spreadsheets/d/1QqKyyYR6Q21VydFLVH3TRQUabQu_ym0Zz7PgGX0-kHA/edit?usp=sharing"",""แผน!FG40"")"),1)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3" t="s">
        <v>35</v>
      </c>
      <c r="I441" s="270">
        <f ca="1">IFERROR(__xludf.DUMMYFUNCTION("IMPORTRANGE(""https://docs.google.com/spreadsheets/d/1QqKyyYR6Q21VydFLVH3TRQUabQu_ym0Zz7PgGX0-kHA/edit?usp=sharing"",""แผน!FH40"")"),0)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5">
        <v>2</v>
      </c>
      <c r="B442" s="586" t="s">
        <v>200</v>
      </c>
      <c r="C442" s="587"/>
      <c r="D442" s="587"/>
      <c r="E442" s="587"/>
      <c r="F442" s="587"/>
      <c r="G442" s="588"/>
      <c r="H442" s="589" t="s">
        <v>35</v>
      </c>
      <c r="I442" s="590">
        <f t="shared" ref="I442:J442" ca="1" si="195">I460</f>
        <v>50</v>
      </c>
      <c r="J442" s="590">
        <f t="shared" si="195"/>
        <v>50</v>
      </c>
      <c r="K442" s="591">
        <f t="shared" ca="1" si="194"/>
        <v>100</v>
      </c>
      <c r="L442" s="592"/>
      <c r="M442" s="592"/>
      <c r="N442" s="592"/>
      <c r="O442" s="592"/>
      <c r="P442" s="592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</row>
    <row r="443" spans="1:26" ht="19.5">
      <c r="A443" s="593"/>
      <c r="B443" s="594"/>
      <c r="C443" s="595"/>
      <c r="D443" s="595"/>
      <c r="E443" s="595"/>
      <c r="F443" s="595"/>
      <c r="G443" s="596"/>
      <c r="H443" s="569" t="s">
        <v>46</v>
      </c>
      <c r="I443" s="570">
        <f t="shared" ref="I443:J443" ca="1" si="196">I462</f>
        <v>120</v>
      </c>
      <c r="J443" s="570">
        <f t="shared" si="196"/>
        <v>120</v>
      </c>
      <c r="K443" s="571">
        <f t="shared" ca="1" si="194"/>
        <v>100</v>
      </c>
      <c r="L443" s="572"/>
      <c r="M443" s="572"/>
      <c r="N443" s="572"/>
      <c r="O443" s="572"/>
      <c r="P443" s="572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</row>
    <row r="444" spans="1:26" ht="19.5">
      <c r="A444" s="597"/>
      <c r="B444" s="763"/>
      <c r="C444" s="763" t="s">
        <v>16</v>
      </c>
      <c r="D444" s="863" t="s">
        <v>17</v>
      </c>
      <c r="E444" s="857"/>
      <c r="F444" s="857"/>
      <c r="G444" s="189"/>
      <c r="H444" s="598" t="s">
        <v>12</v>
      </c>
      <c r="I444" s="270"/>
      <c r="J444" s="270"/>
      <c r="K444" s="498"/>
      <c r="L444" s="195">
        <f t="shared" ref="L444:N444" ca="1" si="197">L445+L446</f>
        <v>372400</v>
      </c>
      <c r="M444" s="195">
        <f t="shared" ca="1" si="197"/>
        <v>386220</v>
      </c>
      <c r="N444" s="195">
        <f t="shared" si="197"/>
        <v>386220</v>
      </c>
      <c r="O444" s="195">
        <f t="shared" ref="O444:O449" ca="1" si="198">IF(L444&gt;0,N444*100/L444,0)</f>
        <v>103.7110633727175</v>
      </c>
      <c r="P444" s="195">
        <f t="shared" ref="P444:P449" ca="1" si="199">IF(M444&gt;0,N444*100/M444,0)</f>
        <v>100</v>
      </c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</row>
    <row r="445" spans="1:26" ht="18.75" hidden="1">
      <c r="A445" s="599"/>
      <c r="B445" s="759"/>
      <c r="C445" s="759"/>
      <c r="D445" s="720"/>
      <c r="E445" s="759" t="s">
        <v>185</v>
      </c>
      <c r="F445" s="759"/>
      <c r="G445" s="603"/>
      <c r="H445" s="165" t="s">
        <v>12</v>
      </c>
      <c r="I445" s="617"/>
      <c r="J445" s="617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4"/>
      <c r="R445" s="604"/>
      <c r="S445" s="604"/>
      <c r="T445" s="604"/>
      <c r="U445" s="604"/>
      <c r="V445" s="604"/>
      <c r="W445" s="604"/>
      <c r="X445" s="604"/>
      <c r="Y445" s="604"/>
      <c r="Z445" s="604"/>
    </row>
    <row r="446" spans="1:26" ht="18.75" hidden="1">
      <c r="A446" s="599"/>
      <c r="B446" s="607"/>
      <c r="C446" s="759"/>
      <c r="D446" s="720"/>
      <c r="E446" s="759" t="s">
        <v>186</v>
      </c>
      <c r="F446" s="759"/>
      <c r="G446" s="603"/>
      <c r="H446" s="165" t="s">
        <v>12</v>
      </c>
      <c r="I446" s="617"/>
      <c r="J446" s="617"/>
      <c r="K446" s="93"/>
      <c r="L446" s="93">
        <f t="shared" ca="1" si="200"/>
        <v>372400</v>
      </c>
      <c r="M446" s="93">
        <f t="shared" ca="1" si="200"/>
        <v>386220</v>
      </c>
      <c r="N446" s="93">
        <f t="shared" si="200"/>
        <v>386220</v>
      </c>
      <c r="O446" s="93">
        <f t="shared" ca="1" si="198"/>
        <v>103.7110633727175</v>
      </c>
      <c r="P446" s="93">
        <f t="shared" ca="1" si="199"/>
        <v>100</v>
      </c>
      <c r="Q446" s="604"/>
      <c r="R446" s="604"/>
      <c r="S446" s="604"/>
      <c r="T446" s="604"/>
      <c r="U446" s="604"/>
      <c r="V446" s="604"/>
      <c r="W446" s="604"/>
      <c r="X446" s="604"/>
      <c r="Y446" s="604"/>
      <c r="Z446" s="604"/>
    </row>
    <row r="447" spans="1:26" ht="18.75">
      <c r="A447" s="597"/>
      <c r="B447" s="575"/>
      <c r="C447" s="763"/>
      <c r="D447" s="606" t="s">
        <v>20</v>
      </c>
      <c r="E447" s="763"/>
      <c r="F447" s="763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372400</v>
      </c>
      <c r="M447" s="498">
        <f t="shared" ca="1" si="201"/>
        <v>386220</v>
      </c>
      <c r="N447" s="498">
        <f t="shared" si="201"/>
        <v>386220</v>
      </c>
      <c r="O447" s="498">
        <f t="shared" ca="1" si="198"/>
        <v>103.7110633727175</v>
      </c>
      <c r="P447" s="498">
        <f t="shared" ca="1" si="199"/>
        <v>100</v>
      </c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</row>
    <row r="448" spans="1:26" ht="18.75" hidden="1">
      <c r="A448" s="599"/>
      <c r="B448" s="607"/>
      <c r="C448" s="759"/>
      <c r="D448" s="720"/>
      <c r="E448" s="759" t="s">
        <v>185</v>
      </c>
      <c r="F448" s="759"/>
      <c r="G448" s="603"/>
      <c r="H448" s="165" t="s">
        <v>12</v>
      </c>
      <c r="I448" s="617"/>
      <c r="J448" s="617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</row>
    <row r="449" spans="1:26" ht="18.75" hidden="1">
      <c r="A449" s="599"/>
      <c r="B449" s="607"/>
      <c r="C449" s="759"/>
      <c r="D449" s="720"/>
      <c r="E449" s="759" t="s">
        <v>186</v>
      </c>
      <c r="F449" s="759"/>
      <c r="G449" s="603"/>
      <c r="H449" s="165" t="s">
        <v>12</v>
      </c>
      <c r="I449" s="617"/>
      <c r="J449" s="617"/>
      <c r="K449" s="93"/>
      <c r="L449" s="93">
        <f ca="1">IFERROR(__xludf.DUMMYFUNCTION("IMPORTRANGE(""https://docs.google.com/spreadsheets/d/1QqKyyYR6Q21VydFLVH3TRQUabQu_ym0Zz7PgGX0-kHA/edit?usp=sharing"",""แผน!FJ40"")"),372400)</f>
        <v>372400</v>
      </c>
      <c r="M449" s="93">
        <f ca="1">L449+13990-170</f>
        <v>386220</v>
      </c>
      <c r="N449" s="93">
        <f>N450+N451+N452+N453</f>
        <v>386220</v>
      </c>
      <c r="O449" s="93">
        <f t="shared" ca="1" si="198"/>
        <v>103.7110633727175</v>
      </c>
      <c r="P449" s="93">
        <f t="shared" ca="1" si="199"/>
        <v>100</v>
      </c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</row>
    <row r="450" spans="1:26" ht="18.75">
      <c r="A450" s="574"/>
      <c r="B450" s="575"/>
      <c r="C450" s="763"/>
      <c r="D450" s="763"/>
      <c r="E450" s="763"/>
      <c r="F450" s="763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40">
        <v>74360</v>
      </c>
      <c r="O450" s="498"/>
      <c r="P450" s="49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</row>
    <row r="451" spans="1:26" ht="18.75">
      <c r="A451" s="574"/>
      <c r="B451" s="575"/>
      <c r="C451" s="763"/>
      <c r="D451" s="763"/>
      <c r="E451" s="763"/>
      <c r="F451" s="763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40">
        <v>112000</v>
      </c>
      <c r="O451" s="498"/>
      <c r="P451" s="49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</row>
    <row r="452" spans="1:26" ht="18.75">
      <c r="A452" s="574"/>
      <c r="B452" s="575"/>
      <c r="C452" s="575"/>
      <c r="D452" s="575"/>
      <c r="E452" s="575"/>
      <c r="F452" s="763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40">
        <v>143000</v>
      </c>
      <c r="O452" s="498"/>
      <c r="P452" s="49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</row>
    <row r="453" spans="1:26" ht="18.75">
      <c r="A453" s="574"/>
      <c r="B453" s="575"/>
      <c r="C453" s="575"/>
      <c r="D453" s="575"/>
      <c r="E453" s="575"/>
      <c r="F453" s="763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40">
        <v>56860</v>
      </c>
      <c r="O453" s="498"/>
      <c r="P453" s="49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</row>
    <row r="454" spans="1:26" ht="18.75">
      <c r="A454" s="597"/>
      <c r="B454" s="575"/>
      <c r="C454" s="575"/>
      <c r="D454" s="606" t="s">
        <v>21</v>
      </c>
      <c r="E454" s="575"/>
      <c r="F454" s="763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</row>
    <row r="455" spans="1:26" ht="18.75" hidden="1">
      <c r="A455" s="599"/>
      <c r="B455" s="607"/>
      <c r="C455" s="607"/>
      <c r="D455" s="607"/>
      <c r="E455" s="607" t="s">
        <v>18</v>
      </c>
      <c r="F455" s="759"/>
      <c r="G455" s="603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4"/>
      <c r="R455" s="604"/>
      <c r="S455" s="604"/>
      <c r="T455" s="604"/>
      <c r="U455" s="604"/>
      <c r="V455" s="604"/>
      <c r="W455" s="604"/>
      <c r="X455" s="604"/>
      <c r="Y455" s="604"/>
      <c r="Z455" s="604"/>
    </row>
    <row r="456" spans="1:26" ht="18.75" hidden="1">
      <c r="A456" s="599"/>
      <c r="B456" s="607"/>
      <c r="C456" s="607"/>
      <c r="D456" s="607"/>
      <c r="E456" s="607" t="s">
        <v>19</v>
      </c>
      <c r="F456" s="759"/>
      <c r="G456" s="603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4"/>
      <c r="R456" s="604"/>
      <c r="S456" s="604"/>
      <c r="T456" s="604"/>
      <c r="U456" s="604"/>
      <c r="V456" s="604"/>
      <c r="W456" s="604"/>
      <c r="X456" s="604"/>
      <c r="Y456" s="604"/>
      <c r="Z456" s="604"/>
    </row>
    <row r="457" spans="1:26" ht="19.5">
      <c r="A457" s="608"/>
      <c r="B457" s="618"/>
      <c r="C457" s="575" t="s">
        <v>16</v>
      </c>
      <c r="D457" s="893" t="s">
        <v>38</v>
      </c>
      <c r="E457" s="611"/>
      <c r="F457" s="761"/>
      <c r="G457" s="613"/>
      <c r="H457" s="762"/>
      <c r="I457" s="270"/>
      <c r="J457" s="270"/>
      <c r="K457" s="498"/>
      <c r="L457" s="498"/>
      <c r="M457" s="498"/>
      <c r="N457" s="498"/>
      <c r="O457" s="498"/>
      <c r="P457" s="49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</row>
    <row r="458" spans="1:26" ht="18.75" hidden="1">
      <c r="A458" s="614"/>
      <c r="B458" s="616"/>
      <c r="C458" s="616"/>
      <c r="D458" s="616" t="s">
        <v>201</v>
      </c>
      <c r="E458" s="616"/>
      <c r="F458" s="720"/>
      <c r="G458" s="366"/>
      <c r="H458" s="370" t="s">
        <v>35</v>
      </c>
      <c r="I458" s="617">
        <v>0</v>
      </c>
      <c r="J458" s="617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4"/>
      <c r="R458" s="604"/>
      <c r="S458" s="604"/>
      <c r="T458" s="604"/>
      <c r="U458" s="604"/>
      <c r="V458" s="604"/>
      <c r="W458" s="604"/>
      <c r="X458" s="604"/>
      <c r="Y458" s="604"/>
      <c r="Z458" s="604"/>
    </row>
    <row r="459" spans="1:26" ht="18.75" hidden="1">
      <c r="A459" s="614"/>
      <c r="B459" s="616"/>
      <c r="C459" s="616"/>
      <c r="D459" s="616" t="s">
        <v>202</v>
      </c>
      <c r="E459" s="616"/>
      <c r="F459" s="720"/>
      <c r="G459" s="366"/>
      <c r="H459" s="370"/>
      <c r="I459" s="617"/>
      <c r="J459" s="617"/>
      <c r="K459" s="93"/>
      <c r="L459" s="93"/>
      <c r="M459" s="93"/>
      <c r="N459" s="93"/>
      <c r="O459" s="93"/>
      <c r="P459" s="93"/>
      <c r="Q459" s="604"/>
      <c r="R459" s="604"/>
      <c r="S459" s="604"/>
      <c r="T459" s="604"/>
      <c r="U459" s="604"/>
      <c r="V459" s="604"/>
      <c r="W459" s="604"/>
      <c r="X459" s="604"/>
      <c r="Y459" s="604"/>
      <c r="Z459" s="604"/>
    </row>
    <row r="460" spans="1:26" ht="18.75">
      <c r="A460" s="608"/>
      <c r="B460" s="618"/>
      <c r="C460" s="618"/>
      <c r="D460" s="618" t="s">
        <v>203</v>
      </c>
      <c r="E460" s="618"/>
      <c r="F460" s="626"/>
      <c r="G460" s="762"/>
      <c r="H460" s="764" t="s">
        <v>35</v>
      </c>
      <c r="I460" s="270">
        <f ca="1">IFERROR(__xludf.DUMMYFUNCTION("IMPORTRANGE(""https://docs.google.com/spreadsheets/d/1QqKyyYR6Q21VydFLVH3TRQUabQu_ym0Zz7PgGX0-kHA/edit?usp=sharing"",""แผน!FN40"")"),50)</f>
        <v>50</v>
      </c>
      <c r="J460" s="215">
        <v>50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</row>
    <row r="461" spans="1:26" ht="18.75">
      <c r="A461" s="608"/>
      <c r="B461" s="618"/>
      <c r="C461" s="618"/>
      <c r="D461" s="618" t="s">
        <v>204</v>
      </c>
      <c r="E461" s="626"/>
      <c r="F461" s="626"/>
      <c r="G461" s="762"/>
      <c r="H461" s="764"/>
      <c r="I461" s="270"/>
      <c r="J461" s="270"/>
      <c r="K461" s="498"/>
      <c r="L461" s="498"/>
      <c r="M461" s="498"/>
      <c r="N461" s="498"/>
      <c r="O461" s="498"/>
      <c r="P461" s="49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</row>
    <row r="462" spans="1:26" ht="18.75">
      <c r="A462" s="608"/>
      <c r="B462" s="618"/>
      <c r="C462" s="618"/>
      <c r="D462" s="618" t="s">
        <v>205</v>
      </c>
      <c r="E462" s="626"/>
      <c r="F462" s="626"/>
      <c r="G462" s="762"/>
      <c r="H462" s="764" t="s">
        <v>46</v>
      </c>
      <c r="I462" s="270">
        <f ca="1">IFERROR(__xludf.DUMMYFUNCTION("IMPORTRANGE(""https://docs.google.com/spreadsheets/d/1QqKyyYR6Q21VydFLVH3TRQUabQu_ym0Zz7PgGX0-kHA/edit?usp=sharing"",""แผน!FO40"")"),120)</f>
        <v>120</v>
      </c>
      <c r="J462" s="215">
        <v>120</v>
      </c>
      <c r="K462" s="498">
        <f t="shared" ref="K462:K466" ca="1" si="205">IF(I462&gt;0,J462*100/I462,0)</f>
        <v>100</v>
      </c>
      <c r="L462" s="498"/>
      <c r="M462" s="498"/>
      <c r="N462" s="498"/>
      <c r="O462" s="498"/>
      <c r="P462" s="49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</row>
    <row r="463" spans="1:26" ht="18.75">
      <c r="A463" s="608"/>
      <c r="B463" s="618"/>
      <c r="C463" s="618"/>
      <c r="D463" s="618" t="s">
        <v>59</v>
      </c>
      <c r="E463" s="626"/>
      <c r="F463" s="763"/>
      <c r="G463" s="189"/>
      <c r="H463" s="764" t="s">
        <v>46</v>
      </c>
      <c r="I463" s="270">
        <f ca="1">IFERROR(__xludf.DUMMYFUNCTION("IMPORTRANGE(""https://docs.google.com/spreadsheets/d/1QqKyyYR6Q21VydFLVH3TRQUabQu_ym0Zz7PgGX0-kHA/edit?usp=sharing"",""แผน!FO40"")"),120)</f>
        <v>120</v>
      </c>
      <c r="J463" s="215">
        <v>120</v>
      </c>
      <c r="K463" s="498">
        <f t="shared" ca="1" si="205"/>
        <v>100</v>
      </c>
      <c r="L463" s="498"/>
      <c r="M463" s="498"/>
      <c r="N463" s="498"/>
      <c r="O463" s="498"/>
      <c r="P463" s="49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</row>
    <row r="464" spans="1:26" ht="19.5">
      <c r="A464" s="608"/>
      <c r="B464" s="618"/>
      <c r="C464" s="618"/>
      <c r="D464" s="618"/>
      <c r="E464" s="626"/>
      <c r="F464" s="626"/>
      <c r="G464" s="620"/>
      <c r="H464" s="764" t="s">
        <v>35</v>
      </c>
      <c r="I464" s="270">
        <f ca="1">IFERROR(__xludf.DUMMYFUNCTION("IMPORTRANGE(""https://docs.google.com/spreadsheets/d/1QqKyyYR6Q21VydFLVH3TRQUabQu_ym0Zz7PgGX0-kHA/edit?usp=sharing"",""แผน!FN40"")"),50)</f>
        <v>50</v>
      </c>
      <c r="J464" s="215">
        <v>50</v>
      </c>
      <c r="K464" s="498">
        <f t="shared" ca="1" si="205"/>
        <v>100</v>
      </c>
      <c r="L464" s="498"/>
      <c r="M464" s="498"/>
      <c r="N464" s="498"/>
      <c r="O464" s="498"/>
      <c r="P464" s="49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</row>
    <row r="465" spans="1:26" ht="19.5">
      <c r="A465" s="585">
        <v>3</v>
      </c>
      <c r="B465" s="586" t="s">
        <v>206</v>
      </c>
      <c r="C465" s="587"/>
      <c r="D465" s="587"/>
      <c r="E465" s="587"/>
      <c r="F465" s="587"/>
      <c r="G465" s="588"/>
      <c r="H465" s="589" t="s">
        <v>35</v>
      </c>
      <c r="I465" s="590">
        <f ca="1">IFERROR(__xludf.DUMMYFUNCTION("IMPORTRANGE(""https://docs.google.com/spreadsheets/d/1QqKyyYR6Q21VydFLVH3TRQUabQu_ym0Zz7PgGX0-kHA/edit?usp=sharing"",""แผน!FX40"")"),131)</f>
        <v>131</v>
      </c>
      <c r="J465" s="590">
        <f>J485+J489+J492</f>
        <v>131</v>
      </c>
      <c r="K465" s="591">
        <f t="shared" ca="1" si="205"/>
        <v>100</v>
      </c>
      <c r="L465" s="592"/>
      <c r="M465" s="592"/>
      <c r="N465" s="592"/>
      <c r="O465" s="592"/>
      <c r="P465" s="592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</row>
    <row r="466" spans="1:26" ht="19.5">
      <c r="A466" s="593"/>
      <c r="B466" s="594"/>
      <c r="C466" s="595"/>
      <c r="D466" s="595"/>
      <c r="E466" s="595"/>
      <c r="F466" s="595"/>
      <c r="G466" s="596"/>
      <c r="H466" s="569" t="s">
        <v>46</v>
      </c>
      <c r="I466" s="570">
        <f ca="1">IFERROR(__xludf.DUMMYFUNCTION("IMPORTRANGE(""https://docs.google.com/spreadsheets/d/1QqKyyYR6Q21VydFLVH3TRQUabQu_ym0Zz7PgGX0-kHA/edit?usp=sharing"",""แผน!FW40"")"),1300)</f>
        <v>1300</v>
      </c>
      <c r="J466" s="570">
        <f>J495+J498</f>
        <v>1300</v>
      </c>
      <c r="K466" s="571">
        <f t="shared" ca="1" si="205"/>
        <v>100</v>
      </c>
      <c r="L466" s="572"/>
      <c r="M466" s="572"/>
      <c r="N466" s="572"/>
      <c r="O466" s="572"/>
      <c r="P466" s="572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</row>
    <row r="467" spans="1:26" ht="19.5">
      <c r="A467" s="597"/>
      <c r="B467" s="763"/>
      <c r="C467" s="763" t="s">
        <v>16</v>
      </c>
      <c r="D467" s="863" t="s">
        <v>17</v>
      </c>
      <c r="E467" s="857"/>
      <c r="F467" s="857"/>
      <c r="G467" s="189"/>
      <c r="H467" s="598" t="s">
        <v>12</v>
      </c>
      <c r="I467" s="270"/>
      <c r="J467" s="270"/>
      <c r="K467" s="498"/>
      <c r="L467" s="195">
        <f t="shared" ref="L467:N467" ca="1" si="206">L468+L469</f>
        <v>1161548</v>
      </c>
      <c r="M467" s="195">
        <f t="shared" ca="1" si="206"/>
        <v>1167651</v>
      </c>
      <c r="N467" s="195">
        <f t="shared" si="206"/>
        <v>1167651</v>
      </c>
      <c r="O467" s="195">
        <f t="shared" ref="O467:O472" ca="1" si="207">IF(L467&gt;0,N467*100/L467,0)</f>
        <v>100.5254195263562</v>
      </c>
      <c r="P467" s="195">
        <f t="shared" ref="P467:P472" ca="1" si="208">IF(M467&gt;0,N467*100/M467,0)</f>
        <v>100</v>
      </c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</row>
    <row r="468" spans="1:26" ht="18.75" hidden="1">
      <c r="A468" s="599"/>
      <c r="B468" s="759"/>
      <c r="C468" s="759"/>
      <c r="D468" s="720"/>
      <c r="E468" s="759" t="s">
        <v>185</v>
      </c>
      <c r="F468" s="759"/>
      <c r="G468" s="603"/>
      <c r="H468" s="165" t="s">
        <v>12</v>
      </c>
      <c r="I468" s="617"/>
      <c r="J468" s="617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4"/>
      <c r="R468" s="604"/>
      <c r="S468" s="604"/>
      <c r="T468" s="604"/>
      <c r="U468" s="604"/>
      <c r="V468" s="604"/>
      <c r="W468" s="604"/>
      <c r="X468" s="604"/>
      <c r="Y468" s="604"/>
      <c r="Z468" s="604"/>
    </row>
    <row r="469" spans="1:26" ht="18.75" hidden="1">
      <c r="A469" s="599"/>
      <c r="B469" s="607"/>
      <c r="C469" s="759"/>
      <c r="D469" s="720"/>
      <c r="E469" s="759" t="s">
        <v>186</v>
      </c>
      <c r="F469" s="759"/>
      <c r="G469" s="603"/>
      <c r="H469" s="165" t="s">
        <v>12</v>
      </c>
      <c r="I469" s="617"/>
      <c r="J469" s="617"/>
      <c r="K469" s="93"/>
      <c r="L469" s="93">
        <f t="shared" ca="1" si="209"/>
        <v>1161548</v>
      </c>
      <c r="M469" s="93">
        <f t="shared" ca="1" si="209"/>
        <v>1167651</v>
      </c>
      <c r="N469" s="93">
        <f t="shared" si="209"/>
        <v>1167651</v>
      </c>
      <c r="O469" s="93">
        <f t="shared" ca="1" si="207"/>
        <v>100.5254195263562</v>
      </c>
      <c r="P469" s="93">
        <f t="shared" ca="1" si="208"/>
        <v>100</v>
      </c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</row>
    <row r="470" spans="1:26" ht="18.75">
      <c r="A470" s="597"/>
      <c r="B470" s="575"/>
      <c r="C470" s="763"/>
      <c r="D470" s="606" t="s">
        <v>20</v>
      </c>
      <c r="E470" s="763"/>
      <c r="F470" s="763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1161548</v>
      </c>
      <c r="M470" s="498">
        <f t="shared" ca="1" si="210"/>
        <v>1167651</v>
      </c>
      <c r="N470" s="498">
        <f t="shared" si="210"/>
        <v>1167651</v>
      </c>
      <c r="O470" s="498">
        <f t="shared" ca="1" si="207"/>
        <v>100.5254195263562</v>
      </c>
      <c r="P470" s="498">
        <f t="shared" ca="1" si="208"/>
        <v>100</v>
      </c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</row>
    <row r="471" spans="1:26" ht="18.75" hidden="1">
      <c r="A471" s="599"/>
      <c r="B471" s="607"/>
      <c r="C471" s="759"/>
      <c r="D471" s="720"/>
      <c r="E471" s="759" t="s">
        <v>185</v>
      </c>
      <c r="F471" s="759"/>
      <c r="G471" s="603"/>
      <c r="H471" s="165" t="s">
        <v>12</v>
      </c>
      <c r="I471" s="617"/>
      <c r="J471" s="617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4"/>
      <c r="R471" s="604"/>
      <c r="S471" s="604"/>
      <c r="T471" s="604"/>
      <c r="U471" s="604"/>
      <c r="V471" s="604"/>
      <c r="W471" s="604"/>
      <c r="X471" s="604"/>
      <c r="Y471" s="604"/>
      <c r="Z471" s="604"/>
    </row>
    <row r="472" spans="1:26" ht="18.75" hidden="1">
      <c r="A472" s="599"/>
      <c r="B472" s="607"/>
      <c r="C472" s="759"/>
      <c r="D472" s="720"/>
      <c r="E472" s="759" t="s">
        <v>186</v>
      </c>
      <c r="F472" s="759"/>
      <c r="G472" s="603"/>
      <c r="H472" s="165" t="s">
        <v>12</v>
      </c>
      <c r="I472" s="617"/>
      <c r="J472" s="617"/>
      <c r="K472" s="93"/>
      <c r="L472" s="93">
        <f ca="1">IFERROR(__xludf.DUMMYFUNCTION("IMPORTRANGE(""https://docs.google.com/spreadsheets/d/1QqKyyYR6Q21VydFLVH3TRQUabQu_ym0Zz7PgGX0-kHA/edit?usp=sharing"",""แผน!FS40"")"),1161548)</f>
        <v>1161548</v>
      </c>
      <c r="M472" s="93">
        <f ca="1">L472+11290-5187</f>
        <v>1167651</v>
      </c>
      <c r="N472" s="93">
        <f>N473+N474+N475+N476</f>
        <v>1167651</v>
      </c>
      <c r="O472" s="93">
        <f t="shared" ca="1" si="207"/>
        <v>100.5254195263562</v>
      </c>
      <c r="P472" s="93">
        <f t="shared" ca="1" si="208"/>
        <v>100</v>
      </c>
      <c r="Q472" s="604"/>
      <c r="R472" s="604"/>
      <c r="S472" s="604"/>
      <c r="T472" s="604"/>
      <c r="U472" s="604"/>
      <c r="V472" s="604"/>
      <c r="W472" s="604"/>
      <c r="X472" s="604"/>
      <c r="Y472" s="604"/>
      <c r="Z472" s="604"/>
    </row>
    <row r="473" spans="1:26" ht="18.75">
      <c r="A473" s="574"/>
      <c r="B473" s="575"/>
      <c r="C473" s="763"/>
      <c r="D473" s="763"/>
      <c r="E473" s="763"/>
      <c r="F473" s="763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40">
        <v>142461</v>
      </c>
      <c r="O473" s="498"/>
      <c r="P473" s="49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</row>
    <row r="474" spans="1:26" ht="18.75">
      <c r="A474" s="574"/>
      <c r="B474" s="575"/>
      <c r="C474" s="763"/>
      <c r="D474" s="763"/>
      <c r="E474" s="763"/>
      <c r="F474" s="763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40">
        <v>807076</v>
      </c>
      <c r="O474" s="498"/>
      <c r="P474" s="49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</row>
    <row r="475" spans="1:26" ht="18.75">
      <c r="A475" s="574"/>
      <c r="B475" s="575"/>
      <c r="C475" s="575"/>
      <c r="D475" s="575"/>
      <c r="E475" s="575"/>
      <c r="F475" s="763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40">
        <v>142567</v>
      </c>
      <c r="O475" s="498"/>
      <c r="P475" s="49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</row>
    <row r="476" spans="1:26" ht="18.75">
      <c r="A476" s="574"/>
      <c r="B476" s="575"/>
      <c r="C476" s="575"/>
      <c r="D476" s="575"/>
      <c r="E476" s="575"/>
      <c r="F476" s="763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40">
        <v>75547</v>
      </c>
      <c r="O476" s="498"/>
      <c r="P476" s="49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</row>
    <row r="477" spans="1:26" ht="18.75">
      <c r="A477" s="597"/>
      <c r="B477" s="575"/>
      <c r="C477" s="575"/>
      <c r="D477" s="606" t="s">
        <v>21</v>
      </c>
      <c r="E477" s="575"/>
      <c r="F477" s="575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</row>
    <row r="478" spans="1:26" ht="18.75" hidden="1">
      <c r="A478" s="599"/>
      <c r="B478" s="607"/>
      <c r="C478" s="607"/>
      <c r="D478" s="607"/>
      <c r="E478" s="607" t="s">
        <v>18</v>
      </c>
      <c r="F478" s="607"/>
      <c r="G478" s="603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4"/>
      <c r="R478" s="604"/>
      <c r="S478" s="604"/>
      <c r="T478" s="604"/>
      <c r="U478" s="604"/>
      <c r="V478" s="604"/>
      <c r="W478" s="604"/>
      <c r="X478" s="604"/>
      <c r="Y478" s="604"/>
      <c r="Z478" s="604"/>
    </row>
    <row r="479" spans="1:26" ht="18.75" hidden="1">
      <c r="A479" s="599"/>
      <c r="B479" s="607"/>
      <c r="C479" s="607"/>
      <c r="D479" s="607"/>
      <c r="E479" s="607" t="s">
        <v>19</v>
      </c>
      <c r="F479" s="607"/>
      <c r="G479" s="603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4"/>
      <c r="R479" s="604"/>
      <c r="S479" s="604"/>
      <c r="T479" s="604"/>
      <c r="U479" s="604"/>
      <c r="V479" s="604"/>
      <c r="W479" s="604"/>
      <c r="X479" s="604"/>
      <c r="Y479" s="604"/>
      <c r="Z479" s="604"/>
    </row>
    <row r="480" spans="1:26" ht="19.5">
      <c r="A480" s="608"/>
      <c r="B480" s="618"/>
      <c r="C480" s="575" t="s">
        <v>16</v>
      </c>
      <c r="D480" s="894" t="s">
        <v>38</v>
      </c>
      <c r="E480" s="611"/>
      <c r="F480" s="761"/>
      <c r="G480" s="613"/>
      <c r="H480" s="762"/>
      <c r="I480" s="270"/>
      <c r="J480" s="270"/>
      <c r="K480" s="498"/>
      <c r="L480" s="498"/>
      <c r="M480" s="498"/>
      <c r="N480" s="498"/>
      <c r="O480" s="498"/>
      <c r="P480" s="49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</row>
    <row r="481" spans="1:26" ht="19.5">
      <c r="A481" s="608"/>
      <c r="B481" s="618"/>
      <c r="C481" s="618"/>
      <c r="D481" s="625" t="s">
        <v>207</v>
      </c>
      <c r="E481" s="618"/>
      <c r="F481" s="618"/>
      <c r="G481" s="762"/>
      <c r="H481" s="189"/>
      <c r="I481" s="270"/>
      <c r="J481" s="270"/>
      <c r="K481" s="498"/>
      <c r="L481" s="498"/>
      <c r="M481" s="498"/>
      <c r="N481" s="498"/>
      <c r="O481" s="498"/>
      <c r="P481" s="49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</row>
    <row r="482" spans="1:26" ht="18.75">
      <c r="A482" s="608"/>
      <c r="B482" s="618"/>
      <c r="C482" s="618"/>
      <c r="D482" s="618"/>
      <c r="E482" s="618" t="s">
        <v>208</v>
      </c>
      <c r="F482" s="618"/>
      <c r="G482" s="762"/>
      <c r="H482" s="189"/>
      <c r="I482" s="270"/>
      <c r="J482" s="270"/>
      <c r="K482" s="498"/>
      <c r="L482" s="498"/>
      <c r="M482" s="498"/>
      <c r="N482" s="498"/>
      <c r="O482" s="498"/>
      <c r="P482" s="49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</row>
    <row r="483" spans="1:26" ht="18.75">
      <c r="A483" s="608"/>
      <c r="B483" s="618"/>
      <c r="C483" s="618"/>
      <c r="D483" s="618"/>
      <c r="E483" s="618"/>
      <c r="F483" s="618" t="s">
        <v>209</v>
      </c>
      <c r="G483" s="762"/>
      <c r="H483" s="623" t="s">
        <v>46</v>
      </c>
      <c r="I483" s="270">
        <f ca="1">IFERROR(__xludf.DUMMYFUNCTION("IMPORTRANGE(""https://docs.google.com/spreadsheets/d/1QqKyyYR6Q21VydFLVH3TRQUabQu_ym0Zz7PgGX0-kHA/edit?usp=sharing"",""แผน!FY40"")"),1170)</f>
        <v>1170</v>
      </c>
      <c r="J483" s="215">
        <v>1170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</row>
    <row r="484" spans="1:26" ht="18.75">
      <c r="A484" s="608"/>
      <c r="B484" s="618"/>
      <c r="C484" s="618"/>
      <c r="D484" s="618"/>
      <c r="E484" s="618"/>
      <c r="F484" s="618" t="s">
        <v>210</v>
      </c>
      <c r="G484" s="762"/>
      <c r="H484" s="623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</row>
    <row r="485" spans="1:26" ht="18.75">
      <c r="A485" s="608"/>
      <c r="B485" s="618"/>
      <c r="C485" s="618"/>
      <c r="D485" s="618"/>
      <c r="E485" s="618"/>
      <c r="F485" s="618" t="s">
        <v>211</v>
      </c>
      <c r="G485" s="762"/>
      <c r="H485" s="623" t="s">
        <v>35</v>
      </c>
      <c r="I485" s="270">
        <f ca="1">IFERROR(__xludf.DUMMYFUNCTION("IMPORTRANGE(""https://docs.google.com/spreadsheets/d/1QqKyyYR6Q21VydFLVH3TRQUabQu_ym0Zz7PgGX0-kHA/edit?usp=sharing"",""แผน!FZ40"")"),117)</f>
        <v>117</v>
      </c>
      <c r="J485" s="215">
        <v>117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</row>
    <row r="486" spans="1:26" ht="18.75">
      <c r="A486" s="608"/>
      <c r="B486" s="618"/>
      <c r="C486" s="618"/>
      <c r="D486" s="618"/>
      <c r="E486" s="618" t="s">
        <v>62</v>
      </c>
      <c r="F486" s="618"/>
      <c r="G486" s="762"/>
      <c r="H486" s="623"/>
      <c r="I486" s="270"/>
      <c r="J486" s="270"/>
      <c r="K486" s="498"/>
      <c r="L486" s="498"/>
      <c r="M486" s="498"/>
      <c r="N486" s="498"/>
      <c r="O486" s="498"/>
      <c r="P486" s="49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</row>
    <row r="487" spans="1:26" ht="18.75">
      <c r="A487" s="608"/>
      <c r="B487" s="618"/>
      <c r="C487" s="618"/>
      <c r="D487" s="618"/>
      <c r="E487" s="618"/>
      <c r="F487" s="618" t="s">
        <v>209</v>
      </c>
      <c r="G487" s="762"/>
      <c r="H487" s="623" t="s">
        <v>46</v>
      </c>
      <c r="I487" s="270">
        <f ca="1">IFERROR(__xludf.DUMMYFUNCTION("IMPORTRANGE(""https://docs.google.com/spreadsheets/d/1QqKyyYR6Q21VydFLVH3TRQUabQu_ym0Zz7PgGX0-kHA/edit?usp=sharing"",""แผน!GA40"")"),130)</f>
        <v>130</v>
      </c>
      <c r="J487" s="215">
        <v>130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</row>
    <row r="488" spans="1:26" ht="18.75">
      <c r="A488" s="608"/>
      <c r="B488" s="618"/>
      <c r="C488" s="618"/>
      <c r="D488" s="618"/>
      <c r="E488" s="618"/>
      <c r="F488" s="618" t="s">
        <v>212</v>
      </c>
      <c r="G488" s="762"/>
      <c r="H488" s="623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</row>
    <row r="489" spans="1:26" ht="18.75">
      <c r="A489" s="608"/>
      <c r="B489" s="618"/>
      <c r="C489" s="618"/>
      <c r="D489" s="618"/>
      <c r="E489" s="618"/>
      <c r="F489" s="618" t="s">
        <v>213</v>
      </c>
      <c r="G489" s="762"/>
      <c r="H489" s="623" t="s">
        <v>35</v>
      </c>
      <c r="I489" s="270">
        <f ca="1">IFERROR(__xludf.DUMMYFUNCTION("IMPORTRANGE(""https://docs.google.com/spreadsheets/d/1QqKyyYR6Q21VydFLVH3TRQUabQu_ym0Zz7PgGX0-kHA/edit?usp=sharing"",""แผน!GB40"")"),13)</f>
        <v>13</v>
      </c>
      <c r="J489" s="215">
        <v>13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</row>
    <row r="490" spans="1:26" ht="18.75">
      <c r="A490" s="608"/>
      <c r="B490" s="618"/>
      <c r="C490" s="618"/>
      <c r="D490" s="618"/>
      <c r="E490" s="618" t="s">
        <v>63</v>
      </c>
      <c r="F490" s="626"/>
      <c r="G490" s="762"/>
      <c r="H490" s="623"/>
      <c r="I490" s="270"/>
      <c r="J490" s="270"/>
      <c r="K490" s="498"/>
      <c r="L490" s="498"/>
      <c r="M490" s="498"/>
      <c r="N490" s="498"/>
      <c r="O490" s="498"/>
      <c r="P490" s="49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</row>
    <row r="491" spans="1:26" ht="18.75">
      <c r="A491" s="608"/>
      <c r="B491" s="618"/>
      <c r="C491" s="618"/>
      <c r="D491" s="618"/>
      <c r="E491" s="618"/>
      <c r="F491" s="618" t="s">
        <v>214</v>
      </c>
      <c r="G491" s="762"/>
      <c r="H491" s="623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</row>
    <row r="492" spans="1:26" ht="18.75">
      <c r="A492" s="608"/>
      <c r="B492" s="618"/>
      <c r="C492" s="618"/>
      <c r="D492" s="618"/>
      <c r="E492" s="618"/>
      <c r="F492" s="618" t="s">
        <v>215</v>
      </c>
      <c r="G492" s="762"/>
      <c r="H492" s="623" t="s">
        <v>35</v>
      </c>
      <c r="I492" s="270">
        <f ca="1">IFERROR(__xludf.DUMMYFUNCTION("IMPORTRANGE(""https://docs.google.com/spreadsheets/d/1QqKyyYR6Q21VydFLVH3TRQUabQu_ym0Zz7PgGX0-kHA/edit?usp=sharing"",""แผน!GC40"")"),1)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</row>
    <row r="493" spans="1:26" ht="19.5">
      <c r="A493" s="608"/>
      <c r="B493" s="618"/>
      <c r="C493" s="618"/>
      <c r="D493" s="625" t="s">
        <v>59</v>
      </c>
      <c r="E493" s="618"/>
      <c r="F493" s="626"/>
      <c r="G493" s="762"/>
      <c r="H493" s="189"/>
      <c r="I493" s="270"/>
      <c r="J493" s="270"/>
      <c r="K493" s="498"/>
      <c r="L493" s="498"/>
      <c r="M493" s="498"/>
      <c r="N493" s="498"/>
      <c r="O493" s="498"/>
      <c r="P493" s="49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</row>
    <row r="494" spans="1:26" ht="18.75">
      <c r="A494" s="608"/>
      <c r="B494" s="618"/>
      <c r="C494" s="618"/>
      <c r="D494" s="618"/>
      <c r="E494" s="618" t="s">
        <v>208</v>
      </c>
      <c r="F494" s="626"/>
      <c r="G494" s="762"/>
      <c r="H494" s="189"/>
      <c r="I494" s="270"/>
      <c r="J494" s="270"/>
      <c r="K494" s="498"/>
      <c r="L494" s="498"/>
      <c r="M494" s="498"/>
      <c r="N494" s="498"/>
      <c r="O494" s="498"/>
      <c r="P494" s="49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</row>
    <row r="495" spans="1:26" ht="18.75">
      <c r="A495" s="608"/>
      <c r="B495" s="618"/>
      <c r="C495" s="618"/>
      <c r="D495" s="618"/>
      <c r="E495" s="618"/>
      <c r="F495" s="626" t="s">
        <v>216</v>
      </c>
      <c r="G495" s="762"/>
      <c r="H495" s="623" t="s">
        <v>46</v>
      </c>
      <c r="I495" s="270">
        <f ca="1">IFERROR(__xludf.DUMMYFUNCTION("IMPORTRANGE(""https://docs.google.com/spreadsheets/d/1QqKyyYR6Q21VydFLVH3TRQUabQu_ym0Zz7PgGX0-kHA/edit?usp=sharing"",""แผน!FY40"")"),1170)</f>
        <v>1170</v>
      </c>
      <c r="J495" s="215">
        <v>1170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</row>
    <row r="496" spans="1:26" ht="18.75">
      <c r="A496" s="608"/>
      <c r="B496" s="618"/>
      <c r="C496" s="618"/>
      <c r="D496" s="618"/>
      <c r="E496" s="618"/>
      <c r="F496" s="626" t="s">
        <v>217</v>
      </c>
      <c r="G496" s="762"/>
      <c r="H496" s="623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</row>
    <row r="497" spans="1:26" ht="18.75">
      <c r="A497" s="608"/>
      <c r="B497" s="618"/>
      <c r="C497" s="618"/>
      <c r="D497" s="618"/>
      <c r="E497" s="618" t="s">
        <v>62</v>
      </c>
      <c r="F497" s="626"/>
      <c r="G497" s="762"/>
      <c r="H497" s="189"/>
      <c r="I497" s="270"/>
      <c r="J497" s="270"/>
      <c r="K497" s="498"/>
      <c r="L497" s="498"/>
      <c r="M497" s="498"/>
      <c r="N497" s="498"/>
      <c r="O497" s="498"/>
      <c r="P497" s="49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</row>
    <row r="498" spans="1:26" ht="18.75">
      <c r="A498" s="608"/>
      <c r="B498" s="618"/>
      <c r="C498" s="618"/>
      <c r="D498" s="618"/>
      <c r="E498" s="626"/>
      <c r="F498" s="626" t="s">
        <v>218</v>
      </c>
      <c r="G498" s="762"/>
      <c r="H498" s="623" t="s">
        <v>46</v>
      </c>
      <c r="I498" s="270">
        <f ca="1">IFERROR(__xludf.DUMMYFUNCTION("IMPORTRANGE(""https://docs.google.com/spreadsheets/d/1QqKyyYR6Q21VydFLVH3TRQUabQu_ym0Zz7PgGX0-kHA/edit?usp=sharing"",""แผน!GA40"")"),130)</f>
        <v>130</v>
      </c>
      <c r="J498" s="215">
        <v>130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</row>
    <row r="499" spans="1:26" ht="18.75">
      <c r="A499" s="608"/>
      <c r="B499" s="618"/>
      <c r="C499" s="618"/>
      <c r="D499" s="618"/>
      <c r="E499" s="626"/>
      <c r="F499" s="626" t="s">
        <v>219</v>
      </c>
      <c r="G499" s="762"/>
      <c r="H499" s="623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</row>
    <row r="500" spans="1:26" ht="19.5" hidden="1">
      <c r="A500" s="627">
        <v>4</v>
      </c>
      <c r="B500" s="628" t="s">
        <v>220</v>
      </c>
      <c r="C500" s="629"/>
      <c r="D500" s="630"/>
      <c r="E500" s="630"/>
      <c r="F500" s="630"/>
      <c r="G500" s="631"/>
      <c r="H500" s="632" t="s">
        <v>109</v>
      </c>
      <c r="I500" s="633"/>
      <c r="J500" s="633">
        <f t="shared" ref="J500:J501" si="214">J516</f>
        <v>0</v>
      </c>
      <c r="K500" s="634">
        <f t="shared" ref="K500:K501" si="215">IF(I500&gt;0,J500*100/I500,0)</f>
        <v>0</v>
      </c>
      <c r="L500" s="635"/>
      <c r="M500" s="635"/>
      <c r="N500" s="635"/>
      <c r="O500" s="635"/>
      <c r="P500" s="635"/>
      <c r="Q500" s="604"/>
      <c r="R500" s="604"/>
      <c r="S500" s="604"/>
      <c r="T500" s="604"/>
      <c r="U500" s="604"/>
      <c r="V500" s="604"/>
      <c r="W500" s="604"/>
      <c r="X500" s="604"/>
      <c r="Y500" s="604"/>
      <c r="Z500" s="604"/>
    </row>
    <row r="501" spans="1:26" ht="19.5" hidden="1">
      <c r="A501" s="636"/>
      <c r="B501" s="638" t="s">
        <v>221</v>
      </c>
      <c r="C501" s="638"/>
      <c r="D501" s="639"/>
      <c r="E501" s="639"/>
      <c r="F501" s="639"/>
      <c r="G501" s="640"/>
      <c r="H501" s="641" t="s">
        <v>35</v>
      </c>
      <c r="I501" s="642"/>
      <c r="J501" s="642">
        <f t="shared" si="214"/>
        <v>0</v>
      </c>
      <c r="K501" s="643">
        <f t="shared" si="215"/>
        <v>0</v>
      </c>
      <c r="L501" s="644"/>
      <c r="M501" s="644"/>
      <c r="N501" s="644"/>
      <c r="O501" s="644"/>
      <c r="P501" s="64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</row>
    <row r="502" spans="1:26" ht="19.5" hidden="1">
      <c r="A502" s="599"/>
      <c r="B502" s="759"/>
      <c r="C502" s="759" t="s">
        <v>16</v>
      </c>
      <c r="D502" s="864" t="s">
        <v>17</v>
      </c>
      <c r="E502" s="857"/>
      <c r="F502" s="857"/>
      <c r="G502" s="603"/>
      <c r="H502" s="646" t="s">
        <v>12</v>
      </c>
      <c r="I502" s="617"/>
      <c r="J502" s="617"/>
      <c r="K502" s="93"/>
      <c r="L502" s="647">
        <f t="shared" ref="L502:N502" si="216">L503+L504</f>
        <v>0</v>
      </c>
      <c r="M502" s="647">
        <f t="shared" si="216"/>
        <v>0</v>
      </c>
      <c r="N502" s="647">
        <f t="shared" si="216"/>
        <v>0</v>
      </c>
      <c r="O502" s="647">
        <f t="shared" ref="O502:O507" si="217">IF(L502&gt;0,N502*100/L502,0)</f>
        <v>0</v>
      </c>
      <c r="P502" s="647">
        <f t="shared" ref="P502:P507" si="218">IF(M502&gt;0,N502*100/M502,0)</f>
        <v>0</v>
      </c>
      <c r="Q502" s="604"/>
      <c r="R502" s="604"/>
      <c r="S502" s="604"/>
      <c r="T502" s="604"/>
      <c r="U502" s="604"/>
      <c r="V502" s="604"/>
      <c r="W502" s="604"/>
      <c r="X502" s="604"/>
      <c r="Y502" s="604"/>
      <c r="Z502" s="604"/>
    </row>
    <row r="503" spans="1:26" ht="18.75" hidden="1">
      <c r="A503" s="599"/>
      <c r="B503" s="759"/>
      <c r="C503" s="759"/>
      <c r="D503" s="720"/>
      <c r="E503" s="759" t="s">
        <v>185</v>
      </c>
      <c r="F503" s="759"/>
      <c r="G503" s="603"/>
      <c r="H503" s="165" t="s">
        <v>12</v>
      </c>
      <c r="I503" s="617"/>
      <c r="J503" s="617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4"/>
      <c r="R503" s="604"/>
      <c r="S503" s="604"/>
      <c r="T503" s="604"/>
      <c r="U503" s="604"/>
      <c r="V503" s="604"/>
      <c r="W503" s="604"/>
      <c r="X503" s="604"/>
      <c r="Y503" s="604"/>
      <c r="Z503" s="604"/>
    </row>
    <row r="504" spans="1:26" ht="18.75" hidden="1">
      <c r="A504" s="599"/>
      <c r="B504" s="607"/>
      <c r="C504" s="759"/>
      <c r="D504" s="720"/>
      <c r="E504" s="759" t="s">
        <v>186</v>
      </c>
      <c r="F504" s="759"/>
      <c r="G504" s="603"/>
      <c r="H504" s="165" t="s">
        <v>12</v>
      </c>
      <c r="I504" s="617"/>
      <c r="J504" s="617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4"/>
      <c r="R504" s="604"/>
      <c r="S504" s="604"/>
      <c r="T504" s="604"/>
      <c r="U504" s="604"/>
      <c r="V504" s="604"/>
      <c r="W504" s="604"/>
      <c r="X504" s="604"/>
      <c r="Y504" s="604"/>
      <c r="Z504" s="604"/>
    </row>
    <row r="505" spans="1:26" ht="18.75" hidden="1">
      <c r="A505" s="599"/>
      <c r="B505" s="607"/>
      <c r="C505" s="759"/>
      <c r="D505" s="648" t="s">
        <v>20</v>
      </c>
      <c r="E505" s="759"/>
      <c r="F505" s="759"/>
      <c r="G505" s="603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4"/>
      <c r="R505" s="604"/>
      <c r="S505" s="604"/>
      <c r="T505" s="604"/>
      <c r="U505" s="604"/>
      <c r="V505" s="604"/>
      <c r="W505" s="604"/>
      <c r="X505" s="604"/>
      <c r="Y505" s="604"/>
      <c r="Z505" s="604"/>
    </row>
    <row r="506" spans="1:26" ht="18.75" hidden="1">
      <c r="A506" s="599"/>
      <c r="B506" s="607"/>
      <c r="C506" s="759"/>
      <c r="D506" s="720"/>
      <c r="E506" s="759" t="s">
        <v>185</v>
      </c>
      <c r="F506" s="759"/>
      <c r="G506" s="603"/>
      <c r="H506" s="165" t="s">
        <v>12</v>
      </c>
      <c r="I506" s="617"/>
      <c r="J506" s="617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4"/>
      <c r="R506" s="604"/>
      <c r="S506" s="604"/>
      <c r="T506" s="604"/>
      <c r="U506" s="604"/>
      <c r="V506" s="604"/>
      <c r="W506" s="604"/>
      <c r="X506" s="604"/>
      <c r="Y506" s="604"/>
      <c r="Z506" s="604"/>
    </row>
    <row r="507" spans="1:26" ht="18.75" hidden="1">
      <c r="A507" s="599"/>
      <c r="B507" s="607"/>
      <c r="C507" s="759"/>
      <c r="D507" s="720"/>
      <c r="E507" s="759" t="s">
        <v>186</v>
      </c>
      <c r="F507" s="759"/>
      <c r="G507" s="603"/>
      <c r="H507" s="165" t="s">
        <v>12</v>
      </c>
      <c r="I507" s="617"/>
      <c r="J507" s="617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4"/>
      <c r="R507" s="604"/>
      <c r="S507" s="604"/>
      <c r="T507" s="604"/>
      <c r="U507" s="604"/>
      <c r="V507" s="604"/>
      <c r="W507" s="604"/>
      <c r="X507" s="604"/>
      <c r="Y507" s="604"/>
      <c r="Z507" s="604"/>
    </row>
    <row r="508" spans="1:26" ht="18.75" hidden="1">
      <c r="A508" s="649"/>
      <c r="B508" s="607"/>
      <c r="C508" s="759"/>
      <c r="D508" s="759"/>
      <c r="E508" s="759"/>
      <c r="F508" s="759" t="s">
        <v>187</v>
      </c>
      <c r="G508" s="603"/>
      <c r="H508" s="165" t="s">
        <v>12</v>
      </c>
      <c r="I508" s="617"/>
      <c r="J508" s="617"/>
      <c r="K508" s="93"/>
      <c r="L508" s="93"/>
      <c r="M508" s="93"/>
      <c r="N508" s="93">
        <v>0</v>
      </c>
      <c r="O508" s="93"/>
      <c r="P508" s="93"/>
      <c r="Q508" s="604"/>
      <c r="R508" s="604"/>
      <c r="S508" s="604"/>
      <c r="T508" s="604"/>
      <c r="U508" s="604"/>
      <c r="V508" s="604"/>
      <c r="W508" s="604"/>
      <c r="X508" s="604"/>
      <c r="Y508" s="604"/>
      <c r="Z508" s="604"/>
    </row>
    <row r="509" spans="1:26" ht="18.75" hidden="1">
      <c r="A509" s="649"/>
      <c r="B509" s="607"/>
      <c r="C509" s="759"/>
      <c r="D509" s="759"/>
      <c r="E509" s="759"/>
      <c r="F509" s="759" t="s">
        <v>188</v>
      </c>
      <c r="G509" s="603"/>
      <c r="H509" s="165" t="s">
        <v>12</v>
      </c>
      <c r="I509" s="617"/>
      <c r="J509" s="617"/>
      <c r="K509" s="93"/>
      <c r="L509" s="93"/>
      <c r="M509" s="93"/>
      <c r="N509" s="93">
        <v>0</v>
      </c>
      <c r="O509" s="93"/>
      <c r="P509" s="93"/>
      <c r="Q509" s="604"/>
      <c r="R509" s="604"/>
      <c r="S509" s="604"/>
      <c r="T509" s="604"/>
      <c r="U509" s="604"/>
      <c r="V509" s="604"/>
      <c r="W509" s="604"/>
      <c r="X509" s="604"/>
      <c r="Y509" s="604"/>
      <c r="Z509" s="604"/>
    </row>
    <row r="510" spans="1:26" ht="18.75" hidden="1">
      <c r="A510" s="649"/>
      <c r="B510" s="607"/>
      <c r="C510" s="607"/>
      <c r="D510" s="607"/>
      <c r="E510" s="759"/>
      <c r="F510" s="759" t="s">
        <v>189</v>
      </c>
      <c r="G510" s="603"/>
      <c r="H510" s="165" t="s">
        <v>12</v>
      </c>
      <c r="I510" s="617"/>
      <c r="J510" s="617"/>
      <c r="K510" s="93"/>
      <c r="L510" s="93"/>
      <c r="M510" s="93"/>
      <c r="N510" s="93">
        <v>0</v>
      </c>
      <c r="O510" s="93"/>
      <c r="P510" s="93"/>
      <c r="Q510" s="604"/>
      <c r="R510" s="604"/>
      <c r="S510" s="604"/>
      <c r="T510" s="604"/>
      <c r="U510" s="604"/>
      <c r="V510" s="604"/>
      <c r="W510" s="604"/>
      <c r="X510" s="604"/>
      <c r="Y510" s="604"/>
      <c r="Z510" s="604"/>
    </row>
    <row r="511" spans="1:26" ht="18.75" hidden="1">
      <c r="A511" s="649"/>
      <c r="B511" s="607"/>
      <c r="C511" s="607"/>
      <c r="D511" s="607"/>
      <c r="E511" s="759"/>
      <c r="F511" s="759" t="s">
        <v>190</v>
      </c>
      <c r="G511" s="603"/>
      <c r="H511" s="165" t="s">
        <v>12</v>
      </c>
      <c r="I511" s="617"/>
      <c r="J511" s="617"/>
      <c r="K511" s="93"/>
      <c r="L511" s="93"/>
      <c r="M511" s="93"/>
      <c r="N511" s="93">
        <v>0</v>
      </c>
      <c r="O511" s="93"/>
      <c r="P511" s="93"/>
      <c r="Q511" s="604"/>
      <c r="R511" s="604"/>
      <c r="S511" s="604"/>
      <c r="T511" s="604"/>
      <c r="U511" s="604"/>
      <c r="V511" s="604"/>
      <c r="W511" s="604"/>
      <c r="X511" s="604"/>
      <c r="Y511" s="604"/>
      <c r="Z511" s="604"/>
    </row>
    <row r="512" spans="1:26" ht="18.75" hidden="1">
      <c r="A512" s="599"/>
      <c r="B512" s="607"/>
      <c r="C512" s="607"/>
      <c r="D512" s="648" t="s">
        <v>21</v>
      </c>
      <c r="E512" s="607"/>
      <c r="F512" s="759"/>
      <c r="G512" s="603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4"/>
      <c r="R512" s="604"/>
      <c r="S512" s="604"/>
      <c r="T512" s="604"/>
      <c r="U512" s="604"/>
      <c r="V512" s="604"/>
      <c r="W512" s="604"/>
      <c r="X512" s="604"/>
      <c r="Y512" s="604"/>
      <c r="Z512" s="604"/>
    </row>
    <row r="513" spans="1:26" ht="18.75" hidden="1">
      <c r="A513" s="599"/>
      <c r="B513" s="607"/>
      <c r="C513" s="607"/>
      <c r="D513" s="607"/>
      <c r="E513" s="607" t="s">
        <v>18</v>
      </c>
      <c r="F513" s="759"/>
      <c r="G513" s="603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4"/>
      <c r="R513" s="604"/>
      <c r="S513" s="604"/>
      <c r="T513" s="604"/>
      <c r="U513" s="604"/>
      <c r="V513" s="604"/>
      <c r="W513" s="604"/>
      <c r="X513" s="604"/>
      <c r="Y513" s="604"/>
      <c r="Z513" s="604"/>
    </row>
    <row r="514" spans="1:26" ht="18.75" hidden="1">
      <c r="A514" s="599"/>
      <c r="B514" s="607"/>
      <c r="C514" s="607"/>
      <c r="D514" s="759"/>
      <c r="E514" s="607" t="s">
        <v>19</v>
      </c>
      <c r="F514" s="759"/>
      <c r="G514" s="603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4"/>
      <c r="R514" s="604"/>
      <c r="S514" s="604"/>
      <c r="T514" s="604"/>
      <c r="U514" s="604"/>
      <c r="V514" s="604"/>
      <c r="W514" s="604"/>
      <c r="X514" s="604"/>
      <c r="Y514" s="604"/>
      <c r="Z514" s="604"/>
    </row>
    <row r="515" spans="1:26" ht="19.5" hidden="1">
      <c r="A515" s="614"/>
      <c r="B515" s="616"/>
      <c r="C515" s="607" t="s">
        <v>16</v>
      </c>
      <c r="D515" s="895" t="s">
        <v>38</v>
      </c>
      <c r="E515" s="651"/>
      <c r="F515" s="651"/>
      <c r="G515" s="652"/>
      <c r="H515" s="366"/>
      <c r="I515" s="166"/>
      <c r="J515" s="166"/>
      <c r="K515" s="167"/>
      <c r="L515" s="167"/>
      <c r="M515" s="167"/>
      <c r="N515" s="167"/>
      <c r="O515" s="167"/>
      <c r="P515" s="167"/>
      <c r="Q515" s="604"/>
      <c r="R515" s="604"/>
      <c r="S515" s="604"/>
      <c r="T515" s="604"/>
      <c r="U515" s="604"/>
      <c r="V515" s="604"/>
      <c r="W515" s="604"/>
      <c r="X515" s="604"/>
      <c r="Y515" s="604"/>
      <c r="Z515" s="604"/>
    </row>
    <row r="516" spans="1:26" ht="18.75" hidden="1">
      <c r="A516" s="614"/>
      <c r="B516" s="616"/>
      <c r="C516" s="616"/>
      <c r="D516" s="616" t="s">
        <v>222</v>
      </c>
      <c r="E516" s="720"/>
      <c r="F516" s="720"/>
      <c r="G516" s="366"/>
      <c r="H516" s="653" t="s">
        <v>109</v>
      </c>
      <c r="I516" s="617"/>
      <c r="J516" s="617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4"/>
      <c r="R516" s="604"/>
      <c r="S516" s="604"/>
      <c r="T516" s="604"/>
      <c r="U516" s="604"/>
      <c r="V516" s="604"/>
      <c r="W516" s="604"/>
      <c r="X516" s="604"/>
      <c r="Y516" s="604"/>
      <c r="Z516" s="604"/>
    </row>
    <row r="517" spans="1:26" ht="19.5" hidden="1">
      <c r="A517" s="614"/>
      <c r="B517" s="616"/>
      <c r="C517" s="616"/>
      <c r="D517" s="616" t="s">
        <v>223</v>
      </c>
      <c r="E517" s="720"/>
      <c r="F517" s="720"/>
      <c r="G517" s="366"/>
      <c r="H517" s="654" t="s">
        <v>35</v>
      </c>
      <c r="I517" s="655"/>
      <c r="J517" s="655">
        <f>J518+J519</f>
        <v>0</v>
      </c>
      <c r="K517" s="656">
        <f t="shared" si="224"/>
        <v>0</v>
      </c>
      <c r="L517" s="167"/>
      <c r="M517" s="167"/>
      <c r="N517" s="167"/>
      <c r="O517" s="167"/>
      <c r="P517" s="167"/>
      <c r="Q517" s="604"/>
      <c r="R517" s="604"/>
      <c r="S517" s="604"/>
      <c r="T517" s="604"/>
      <c r="U517" s="604"/>
      <c r="V517" s="604"/>
      <c r="W517" s="604"/>
      <c r="X517" s="604"/>
      <c r="Y517" s="604"/>
      <c r="Z517" s="604"/>
    </row>
    <row r="518" spans="1:26" ht="18.75" hidden="1">
      <c r="A518" s="614"/>
      <c r="B518" s="616"/>
      <c r="C518" s="616"/>
      <c r="D518" s="616"/>
      <c r="E518" s="616" t="s">
        <v>224</v>
      </c>
      <c r="F518" s="720"/>
      <c r="G518" s="366"/>
      <c r="H518" s="370" t="s">
        <v>35</v>
      </c>
      <c r="I518" s="617"/>
      <c r="J518" s="617"/>
      <c r="K518" s="167"/>
      <c r="L518" s="167"/>
      <c r="M518" s="167"/>
      <c r="N518" s="167"/>
      <c r="O518" s="167"/>
      <c r="P518" s="167"/>
      <c r="Q518" s="604"/>
      <c r="R518" s="604"/>
      <c r="S518" s="604"/>
      <c r="T518" s="604"/>
      <c r="U518" s="604"/>
      <c r="V518" s="604"/>
      <c r="W518" s="604"/>
      <c r="X518" s="604"/>
      <c r="Y518" s="604"/>
      <c r="Z518" s="604"/>
    </row>
    <row r="519" spans="1:26" ht="18.75" hidden="1">
      <c r="A519" s="614"/>
      <c r="B519" s="616"/>
      <c r="C519" s="616"/>
      <c r="D519" s="616"/>
      <c r="E519" s="616" t="s">
        <v>225</v>
      </c>
      <c r="F519" s="720"/>
      <c r="G519" s="366"/>
      <c r="H519" s="653" t="s">
        <v>35</v>
      </c>
      <c r="I519" s="617"/>
      <c r="J519" s="617"/>
      <c r="K519" s="167"/>
      <c r="L519" s="167"/>
      <c r="M519" s="167"/>
      <c r="N519" s="167"/>
      <c r="O519" s="167"/>
      <c r="P519" s="167"/>
      <c r="Q519" s="604"/>
      <c r="R519" s="604"/>
      <c r="S519" s="604"/>
      <c r="T519" s="604"/>
      <c r="U519" s="604"/>
      <c r="V519" s="604"/>
      <c r="W519" s="604"/>
      <c r="X519" s="604"/>
      <c r="Y519" s="604"/>
      <c r="Z519" s="604"/>
    </row>
    <row r="520" spans="1:26" ht="19.5">
      <c r="A520" s="657" t="s">
        <v>137</v>
      </c>
      <c r="B520" s="658"/>
      <c r="C520" s="658"/>
      <c r="D520" s="659"/>
      <c r="E520" s="659"/>
      <c r="F520" s="659"/>
      <c r="G520" s="660"/>
      <c r="H520" s="661"/>
      <c r="I520" s="662"/>
      <c r="J520" s="662"/>
      <c r="K520" s="663"/>
      <c r="L520" s="663"/>
      <c r="M520" s="663"/>
      <c r="N520" s="663"/>
      <c r="O520" s="663"/>
      <c r="P520" s="663"/>
    </row>
    <row r="521" spans="1:26" ht="19.5" hidden="1">
      <c r="A521" s="664">
        <v>5</v>
      </c>
      <c r="B521" s="665" t="s">
        <v>226</v>
      </c>
      <c r="C521" s="666"/>
      <c r="D521" s="667"/>
      <c r="E521" s="667"/>
      <c r="F521" s="667"/>
      <c r="G521" s="667"/>
      <c r="H521" s="668"/>
      <c r="I521" s="669"/>
      <c r="J521" s="669"/>
      <c r="K521" s="670"/>
      <c r="L521" s="670"/>
      <c r="M521" s="670"/>
      <c r="N521" s="670"/>
      <c r="O521" s="670"/>
      <c r="P521" s="670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</row>
    <row r="522" spans="1:26" ht="19.5" hidden="1">
      <c r="A522" s="671"/>
      <c r="B522" s="672" t="s">
        <v>227</v>
      </c>
      <c r="C522" s="673"/>
      <c r="D522" s="673"/>
      <c r="E522" s="673"/>
      <c r="F522" s="673"/>
      <c r="G522" s="674"/>
      <c r="H522" s="675" t="s">
        <v>35</v>
      </c>
      <c r="I522" s="708">
        <f t="shared" ref="I522:J522" ca="1" si="225">I537</f>
        <v>0</v>
      </c>
      <c r="J522" s="708">
        <f t="shared" ca="1" si="225"/>
        <v>0</v>
      </c>
      <c r="K522" s="677">
        <f ca="1">IF(I522&gt;0,J522*100/I522,0)</f>
        <v>0</v>
      </c>
      <c r="L522" s="678"/>
      <c r="M522" s="678"/>
      <c r="N522" s="678"/>
      <c r="O522" s="678"/>
      <c r="P522" s="6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</row>
    <row r="523" spans="1:26" ht="19.5" hidden="1">
      <c r="A523" s="597"/>
      <c r="B523" s="763"/>
      <c r="C523" s="763" t="s">
        <v>16</v>
      </c>
      <c r="D523" s="863" t="s">
        <v>17</v>
      </c>
      <c r="E523" s="857"/>
      <c r="F523" s="857"/>
      <c r="G523" s="189"/>
      <c r="H523" s="598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</row>
    <row r="524" spans="1:26" ht="18.75" hidden="1">
      <c r="A524" s="599"/>
      <c r="B524" s="759"/>
      <c r="C524" s="759"/>
      <c r="D524" s="720"/>
      <c r="E524" s="759" t="s">
        <v>185</v>
      </c>
      <c r="F524" s="759"/>
      <c r="G524" s="603"/>
      <c r="H524" s="165" t="s">
        <v>12</v>
      </c>
      <c r="I524" s="617"/>
      <c r="J524" s="617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4"/>
      <c r="R524" s="604"/>
      <c r="S524" s="604"/>
      <c r="T524" s="604"/>
      <c r="U524" s="604"/>
      <c r="V524" s="604"/>
      <c r="W524" s="604"/>
      <c r="X524" s="604"/>
      <c r="Y524" s="604"/>
      <c r="Z524" s="604"/>
    </row>
    <row r="525" spans="1:26" ht="18.75" hidden="1">
      <c r="A525" s="599"/>
      <c r="B525" s="607"/>
      <c r="C525" s="759"/>
      <c r="D525" s="720"/>
      <c r="E525" s="759" t="s">
        <v>186</v>
      </c>
      <c r="F525" s="759"/>
      <c r="G525" s="603"/>
      <c r="H525" s="165" t="s">
        <v>12</v>
      </c>
      <c r="I525" s="617"/>
      <c r="J525" s="617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4"/>
      <c r="R525" s="604"/>
      <c r="S525" s="604"/>
      <c r="T525" s="604"/>
      <c r="U525" s="604"/>
      <c r="V525" s="604"/>
      <c r="W525" s="604"/>
      <c r="X525" s="604"/>
      <c r="Y525" s="604"/>
      <c r="Z525" s="604"/>
    </row>
    <row r="526" spans="1:26" ht="18.75" hidden="1">
      <c r="A526" s="597"/>
      <c r="B526" s="575"/>
      <c r="C526" s="763"/>
      <c r="D526" s="606" t="s">
        <v>20</v>
      </c>
      <c r="E526" s="763"/>
      <c r="F526" s="763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</row>
    <row r="527" spans="1:26" ht="18.75" hidden="1">
      <c r="A527" s="599"/>
      <c r="B527" s="607"/>
      <c r="C527" s="759"/>
      <c r="D527" s="720"/>
      <c r="E527" s="759" t="s">
        <v>185</v>
      </c>
      <c r="F527" s="759"/>
      <c r="G527" s="603"/>
      <c r="H527" s="165" t="s">
        <v>12</v>
      </c>
      <c r="I527" s="617"/>
      <c r="J527" s="617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4"/>
      <c r="R527" s="604"/>
      <c r="S527" s="604"/>
      <c r="T527" s="604"/>
      <c r="U527" s="604"/>
      <c r="V527" s="604"/>
      <c r="W527" s="604"/>
      <c r="X527" s="604"/>
      <c r="Y527" s="604"/>
      <c r="Z527" s="604"/>
    </row>
    <row r="528" spans="1:26" ht="18.75" hidden="1">
      <c r="A528" s="599"/>
      <c r="B528" s="607"/>
      <c r="C528" s="759"/>
      <c r="D528" s="720"/>
      <c r="E528" s="759" t="s">
        <v>186</v>
      </c>
      <c r="F528" s="759"/>
      <c r="G528" s="603"/>
      <c r="H528" s="165" t="s">
        <v>12</v>
      </c>
      <c r="I528" s="617"/>
      <c r="J528" s="617"/>
      <c r="K528" s="93"/>
      <c r="L528" s="93">
        <f ca="1">IFERROR(__xludf.DUMMYFUNCTION("IMPORTRANGE(""https://docs.google.com/spreadsheets/d/1QqKyyYR6Q21VydFLVH3TRQUabQu_ym0Zz7PgGX0-kHA/edit?usp=sharing"",""แผน!GQ40"")"),0)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4"/>
      <c r="R528" s="604"/>
      <c r="S528" s="604"/>
      <c r="T528" s="604"/>
      <c r="U528" s="604"/>
      <c r="V528" s="604"/>
      <c r="W528" s="604"/>
      <c r="X528" s="604"/>
      <c r="Y528" s="604"/>
      <c r="Z528" s="604"/>
    </row>
    <row r="529" spans="1:26" ht="18.75" hidden="1">
      <c r="A529" s="574"/>
      <c r="B529" s="575"/>
      <c r="C529" s="763"/>
      <c r="D529" s="763"/>
      <c r="E529" s="763"/>
      <c r="F529" s="763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40">
        <v>0</v>
      </c>
      <c r="O529" s="498"/>
      <c r="P529" s="49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</row>
    <row r="530" spans="1:26" ht="18.75" hidden="1">
      <c r="A530" s="574"/>
      <c r="B530" s="575"/>
      <c r="C530" s="763"/>
      <c r="D530" s="763"/>
      <c r="E530" s="763"/>
      <c r="F530" s="763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40">
        <v>0</v>
      </c>
      <c r="O530" s="498"/>
      <c r="P530" s="49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</row>
    <row r="531" spans="1:26" ht="18.75" hidden="1">
      <c r="A531" s="574"/>
      <c r="B531" s="575"/>
      <c r="C531" s="763"/>
      <c r="D531" s="763"/>
      <c r="E531" s="763"/>
      <c r="F531" s="763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40">
        <v>0</v>
      </c>
      <c r="O531" s="498"/>
      <c r="P531" s="49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</row>
    <row r="532" spans="1:26" ht="18.75" hidden="1">
      <c r="A532" s="574"/>
      <c r="B532" s="575"/>
      <c r="C532" s="763"/>
      <c r="D532" s="763"/>
      <c r="E532" s="763"/>
      <c r="F532" s="763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40">
        <v>0</v>
      </c>
      <c r="O532" s="498"/>
      <c r="P532" s="49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</row>
    <row r="533" spans="1:26" ht="18.75" hidden="1">
      <c r="A533" s="597"/>
      <c r="B533" s="575"/>
      <c r="C533" s="763"/>
      <c r="D533" s="606" t="s">
        <v>21</v>
      </c>
      <c r="E533" s="763"/>
      <c r="F533" s="763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</row>
    <row r="534" spans="1:26" ht="18.75" hidden="1">
      <c r="A534" s="599"/>
      <c r="B534" s="607"/>
      <c r="C534" s="759"/>
      <c r="D534" s="759"/>
      <c r="E534" s="759" t="s">
        <v>18</v>
      </c>
      <c r="F534" s="759"/>
      <c r="G534" s="603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4"/>
      <c r="R534" s="604"/>
      <c r="S534" s="604"/>
      <c r="T534" s="604"/>
      <c r="U534" s="604"/>
      <c r="V534" s="604"/>
      <c r="W534" s="604"/>
      <c r="X534" s="604"/>
      <c r="Y534" s="604"/>
      <c r="Z534" s="604"/>
    </row>
    <row r="535" spans="1:26" ht="18.75" hidden="1">
      <c r="A535" s="599"/>
      <c r="B535" s="607"/>
      <c r="C535" s="759"/>
      <c r="D535" s="759"/>
      <c r="E535" s="759" t="s">
        <v>19</v>
      </c>
      <c r="F535" s="759"/>
      <c r="G535" s="603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4"/>
      <c r="R535" s="604"/>
      <c r="S535" s="604"/>
      <c r="T535" s="604"/>
      <c r="U535" s="604"/>
      <c r="V535" s="604"/>
      <c r="W535" s="604"/>
      <c r="X535" s="604"/>
      <c r="Y535" s="604"/>
      <c r="Z535" s="604"/>
    </row>
    <row r="536" spans="1:26" ht="19.5" hidden="1">
      <c r="A536" s="608"/>
      <c r="B536" s="618"/>
      <c r="C536" s="763" t="s">
        <v>16</v>
      </c>
      <c r="D536" s="896" t="s">
        <v>38</v>
      </c>
      <c r="E536" s="761"/>
      <c r="F536" s="761"/>
      <c r="G536" s="613"/>
      <c r="H536" s="762"/>
      <c r="I536" s="184"/>
      <c r="J536" s="184"/>
      <c r="K536" s="163"/>
      <c r="L536" s="163"/>
      <c r="M536" s="163"/>
      <c r="N536" s="163"/>
      <c r="O536" s="163"/>
      <c r="P536" s="163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</row>
    <row r="537" spans="1:26" ht="19.5" hidden="1">
      <c r="A537" s="574"/>
      <c r="B537" s="575"/>
      <c r="C537" s="763"/>
      <c r="D537" s="763" t="s">
        <v>228</v>
      </c>
      <c r="E537" s="763"/>
      <c r="F537" s="763"/>
      <c r="G537" s="189"/>
      <c r="H537" s="623" t="s">
        <v>35</v>
      </c>
      <c r="I537" s="681">
        <f ca="1">IFERROR(__xludf.DUMMYFUNCTION("IMPORTRANGE(""https://docs.google.com/spreadsheets/d/1QqKyyYR6Q21VydFLVH3TRQUabQu_ym0Zz7PgGX0-kHA/edit?usp=sharing"",""แผน!GU40"")"),0)</f>
        <v>0</v>
      </c>
      <c r="J537" s="681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2"/>
      <c r="R537" s="682"/>
      <c r="S537" s="682"/>
      <c r="T537" s="682"/>
      <c r="U537" s="682"/>
      <c r="V537" s="682"/>
      <c r="W537" s="682"/>
      <c r="X537" s="682"/>
      <c r="Y537" s="682"/>
      <c r="Z537" s="682"/>
    </row>
    <row r="538" spans="1:26" ht="18.75" hidden="1">
      <c r="A538" s="574"/>
      <c r="B538" s="575"/>
      <c r="C538" s="763"/>
      <c r="D538" s="763"/>
      <c r="E538" s="763" t="s">
        <v>229</v>
      </c>
      <c r="F538" s="763"/>
      <c r="G538" s="189"/>
      <c r="H538" s="623" t="s">
        <v>35</v>
      </c>
      <c r="I538" s="270">
        <f ca="1">IFERROR(__xludf.DUMMYFUNCTION("IMPORTRANGE(""https://docs.google.com/spreadsheets/d/1QqKyyYR6Q21VydFLVH3TRQUabQu_ym0Zz7PgGX0-kHA/edit?usp=sharing"",""แผน!GV40"")"),0)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2"/>
      <c r="R538" s="682"/>
      <c r="S538" s="682"/>
      <c r="T538" s="682"/>
      <c r="U538" s="682"/>
      <c r="V538" s="682"/>
      <c r="W538" s="682"/>
      <c r="X538" s="682"/>
      <c r="Y538" s="682"/>
      <c r="Z538" s="682"/>
    </row>
    <row r="539" spans="1:26" ht="18.75" hidden="1">
      <c r="A539" s="574"/>
      <c r="B539" s="575"/>
      <c r="C539" s="763"/>
      <c r="D539" s="763"/>
      <c r="E539" s="763" t="s">
        <v>230</v>
      </c>
      <c r="F539" s="763"/>
      <c r="G539" s="189"/>
      <c r="H539" s="623" t="s">
        <v>35</v>
      </c>
      <c r="I539" s="270">
        <f ca="1">IFERROR(__xludf.DUMMYFUNCTION("IMPORTRANGE(""https://docs.google.com/spreadsheets/d/1QqKyyYR6Q21VydFLVH3TRQUabQu_ym0Zz7PgGX0-kHA/edit?usp=sharing"",""แผน!GW40"")"),0)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2"/>
      <c r="R539" s="682"/>
      <c r="S539" s="682"/>
      <c r="T539" s="682"/>
      <c r="U539" s="682"/>
      <c r="V539" s="682"/>
      <c r="W539" s="682"/>
      <c r="X539" s="682"/>
      <c r="Y539" s="682"/>
      <c r="Z539" s="682"/>
    </row>
    <row r="540" spans="1:26" ht="18.75" hidden="1">
      <c r="A540" s="574"/>
      <c r="B540" s="575"/>
      <c r="C540" s="763"/>
      <c r="D540" s="763"/>
      <c r="E540" s="763" t="s">
        <v>231</v>
      </c>
      <c r="F540" s="763"/>
      <c r="G540" s="189"/>
      <c r="H540" s="623" t="s">
        <v>35</v>
      </c>
      <c r="I540" s="270">
        <f ca="1">IFERROR(__xludf.DUMMYFUNCTION("IMPORTRANGE(""https://docs.google.com/spreadsheets/d/1QqKyyYR6Q21VydFLVH3TRQUabQu_ym0Zz7PgGX0-kHA/edit?usp=sharing"",""แผน!GX40"")"),0)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2"/>
      <c r="R540" s="682"/>
      <c r="S540" s="682"/>
      <c r="T540" s="682"/>
      <c r="U540" s="682"/>
      <c r="V540" s="682"/>
      <c r="W540" s="682"/>
      <c r="X540" s="682"/>
      <c r="Y540" s="682"/>
      <c r="Z540" s="682"/>
    </row>
    <row r="541" spans="1:26" ht="18.75" hidden="1">
      <c r="A541" s="574"/>
      <c r="B541" s="575"/>
      <c r="C541" s="763"/>
      <c r="D541" s="763"/>
      <c r="E541" s="769" t="s">
        <v>232</v>
      </c>
      <c r="F541" s="763"/>
      <c r="G541" s="189"/>
      <c r="H541" s="623" t="s">
        <v>35</v>
      </c>
      <c r="I541" s="270">
        <f ca="1">IFERROR(__xludf.DUMMYFUNCTION("IMPORTRANGE(""https://docs.google.com/spreadsheets/d/1QqKyyYR6Q21VydFLVH3TRQUabQu_ym0Zz7PgGX0-kHA/edit?usp=sharing"",""แผน!GY40"")"),0)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2"/>
      <c r="R541" s="682"/>
      <c r="S541" s="682"/>
      <c r="T541" s="682"/>
      <c r="U541" s="682"/>
      <c r="V541" s="682"/>
      <c r="W541" s="682"/>
      <c r="X541" s="682"/>
      <c r="Y541" s="682"/>
      <c r="Z541" s="682"/>
    </row>
    <row r="542" spans="1:26" ht="18.75" hidden="1">
      <c r="A542" s="574"/>
      <c r="B542" s="575"/>
      <c r="C542" s="763"/>
      <c r="D542" s="763" t="s">
        <v>59</v>
      </c>
      <c r="E542" s="763"/>
      <c r="F542" s="763"/>
      <c r="G542" s="189"/>
      <c r="H542" s="623" t="s">
        <v>35</v>
      </c>
      <c r="I542" s="270">
        <f ca="1">IFERROR(__xludf.DUMMYFUNCTION("IMPORTRANGE(""https://docs.google.com/spreadsheets/d/1QqKyyYR6Q21VydFLVH3TRQUabQu_ym0Zz7PgGX0-kHA/edit?usp=sharing"",""แผน!GZ40"")"),0)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2"/>
      <c r="R542" s="682"/>
      <c r="S542" s="682"/>
      <c r="T542" s="682"/>
      <c r="U542" s="682"/>
      <c r="V542" s="682"/>
      <c r="W542" s="682"/>
      <c r="X542" s="682"/>
      <c r="Y542" s="682"/>
      <c r="Z542" s="682"/>
    </row>
    <row r="543" spans="1:26" ht="19.5">
      <c r="A543" s="664">
        <v>6</v>
      </c>
      <c r="B543" s="685" t="s">
        <v>233</v>
      </c>
      <c r="C543" s="667"/>
      <c r="D543" s="667"/>
      <c r="E543" s="667"/>
      <c r="F543" s="667"/>
      <c r="G543" s="668"/>
      <c r="H543" s="686" t="s">
        <v>46</v>
      </c>
      <c r="I543" s="687">
        <f t="shared" ref="I543:J543" ca="1" si="235">I559</f>
        <v>35301.287499999999</v>
      </c>
      <c r="J543" s="687">
        <f t="shared" si="235"/>
        <v>35301.287499999999</v>
      </c>
      <c r="K543" s="688">
        <f t="shared" ca="1" si="234"/>
        <v>100</v>
      </c>
      <c r="L543" s="670"/>
      <c r="M543" s="670"/>
      <c r="N543" s="670"/>
      <c r="O543" s="670"/>
      <c r="P543" s="670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</row>
    <row r="544" spans="1:26" ht="19.5">
      <c r="A544" s="689"/>
      <c r="B544" s="690"/>
      <c r="C544" s="690" t="s">
        <v>16</v>
      </c>
      <c r="D544" s="897" t="s">
        <v>17</v>
      </c>
      <c r="E544" s="862"/>
      <c r="F544" s="862"/>
      <c r="G544" s="691"/>
      <c r="H544" s="275" t="s">
        <v>12</v>
      </c>
      <c r="I544" s="420"/>
      <c r="J544" s="420"/>
      <c r="K544" s="154"/>
      <c r="L544" s="155">
        <f t="shared" ref="L544:N544" ca="1" si="236">L545+L546</f>
        <v>338611</v>
      </c>
      <c r="M544" s="155">
        <f t="shared" ca="1" si="236"/>
        <v>354009</v>
      </c>
      <c r="N544" s="155">
        <f t="shared" si="236"/>
        <v>354009</v>
      </c>
      <c r="O544" s="155">
        <f t="shared" ref="O544:O549" ca="1" si="237">IF(L544&gt;0,N544*100/L544,0)</f>
        <v>104.54740099996751</v>
      </c>
      <c r="P544" s="155">
        <f t="shared" ref="P544:P549" ca="1" si="238">IF(M544&gt;0,N544*100/M544,0)</f>
        <v>100</v>
      </c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</row>
    <row r="545" spans="1:26" ht="18.75" hidden="1">
      <c r="A545" s="599"/>
      <c r="B545" s="759"/>
      <c r="C545" s="759"/>
      <c r="D545" s="759"/>
      <c r="E545" s="759" t="s">
        <v>185</v>
      </c>
      <c r="F545" s="759"/>
      <c r="G545" s="603"/>
      <c r="H545" s="165" t="s">
        <v>12</v>
      </c>
      <c r="I545" s="617"/>
      <c r="J545" s="617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4"/>
      <c r="R545" s="604"/>
      <c r="S545" s="604"/>
      <c r="T545" s="604"/>
      <c r="U545" s="604"/>
      <c r="V545" s="604"/>
      <c r="W545" s="604"/>
      <c r="X545" s="604"/>
      <c r="Y545" s="604"/>
      <c r="Z545" s="604"/>
    </row>
    <row r="546" spans="1:26" ht="18.75" hidden="1">
      <c r="A546" s="599"/>
      <c r="B546" s="607"/>
      <c r="C546" s="759"/>
      <c r="D546" s="759"/>
      <c r="E546" s="759" t="s">
        <v>186</v>
      </c>
      <c r="F546" s="759"/>
      <c r="G546" s="603"/>
      <c r="H546" s="165" t="s">
        <v>12</v>
      </c>
      <c r="I546" s="617"/>
      <c r="J546" s="617"/>
      <c r="K546" s="93"/>
      <c r="L546" s="93">
        <f t="shared" ca="1" si="239"/>
        <v>338611</v>
      </c>
      <c r="M546" s="93">
        <f t="shared" ca="1" si="240"/>
        <v>354009</v>
      </c>
      <c r="N546" s="93">
        <f t="shared" si="240"/>
        <v>354009</v>
      </c>
      <c r="O546" s="93">
        <f t="shared" ca="1" si="237"/>
        <v>104.54740099996751</v>
      </c>
      <c r="P546" s="93">
        <f t="shared" ca="1" si="238"/>
        <v>100</v>
      </c>
      <c r="Q546" s="604"/>
      <c r="R546" s="604"/>
      <c r="S546" s="604"/>
      <c r="T546" s="604"/>
      <c r="U546" s="604"/>
      <c r="V546" s="604"/>
      <c r="W546" s="604"/>
      <c r="X546" s="604"/>
      <c r="Y546" s="604"/>
      <c r="Z546" s="604"/>
    </row>
    <row r="547" spans="1:26" ht="18.75">
      <c r="A547" s="597"/>
      <c r="B547" s="575"/>
      <c r="C547" s="763"/>
      <c r="D547" s="606" t="s">
        <v>20</v>
      </c>
      <c r="E547" s="763"/>
      <c r="F547" s="763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338611</v>
      </c>
      <c r="M547" s="498">
        <f t="shared" ca="1" si="241"/>
        <v>354009</v>
      </c>
      <c r="N547" s="498">
        <f t="shared" si="241"/>
        <v>354009</v>
      </c>
      <c r="O547" s="498">
        <f t="shared" ca="1" si="237"/>
        <v>104.54740099996751</v>
      </c>
      <c r="P547" s="498">
        <f t="shared" ca="1" si="238"/>
        <v>100</v>
      </c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</row>
    <row r="548" spans="1:26" ht="18.75" hidden="1">
      <c r="A548" s="599"/>
      <c r="B548" s="607"/>
      <c r="C548" s="759"/>
      <c r="D548" s="720"/>
      <c r="E548" s="759" t="s">
        <v>185</v>
      </c>
      <c r="F548" s="759"/>
      <c r="G548" s="603"/>
      <c r="H548" s="165" t="s">
        <v>12</v>
      </c>
      <c r="I548" s="617"/>
      <c r="J548" s="617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4"/>
      <c r="R548" s="604"/>
      <c r="S548" s="604"/>
      <c r="T548" s="604"/>
      <c r="U548" s="604"/>
      <c r="V548" s="604"/>
      <c r="W548" s="604"/>
      <c r="X548" s="604"/>
      <c r="Y548" s="604"/>
      <c r="Z548" s="604"/>
    </row>
    <row r="549" spans="1:26" ht="18.75" hidden="1">
      <c r="A549" s="599"/>
      <c r="B549" s="607"/>
      <c r="C549" s="759"/>
      <c r="D549" s="720"/>
      <c r="E549" s="759" t="s">
        <v>186</v>
      </c>
      <c r="F549" s="759"/>
      <c r="G549" s="603"/>
      <c r="H549" s="165" t="s">
        <v>12</v>
      </c>
      <c r="I549" s="617"/>
      <c r="J549" s="617"/>
      <c r="K549" s="93"/>
      <c r="L549" s="93">
        <f ca="1">IFERROR(__xludf.DUMMYFUNCTION("IMPORTRANGE(""https://docs.google.com/spreadsheets/d/1QqKyyYR6Q21VydFLVH3TRQUabQu_ym0Zz7PgGX0-kHA/edit?usp=sharing"",""แผน!HB40"")"),338611)</f>
        <v>338611</v>
      </c>
      <c r="M549" s="93">
        <f ca="1">L549+16717-1319</f>
        <v>354009</v>
      </c>
      <c r="N549" s="93">
        <f>N550+N551+N552+N553+N554</f>
        <v>354009</v>
      </c>
      <c r="O549" s="93">
        <f t="shared" ca="1" si="237"/>
        <v>104.54740099996751</v>
      </c>
      <c r="P549" s="93">
        <f t="shared" ca="1" si="238"/>
        <v>100</v>
      </c>
      <c r="Q549" s="604"/>
      <c r="R549" s="604"/>
      <c r="S549" s="604"/>
      <c r="T549" s="604"/>
      <c r="U549" s="604"/>
      <c r="V549" s="604"/>
      <c r="W549" s="604"/>
      <c r="X549" s="604"/>
      <c r="Y549" s="604"/>
      <c r="Z549" s="604"/>
    </row>
    <row r="550" spans="1:26" ht="18.75">
      <c r="A550" s="574"/>
      <c r="B550" s="575"/>
      <c r="C550" s="763"/>
      <c r="D550" s="763"/>
      <c r="E550" s="763"/>
      <c r="F550" s="763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40">
        <v>0</v>
      </c>
      <c r="O550" s="498"/>
      <c r="P550" s="49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</row>
    <row r="551" spans="1:26" ht="18.75">
      <c r="A551" s="574"/>
      <c r="B551" s="575"/>
      <c r="C551" s="575"/>
      <c r="D551" s="575"/>
      <c r="E551" s="763"/>
      <c r="F551" s="763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40">
        <v>0</v>
      </c>
      <c r="O551" s="498"/>
      <c r="P551" s="49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</row>
    <row r="552" spans="1:26" ht="18.75">
      <c r="A552" s="574"/>
      <c r="B552" s="575"/>
      <c r="C552" s="763"/>
      <c r="D552" s="763"/>
      <c r="E552" s="763"/>
      <c r="F552" s="763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40">
        <v>141681</v>
      </c>
      <c r="O552" s="498"/>
      <c r="P552" s="498"/>
      <c r="Q552" s="578"/>
      <c r="R552" s="578"/>
      <c r="S552" s="578"/>
      <c r="T552" s="578"/>
      <c r="U552" s="578"/>
      <c r="V552" s="578"/>
      <c r="W552" s="578"/>
      <c r="X552" s="578"/>
      <c r="Y552" s="578"/>
      <c r="Z552" s="578"/>
    </row>
    <row r="553" spans="1:26" ht="18.75">
      <c r="A553" s="574"/>
      <c r="B553" s="575"/>
      <c r="C553" s="575"/>
      <c r="D553" s="575"/>
      <c r="E553" s="763"/>
      <c r="F553" s="763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40">
        <v>212328</v>
      </c>
      <c r="O553" s="498"/>
      <c r="P553" s="49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</row>
    <row r="554" spans="1:26" ht="18.75">
      <c r="A554" s="574"/>
      <c r="B554" s="575"/>
      <c r="C554" s="575"/>
      <c r="D554" s="575"/>
      <c r="E554" s="763"/>
      <c r="F554" s="763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40">
        <v>0</v>
      </c>
      <c r="O554" s="498"/>
      <c r="P554" s="49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</row>
    <row r="555" spans="1:26" ht="18.75">
      <c r="A555" s="597"/>
      <c r="B555" s="575"/>
      <c r="C555" s="575"/>
      <c r="D555" s="606" t="s">
        <v>21</v>
      </c>
      <c r="E555" s="763"/>
      <c r="F555" s="763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</row>
    <row r="556" spans="1:26" ht="18.75" hidden="1">
      <c r="A556" s="599"/>
      <c r="B556" s="607"/>
      <c r="C556" s="607"/>
      <c r="D556" s="759"/>
      <c r="E556" s="759" t="s">
        <v>18</v>
      </c>
      <c r="F556" s="759"/>
      <c r="G556" s="603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4"/>
      <c r="R556" s="604"/>
      <c r="S556" s="604"/>
      <c r="T556" s="604"/>
      <c r="U556" s="604"/>
      <c r="V556" s="604"/>
      <c r="W556" s="604"/>
      <c r="X556" s="604"/>
      <c r="Y556" s="604"/>
      <c r="Z556" s="604"/>
    </row>
    <row r="557" spans="1:26" ht="18.75" hidden="1">
      <c r="A557" s="599"/>
      <c r="B557" s="607"/>
      <c r="C557" s="607"/>
      <c r="D557" s="759"/>
      <c r="E557" s="759" t="s">
        <v>19</v>
      </c>
      <c r="F557" s="759"/>
      <c r="G557" s="603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4"/>
      <c r="R557" s="604"/>
      <c r="S557" s="604"/>
      <c r="T557" s="604"/>
      <c r="U557" s="604"/>
      <c r="V557" s="604"/>
      <c r="W557" s="604"/>
      <c r="X557" s="604"/>
      <c r="Y557" s="604"/>
      <c r="Z557" s="604"/>
    </row>
    <row r="558" spans="1:26" ht="19.5">
      <c r="A558" s="608"/>
      <c r="B558" s="618"/>
      <c r="C558" s="575" t="s">
        <v>16</v>
      </c>
      <c r="D558" s="896" t="s">
        <v>38</v>
      </c>
      <c r="E558" s="761"/>
      <c r="F558" s="761"/>
      <c r="G558" s="613"/>
      <c r="H558" s="762"/>
      <c r="I558" s="184"/>
      <c r="J558" s="184"/>
      <c r="K558" s="163"/>
      <c r="L558" s="163"/>
      <c r="M558" s="163"/>
      <c r="N558" s="163"/>
      <c r="O558" s="163"/>
      <c r="P558" s="163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</row>
    <row r="559" spans="1:26" ht="19.5">
      <c r="A559" s="692"/>
      <c r="B559" s="693" t="s">
        <v>235</v>
      </c>
      <c r="C559" s="694"/>
      <c r="D559" s="694"/>
      <c r="E559" s="673"/>
      <c r="F559" s="673"/>
      <c r="G559" s="674"/>
      <c r="H559" s="695" t="s">
        <v>46</v>
      </c>
      <c r="I559" s="708">
        <f t="shared" ref="I559:J559" ca="1" si="245">I576</f>
        <v>35301.287499999999</v>
      </c>
      <c r="J559" s="708">
        <f t="shared" si="245"/>
        <v>35301.287499999999</v>
      </c>
      <c r="K559" s="677">
        <f t="shared" ref="K559:K561" ca="1" si="246">IF(I559&gt;0,J559*100/I559,0)</f>
        <v>100</v>
      </c>
      <c r="L559" s="678"/>
      <c r="M559" s="678"/>
      <c r="N559" s="678"/>
      <c r="O559" s="678"/>
      <c r="P559" s="6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</row>
    <row r="560" spans="1:26" ht="19.5">
      <c r="A560" s="608"/>
      <c r="B560" s="618"/>
      <c r="C560" s="625" t="s">
        <v>236</v>
      </c>
      <c r="D560" s="618"/>
      <c r="E560" s="626"/>
      <c r="F560" s="626"/>
      <c r="G560" s="762"/>
      <c r="H560" s="767" t="s">
        <v>46</v>
      </c>
      <c r="I560" s="193">
        <f ca="1">IFERROR(__xludf.DUMMYFUNCTION("IMPORTRANGE(""https://docs.google.com/spreadsheets/d/1QqKyyYR6Q21VydFLVH3TRQUabQu_ym0Zz7PgGX0-kHA/edit?usp=sharing"",""แผน!HH40"")"),35301.2875)</f>
        <v>35301.287499999999</v>
      </c>
      <c r="J560" s="193">
        <f t="shared" ref="J560:J561" si="247">J562+J564+J566</f>
        <v>35302.75</v>
      </c>
      <c r="K560" s="411">
        <f t="shared" ca="1" si="246"/>
        <v>100.00414290838543</v>
      </c>
      <c r="L560" s="163"/>
      <c r="M560" s="163"/>
      <c r="N560" s="163"/>
      <c r="O560" s="163"/>
      <c r="P560" s="163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</row>
    <row r="561" spans="1:26" ht="19.5">
      <c r="A561" s="608"/>
      <c r="B561" s="618"/>
      <c r="C561" s="618"/>
      <c r="D561" s="626"/>
      <c r="E561" s="626"/>
      <c r="F561" s="626"/>
      <c r="G561" s="762"/>
      <c r="H561" s="767" t="s">
        <v>34</v>
      </c>
      <c r="I561" s="193">
        <f ca="1">IFERROR(__xludf.DUMMYFUNCTION("IMPORTRANGE(""https://docs.google.com/spreadsheets/d/1QqKyyYR6Q21VydFLVH3TRQUabQu_ym0Zz7PgGX0-kHA/edit?usp=sharing"",""แผน!HG40"")"),5276)</f>
        <v>5276</v>
      </c>
      <c r="J561" s="193">
        <f t="shared" si="247"/>
        <v>5276</v>
      </c>
      <c r="K561" s="411">
        <f t="shared" ca="1" si="246"/>
        <v>100</v>
      </c>
      <c r="L561" s="163"/>
      <c r="M561" s="163"/>
      <c r="N561" s="163"/>
      <c r="O561" s="163"/>
      <c r="P561" s="163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</row>
    <row r="562" spans="1:26" ht="18.75">
      <c r="A562" s="608"/>
      <c r="B562" s="618"/>
      <c r="C562" s="618"/>
      <c r="D562" s="626" t="s">
        <v>237</v>
      </c>
      <c r="E562" s="626"/>
      <c r="F562" s="626"/>
      <c r="G562" s="762"/>
      <c r="H562" s="764" t="s">
        <v>46</v>
      </c>
      <c r="I562" s="184"/>
      <c r="J562" s="215">
        <v>31360.240000000002</v>
      </c>
      <c r="K562" s="163"/>
      <c r="L562" s="163"/>
      <c r="M562" s="163"/>
      <c r="N562" s="163"/>
      <c r="O562" s="163"/>
      <c r="P562" s="163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</row>
    <row r="563" spans="1:26" ht="18.75">
      <c r="A563" s="608"/>
      <c r="B563" s="618"/>
      <c r="C563" s="618"/>
      <c r="D563" s="618"/>
      <c r="E563" s="626"/>
      <c r="F563" s="626"/>
      <c r="G563" s="762"/>
      <c r="H563" s="764" t="s">
        <v>34</v>
      </c>
      <c r="I563" s="184"/>
      <c r="J563" s="215">
        <v>4781</v>
      </c>
      <c r="K563" s="163"/>
      <c r="L563" s="163"/>
      <c r="M563" s="163"/>
      <c r="N563" s="163"/>
      <c r="O563" s="163"/>
      <c r="P563" s="163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</row>
    <row r="564" spans="1:26" ht="18.75">
      <c r="A564" s="608"/>
      <c r="B564" s="618"/>
      <c r="C564" s="618"/>
      <c r="D564" s="626" t="s">
        <v>238</v>
      </c>
      <c r="E564" s="626"/>
      <c r="F564" s="626"/>
      <c r="G564" s="762"/>
      <c r="H564" s="764" t="s">
        <v>46</v>
      </c>
      <c r="I564" s="184"/>
      <c r="J564" s="215">
        <v>2765.09</v>
      </c>
      <c r="K564" s="163"/>
      <c r="L564" s="163"/>
      <c r="M564" s="163"/>
      <c r="N564" s="163"/>
      <c r="O564" s="163"/>
      <c r="P564" s="163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</row>
    <row r="565" spans="1:26" ht="18.75">
      <c r="A565" s="608"/>
      <c r="B565" s="618"/>
      <c r="C565" s="618"/>
      <c r="D565" s="626"/>
      <c r="E565" s="626"/>
      <c r="F565" s="626"/>
      <c r="G565" s="762"/>
      <c r="H565" s="764" t="s">
        <v>34</v>
      </c>
      <c r="I565" s="184"/>
      <c r="J565" s="215">
        <v>327</v>
      </c>
      <c r="K565" s="163"/>
      <c r="L565" s="163"/>
      <c r="M565" s="163"/>
      <c r="N565" s="163"/>
      <c r="O565" s="163"/>
      <c r="P565" s="163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</row>
    <row r="566" spans="1:26" ht="18.75">
      <c r="A566" s="608"/>
      <c r="B566" s="618"/>
      <c r="C566" s="618"/>
      <c r="D566" s="626" t="s">
        <v>239</v>
      </c>
      <c r="E566" s="626"/>
      <c r="F566" s="626"/>
      <c r="G566" s="762"/>
      <c r="H566" s="764" t="s">
        <v>46</v>
      </c>
      <c r="I566" s="184"/>
      <c r="J566" s="215">
        <v>1177.42</v>
      </c>
      <c r="K566" s="163"/>
      <c r="L566" s="163"/>
      <c r="M566" s="163"/>
      <c r="N566" s="163"/>
      <c r="O566" s="163"/>
      <c r="P566" s="163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</row>
    <row r="567" spans="1:26" ht="18.75">
      <c r="A567" s="608"/>
      <c r="B567" s="618"/>
      <c r="C567" s="618"/>
      <c r="D567" s="626"/>
      <c r="E567" s="626"/>
      <c r="F567" s="626"/>
      <c r="G567" s="762"/>
      <c r="H567" s="764" t="s">
        <v>34</v>
      </c>
      <c r="I567" s="184"/>
      <c r="J567" s="215">
        <v>168</v>
      </c>
      <c r="K567" s="163"/>
      <c r="L567" s="163"/>
      <c r="M567" s="163"/>
      <c r="N567" s="163"/>
      <c r="O567" s="163"/>
      <c r="P567" s="163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</row>
    <row r="568" spans="1:26" ht="19.5">
      <c r="A568" s="608"/>
      <c r="B568" s="618"/>
      <c r="C568" s="625" t="s">
        <v>240</v>
      </c>
      <c r="D568" s="626"/>
      <c r="E568" s="626"/>
      <c r="F568" s="626"/>
      <c r="G568" s="762"/>
      <c r="H568" s="767" t="s">
        <v>46</v>
      </c>
      <c r="I568" s="193">
        <f ca="1">IFERROR(__xludf.DUMMYFUNCTION("IMPORTRANGE(""https://docs.google.com/spreadsheets/d/1QqKyyYR6Q21VydFLVH3TRQUabQu_ym0Zz7PgGX0-kHA/edit?usp=sharing"",""แผน!HH40"")"),35301.2875)</f>
        <v>35301.287499999999</v>
      </c>
      <c r="J568" s="681">
        <f t="shared" ref="J568:J569" si="248">J570+J572+J574</f>
        <v>35303.448000000004</v>
      </c>
      <c r="K568" s="411">
        <f t="shared" ref="K568:K569" ca="1" si="249">IF(I568&gt;0,J568*100/I568,0)</f>
        <v>100.00612017337896</v>
      </c>
      <c r="L568" s="163"/>
      <c r="M568" s="163"/>
      <c r="N568" s="163"/>
      <c r="O568" s="163"/>
      <c r="P568" s="163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</row>
    <row r="569" spans="1:26" ht="19.5">
      <c r="A569" s="608"/>
      <c r="B569" s="618"/>
      <c r="C569" s="618"/>
      <c r="D569" s="618"/>
      <c r="E569" s="626"/>
      <c r="F569" s="626"/>
      <c r="G569" s="762"/>
      <c r="H569" s="767" t="s">
        <v>34</v>
      </c>
      <c r="I569" s="193">
        <f ca="1">IFERROR(__xludf.DUMMYFUNCTION("IMPORTRANGE(""https://docs.google.com/spreadsheets/d/1QqKyyYR6Q21VydFLVH3TRQUabQu_ym0Zz7PgGX0-kHA/edit?usp=sharing"",""แผน!HG40"")"),5276)</f>
        <v>5276</v>
      </c>
      <c r="J569" s="681">
        <f t="shared" si="248"/>
        <v>5276</v>
      </c>
      <c r="K569" s="411">
        <f t="shared" ca="1" si="249"/>
        <v>100</v>
      </c>
      <c r="L569" s="163"/>
      <c r="M569" s="163"/>
      <c r="N569" s="163"/>
      <c r="O569" s="163"/>
      <c r="P569" s="163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</row>
    <row r="570" spans="1:26" ht="18.75">
      <c r="A570" s="608"/>
      <c r="B570" s="618"/>
      <c r="C570" s="618"/>
      <c r="D570" s="626" t="s">
        <v>241</v>
      </c>
      <c r="E570" s="618"/>
      <c r="F570" s="626"/>
      <c r="G570" s="762"/>
      <c r="H570" s="764" t="s">
        <v>46</v>
      </c>
      <c r="I570" s="184"/>
      <c r="J570" s="215">
        <v>32116.240000000002</v>
      </c>
      <c r="K570" s="163"/>
      <c r="L570" s="163"/>
      <c r="M570" s="163"/>
      <c r="N570" s="163"/>
      <c r="O570" s="163"/>
      <c r="P570" s="163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</row>
    <row r="571" spans="1:26" ht="18.75">
      <c r="A571" s="608"/>
      <c r="B571" s="618"/>
      <c r="C571" s="618"/>
      <c r="D571" s="618"/>
      <c r="E571" s="626"/>
      <c r="F571" s="626"/>
      <c r="G571" s="762"/>
      <c r="H571" s="764" t="s">
        <v>34</v>
      </c>
      <c r="I571" s="184"/>
      <c r="J571" s="215">
        <v>4864</v>
      </c>
      <c r="K571" s="163"/>
      <c r="L571" s="163"/>
      <c r="M571" s="163"/>
      <c r="N571" s="163"/>
      <c r="O571" s="163"/>
      <c r="P571" s="163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</row>
    <row r="572" spans="1:26" ht="18.75">
      <c r="A572" s="608"/>
      <c r="B572" s="618"/>
      <c r="C572" s="618"/>
      <c r="D572" s="626" t="s">
        <v>242</v>
      </c>
      <c r="E572" s="626"/>
      <c r="F572" s="626"/>
      <c r="G572" s="762"/>
      <c r="H572" s="764" t="s">
        <v>46</v>
      </c>
      <c r="I572" s="184"/>
      <c r="J572" s="215">
        <v>1967.0830000000001</v>
      </c>
      <c r="K572" s="163"/>
      <c r="L572" s="163"/>
      <c r="M572" s="163"/>
      <c r="N572" s="163"/>
      <c r="O572" s="163"/>
      <c r="P572" s="163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</row>
    <row r="573" spans="1:26" ht="18.75">
      <c r="A573" s="608"/>
      <c r="B573" s="618"/>
      <c r="C573" s="618"/>
      <c r="D573" s="626"/>
      <c r="E573" s="626"/>
      <c r="F573" s="626"/>
      <c r="G573" s="762"/>
      <c r="H573" s="764" t="s">
        <v>34</v>
      </c>
      <c r="I573" s="184"/>
      <c r="J573" s="215">
        <v>232</v>
      </c>
      <c r="K573" s="163"/>
      <c r="L573" s="163"/>
      <c r="M573" s="163"/>
      <c r="N573" s="163"/>
      <c r="O573" s="163"/>
      <c r="P573" s="163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</row>
    <row r="574" spans="1:26" ht="18.75">
      <c r="A574" s="608"/>
      <c r="B574" s="618"/>
      <c r="C574" s="618"/>
      <c r="D574" s="626" t="s">
        <v>243</v>
      </c>
      <c r="E574" s="626"/>
      <c r="F574" s="626"/>
      <c r="G574" s="762"/>
      <c r="H574" s="764" t="s">
        <v>46</v>
      </c>
      <c r="I574" s="184"/>
      <c r="J574" s="215">
        <v>1220.125</v>
      </c>
      <c r="K574" s="163"/>
      <c r="L574" s="163"/>
      <c r="M574" s="163"/>
      <c r="N574" s="163"/>
      <c r="O574" s="163"/>
      <c r="P574" s="163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</row>
    <row r="575" spans="1:26" ht="18.75">
      <c r="A575" s="608"/>
      <c r="B575" s="618"/>
      <c r="C575" s="618"/>
      <c r="D575" s="618"/>
      <c r="E575" s="626"/>
      <c r="F575" s="626"/>
      <c r="G575" s="762"/>
      <c r="H575" s="764" t="s">
        <v>34</v>
      </c>
      <c r="I575" s="184"/>
      <c r="J575" s="215">
        <v>180</v>
      </c>
      <c r="K575" s="163"/>
      <c r="L575" s="163"/>
      <c r="M575" s="163"/>
      <c r="N575" s="163"/>
      <c r="O575" s="163"/>
      <c r="P575" s="163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</row>
    <row r="576" spans="1:26" ht="19.5">
      <c r="A576" s="608"/>
      <c r="B576" s="618"/>
      <c r="C576" s="625" t="s">
        <v>244</v>
      </c>
      <c r="D576" s="618"/>
      <c r="E576" s="618"/>
      <c r="F576" s="626"/>
      <c r="G576" s="762"/>
      <c r="H576" s="767" t="s">
        <v>46</v>
      </c>
      <c r="I576" s="193">
        <f ca="1">IFERROR(__xludf.DUMMYFUNCTION("IMPORTRANGE(""https://docs.google.com/spreadsheets/d/1QqKyyYR6Q21VydFLVH3TRQUabQu_ym0Zz7PgGX0-kHA/edit?usp=sharing"",""แผน!HH40"")"),35301.2875)</f>
        <v>35301.287499999999</v>
      </c>
      <c r="J576" s="681">
        <f t="shared" ref="J576:J577" si="250">J578+J580+J582+J588+J590</f>
        <v>35301.287499999999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</row>
    <row r="577" spans="1:26" ht="19.5">
      <c r="A577" s="608"/>
      <c r="B577" s="618"/>
      <c r="C577" s="618"/>
      <c r="D577" s="618"/>
      <c r="E577" s="626"/>
      <c r="F577" s="626"/>
      <c r="G577" s="762"/>
      <c r="H577" s="767" t="s">
        <v>34</v>
      </c>
      <c r="I577" s="193">
        <f ca="1">IFERROR(__xludf.DUMMYFUNCTION("IMPORTRANGE(""https://docs.google.com/spreadsheets/d/1QqKyyYR6Q21VydFLVH3TRQUabQu_ym0Zz7PgGX0-kHA/edit?usp=sharing"",""แผน!HG40"")"),5276)</f>
        <v>5276</v>
      </c>
      <c r="J577" s="681">
        <f t="shared" si="250"/>
        <v>5276</v>
      </c>
      <c r="K577" s="411">
        <f t="shared" ca="1" si="251"/>
        <v>100</v>
      </c>
      <c r="L577" s="163"/>
      <c r="M577" s="163"/>
      <c r="N577" s="163"/>
      <c r="O577" s="163"/>
      <c r="P577" s="163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</row>
    <row r="578" spans="1:26" ht="18.75">
      <c r="A578" s="608"/>
      <c r="B578" s="618"/>
      <c r="C578" s="618"/>
      <c r="D578" s="626" t="s">
        <v>245</v>
      </c>
      <c r="E578" s="626"/>
      <c r="F578" s="626"/>
      <c r="G578" s="762"/>
      <c r="H578" s="764" t="s">
        <v>46</v>
      </c>
      <c r="I578" s="184"/>
      <c r="J578" s="215">
        <v>33604.324999999997</v>
      </c>
      <c r="K578" s="163"/>
      <c r="L578" s="163"/>
      <c r="M578" s="163"/>
      <c r="N578" s="163"/>
      <c r="O578" s="163"/>
      <c r="P578" s="163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</row>
    <row r="579" spans="1:26" ht="18.75">
      <c r="A579" s="608"/>
      <c r="B579" s="618"/>
      <c r="C579" s="618"/>
      <c r="D579" s="618"/>
      <c r="E579" s="626"/>
      <c r="F579" s="626"/>
      <c r="G579" s="762"/>
      <c r="H579" s="764" t="s">
        <v>34</v>
      </c>
      <c r="I579" s="184"/>
      <c r="J579" s="215">
        <v>5027</v>
      </c>
      <c r="K579" s="163"/>
      <c r="L579" s="163"/>
      <c r="M579" s="163"/>
      <c r="N579" s="163"/>
      <c r="O579" s="163"/>
      <c r="P579" s="163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</row>
    <row r="580" spans="1:26" ht="18.75">
      <c r="A580" s="608"/>
      <c r="B580" s="618"/>
      <c r="C580" s="618"/>
      <c r="D580" s="626" t="s">
        <v>246</v>
      </c>
      <c r="E580" s="626"/>
      <c r="F580" s="626"/>
      <c r="G580" s="762"/>
      <c r="H580" s="764" t="s">
        <v>46</v>
      </c>
      <c r="I580" s="184"/>
      <c r="J580" s="215">
        <v>37.912500000000001</v>
      </c>
      <c r="K580" s="163"/>
      <c r="L580" s="163"/>
      <c r="M580" s="163"/>
      <c r="N580" s="163"/>
      <c r="O580" s="163"/>
      <c r="P580" s="163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</row>
    <row r="581" spans="1:26" ht="18.75">
      <c r="A581" s="608"/>
      <c r="B581" s="618"/>
      <c r="C581" s="618"/>
      <c r="D581" s="618"/>
      <c r="E581" s="626"/>
      <c r="F581" s="626"/>
      <c r="G581" s="762"/>
      <c r="H581" s="764" t="s">
        <v>34</v>
      </c>
      <c r="I581" s="184"/>
      <c r="J581" s="215">
        <v>9</v>
      </c>
      <c r="K581" s="163"/>
      <c r="L581" s="163"/>
      <c r="M581" s="163"/>
      <c r="N581" s="163"/>
      <c r="O581" s="163"/>
      <c r="P581" s="163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</row>
    <row r="582" spans="1:26" ht="19.5">
      <c r="A582" s="608"/>
      <c r="B582" s="618"/>
      <c r="C582" s="618"/>
      <c r="D582" s="626" t="s">
        <v>247</v>
      </c>
      <c r="E582" s="626"/>
      <c r="F582" s="626"/>
      <c r="G582" s="762"/>
      <c r="H582" s="764" t="s">
        <v>46</v>
      </c>
      <c r="I582" s="184"/>
      <c r="J582" s="681">
        <f t="shared" ref="J582:J583" si="252">J584+J586</f>
        <v>1220.0725</v>
      </c>
      <c r="K582" s="411"/>
      <c r="L582" s="163"/>
      <c r="M582" s="163"/>
      <c r="N582" s="163"/>
      <c r="O582" s="163"/>
      <c r="P582" s="163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</row>
    <row r="583" spans="1:26" ht="19.5">
      <c r="A583" s="608"/>
      <c r="B583" s="618"/>
      <c r="C583" s="618"/>
      <c r="D583" s="618"/>
      <c r="E583" s="626"/>
      <c r="F583" s="626"/>
      <c r="G583" s="762"/>
      <c r="H583" s="764" t="s">
        <v>34</v>
      </c>
      <c r="I583" s="184"/>
      <c r="J583" s="681">
        <f t="shared" si="252"/>
        <v>179</v>
      </c>
      <c r="K583" s="411"/>
      <c r="L583" s="163"/>
      <c r="M583" s="163"/>
      <c r="N583" s="163"/>
      <c r="O583" s="163"/>
      <c r="P583" s="163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</row>
    <row r="584" spans="1:26" ht="18.75">
      <c r="A584" s="608"/>
      <c r="B584" s="618"/>
      <c r="C584" s="618"/>
      <c r="D584" s="618"/>
      <c r="E584" s="626" t="s">
        <v>248</v>
      </c>
      <c r="F584" s="626"/>
      <c r="G584" s="762"/>
      <c r="H584" s="764" t="s">
        <v>46</v>
      </c>
      <c r="I584" s="184"/>
      <c r="J584" s="215">
        <v>1220.0725</v>
      </c>
      <c r="K584" s="163"/>
      <c r="L584" s="163"/>
      <c r="M584" s="163"/>
      <c r="N584" s="163"/>
      <c r="O584" s="163"/>
      <c r="P584" s="163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</row>
    <row r="585" spans="1:26" ht="18.75">
      <c r="A585" s="608"/>
      <c r="B585" s="618"/>
      <c r="C585" s="618"/>
      <c r="D585" s="618"/>
      <c r="E585" s="626"/>
      <c r="F585" s="626"/>
      <c r="G585" s="762"/>
      <c r="H585" s="764" t="s">
        <v>34</v>
      </c>
      <c r="I585" s="184"/>
      <c r="J585" s="215">
        <v>179</v>
      </c>
      <c r="K585" s="163"/>
      <c r="L585" s="163"/>
      <c r="M585" s="163"/>
      <c r="N585" s="163"/>
      <c r="O585" s="163"/>
      <c r="P585" s="163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</row>
    <row r="586" spans="1:26" ht="18.75">
      <c r="A586" s="608"/>
      <c r="B586" s="618"/>
      <c r="C586" s="618"/>
      <c r="D586" s="618"/>
      <c r="E586" s="626" t="s">
        <v>249</v>
      </c>
      <c r="F586" s="626"/>
      <c r="G586" s="762"/>
      <c r="H586" s="76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</row>
    <row r="587" spans="1:26" ht="18.75">
      <c r="A587" s="608"/>
      <c r="B587" s="618"/>
      <c r="C587" s="618"/>
      <c r="D587" s="618"/>
      <c r="E587" s="618"/>
      <c r="F587" s="626"/>
      <c r="G587" s="762"/>
      <c r="H587" s="76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</row>
    <row r="588" spans="1:26" ht="18.75">
      <c r="A588" s="608"/>
      <c r="B588" s="618"/>
      <c r="C588" s="618"/>
      <c r="D588" s="626" t="s">
        <v>250</v>
      </c>
      <c r="E588" s="626"/>
      <c r="F588" s="626"/>
      <c r="G588" s="762"/>
      <c r="H588" s="764" t="s">
        <v>46</v>
      </c>
      <c r="I588" s="184"/>
      <c r="J588" s="215">
        <v>438.97750000000002</v>
      </c>
      <c r="K588" s="163"/>
      <c r="L588" s="163"/>
      <c r="M588" s="163"/>
      <c r="N588" s="163"/>
      <c r="O588" s="163"/>
      <c r="P588" s="163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</row>
    <row r="589" spans="1:26" ht="18.75">
      <c r="A589" s="608"/>
      <c r="B589" s="618"/>
      <c r="C589" s="618"/>
      <c r="D589" s="618"/>
      <c r="E589" s="618"/>
      <c r="F589" s="626"/>
      <c r="G589" s="762"/>
      <c r="H589" s="764" t="s">
        <v>34</v>
      </c>
      <c r="I589" s="184"/>
      <c r="J589" s="215">
        <v>61</v>
      </c>
      <c r="K589" s="163"/>
      <c r="L589" s="163"/>
      <c r="M589" s="163"/>
      <c r="N589" s="163"/>
      <c r="O589" s="163"/>
      <c r="P589" s="163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</row>
    <row r="590" spans="1:26" ht="18.75">
      <c r="A590" s="608"/>
      <c r="B590" s="618"/>
      <c r="C590" s="618"/>
      <c r="D590" s="626" t="s">
        <v>251</v>
      </c>
      <c r="E590" s="626"/>
      <c r="F590" s="626"/>
      <c r="G590" s="762"/>
      <c r="H590" s="76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</row>
    <row r="591" spans="1:26" ht="18.75">
      <c r="A591" s="696"/>
      <c r="B591" s="697"/>
      <c r="C591" s="697"/>
      <c r="D591" s="697"/>
      <c r="E591" s="578"/>
      <c r="F591" s="578"/>
      <c r="G591" s="698"/>
      <c r="H591" s="699" t="s">
        <v>34</v>
      </c>
      <c r="I591" s="700"/>
      <c r="J591" s="701">
        <v>0</v>
      </c>
      <c r="K591" s="702"/>
      <c r="L591" s="702"/>
      <c r="M591" s="702"/>
      <c r="N591" s="702"/>
      <c r="O591" s="702"/>
      <c r="P591" s="702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</row>
    <row r="592" spans="1:26" ht="19.5">
      <c r="A592" s="692"/>
      <c r="B592" s="693" t="s">
        <v>252</v>
      </c>
      <c r="C592" s="694"/>
      <c r="D592" s="694"/>
      <c r="E592" s="673"/>
      <c r="F592" s="673"/>
      <c r="G592" s="674"/>
      <c r="H592" s="695" t="s">
        <v>46</v>
      </c>
      <c r="I592" s="703">
        <f t="shared" ref="I592:J592" ca="1" si="253">I593</f>
        <v>1102.94</v>
      </c>
      <c r="J592" s="708">
        <f t="shared" si="253"/>
        <v>1102.9375</v>
      </c>
      <c r="K592" s="677">
        <f t="shared" ref="K592:K594" ca="1" si="254">IF(I592&gt;0,J592*100/I592,0)</f>
        <v>99.999773333091554</v>
      </c>
      <c r="L592" s="678"/>
      <c r="M592" s="678"/>
      <c r="N592" s="678"/>
      <c r="O592" s="678"/>
      <c r="P592" s="6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</row>
    <row r="593" spans="1:26" ht="19.5">
      <c r="A593" s="608"/>
      <c r="B593" s="618"/>
      <c r="C593" s="625" t="s">
        <v>253</v>
      </c>
      <c r="D593" s="618"/>
      <c r="E593" s="618"/>
      <c r="F593" s="626"/>
      <c r="G593" s="762"/>
      <c r="H593" s="767" t="s">
        <v>46</v>
      </c>
      <c r="I593" s="704">
        <f ca="1">IFERROR(__xludf.DUMMYFUNCTION("IMPORTRANGE(""https://docs.google.com/spreadsheets/d/1QqKyyYR6Q21VydFLVH3TRQUabQu_ym0Zz7PgGX0-kHA/edit?usp=sharing"",""แผน!HJ40"")"),1102.94)</f>
        <v>1102.94</v>
      </c>
      <c r="J593" s="193">
        <f t="shared" ref="J593:J594" si="255">J595+J603+J609</f>
        <v>1102.9375</v>
      </c>
      <c r="K593" s="411">
        <f t="shared" ca="1" si="254"/>
        <v>99.999773333091554</v>
      </c>
      <c r="L593" s="163"/>
      <c r="M593" s="163"/>
      <c r="N593" s="163"/>
      <c r="O593" s="163"/>
      <c r="P593" s="163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</row>
    <row r="594" spans="1:26" ht="19.5">
      <c r="A594" s="608"/>
      <c r="B594" s="618"/>
      <c r="C594" s="618"/>
      <c r="D594" s="618"/>
      <c r="E594" s="626"/>
      <c r="F594" s="626"/>
      <c r="G594" s="762"/>
      <c r="H594" s="767" t="s">
        <v>34</v>
      </c>
      <c r="I594" s="193">
        <f ca="1">IFERROR(__xludf.DUMMYFUNCTION("IMPORTRANGE(""https://docs.google.com/spreadsheets/d/1QqKyyYR6Q21VydFLVH3TRQUabQu_ym0Zz7PgGX0-kHA/edit?usp=sharing"",""แผน!HI40"")"),115)</f>
        <v>115</v>
      </c>
      <c r="J594" s="193">
        <f t="shared" si="255"/>
        <v>115</v>
      </c>
      <c r="K594" s="411">
        <f t="shared" ca="1" si="254"/>
        <v>100</v>
      </c>
      <c r="L594" s="163"/>
      <c r="M594" s="163"/>
      <c r="N594" s="163"/>
      <c r="O594" s="163"/>
      <c r="P594" s="163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</row>
    <row r="595" spans="1:26" ht="18.75">
      <c r="A595" s="608"/>
      <c r="B595" s="618"/>
      <c r="C595" s="618" t="s">
        <v>254</v>
      </c>
      <c r="D595" s="618"/>
      <c r="E595" s="618"/>
      <c r="F595" s="626"/>
      <c r="G595" s="762"/>
      <c r="H595" s="764" t="s">
        <v>46</v>
      </c>
      <c r="I595" s="184"/>
      <c r="J595" s="184">
        <f t="shared" ref="J595:J596" si="256">J597+J599</f>
        <v>1073.6424999999999</v>
      </c>
      <c r="K595" s="163"/>
      <c r="L595" s="163"/>
      <c r="M595" s="163"/>
      <c r="N595" s="163"/>
      <c r="O595" s="163"/>
      <c r="P595" s="163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</row>
    <row r="596" spans="1:26" ht="18.75">
      <c r="A596" s="608"/>
      <c r="B596" s="618"/>
      <c r="C596" s="618"/>
      <c r="D596" s="618"/>
      <c r="E596" s="626"/>
      <c r="F596" s="626"/>
      <c r="G596" s="762"/>
      <c r="H596" s="764" t="s">
        <v>34</v>
      </c>
      <c r="I596" s="184"/>
      <c r="J596" s="184">
        <f t="shared" si="256"/>
        <v>112</v>
      </c>
      <c r="K596" s="163"/>
      <c r="L596" s="163"/>
      <c r="M596" s="163"/>
      <c r="N596" s="163"/>
      <c r="O596" s="163"/>
      <c r="P596" s="163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</row>
    <row r="597" spans="1:26" ht="18.75">
      <c r="A597" s="608"/>
      <c r="B597" s="618"/>
      <c r="C597" s="618"/>
      <c r="D597" s="746" t="s">
        <v>255</v>
      </c>
      <c r="E597" s="626"/>
      <c r="F597" s="626"/>
      <c r="G597" s="762"/>
      <c r="H597" s="764" t="s">
        <v>46</v>
      </c>
      <c r="I597" s="184"/>
      <c r="J597" s="215">
        <v>808.32749999999999</v>
      </c>
      <c r="K597" s="163"/>
      <c r="L597" s="163"/>
      <c r="M597" s="163"/>
      <c r="N597" s="163"/>
      <c r="O597" s="163"/>
      <c r="P597" s="163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</row>
    <row r="598" spans="1:26" ht="18.75">
      <c r="A598" s="608"/>
      <c r="B598" s="618"/>
      <c r="C598" s="618"/>
      <c r="D598" s="618"/>
      <c r="E598" s="626"/>
      <c r="F598" s="626"/>
      <c r="G598" s="762"/>
      <c r="H598" s="764" t="s">
        <v>34</v>
      </c>
      <c r="I598" s="270"/>
      <c r="J598" s="215">
        <v>74</v>
      </c>
      <c r="K598" s="163"/>
      <c r="L598" s="163"/>
      <c r="M598" s="163"/>
      <c r="N598" s="163"/>
      <c r="O598" s="163"/>
      <c r="P598" s="163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</row>
    <row r="599" spans="1:26" ht="18.75">
      <c r="A599" s="608"/>
      <c r="B599" s="618"/>
      <c r="C599" s="618"/>
      <c r="D599" s="746" t="s">
        <v>256</v>
      </c>
      <c r="E599" s="626"/>
      <c r="F599" s="626"/>
      <c r="G599" s="762"/>
      <c r="H599" s="764" t="s">
        <v>46</v>
      </c>
      <c r="I599" s="270"/>
      <c r="J599" s="215">
        <v>265.315</v>
      </c>
      <c r="K599" s="163"/>
      <c r="L599" s="163"/>
      <c r="M599" s="163"/>
      <c r="N599" s="163"/>
      <c r="O599" s="163"/>
      <c r="P599" s="163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</row>
    <row r="600" spans="1:26" ht="18.75">
      <c r="A600" s="608"/>
      <c r="B600" s="618"/>
      <c r="C600" s="618"/>
      <c r="D600" s="618"/>
      <c r="E600" s="626"/>
      <c r="F600" s="626"/>
      <c r="G600" s="762"/>
      <c r="H600" s="764" t="s">
        <v>34</v>
      </c>
      <c r="I600" s="270"/>
      <c r="J600" s="215">
        <v>38</v>
      </c>
      <c r="K600" s="163"/>
      <c r="L600" s="163"/>
      <c r="M600" s="163"/>
      <c r="N600" s="163"/>
      <c r="O600" s="163"/>
      <c r="P600" s="163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</row>
    <row r="601" spans="1:26" ht="18.75">
      <c r="A601" s="608"/>
      <c r="B601" s="618"/>
      <c r="C601" s="618"/>
      <c r="D601" s="746" t="s">
        <v>257</v>
      </c>
      <c r="E601" s="626"/>
      <c r="F601" s="626"/>
      <c r="G601" s="762"/>
      <c r="H601" s="76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</row>
    <row r="602" spans="1:26" ht="18.75">
      <c r="A602" s="608"/>
      <c r="B602" s="618"/>
      <c r="C602" s="618"/>
      <c r="D602" s="618"/>
      <c r="E602" s="626"/>
      <c r="F602" s="626"/>
      <c r="G602" s="762"/>
      <c r="H602" s="76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</row>
    <row r="603" spans="1:26" ht="18.75">
      <c r="A603" s="608"/>
      <c r="B603" s="618"/>
      <c r="C603" s="705" t="s">
        <v>258</v>
      </c>
      <c r="D603" s="618"/>
      <c r="E603" s="618"/>
      <c r="F603" s="626"/>
      <c r="G603" s="762"/>
      <c r="H603" s="764" t="s">
        <v>46</v>
      </c>
      <c r="I603" s="270"/>
      <c r="J603" s="270">
        <f t="shared" ref="J603:J604" si="257">J605+J607</f>
        <v>23.4575</v>
      </c>
      <c r="K603" s="163"/>
      <c r="L603" s="163"/>
      <c r="M603" s="163"/>
      <c r="N603" s="163"/>
      <c r="O603" s="163"/>
      <c r="P603" s="163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</row>
    <row r="604" spans="1:26" ht="18.75">
      <c r="A604" s="608"/>
      <c r="B604" s="618"/>
      <c r="C604" s="618"/>
      <c r="D604" s="618"/>
      <c r="E604" s="626"/>
      <c r="F604" s="626"/>
      <c r="G604" s="762"/>
      <c r="H604" s="764" t="s">
        <v>34</v>
      </c>
      <c r="I604" s="270"/>
      <c r="J604" s="270">
        <f t="shared" si="257"/>
        <v>2</v>
      </c>
      <c r="K604" s="163"/>
      <c r="L604" s="163"/>
      <c r="M604" s="163"/>
      <c r="N604" s="163"/>
      <c r="O604" s="163"/>
      <c r="P604" s="163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</row>
    <row r="605" spans="1:26" ht="18.75">
      <c r="A605" s="608"/>
      <c r="B605" s="618"/>
      <c r="C605" s="618"/>
      <c r="D605" s="705" t="s">
        <v>259</v>
      </c>
      <c r="E605" s="626"/>
      <c r="F605" s="626"/>
      <c r="G605" s="762"/>
      <c r="H605" s="764" t="s">
        <v>46</v>
      </c>
      <c r="I605" s="270"/>
      <c r="J605" s="215">
        <v>23.4575</v>
      </c>
      <c r="K605" s="163"/>
      <c r="L605" s="163"/>
      <c r="M605" s="163"/>
      <c r="N605" s="163"/>
      <c r="O605" s="163"/>
      <c r="P605" s="163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</row>
    <row r="606" spans="1:26" ht="18.75">
      <c r="A606" s="608"/>
      <c r="B606" s="618"/>
      <c r="C606" s="618"/>
      <c r="D606" s="618"/>
      <c r="E606" s="618"/>
      <c r="F606" s="626"/>
      <c r="G606" s="762"/>
      <c r="H606" s="764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</row>
    <row r="607" spans="1:26" ht="18.75">
      <c r="A607" s="608"/>
      <c r="B607" s="618"/>
      <c r="C607" s="618"/>
      <c r="D607" s="705" t="s">
        <v>260</v>
      </c>
      <c r="E607" s="618"/>
      <c r="F607" s="626"/>
      <c r="G607" s="762"/>
      <c r="H607" s="764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</row>
    <row r="608" spans="1:26" ht="18.75">
      <c r="A608" s="608"/>
      <c r="B608" s="618"/>
      <c r="C608" s="618"/>
      <c r="D608" s="618"/>
      <c r="E608" s="626"/>
      <c r="F608" s="626"/>
      <c r="G608" s="762"/>
      <c r="H608" s="764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</row>
    <row r="609" spans="1:26" ht="18.75">
      <c r="A609" s="608"/>
      <c r="B609" s="618"/>
      <c r="C609" s="618" t="s">
        <v>261</v>
      </c>
      <c r="D609" s="618"/>
      <c r="E609" s="618"/>
      <c r="F609" s="626"/>
      <c r="G609" s="762"/>
      <c r="H609" s="764" t="s">
        <v>46</v>
      </c>
      <c r="I609" s="270"/>
      <c r="J609" s="215">
        <v>5.8375000000000004</v>
      </c>
      <c r="K609" s="163"/>
      <c r="L609" s="163"/>
      <c r="M609" s="163"/>
      <c r="N609" s="163"/>
      <c r="O609" s="163"/>
      <c r="P609" s="163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</row>
    <row r="610" spans="1:26" ht="18.75">
      <c r="A610" s="608"/>
      <c r="B610" s="618"/>
      <c r="C610" s="618"/>
      <c r="D610" s="618"/>
      <c r="E610" s="626"/>
      <c r="F610" s="626"/>
      <c r="G610" s="762"/>
      <c r="H610" s="764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</row>
    <row r="611" spans="1:26" ht="19.5">
      <c r="A611" s="692"/>
      <c r="B611" s="706" t="s">
        <v>262</v>
      </c>
      <c r="C611" s="694"/>
      <c r="D611" s="694"/>
      <c r="E611" s="673"/>
      <c r="F611" s="673"/>
      <c r="G611" s="674"/>
      <c r="H611" s="707" t="s">
        <v>46</v>
      </c>
      <c r="I611" s="708">
        <v>0</v>
      </c>
      <c r="J611" s="708">
        <f>J614+J616</f>
        <v>0</v>
      </c>
      <c r="K611" s="677">
        <f t="shared" ref="K611:K613" si="258">IF(I611&gt;0,J611*100/I611,0)</f>
        <v>0</v>
      </c>
      <c r="L611" s="678"/>
      <c r="M611" s="678"/>
      <c r="N611" s="678"/>
      <c r="O611" s="678"/>
      <c r="P611" s="6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</row>
    <row r="612" spans="1:26" ht="19.5" hidden="1">
      <c r="A612" s="709"/>
      <c r="B612" s="719"/>
      <c r="C612" s="711" t="s">
        <v>263</v>
      </c>
      <c r="D612" s="719"/>
      <c r="E612" s="719"/>
      <c r="F612" s="712"/>
      <c r="G612" s="713"/>
      <c r="H612" s="714" t="s">
        <v>46</v>
      </c>
      <c r="I612" s="716">
        <v>0</v>
      </c>
      <c r="J612" s="716">
        <f t="shared" ref="J612:J613" si="259">J614+J616</f>
        <v>0</v>
      </c>
      <c r="K612" s="717">
        <f t="shared" si="258"/>
        <v>0</v>
      </c>
      <c r="L612" s="718"/>
      <c r="M612" s="718"/>
      <c r="N612" s="718"/>
      <c r="O612" s="718"/>
      <c r="P612" s="718"/>
      <c r="Q612" s="604"/>
      <c r="R612" s="604"/>
      <c r="S612" s="604"/>
      <c r="T612" s="604"/>
      <c r="U612" s="604"/>
      <c r="V612" s="604"/>
      <c r="W612" s="604"/>
      <c r="X612" s="604"/>
      <c r="Y612" s="604"/>
      <c r="Z612" s="604"/>
    </row>
    <row r="613" spans="1:26" ht="19.5" hidden="1">
      <c r="A613" s="709"/>
      <c r="B613" s="719"/>
      <c r="C613" s="719" t="s">
        <v>264</v>
      </c>
      <c r="D613" s="719"/>
      <c r="E613" s="719"/>
      <c r="F613" s="712"/>
      <c r="G613" s="713"/>
      <c r="H613" s="714" t="s">
        <v>34</v>
      </c>
      <c r="I613" s="716">
        <v>0</v>
      </c>
      <c r="J613" s="716">
        <f t="shared" si="259"/>
        <v>0</v>
      </c>
      <c r="K613" s="717">
        <f t="shared" si="258"/>
        <v>0</v>
      </c>
      <c r="L613" s="718"/>
      <c r="M613" s="718"/>
      <c r="N613" s="718"/>
      <c r="O613" s="718"/>
      <c r="P613" s="718"/>
      <c r="Q613" s="604"/>
      <c r="R613" s="604"/>
      <c r="S613" s="604"/>
      <c r="T613" s="604"/>
      <c r="U613" s="604"/>
      <c r="V613" s="604"/>
      <c r="W613" s="604"/>
      <c r="X613" s="604"/>
      <c r="Y613" s="604"/>
      <c r="Z613" s="604"/>
    </row>
    <row r="614" spans="1:26" ht="18.75" hidden="1">
      <c r="A614" s="614"/>
      <c r="B614" s="616"/>
      <c r="C614" s="616"/>
      <c r="D614" s="720" t="s">
        <v>265</v>
      </c>
      <c r="E614" s="616"/>
      <c r="F614" s="720"/>
      <c r="G614" s="366"/>
      <c r="H614" s="370" t="s">
        <v>46</v>
      </c>
      <c r="I614" s="617"/>
      <c r="J614" s="617">
        <v>0</v>
      </c>
      <c r="K614" s="167"/>
      <c r="L614" s="167"/>
      <c r="M614" s="167"/>
      <c r="N614" s="167"/>
      <c r="O614" s="167"/>
      <c r="P614" s="167"/>
      <c r="Q614" s="604"/>
      <c r="R614" s="604"/>
      <c r="S614" s="604"/>
      <c r="T614" s="604"/>
      <c r="U614" s="604"/>
      <c r="V614" s="604"/>
      <c r="W614" s="604"/>
      <c r="X614" s="604"/>
      <c r="Y614" s="604"/>
      <c r="Z614" s="604"/>
    </row>
    <row r="615" spans="1:26" ht="18.75" hidden="1">
      <c r="A615" s="614"/>
      <c r="B615" s="616"/>
      <c r="C615" s="616"/>
      <c r="D615" s="616"/>
      <c r="E615" s="616"/>
      <c r="F615" s="720"/>
      <c r="G615" s="366"/>
      <c r="H615" s="370" t="s">
        <v>34</v>
      </c>
      <c r="I615" s="617"/>
      <c r="J615" s="617">
        <v>0</v>
      </c>
      <c r="K615" s="167"/>
      <c r="L615" s="167"/>
      <c r="M615" s="167"/>
      <c r="N615" s="167"/>
      <c r="O615" s="167"/>
      <c r="P615" s="167"/>
      <c r="Q615" s="604"/>
      <c r="R615" s="604"/>
      <c r="S615" s="604"/>
      <c r="T615" s="604"/>
      <c r="U615" s="604"/>
      <c r="V615" s="604"/>
      <c r="W615" s="604"/>
      <c r="X615" s="604"/>
      <c r="Y615" s="604"/>
      <c r="Z615" s="604"/>
    </row>
    <row r="616" spans="1:26" ht="18.75" hidden="1">
      <c r="A616" s="614"/>
      <c r="B616" s="616"/>
      <c r="C616" s="616"/>
      <c r="D616" s="721" t="s">
        <v>265</v>
      </c>
      <c r="E616" s="720"/>
      <c r="F616" s="720"/>
      <c r="G616" s="366"/>
      <c r="H616" s="370" t="s">
        <v>46</v>
      </c>
      <c r="I616" s="617"/>
      <c r="J616" s="617">
        <v>0</v>
      </c>
      <c r="K616" s="167"/>
      <c r="L616" s="167"/>
      <c r="M616" s="167"/>
      <c r="N616" s="167"/>
      <c r="O616" s="167"/>
      <c r="P616" s="167"/>
      <c r="Q616" s="604"/>
      <c r="R616" s="604"/>
      <c r="S616" s="604"/>
      <c r="T616" s="604"/>
      <c r="U616" s="604"/>
      <c r="V616" s="604"/>
      <c r="W616" s="604"/>
      <c r="X616" s="604"/>
      <c r="Y616" s="604"/>
      <c r="Z616" s="604"/>
    </row>
    <row r="617" spans="1:26" ht="18.75" hidden="1">
      <c r="A617" s="614"/>
      <c r="B617" s="616"/>
      <c r="C617" s="616"/>
      <c r="D617" s="616"/>
      <c r="E617" s="720"/>
      <c r="F617" s="720"/>
      <c r="G617" s="366"/>
      <c r="H617" s="370" t="s">
        <v>34</v>
      </c>
      <c r="I617" s="617"/>
      <c r="J617" s="617">
        <v>0</v>
      </c>
      <c r="K617" s="167"/>
      <c r="L617" s="167"/>
      <c r="M617" s="167"/>
      <c r="N617" s="167"/>
      <c r="O617" s="167"/>
      <c r="P617" s="167"/>
      <c r="Q617" s="604"/>
      <c r="R617" s="604"/>
      <c r="S617" s="604"/>
      <c r="T617" s="604"/>
      <c r="U617" s="604"/>
      <c r="V617" s="604"/>
      <c r="W617" s="604"/>
      <c r="X617" s="604"/>
      <c r="Y617" s="604"/>
      <c r="Z617" s="604"/>
    </row>
    <row r="618" spans="1:26" ht="18.75" hidden="1">
      <c r="A618" s="614"/>
      <c r="B618" s="616"/>
      <c r="C618" s="616"/>
      <c r="D618" s="721" t="s">
        <v>266</v>
      </c>
      <c r="E618" s="720"/>
      <c r="F618" s="720"/>
      <c r="G618" s="366"/>
      <c r="H618" s="370" t="s">
        <v>46</v>
      </c>
      <c r="I618" s="617"/>
      <c r="J618" s="617">
        <v>0</v>
      </c>
      <c r="K618" s="167"/>
      <c r="L618" s="167"/>
      <c r="M618" s="167"/>
      <c r="N618" s="167"/>
      <c r="O618" s="167"/>
      <c r="P618" s="167"/>
      <c r="Q618" s="604"/>
      <c r="R618" s="604"/>
      <c r="S618" s="604"/>
      <c r="T618" s="604"/>
      <c r="U618" s="604"/>
      <c r="V618" s="604"/>
      <c r="W618" s="604"/>
      <c r="X618" s="604"/>
      <c r="Y618" s="604"/>
      <c r="Z618" s="604"/>
    </row>
    <row r="619" spans="1:26" ht="18.75" hidden="1">
      <c r="A619" s="614"/>
      <c r="B619" s="616"/>
      <c r="C619" s="616"/>
      <c r="D619" s="616"/>
      <c r="E619" s="720"/>
      <c r="F619" s="720"/>
      <c r="G619" s="366"/>
      <c r="H619" s="370" t="s">
        <v>34</v>
      </c>
      <c r="I619" s="617"/>
      <c r="J619" s="617">
        <v>0</v>
      </c>
      <c r="K619" s="167"/>
      <c r="L619" s="167"/>
      <c r="M619" s="167"/>
      <c r="N619" s="167"/>
      <c r="O619" s="167"/>
      <c r="P619" s="167"/>
      <c r="Q619" s="604"/>
      <c r="R619" s="604"/>
      <c r="S619" s="604"/>
      <c r="T619" s="604"/>
      <c r="U619" s="604"/>
      <c r="V619" s="604"/>
      <c r="W619" s="604"/>
      <c r="X619" s="604"/>
      <c r="Y619" s="604"/>
      <c r="Z619" s="604"/>
    </row>
    <row r="620" spans="1:26" ht="19.5">
      <c r="A620" s="722"/>
      <c r="B620" s="731"/>
      <c r="C620" s="724" t="s">
        <v>267</v>
      </c>
      <c r="D620" s="731"/>
      <c r="E620" s="731"/>
      <c r="F620" s="725"/>
      <c r="G620" s="726"/>
      <c r="H620" s="727" t="s">
        <v>46</v>
      </c>
      <c r="I620" s="728">
        <f ca="1">IFERROR(__xludf.DUMMYFUNCTION("IMPORTRANGE(""https://docs.google.com/spreadsheets/d/1QqKyyYR6Q21VydFLVH3TRQUabQu_ym0Zz7PgGX0-kHA/edit?usp=sharing"",""แผน!HL40"")"),0)</f>
        <v>0</v>
      </c>
      <c r="J620" s="728">
        <f t="shared" ref="J620:J621" si="260">J622+J624+J626</f>
        <v>0</v>
      </c>
      <c r="K620" s="729">
        <f t="shared" ref="K620:K621" ca="1" si="261">IF(I620&gt;0,J620*100/I620,0)</f>
        <v>0</v>
      </c>
      <c r="L620" s="730"/>
      <c r="M620" s="730"/>
      <c r="N620" s="730"/>
      <c r="O620" s="730"/>
      <c r="P620" s="730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</row>
    <row r="621" spans="1:26" ht="19.5">
      <c r="A621" s="722"/>
      <c r="B621" s="731"/>
      <c r="C621" s="731" t="s">
        <v>268</v>
      </c>
      <c r="D621" s="731"/>
      <c r="E621" s="731"/>
      <c r="F621" s="725"/>
      <c r="G621" s="726"/>
      <c r="H621" s="727" t="s">
        <v>34</v>
      </c>
      <c r="I621" s="728">
        <f ca="1">IFERROR(__xludf.DUMMYFUNCTION("IMPORTRANGE(""https://docs.google.com/spreadsheets/d/1QqKyyYR6Q21VydFLVH3TRQUabQu_ym0Zz7PgGX0-kHA/edit?usp=sharing"",""แผน!HK40"")"),0)</f>
        <v>0</v>
      </c>
      <c r="J621" s="728">
        <f t="shared" si="260"/>
        <v>0</v>
      </c>
      <c r="K621" s="729">
        <f t="shared" ca="1" si="261"/>
        <v>0</v>
      </c>
      <c r="L621" s="730"/>
      <c r="M621" s="730"/>
      <c r="N621" s="730"/>
      <c r="O621" s="730"/>
      <c r="P621" s="730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</row>
    <row r="622" spans="1:26" ht="18.75">
      <c r="A622" s="608"/>
      <c r="B622" s="618"/>
      <c r="C622" s="618"/>
      <c r="D622" s="746" t="s">
        <v>269</v>
      </c>
      <c r="E622" s="626"/>
      <c r="F622" s="626"/>
      <c r="G622" s="762"/>
      <c r="H622" s="764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</row>
    <row r="623" spans="1:26" ht="18.75">
      <c r="A623" s="608"/>
      <c r="B623" s="618"/>
      <c r="C623" s="618"/>
      <c r="D623" s="618"/>
      <c r="E623" s="626"/>
      <c r="F623" s="626"/>
      <c r="G623" s="762"/>
      <c r="H623" s="764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</row>
    <row r="624" spans="1:26" ht="18.75">
      <c r="A624" s="608"/>
      <c r="B624" s="618"/>
      <c r="C624" s="618"/>
      <c r="D624" s="746" t="s">
        <v>265</v>
      </c>
      <c r="E624" s="626"/>
      <c r="F624" s="626"/>
      <c r="G624" s="762"/>
      <c r="H624" s="764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</row>
    <row r="625" spans="1:26" ht="18.75">
      <c r="A625" s="608"/>
      <c r="B625" s="618"/>
      <c r="C625" s="618"/>
      <c r="D625" s="618"/>
      <c r="E625" s="626"/>
      <c r="F625" s="626"/>
      <c r="G625" s="762"/>
      <c r="H625" s="764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</row>
    <row r="626" spans="1:26" ht="18.75">
      <c r="A626" s="608"/>
      <c r="B626" s="618"/>
      <c r="C626" s="618"/>
      <c r="D626" s="746" t="s">
        <v>270</v>
      </c>
      <c r="E626" s="626"/>
      <c r="F626" s="626"/>
      <c r="G626" s="762"/>
      <c r="H626" s="76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</row>
    <row r="627" spans="1:26" ht="18.75">
      <c r="A627" s="732"/>
      <c r="B627" s="733"/>
      <c r="C627" s="733"/>
      <c r="D627" s="733"/>
      <c r="E627" s="734"/>
      <c r="F627" s="734"/>
      <c r="G627" s="735"/>
      <c r="H627" s="422" t="s">
        <v>34</v>
      </c>
      <c r="I627" s="506"/>
      <c r="J627" s="424">
        <v>0</v>
      </c>
      <c r="K627" s="385"/>
      <c r="L627" s="385"/>
      <c r="M627" s="385"/>
      <c r="N627" s="385"/>
      <c r="O627" s="385"/>
      <c r="P627" s="385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</row>
    <row r="628" spans="1:26" ht="19.5">
      <c r="A628" s="736">
        <v>7</v>
      </c>
      <c r="B628" s="737" t="s">
        <v>271</v>
      </c>
      <c r="C628" s="738"/>
      <c r="D628" s="738"/>
      <c r="E628" s="738"/>
      <c r="F628" s="738"/>
      <c r="G628" s="739"/>
      <c r="H628" s="740" t="s">
        <v>35</v>
      </c>
      <c r="I628" s="741">
        <f t="shared" ref="I628:J628" ca="1" si="262">I651</f>
        <v>100</v>
      </c>
      <c r="J628" s="741">
        <f t="shared" ca="1" si="262"/>
        <v>202</v>
      </c>
      <c r="K628" s="742">
        <f ca="1">IF(I628&gt;0,J628*100/I628,0)</f>
        <v>202</v>
      </c>
      <c r="L628" s="743"/>
      <c r="M628" s="743"/>
      <c r="N628" s="743"/>
      <c r="O628" s="743"/>
      <c r="P628" s="743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</row>
    <row r="629" spans="1:26" ht="19.5">
      <c r="A629" s="597"/>
      <c r="B629" s="763"/>
      <c r="C629" s="763" t="s">
        <v>16</v>
      </c>
      <c r="D629" s="863" t="s">
        <v>17</v>
      </c>
      <c r="E629" s="857"/>
      <c r="F629" s="857"/>
      <c r="G629" s="189"/>
      <c r="H629" s="598" t="s">
        <v>12</v>
      </c>
      <c r="I629" s="270"/>
      <c r="J629" s="270"/>
      <c r="K629" s="498"/>
      <c r="L629" s="195">
        <f t="shared" ref="L629:N629" ca="1" si="263">L630+L631</f>
        <v>383680</v>
      </c>
      <c r="M629" s="195">
        <f t="shared" ca="1" si="263"/>
        <v>382794</v>
      </c>
      <c r="N629" s="195">
        <f t="shared" si="263"/>
        <v>382794</v>
      </c>
      <c r="O629" s="195">
        <f t="shared" ref="O629:O634" ca="1" si="264">IF(L629&gt;0,N629*100/L629,0)</f>
        <v>99.769078398665556</v>
      </c>
      <c r="P629" s="195">
        <f t="shared" ref="P629:P634" ca="1" si="265">IF(M629&gt;0,N629*100/M629,0)</f>
        <v>100</v>
      </c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</row>
    <row r="630" spans="1:26" ht="18.75" hidden="1">
      <c r="A630" s="599"/>
      <c r="B630" s="759"/>
      <c r="C630" s="759"/>
      <c r="D630" s="720"/>
      <c r="E630" s="759" t="s">
        <v>185</v>
      </c>
      <c r="F630" s="759"/>
      <c r="G630" s="603"/>
      <c r="H630" s="165" t="s">
        <v>12</v>
      </c>
      <c r="I630" s="617"/>
      <c r="J630" s="617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4"/>
      <c r="R630" s="604"/>
      <c r="S630" s="604"/>
      <c r="T630" s="604"/>
      <c r="U630" s="604"/>
      <c r="V630" s="604"/>
      <c r="W630" s="604"/>
      <c r="X630" s="604"/>
      <c r="Y630" s="604"/>
      <c r="Z630" s="604"/>
    </row>
    <row r="631" spans="1:26" ht="18.75" hidden="1">
      <c r="A631" s="599"/>
      <c r="B631" s="607"/>
      <c r="C631" s="759"/>
      <c r="D631" s="720"/>
      <c r="E631" s="759" t="s">
        <v>186</v>
      </c>
      <c r="F631" s="759"/>
      <c r="G631" s="603"/>
      <c r="H631" s="165" t="s">
        <v>12</v>
      </c>
      <c r="I631" s="617"/>
      <c r="J631" s="617"/>
      <c r="K631" s="93"/>
      <c r="L631" s="93">
        <f t="shared" ca="1" si="266"/>
        <v>383680</v>
      </c>
      <c r="M631" s="93">
        <f t="shared" ca="1" si="266"/>
        <v>382794</v>
      </c>
      <c r="N631" s="93">
        <f t="shared" si="266"/>
        <v>382794</v>
      </c>
      <c r="O631" s="93">
        <f t="shared" ca="1" si="264"/>
        <v>99.769078398665556</v>
      </c>
      <c r="P631" s="93">
        <f t="shared" ca="1" si="265"/>
        <v>100</v>
      </c>
      <c r="Q631" s="604"/>
      <c r="R631" s="604"/>
      <c r="S631" s="604"/>
      <c r="T631" s="604"/>
      <c r="U631" s="604"/>
      <c r="V631" s="604"/>
      <c r="W631" s="604"/>
      <c r="X631" s="604"/>
      <c r="Y631" s="604"/>
      <c r="Z631" s="604"/>
    </row>
    <row r="632" spans="1:26" ht="18.75">
      <c r="A632" s="597"/>
      <c r="B632" s="575"/>
      <c r="C632" s="763"/>
      <c r="D632" s="606" t="s">
        <v>20</v>
      </c>
      <c r="E632" s="763"/>
      <c r="F632" s="763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383680</v>
      </c>
      <c r="M632" s="498">
        <f t="shared" ca="1" si="267"/>
        <v>382794</v>
      </c>
      <c r="N632" s="498">
        <f t="shared" si="267"/>
        <v>382794</v>
      </c>
      <c r="O632" s="498">
        <f t="shared" ca="1" si="264"/>
        <v>99.769078398665556</v>
      </c>
      <c r="P632" s="498">
        <f t="shared" ca="1" si="265"/>
        <v>100</v>
      </c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</row>
    <row r="633" spans="1:26" ht="18.75" hidden="1">
      <c r="A633" s="599"/>
      <c r="B633" s="607"/>
      <c r="C633" s="759"/>
      <c r="D633" s="720"/>
      <c r="E633" s="759" t="s">
        <v>185</v>
      </c>
      <c r="F633" s="759"/>
      <c r="G633" s="603"/>
      <c r="H633" s="165" t="s">
        <v>12</v>
      </c>
      <c r="I633" s="617"/>
      <c r="J633" s="617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4"/>
      <c r="R633" s="604"/>
      <c r="S633" s="604"/>
      <c r="T633" s="604"/>
      <c r="U633" s="604"/>
      <c r="V633" s="604"/>
      <c r="W633" s="604"/>
      <c r="X633" s="604"/>
      <c r="Y633" s="604"/>
      <c r="Z633" s="604"/>
    </row>
    <row r="634" spans="1:26" ht="18.75" hidden="1">
      <c r="A634" s="599"/>
      <c r="B634" s="607"/>
      <c r="C634" s="759"/>
      <c r="D634" s="720"/>
      <c r="E634" s="759" t="s">
        <v>186</v>
      </c>
      <c r="F634" s="759"/>
      <c r="G634" s="603"/>
      <c r="H634" s="165" t="s">
        <v>12</v>
      </c>
      <c r="I634" s="617"/>
      <c r="J634" s="617"/>
      <c r="K634" s="93"/>
      <c r="L634" s="93">
        <f ca="1">IFERROR(__xludf.DUMMYFUNCTION("IMPORTRANGE(""https://docs.google.com/spreadsheets/d/1QqKyyYR6Q21VydFLVH3TRQUabQu_ym0Zz7PgGX0-kHA/edit?usp=sharing"",""แผน!HN40"")"),383680)</f>
        <v>383680</v>
      </c>
      <c r="M634" s="93">
        <f ca="1">L634-886</f>
        <v>382794</v>
      </c>
      <c r="N634" s="93">
        <f>N635+N636+N637+N638</f>
        <v>382794</v>
      </c>
      <c r="O634" s="93">
        <f t="shared" ca="1" si="264"/>
        <v>99.769078398665556</v>
      </c>
      <c r="P634" s="93">
        <f t="shared" ca="1" si="265"/>
        <v>100</v>
      </c>
      <c r="Q634" s="604"/>
      <c r="R634" s="604"/>
      <c r="S634" s="604"/>
      <c r="T634" s="604"/>
      <c r="U634" s="604"/>
      <c r="V634" s="604"/>
      <c r="W634" s="604"/>
      <c r="X634" s="604"/>
      <c r="Y634" s="604"/>
      <c r="Z634" s="604"/>
    </row>
    <row r="635" spans="1:26" ht="18.75">
      <c r="A635" s="574"/>
      <c r="B635" s="575"/>
      <c r="C635" s="763"/>
      <c r="D635" s="763"/>
      <c r="E635" s="763"/>
      <c r="F635" s="763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40">
        <v>0</v>
      </c>
      <c r="O635" s="498"/>
      <c r="P635" s="49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</row>
    <row r="636" spans="1:26" ht="18.75">
      <c r="A636" s="574"/>
      <c r="B636" s="575"/>
      <c r="C636" s="763"/>
      <c r="D636" s="763"/>
      <c r="E636" s="763"/>
      <c r="F636" s="763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40">
        <v>0</v>
      </c>
      <c r="O636" s="498"/>
      <c r="P636" s="49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</row>
    <row r="637" spans="1:26" ht="18.75">
      <c r="A637" s="574"/>
      <c r="B637" s="575"/>
      <c r="C637" s="763"/>
      <c r="D637" s="763"/>
      <c r="E637" s="763"/>
      <c r="F637" s="763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40">
        <v>142114</v>
      </c>
      <c r="O637" s="498"/>
      <c r="P637" s="498"/>
      <c r="Q637" s="578"/>
      <c r="R637" s="578"/>
      <c r="S637" s="578"/>
      <c r="T637" s="578"/>
      <c r="U637" s="578"/>
      <c r="V637" s="578"/>
      <c r="W637" s="578"/>
      <c r="X637" s="578"/>
      <c r="Y637" s="578"/>
      <c r="Z637" s="578"/>
    </row>
    <row r="638" spans="1:26" ht="18.75">
      <c r="A638" s="574"/>
      <c r="B638" s="575"/>
      <c r="C638" s="763"/>
      <c r="D638" s="763"/>
      <c r="E638" s="763"/>
      <c r="F638" s="763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40">
        <v>240680</v>
      </c>
      <c r="O638" s="498"/>
      <c r="P638" s="49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</row>
    <row r="639" spans="1:26" ht="18.75">
      <c r="A639" s="597"/>
      <c r="B639" s="575"/>
      <c r="C639" s="763"/>
      <c r="D639" s="606" t="s">
        <v>21</v>
      </c>
      <c r="E639" s="763"/>
      <c r="F639" s="763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</row>
    <row r="640" spans="1:26" ht="18.75" hidden="1">
      <c r="A640" s="599"/>
      <c r="B640" s="607"/>
      <c r="C640" s="759"/>
      <c r="D640" s="759"/>
      <c r="E640" s="759" t="s">
        <v>18</v>
      </c>
      <c r="F640" s="759"/>
      <c r="G640" s="603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4"/>
      <c r="R640" s="604"/>
      <c r="S640" s="604"/>
      <c r="T640" s="604"/>
      <c r="U640" s="604"/>
      <c r="V640" s="604"/>
      <c r="W640" s="604"/>
      <c r="X640" s="604"/>
      <c r="Y640" s="604"/>
      <c r="Z640" s="604"/>
    </row>
    <row r="641" spans="1:26" ht="18.75" hidden="1">
      <c r="A641" s="599"/>
      <c r="B641" s="607"/>
      <c r="C641" s="759"/>
      <c r="D641" s="759"/>
      <c r="E641" s="759" t="s">
        <v>19</v>
      </c>
      <c r="F641" s="759"/>
      <c r="G641" s="603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4"/>
      <c r="R641" s="604"/>
      <c r="S641" s="604"/>
      <c r="T641" s="604"/>
      <c r="U641" s="604"/>
      <c r="V641" s="604"/>
      <c r="W641" s="604"/>
      <c r="X641" s="604"/>
      <c r="Y641" s="604"/>
      <c r="Z641" s="604"/>
    </row>
    <row r="642" spans="1:26" ht="19.5">
      <c r="A642" s="608"/>
      <c r="B642" s="618"/>
      <c r="C642" s="763" t="s">
        <v>16</v>
      </c>
      <c r="D642" s="896" t="s">
        <v>38</v>
      </c>
      <c r="E642" s="761"/>
      <c r="F642" s="761"/>
      <c r="G642" s="613"/>
      <c r="H642" s="762"/>
      <c r="I642" s="184"/>
      <c r="J642" s="184"/>
      <c r="K642" s="163"/>
      <c r="L642" s="163"/>
      <c r="M642" s="163"/>
      <c r="N642" s="163"/>
      <c r="O642" s="163"/>
      <c r="P642" s="163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</row>
    <row r="643" spans="1:26" ht="18.75">
      <c r="A643" s="744"/>
      <c r="B643" s="575"/>
      <c r="C643" s="763"/>
      <c r="D643" s="626"/>
      <c r="E643" s="746" t="s">
        <v>272</v>
      </c>
      <c r="F643" s="626"/>
      <c r="G643" s="762"/>
      <c r="H643" s="764" t="s">
        <v>273</v>
      </c>
      <c r="I643" s="270">
        <f ca="1">IFERROR(__xludf.DUMMYFUNCTION("IMPORTRANGE(""https://docs.google.com/spreadsheets/d/1QqKyyYR6Q21VydFLVH3TRQUabQu_ym0Zz7PgGX0-kHA/edit?usp=sharing"",""แผน!HR40"")"),2)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98"/>
      <c r="O643" s="163"/>
      <c r="P643" s="163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</row>
    <row r="644" spans="1:26" ht="18.75">
      <c r="A644" s="744"/>
      <c r="B644" s="575"/>
      <c r="C644" s="763"/>
      <c r="D644" s="626"/>
      <c r="E644" s="746" t="s">
        <v>274</v>
      </c>
      <c r="F644" s="626"/>
      <c r="G644" s="762"/>
      <c r="H644" s="764" t="s">
        <v>275</v>
      </c>
      <c r="I644" s="270">
        <f ca="1">IFERROR(__xludf.DUMMYFUNCTION("IMPORTRANGE(""https://docs.google.com/spreadsheets/d/1QqKyyYR6Q21VydFLVH3TRQUabQu_ym0Zz7PgGX0-kHA/edit?usp=sharing"",""แผน!HR40"")"),2)</f>
        <v>2</v>
      </c>
      <c r="J644" s="215">
        <v>2</v>
      </c>
      <c r="K644" s="163">
        <f t="shared" ca="1" si="271"/>
        <v>100</v>
      </c>
      <c r="L644" s="163"/>
      <c r="M644" s="163"/>
      <c r="N644" s="498"/>
      <c r="O644" s="163"/>
      <c r="P644" s="163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</row>
    <row r="645" spans="1:26" ht="18.75">
      <c r="A645" s="744"/>
      <c r="B645" s="575"/>
      <c r="C645" s="763"/>
      <c r="D645" s="626"/>
      <c r="E645" s="746" t="s">
        <v>276</v>
      </c>
      <c r="F645" s="626"/>
      <c r="G645" s="762"/>
      <c r="H645" s="76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IFERROR(__xludf.DUMMYFUNCTION("IMPORTRANGE(""https://docs.google.com/spreadsheets/d/1XWAQStnk-4SwqDmLtmXYiTMKHgktTP8We1SCoS47DrQ/edit?usp=sharing"",""จัดที่ดิน!AS40"")"),158)</f>
        <v>158</v>
      </c>
      <c r="K645" s="163">
        <f t="shared" si="271"/>
        <v>0</v>
      </c>
      <c r="L645" s="163"/>
      <c r="M645" s="163"/>
      <c r="N645" s="498"/>
      <c r="O645" s="163"/>
      <c r="P645" s="163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</row>
    <row r="646" spans="1:26" ht="18.75">
      <c r="A646" s="744"/>
      <c r="B646" s="575"/>
      <c r="C646" s="763"/>
      <c r="D646" s="626"/>
      <c r="E646" s="626"/>
      <c r="F646" s="626"/>
      <c r="G646" s="762"/>
      <c r="H646" s="76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IFERROR(__xludf.DUMMYFUNCTION("IMPORTRANGE(""https://docs.google.com/spreadsheets/d/1XWAQStnk-4SwqDmLtmXYiTMKHgktTP8We1SCoS47DrQ/edit?usp=sharing"",""จัดที่ดิน!AT40"")"),83.08)</f>
        <v>83.08</v>
      </c>
      <c r="K646" s="498">
        <f t="shared" si="271"/>
        <v>0</v>
      </c>
      <c r="L646" s="163"/>
      <c r="M646" s="163"/>
      <c r="N646" s="498"/>
      <c r="O646" s="163"/>
      <c r="P646" s="163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</row>
    <row r="647" spans="1:26" ht="18.75">
      <c r="A647" s="744"/>
      <c r="B647" s="575"/>
      <c r="C647" s="763"/>
      <c r="D647" s="626"/>
      <c r="E647" s="746" t="s">
        <v>162</v>
      </c>
      <c r="F647" s="626"/>
      <c r="G647" s="762"/>
      <c r="H647" s="764" t="s">
        <v>35</v>
      </c>
      <c r="I647" s="270">
        <f ca="1">IFERROR(__xludf.DUMMYFUNCTION("IMPORTRANGE(""https://docs.google.com/spreadsheets/d/1QqKyyYR6Q21VydFLVH3TRQUabQu_ym0Zz7PgGX0-kHA/edit?usp=sharing"",""แผน!HS40"")"),100)</f>
        <v>100</v>
      </c>
      <c r="J647" s="270">
        <f ca="1">IFERROR(__xludf.DUMMYFUNCTION("IMPORTRANGE(""https://docs.google.com/spreadsheets/d/1XWAQStnk-4SwqDmLtmXYiTMKHgktTP8We1SCoS47DrQ/edit?usp=sharing"",""จัดที่ดิน!AU40"")"),217)</f>
        <v>217</v>
      </c>
      <c r="K647" s="163">
        <f t="shared" ca="1" si="271"/>
        <v>217</v>
      </c>
      <c r="L647" s="163"/>
      <c r="M647" s="163"/>
      <c r="N647" s="163"/>
      <c r="O647" s="163"/>
      <c r="P647" s="163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</row>
    <row r="648" spans="1:26" ht="18.75">
      <c r="A648" s="744"/>
      <c r="B648" s="575"/>
      <c r="C648" s="763"/>
      <c r="D648" s="626"/>
      <c r="E648" s="626"/>
      <c r="F648" s="626"/>
      <c r="G648" s="762"/>
      <c r="H648" s="76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IFERROR(__xludf.DUMMYFUNCTION("IMPORTRANGE(""https://docs.google.com/spreadsheets/d/1XWAQStnk-4SwqDmLtmXYiTMKHgktTP8We1SCoS47DrQ/edit?usp=sharing"",""จัดที่ดิน!AV40"")"),128.74)</f>
        <v>128.74</v>
      </c>
      <c r="K648" s="498">
        <f t="shared" si="271"/>
        <v>0</v>
      </c>
      <c r="L648" s="163"/>
      <c r="M648" s="163"/>
      <c r="N648" s="163"/>
      <c r="O648" s="163"/>
      <c r="P648" s="163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</row>
    <row r="649" spans="1:26" ht="18.75">
      <c r="A649" s="744"/>
      <c r="B649" s="575"/>
      <c r="C649" s="763"/>
      <c r="D649" s="626"/>
      <c r="E649" s="746" t="s">
        <v>277</v>
      </c>
      <c r="F649" s="626"/>
      <c r="G649" s="762"/>
      <c r="H649" s="764" t="s">
        <v>35</v>
      </c>
      <c r="I649" s="270">
        <f ca="1">IFERROR(__xludf.DUMMYFUNCTION("IMPORTRANGE(""https://docs.google.com/spreadsheets/d/1QqKyyYR6Q21VydFLVH3TRQUabQu_ym0Zz7PgGX0-kHA/edit?usp=sharing"",""แผน!HS40"")"),100)</f>
        <v>100</v>
      </c>
      <c r="J649" s="270">
        <f ca="1">IFERROR(__xludf.DUMMYFUNCTION("IMPORTRANGE(""https://docs.google.com/spreadsheets/d/1XWAQStnk-4SwqDmLtmXYiTMKHgktTP8We1SCoS47DrQ/edit?usp=sharing"",""จัดที่ดิน!AW40"")"),218)</f>
        <v>218</v>
      </c>
      <c r="K649" s="163">
        <f t="shared" ca="1" si="271"/>
        <v>218</v>
      </c>
      <c r="L649" s="163"/>
      <c r="M649" s="163"/>
      <c r="N649" s="163"/>
      <c r="O649" s="163"/>
      <c r="P649" s="163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</row>
    <row r="650" spans="1:26" ht="18.75">
      <c r="A650" s="744"/>
      <c r="B650" s="575"/>
      <c r="C650" s="763"/>
      <c r="D650" s="626"/>
      <c r="E650" s="626"/>
      <c r="F650" s="626"/>
      <c r="G650" s="762"/>
      <c r="H650" s="76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IFERROR(__xludf.DUMMYFUNCTION("IMPORTRANGE(""https://docs.google.com/spreadsheets/d/1XWAQStnk-4SwqDmLtmXYiTMKHgktTP8We1SCoS47DrQ/edit?usp=sharing"",""จัดที่ดิน!AX40"")"),124.8)</f>
        <v>124.8</v>
      </c>
      <c r="K650" s="498">
        <f t="shared" si="271"/>
        <v>0</v>
      </c>
      <c r="L650" s="163"/>
      <c r="M650" s="163"/>
      <c r="N650" s="163"/>
      <c r="O650" s="163"/>
      <c r="P650" s="163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</row>
    <row r="651" spans="1:26" ht="18.75">
      <c r="A651" s="744"/>
      <c r="B651" s="575"/>
      <c r="C651" s="763"/>
      <c r="D651" s="626"/>
      <c r="E651" s="746" t="s">
        <v>278</v>
      </c>
      <c r="F651" s="626"/>
      <c r="G651" s="762"/>
      <c r="H651" s="764" t="s">
        <v>35</v>
      </c>
      <c r="I651" s="270">
        <f ca="1">IFERROR(__xludf.DUMMYFUNCTION("IMPORTRANGE(""https://docs.google.com/spreadsheets/d/1QqKyyYR6Q21VydFLVH3TRQUabQu_ym0Zz7PgGX0-kHA/edit?usp=sharing"",""แผน!HS40"")"),100)</f>
        <v>100</v>
      </c>
      <c r="J651" s="270">
        <f ca="1">IFERROR(__xludf.DUMMYFUNCTION("IMPORTRANGE(""https://docs.google.com/spreadsheets/d/1XWAQStnk-4SwqDmLtmXYiTMKHgktTP8We1SCoS47DrQ/edit?usp=sharing"",""จัดที่ดิน!AY40"")"),202)</f>
        <v>202</v>
      </c>
      <c r="K651" s="163">
        <f t="shared" ca="1" si="271"/>
        <v>202</v>
      </c>
      <c r="L651" s="163"/>
      <c r="M651" s="163"/>
      <c r="N651" s="163"/>
      <c r="O651" s="163"/>
      <c r="P651" s="163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</row>
    <row r="652" spans="1:26" ht="18.75">
      <c r="A652" s="74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8"/>
      <c r="C652" s="749"/>
      <c r="D652" s="734"/>
      <c r="E652" s="734"/>
      <c r="F652" s="734"/>
      <c r="G652" s="735"/>
      <c r="H652" s="505" t="s">
        <v>46</v>
      </c>
      <c r="I652" s="506">
        <v>0</v>
      </c>
      <c r="J652" s="506">
        <f ca="1">IFERROR(__xludf.DUMMYFUNCTION("IMPORTRANGE(""https://docs.google.com/spreadsheets/d/1XWAQStnk-4SwqDmLtmXYiTMKHgktTP8We1SCoS47DrQ/edit?usp=sharing"",""จัดที่ดิน!AZ40"")"),118.0425)</f>
        <v>118.0425</v>
      </c>
      <c r="K652" s="507">
        <f t="shared" si="271"/>
        <v>0</v>
      </c>
      <c r="L652" s="385"/>
      <c r="M652" s="385"/>
      <c r="N652" s="385"/>
      <c r="O652" s="385"/>
      <c r="P652" s="385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</row>
    <row r="653" spans="1:26" ht="19.5" hidden="1">
      <c r="A653" s="750">
        <v>8</v>
      </c>
      <c r="B653" s="737" t="s">
        <v>279</v>
      </c>
      <c r="C653" s="738"/>
      <c r="D653" s="738"/>
      <c r="E653" s="738"/>
      <c r="F653" s="738"/>
      <c r="G653" s="739"/>
      <c r="H653" s="739"/>
      <c r="I653" s="751"/>
      <c r="J653" s="751"/>
      <c r="K653" s="743"/>
      <c r="L653" s="743"/>
      <c r="M653" s="743"/>
      <c r="N653" s="743"/>
      <c r="O653" s="743"/>
      <c r="P653" s="743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</row>
    <row r="654" spans="1:26" ht="19.5" hidden="1">
      <c r="A654" s="673"/>
      <c r="B654" s="672" t="s">
        <v>280</v>
      </c>
      <c r="C654" s="673"/>
      <c r="D654" s="673"/>
      <c r="E654" s="673"/>
      <c r="F654" s="673"/>
      <c r="G654" s="674"/>
      <c r="H654" s="707" t="s">
        <v>46</v>
      </c>
      <c r="I654" s="708">
        <f t="shared" ref="I654:J654" ca="1" si="272">I669</f>
        <v>0</v>
      </c>
      <c r="J654" s="708">
        <f t="shared" si="272"/>
        <v>0</v>
      </c>
      <c r="K654" s="677">
        <f ca="1">IF(I654&gt;0,J654*100/I654,0)</f>
        <v>0</v>
      </c>
      <c r="L654" s="678"/>
      <c r="M654" s="678"/>
      <c r="N654" s="678"/>
      <c r="O654" s="678"/>
      <c r="P654" s="6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</row>
    <row r="655" spans="1:26" ht="19.5" hidden="1">
      <c r="A655" s="597"/>
      <c r="B655" s="763"/>
      <c r="C655" s="763" t="s">
        <v>16</v>
      </c>
      <c r="D655" s="863" t="s">
        <v>17</v>
      </c>
      <c r="E655" s="857"/>
      <c r="F655" s="857"/>
      <c r="G655" s="189"/>
      <c r="H655" s="598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</row>
    <row r="656" spans="1:26" ht="18.75" hidden="1">
      <c r="A656" s="599"/>
      <c r="B656" s="759"/>
      <c r="C656" s="759"/>
      <c r="D656" s="720"/>
      <c r="E656" s="759" t="s">
        <v>185</v>
      </c>
      <c r="F656" s="759"/>
      <c r="G656" s="603"/>
      <c r="H656" s="165" t="s">
        <v>12</v>
      </c>
      <c r="I656" s="617"/>
      <c r="J656" s="617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4"/>
      <c r="R656" s="604"/>
      <c r="S656" s="604"/>
      <c r="T656" s="604"/>
      <c r="U656" s="604"/>
      <c r="V656" s="604"/>
      <c r="W656" s="604"/>
      <c r="X656" s="604"/>
      <c r="Y656" s="604"/>
      <c r="Z656" s="604"/>
    </row>
    <row r="657" spans="1:26" ht="18.75" hidden="1">
      <c r="A657" s="599"/>
      <c r="B657" s="607"/>
      <c r="C657" s="759"/>
      <c r="D657" s="720"/>
      <c r="E657" s="759" t="s">
        <v>186</v>
      </c>
      <c r="F657" s="759"/>
      <c r="G657" s="603"/>
      <c r="H657" s="165" t="s">
        <v>12</v>
      </c>
      <c r="I657" s="617"/>
      <c r="J657" s="617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4"/>
      <c r="R657" s="604"/>
      <c r="S657" s="604"/>
      <c r="T657" s="604"/>
      <c r="U657" s="604"/>
      <c r="V657" s="604"/>
      <c r="W657" s="604"/>
      <c r="X657" s="604"/>
      <c r="Y657" s="604"/>
      <c r="Z657" s="604"/>
    </row>
    <row r="658" spans="1:26" ht="18.75" hidden="1">
      <c r="A658" s="597"/>
      <c r="B658" s="575"/>
      <c r="C658" s="763"/>
      <c r="D658" s="606" t="s">
        <v>20</v>
      </c>
      <c r="E658" s="763"/>
      <c r="F658" s="763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</row>
    <row r="659" spans="1:26" ht="18.75" hidden="1">
      <c r="A659" s="599"/>
      <c r="B659" s="607"/>
      <c r="C659" s="759"/>
      <c r="D659" s="720"/>
      <c r="E659" s="759" t="s">
        <v>185</v>
      </c>
      <c r="F659" s="759"/>
      <c r="G659" s="603"/>
      <c r="H659" s="165" t="s">
        <v>12</v>
      </c>
      <c r="I659" s="617"/>
      <c r="J659" s="617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4"/>
      <c r="R659" s="604"/>
      <c r="S659" s="604"/>
      <c r="T659" s="604"/>
      <c r="U659" s="604"/>
      <c r="V659" s="604"/>
      <c r="W659" s="604"/>
      <c r="X659" s="604"/>
      <c r="Y659" s="604"/>
      <c r="Z659" s="604"/>
    </row>
    <row r="660" spans="1:26" ht="18.75" hidden="1">
      <c r="A660" s="599"/>
      <c r="B660" s="607"/>
      <c r="C660" s="759"/>
      <c r="D660" s="720"/>
      <c r="E660" s="759" t="s">
        <v>186</v>
      </c>
      <c r="F660" s="759"/>
      <c r="G660" s="603"/>
      <c r="H660" s="165" t="s">
        <v>12</v>
      </c>
      <c r="I660" s="617"/>
      <c r="J660" s="617"/>
      <c r="K660" s="93"/>
      <c r="L660" s="93">
        <f ca="1">IFERROR(__xludf.DUMMYFUNCTION("IMPORTRANGE(""https://docs.google.com/spreadsheets/d/1QqKyyYR6Q21VydFLVH3TRQUabQu_ym0Zz7PgGX0-kHA/edit?usp=sharing"",""แผน!HV40"")"),0)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4"/>
      <c r="R660" s="604"/>
      <c r="S660" s="604"/>
      <c r="T660" s="604"/>
      <c r="U660" s="604"/>
      <c r="V660" s="604"/>
      <c r="W660" s="604"/>
      <c r="X660" s="604"/>
      <c r="Y660" s="604"/>
      <c r="Z660" s="604"/>
    </row>
    <row r="661" spans="1:26" ht="18.75" hidden="1">
      <c r="A661" s="574"/>
      <c r="B661" s="575"/>
      <c r="C661" s="763"/>
      <c r="D661" s="763"/>
      <c r="E661" s="763"/>
      <c r="F661" s="763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40">
        <v>0</v>
      </c>
      <c r="O661" s="498"/>
      <c r="P661" s="49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</row>
    <row r="662" spans="1:26" ht="18.75" hidden="1">
      <c r="A662" s="574"/>
      <c r="B662" s="575"/>
      <c r="C662" s="763"/>
      <c r="D662" s="763"/>
      <c r="E662" s="763"/>
      <c r="F662" s="763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40">
        <v>0</v>
      </c>
      <c r="O662" s="498"/>
      <c r="P662" s="49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</row>
    <row r="663" spans="1:26" ht="18.75" hidden="1">
      <c r="A663" s="574"/>
      <c r="B663" s="575"/>
      <c r="C663" s="575"/>
      <c r="D663" s="763"/>
      <c r="E663" s="763"/>
      <c r="F663" s="763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40">
        <v>0</v>
      </c>
      <c r="O663" s="498"/>
      <c r="P663" s="49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</row>
    <row r="664" spans="1:26" ht="18.75" hidden="1">
      <c r="A664" s="574"/>
      <c r="B664" s="575"/>
      <c r="C664" s="575"/>
      <c r="D664" s="575"/>
      <c r="E664" s="763"/>
      <c r="F664" s="763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40">
        <v>0</v>
      </c>
      <c r="O664" s="498"/>
      <c r="P664" s="49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</row>
    <row r="665" spans="1:26" ht="18.75" hidden="1">
      <c r="A665" s="597"/>
      <c r="B665" s="575"/>
      <c r="C665" s="575"/>
      <c r="D665" s="606" t="s">
        <v>21</v>
      </c>
      <c r="E665" s="763"/>
      <c r="F665" s="763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</row>
    <row r="666" spans="1:26" ht="18.75" hidden="1">
      <c r="A666" s="599"/>
      <c r="B666" s="607"/>
      <c r="C666" s="607"/>
      <c r="D666" s="607"/>
      <c r="E666" s="759" t="s">
        <v>18</v>
      </c>
      <c r="F666" s="759"/>
      <c r="G666" s="603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4"/>
      <c r="R666" s="604"/>
      <c r="S666" s="604"/>
      <c r="T666" s="604"/>
      <c r="U666" s="604"/>
      <c r="V666" s="604"/>
      <c r="W666" s="604"/>
      <c r="X666" s="604"/>
      <c r="Y666" s="604"/>
      <c r="Z666" s="604"/>
    </row>
    <row r="667" spans="1:26" ht="18.75" hidden="1">
      <c r="A667" s="599"/>
      <c r="B667" s="607"/>
      <c r="C667" s="607"/>
      <c r="D667" s="607"/>
      <c r="E667" s="759" t="s">
        <v>19</v>
      </c>
      <c r="F667" s="759"/>
      <c r="G667" s="603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4"/>
      <c r="R667" s="604"/>
      <c r="S667" s="604"/>
      <c r="T667" s="604"/>
      <c r="U667" s="604"/>
      <c r="V667" s="604"/>
      <c r="W667" s="604"/>
      <c r="X667" s="604"/>
      <c r="Y667" s="604"/>
      <c r="Z667" s="604"/>
    </row>
    <row r="668" spans="1:26" ht="19.5" hidden="1">
      <c r="A668" s="608"/>
      <c r="B668" s="618"/>
      <c r="C668" s="575" t="s">
        <v>16</v>
      </c>
      <c r="D668" s="893" t="s">
        <v>38</v>
      </c>
      <c r="E668" s="761"/>
      <c r="F668" s="761"/>
      <c r="G668" s="613"/>
      <c r="H668" s="762"/>
      <c r="I668" s="184"/>
      <c r="J668" s="184"/>
      <c r="K668" s="163"/>
      <c r="L668" s="163"/>
      <c r="M668" s="163"/>
      <c r="N668" s="163"/>
      <c r="O668" s="163"/>
      <c r="P668" s="163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</row>
    <row r="669" spans="1:26" ht="19.5" hidden="1">
      <c r="A669" s="608"/>
      <c r="B669" s="618"/>
      <c r="C669" s="618"/>
      <c r="D669" s="618" t="s">
        <v>281</v>
      </c>
      <c r="E669" s="626"/>
      <c r="F669" s="626"/>
      <c r="G669" s="762"/>
      <c r="H669" s="767" t="s">
        <v>46</v>
      </c>
      <c r="I669" s="681">
        <f ca="1">IFERROR(__xludf.DUMMYFUNCTION("IMPORTRANGE(""https://docs.google.com/spreadsheets/d/1QqKyyYR6Q21VydFLVH3TRQUabQu_ym0Zz7PgGX0-kHA/edit?usp=sharing"",""แผน!IA40"")"),0)</f>
        <v>0</v>
      </c>
      <c r="J669" s="681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</row>
    <row r="670" spans="1:26" ht="18.75" hidden="1">
      <c r="A670" s="608"/>
      <c r="B670" s="618"/>
      <c r="C670" s="618"/>
      <c r="D670" s="618"/>
      <c r="E670" s="626" t="s">
        <v>282</v>
      </c>
      <c r="F670" s="626"/>
      <c r="G670" s="762"/>
      <c r="H670" s="764" t="s">
        <v>66</v>
      </c>
      <c r="I670" s="270">
        <f ca="1">IFERROR(__xludf.DUMMYFUNCTION("IMPORTRANGE(""https://docs.google.com/spreadsheets/d/1QqKyyYR6Q21VydFLVH3TRQUabQu_ym0Zz7PgGX0-kHA/edit?usp=sharing"",""แผน!HZ40"")"),0)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</row>
    <row r="671" spans="1:26" ht="18.75" hidden="1">
      <c r="A671" s="608"/>
      <c r="B671" s="618"/>
      <c r="C671" s="618"/>
      <c r="D671" s="618"/>
      <c r="E671" s="626" t="s">
        <v>283</v>
      </c>
      <c r="F671" s="626"/>
      <c r="G671" s="762"/>
      <c r="H671" s="764" t="s">
        <v>66</v>
      </c>
      <c r="I671" s="270">
        <f ca="1">IFERROR(__xludf.DUMMYFUNCTION("IMPORTRANGE(""https://docs.google.com/spreadsheets/d/1QqKyyYR6Q21VydFLVH3TRQUabQu_ym0Zz7PgGX0-kHA/edit?usp=sharing"",""แผน!HZ40"")"),0)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</row>
    <row r="672" spans="1:26" ht="18.75" hidden="1">
      <c r="A672" s="608"/>
      <c r="B672" s="618"/>
      <c r="C672" s="618"/>
      <c r="D672" s="618"/>
      <c r="E672" s="626" t="s">
        <v>284</v>
      </c>
      <c r="F672" s="626"/>
      <c r="G672" s="762"/>
      <c r="H672" s="764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</row>
    <row r="673" spans="1:26" ht="18.75" hidden="1">
      <c r="A673" s="608"/>
      <c r="B673" s="618"/>
      <c r="C673" s="618"/>
      <c r="D673" s="618"/>
      <c r="E673" s="626" t="s">
        <v>285</v>
      </c>
      <c r="F673" s="626"/>
      <c r="G673" s="762"/>
      <c r="H673" s="764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</row>
    <row r="674" spans="1:26" ht="18.75" hidden="1">
      <c r="A674" s="608"/>
      <c r="B674" s="618"/>
      <c r="C674" s="618"/>
      <c r="D674" s="618"/>
      <c r="E674" s="626" t="s">
        <v>286</v>
      </c>
      <c r="F674" s="626"/>
      <c r="G674" s="762"/>
      <c r="H674" s="764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</row>
    <row r="675" spans="1:26" ht="19.5" hidden="1">
      <c r="A675" s="608"/>
      <c r="B675" s="618"/>
      <c r="C675" s="618"/>
      <c r="D675" s="618"/>
      <c r="E675" s="626" t="s">
        <v>287</v>
      </c>
      <c r="F675" s="626"/>
      <c r="G675" s="762"/>
      <c r="H675" s="764" t="s">
        <v>46</v>
      </c>
      <c r="I675" s="270"/>
      <c r="J675" s="681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</row>
    <row r="676" spans="1:26" ht="18.75" hidden="1">
      <c r="A676" s="608"/>
      <c r="B676" s="618"/>
      <c r="C676" s="618"/>
      <c r="D676" s="618"/>
      <c r="E676" s="626"/>
      <c r="F676" s="626" t="s">
        <v>288</v>
      </c>
      <c r="G676" s="762"/>
      <c r="H676" s="764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</row>
    <row r="677" spans="1:26" ht="18.75" hidden="1">
      <c r="A677" s="608"/>
      <c r="B677" s="618"/>
      <c r="C677" s="618"/>
      <c r="D677" s="618"/>
      <c r="E677" s="626"/>
      <c r="F677" s="626" t="s">
        <v>289</v>
      </c>
      <c r="G677" s="762"/>
      <c r="H677" s="764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</row>
    <row r="678" spans="1:26" ht="19.5" hidden="1">
      <c r="A678" s="608"/>
      <c r="B678" s="618"/>
      <c r="C678" s="618"/>
      <c r="D678" s="618" t="s">
        <v>290</v>
      </c>
      <c r="E678" s="626"/>
      <c r="F678" s="626"/>
      <c r="G678" s="762"/>
      <c r="H678" s="764" t="s">
        <v>46</v>
      </c>
      <c r="I678" s="681">
        <f ca="1">IFERROR(__xludf.DUMMYFUNCTION("IMPORTRANGE(""https://docs.google.com/spreadsheets/d/1QqKyyYR6Q21VydFLVH3TRQUabQu_ym0Zz7PgGX0-kHA/edit?usp=sharing"",""แผน!IB40"")"),0)</f>
        <v>0</v>
      </c>
      <c r="J678" s="681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</row>
    <row r="679" spans="1:26" ht="18.75" hidden="1">
      <c r="A679" s="608"/>
      <c r="B679" s="618"/>
      <c r="C679" s="618"/>
      <c r="D679" s="618"/>
      <c r="E679" s="626" t="s">
        <v>291</v>
      </c>
      <c r="F679" s="626"/>
      <c r="G679" s="762"/>
      <c r="H679" s="764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</row>
    <row r="680" spans="1:26" ht="18.75" hidden="1">
      <c r="A680" s="608"/>
      <c r="B680" s="618"/>
      <c r="C680" s="618"/>
      <c r="D680" s="618"/>
      <c r="E680" s="626"/>
      <c r="F680" s="626" t="s">
        <v>288</v>
      </c>
      <c r="G680" s="762"/>
      <c r="H680" s="764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</row>
    <row r="681" spans="1:26" ht="18.75" hidden="1">
      <c r="A681" s="608"/>
      <c r="B681" s="618"/>
      <c r="C681" s="618"/>
      <c r="D681" s="618"/>
      <c r="E681" s="626"/>
      <c r="F681" s="626" t="s">
        <v>289</v>
      </c>
      <c r="G681" s="762"/>
      <c r="H681" s="764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</row>
    <row r="682" spans="1:26" ht="18.75" hidden="1">
      <c r="A682" s="608"/>
      <c r="B682" s="618"/>
      <c r="C682" s="618"/>
      <c r="D682" s="618"/>
      <c r="E682" s="626" t="s">
        <v>292</v>
      </c>
      <c r="F682" s="626"/>
      <c r="G682" s="762"/>
      <c r="H682" s="764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</row>
    <row r="683" spans="1:26" ht="18.75" hidden="1">
      <c r="A683" s="608"/>
      <c r="B683" s="618"/>
      <c r="C683" s="618"/>
      <c r="D683" s="618"/>
      <c r="E683" s="626"/>
      <c r="F683" s="626" t="s">
        <v>293</v>
      </c>
      <c r="G683" s="762"/>
      <c r="H683" s="764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</row>
    <row r="684" spans="1:26" ht="19.5" hidden="1">
      <c r="A684" s="753"/>
      <c r="B684" s="754" t="s">
        <v>294</v>
      </c>
      <c r="C684" s="753"/>
      <c r="D684" s="753"/>
      <c r="E684" s="753"/>
      <c r="F684" s="753"/>
      <c r="G684" s="755"/>
      <c r="H684" s="755"/>
      <c r="I684" s="756"/>
      <c r="J684" s="756"/>
      <c r="K684" s="757"/>
      <c r="L684" s="757"/>
      <c r="M684" s="757"/>
      <c r="N684" s="757"/>
      <c r="O684" s="757"/>
      <c r="P684" s="757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</row>
    <row r="685" spans="1:26" ht="19.5" hidden="1">
      <c r="A685" s="597"/>
      <c r="B685" s="763"/>
      <c r="C685" s="763" t="s">
        <v>16</v>
      </c>
      <c r="D685" s="863" t="s">
        <v>17</v>
      </c>
      <c r="E685" s="857"/>
      <c r="F685" s="857"/>
      <c r="G685" s="189"/>
      <c r="H685" s="598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</row>
    <row r="686" spans="1:26" ht="18.75" hidden="1">
      <c r="A686" s="599"/>
      <c r="B686" s="759"/>
      <c r="C686" s="759"/>
      <c r="D686" s="720"/>
      <c r="E686" s="759" t="s">
        <v>185</v>
      </c>
      <c r="F686" s="759"/>
      <c r="G686" s="603"/>
      <c r="H686" s="165" t="s">
        <v>12</v>
      </c>
      <c r="I686" s="617"/>
      <c r="J686" s="617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4"/>
      <c r="R686" s="604"/>
      <c r="S686" s="604"/>
      <c r="T686" s="604"/>
      <c r="U686" s="604"/>
      <c r="V686" s="604"/>
      <c r="W686" s="604"/>
      <c r="X686" s="604"/>
      <c r="Y686" s="604"/>
      <c r="Z686" s="604"/>
    </row>
    <row r="687" spans="1:26" ht="18.75" hidden="1">
      <c r="A687" s="599"/>
      <c r="B687" s="607"/>
      <c r="C687" s="759"/>
      <c r="D687" s="720"/>
      <c r="E687" s="759" t="s">
        <v>186</v>
      </c>
      <c r="F687" s="759"/>
      <c r="G687" s="603"/>
      <c r="H687" s="165" t="s">
        <v>12</v>
      </c>
      <c r="I687" s="617"/>
      <c r="J687" s="617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4"/>
      <c r="R687" s="604"/>
      <c r="S687" s="604"/>
      <c r="T687" s="604"/>
      <c r="U687" s="604"/>
      <c r="V687" s="604"/>
      <c r="W687" s="604"/>
      <c r="X687" s="604"/>
      <c r="Y687" s="604"/>
      <c r="Z687" s="604"/>
    </row>
    <row r="688" spans="1:26" ht="18.75" hidden="1">
      <c r="A688" s="597"/>
      <c r="B688" s="575"/>
      <c r="C688" s="763"/>
      <c r="D688" s="606" t="s">
        <v>20</v>
      </c>
      <c r="E688" s="763"/>
      <c r="F688" s="763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8"/>
      <c r="R688" s="578"/>
      <c r="S688" s="578"/>
      <c r="T688" s="578"/>
      <c r="U688" s="578"/>
      <c r="V688" s="578"/>
      <c r="W688" s="578"/>
      <c r="X688" s="578"/>
      <c r="Y688" s="578"/>
      <c r="Z688" s="578"/>
    </row>
    <row r="689" spans="1:26" ht="18.75" hidden="1">
      <c r="A689" s="599"/>
      <c r="B689" s="607"/>
      <c r="C689" s="759"/>
      <c r="D689" s="720"/>
      <c r="E689" s="759" t="s">
        <v>185</v>
      </c>
      <c r="F689" s="759"/>
      <c r="G689" s="603"/>
      <c r="H689" s="165" t="s">
        <v>12</v>
      </c>
      <c r="I689" s="617"/>
      <c r="J689" s="617"/>
      <c r="K689" s="93"/>
      <c r="L689" s="93">
        <v>0</v>
      </c>
      <c r="M689" s="93">
        <v>0</v>
      </c>
      <c r="N689" s="93">
        <v>0</v>
      </c>
      <c r="O689" s="93"/>
      <c r="P689" s="93"/>
      <c r="Q689" s="604"/>
      <c r="R689" s="604"/>
      <c r="S689" s="604"/>
      <c r="T689" s="604"/>
      <c r="U689" s="604"/>
      <c r="V689" s="604"/>
      <c r="W689" s="604"/>
      <c r="X689" s="604"/>
      <c r="Y689" s="604"/>
      <c r="Z689" s="604"/>
    </row>
    <row r="690" spans="1:26" ht="18.75" hidden="1">
      <c r="A690" s="599"/>
      <c r="B690" s="607"/>
      <c r="C690" s="759"/>
      <c r="D690" s="720"/>
      <c r="E690" s="759" t="s">
        <v>186</v>
      </c>
      <c r="F690" s="759"/>
      <c r="G690" s="603"/>
      <c r="H690" s="165" t="s">
        <v>12</v>
      </c>
      <c r="I690" s="617"/>
      <c r="J690" s="617"/>
      <c r="K690" s="93"/>
      <c r="L690" s="93">
        <f ca="1">IFERROR(__xludf.DUMMYFUNCTION("IMPORTRANGE(""https://docs.google.com/spreadsheets/d/1QqKyyYR6Q21VydFLVH3TRQUabQu_ym0Zz7PgGX0-kHA/edit?usp=sharing"",""แผน!HW40"")"),0)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4"/>
      <c r="R690" s="604"/>
      <c r="S690" s="604"/>
      <c r="T690" s="604"/>
      <c r="U690" s="604"/>
      <c r="V690" s="604"/>
      <c r="W690" s="604"/>
      <c r="X690" s="604"/>
      <c r="Y690" s="604"/>
      <c r="Z690" s="604"/>
    </row>
    <row r="691" spans="1:26" ht="18.75" hidden="1">
      <c r="A691" s="574"/>
      <c r="B691" s="575"/>
      <c r="C691" s="763"/>
      <c r="D691" s="763"/>
      <c r="E691" s="763"/>
      <c r="F691" s="763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40">
        <v>0</v>
      </c>
      <c r="O691" s="498"/>
      <c r="P691" s="49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</row>
    <row r="692" spans="1:26" ht="18.75" hidden="1">
      <c r="A692" s="574"/>
      <c r="B692" s="575"/>
      <c r="C692" s="763"/>
      <c r="D692" s="763"/>
      <c r="E692" s="763"/>
      <c r="F692" s="763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40">
        <v>0</v>
      </c>
      <c r="O692" s="498"/>
      <c r="P692" s="49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</row>
    <row r="693" spans="1:26" ht="18.75" hidden="1">
      <c r="A693" s="574"/>
      <c r="B693" s="575"/>
      <c r="C693" s="763"/>
      <c r="D693" s="763"/>
      <c r="E693" s="763"/>
      <c r="F693" s="763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40">
        <v>0</v>
      </c>
      <c r="O693" s="498"/>
      <c r="P693" s="49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</row>
    <row r="694" spans="1:26" ht="18.75" hidden="1">
      <c r="A694" s="574"/>
      <c r="B694" s="575"/>
      <c r="C694" s="763"/>
      <c r="D694" s="763"/>
      <c r="E694" s="763"/>
      <c r="F694" s="763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40">
        <v>0</v>
      </c>
      <c r="O694" s="498"/>
      <c r="P694" s="49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</row>
    <row r="695" spans="1:26" ht="18.75" hidden="1">
      <c r="A695" s="597"/>
      <c r="B695" s="575"/>
      <c r="C695" s="763"/>
      <c r="D695" s="606" t="s">
        <v>21</v>
      </c>
      <c r="E695" s="763"/>
      <c r="F695" s="763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</row>
    <row r="696" spans="1:26" ht="18.75" hidden="1">
      <c r="A696" s="599"/>
      <c r="B696" s="607"/>
      <c r="C696" s="759"/>
      <c r="D696" s="759"/>
      <c r="E696" s="759" t="s">
        <v>18</v>
      </c>
      <c r="F696" s="759"/>
      <c r="G696" s="603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4"/>
      <c r="R696" s="604"/>
      <c r="S696" s="604"/>
      <c r="T696" s="604"/>
      <c r="U696" s="604"/>
      <c r="V696" s="604"/>
      <c r="W696" s="604"/>
      <c r="X696" s="604"/>
      <c r="Y696" s="604"/>
      <c r="Z696" s="604"/>
    </row>
    <row r="697" spans="1:26" ht="18.75" hidden="1">
      <c r="A697" s="599"/>
      <c r="B697" s="607"/>
      <c r="C697" s="759"/>
      <c r="D697" s="759"/>
      <c r="E697" s="759" t="s">
        <v>19</v>
      </c>
      <c r="F697" s="759"/>
      <c r="G697" s="603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4"/>
      <c r="R697" s="604"/>
      <c r="S697" s="604"/>
      <c r="T697" s="604"/>
      <c r="U697" s="604"/>
      <c r="V697" s="604"/>
      <c r="W697" s="604"/>
      <c r="X697" s="604"/>
      <c r="Y697" s="604"/>
      <c r="Z697" s="604"/>
    </row>
    <row r="698" spans="1:26" ht="19.5" hidden="1">
      <c r="A698" s="608"/>
      <c r="B698" s="618"/>
      <c r="C698" s="763" t="s">
        <v>16</v>
      </c>
      <c r="D698" s="898" t="s">
        <v>38</v>
      </c>
      <c r="E698" s="761"/>
      <c r="F698" s="761"/>
      <c r="G698" s="613"/>
      <c r="H698" s="762"/>
      <c r="I698" s="184"/>
      <c r="J698" s="184"/>
      <c r="K698" s="163"/>
      <c r="L698" s="163"/>
      <c r="M698" s="163"/>
      <c r="N698" s="163"/>
      <c r="O698" s="163"/>
      <c r="P698" s="163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</row>
    <row r="699" spans="1:26" ht="18.75" hidden="1">
      <c r="A699" s="744"/>
      <c r="B699" s="763"/>
      <c r="C699" s="763"/>
      <c r="D699" s="763" t="s">
        <v>295</v>
      </c>
      <c r="E699" s="763"/>
      <c r="F699" s="763"/>
      <c r="G699" s="189"/>
      <c r="H699" s="764" t="s">
        <v>46</v>
      </c>
      <c r="I699" s="765">
        <f ca="1">IFERROR(__xludf.DUMMYFUNCTION("IMPORTRANGE(""https://docs.google.com/spreadsheets/d/1QqKyyYR6Q21VydFLVH3TRQUabQu_ym0Zz7PgGX0-kHA/edit?usp=sharing"",""แผน!IC40"")"),0)</f>
        <v>0</v>
      </c>
      <c r="J699" s="270">
        <f ca="1">IFERROR(__xludf.DUMMYFUNCTION("IMPORTRANGE(""https://docs.google.com/spreadsheets/d/1XWAQStnk-4SwqDmLtmXYiTMKHgktTP8We1SCoS47DrQ/edit?usp=sharing"",""จัดที่ดิน!BB40"")"),0)</f>
        <v>0</v>
      </c>
      <c r="K699" s="498">
        <f t="shared" ref="K699:K701" ca="1" si="290">IF(I699&gt;0,J699*100/I699,0)</f>
        <v>0</v>
      </c>
      <c r="L699" s="498"/>
      <c r="M699" s="189"/>
      <c r="N699" s="766"/>
      <c r="O699" s="498"/>
      <c r="P699" s="49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</row>
    <row r="700" spans="1:26" ht="18.75" hidden="1">
      <c r="A700" s="744"/>
      <c r="B700" s="763"/>
      <c r="C700" s="763"/>
      <c r="D700" s="763" t="s">
        <v>296</v>
      </c>
      <c r="E700" s="763"/>
      <c r="F700" s="763"/>
      <c r="G700" s="189"/>
      <c r="H700" s="764" t="s">
        <v>35</v>
      </c>
      <c r="I700" s="765">
        <f ca="1">IFERROR(__xludf.DUMMYFUNCTION("IMPORTRANGE(""https://docs.google.com/spreadsheets/d/1QqKyyYR6Q21VydFLVH3TRQUabQu_ym0Zz7PgGX0-kHA/edit?usp=sharing"",""แผน!ID40"")"),0)</f>
        <v>0</v>
      </c>
      <c r="J700" s="270">
        <f ca="1">IFERROR(__xludf.DUMMYFUNCTION("IMPORTRANGE(""https://docs.google.com/spreadsheets/d/1XWAQStnk-4SwqDmLtmXYiTMKHgktTP8We1SCoS47DrQ/edit?usp=sharing"",""จัดที่ดิน!BD40"")"),0)</f>
        <v>0</v>
      </c>
      <c r="K700" s="498">
        <f t="shared" ca="1" si="290"/>
        <v>0</v>
      </c>
      <c r="L700" s="498"/>
      <c r="M700" s="189"/>
      <c r="N700" s="766"/>
      <c r="O700" s="498"/>
      <c r="P700" s="49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</row>
    <row r="701" spans="1:26" ht="19.5" hidden="1">
      <c r="A701" s="744"/>
      <c r="B701" s="763"/>
      <c r="C701" s="763"/>
      <c r="D701" s="763" t="s">
        <v>297</v>
      </c>
      <c r="E701" s="763"/>
      <c r="F701" s="763"/>
      <c r="G701" s="189"/>
      <c r="H701" s="767" t="s">
        <v>46</v>
      </c>
      <c r="I701" s="768">
        <f ca="1">IFERROR(__xludf.DUMMYFUNCTION("IMPORTRANGE(""https://docs.google.com/spreadsheets/d/1QqKyyYR6Q21VydFLVH3TRQUabQu_ym0Zz7PgGX0-kHA/edit?usp=sharing"",""แผน!IE40"")"),0)</f>
        <v>0</v>
      </c>
      <c r="J701" s="681">
        <f>J704+J707</f>
        <v>0</v>
      </c>
      <c r="K701" s="195">
        <f t="shared" ca="1" si="290"/>
        <v>0</v>
      </c>
      <c r="L701" s="498"/>
      <c r="M701" s="189"/>
      <c r="N701" s="766"/>
      <c r="O701" s="498"/>
      <c r="P701" s="49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</row>
    <row r="702" spans="1:26" ht="18.75" hidden="1">
      <c r="A702" s="744"/>
      <c r="B702" s="763"/>
      <c r="C702" s="763"/>
      <c r="D702" s="763"/>
      <c r="E702" s="763" t="s">
        <v>298</v>
      </c>
      <c r="F702" s="763"/>
      <c r="G702" s="189"/>
      <c r="H702" s="764" t="s">
        <v>35</v>
      </c>
      <c r="I702" s="765"/>
      <c r="J702" s="215">
        <v>0</v>
      </c>
      <c r="K702" s="498"/>
      <c r="L702" s="498"/>
      <c r="M702" s="189"/>
      <c r="N702" s="766"/>
      <c r="O702" s="498"/>
      <c r="P702" s="49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</row>
    <row r="703" spans="1:26" ht="18.75" hidden="1">
      <c r="A703" s="744"/>
      <c r="B703" s="763"/>
      <c r="C703" s="763"/>
      <c r="D703" s="763"/>
      <c r="E703" s="763"/>
      <c r="F703" s="763"/>
      <c r="G703" s="189"/>
      <c r="H703" s="764" t="s">
        <v>34</v>
      </c>
      <c r="I703" s="765"/>
      <c r="J703" s="215">
        <v>0</v>
      </c>
      <c r="K703" s="498"/>
      <c r="L703" s="498"/>
      <c r="M703" s="189"/>
      <c r="N703" s="766"/>
      <c r="O703" s="498"/>
      <c r="P703" s="49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</row>
    <row r="704" spans="1:26" ht="18.75" hidden="1">
      <c r="A704" s="744"/>
      <c r="B704" s="763"/>
      <c r="C704" s="763"/>
      <c r="D704" s="763"/>
      <c r="E704" s="763"/>
      <c r="F704" s="763"/>
      <c r="G704" s="189"/>
      <c r="H704" s="764" t="s">
        <v>46</v>
      </c>
      <c r="I704" s="765">
        <f ca="1">IFERROR(__xludf.DUMMYFUNCTION("IMPORTRANGE(""https://docs.google.com/spreadsheets/d/1QqKyyYR6Q21VydFLVH3TRQUabQu_ym0Zz7PgGX0-kHA/edit?usp=sharing"",""แผน!IF40"")"),0)</f>
        <v>0</v>
      </c>
      <c r="J704" s="215">
        <v>0</v>
      </c>
      <c r="K704" s="498"/>
      <c r="L704" s="498"/>
      <c r="M704" s="189"/>
      <c r="N704" s="766"/>
      <c r="O704" s="498"/>
      <c r="P704" s="49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</row>
    <row r="705" spans="1:26" ht="18.75" hidden="1">
      <c r="A705" s="744"/>
      <c r="B705" s="763"/>
      <c r="C705" s="763"/>
      <c r="D705" s="763"/>
      <c r="E705" s="763" t="s">
        <v>299</v>
      </c>
      <c r="F705" s="763"/>
      <c r="G705" s="189"/>
      <c r="H705" s="764" t="s">
        <v>35</v>
      </c>
      <c r="I705" s="765"/>
      <c r="J705" s="215">
        <v>0</v>
      </c>
      <c r="K705" s="498"/>
      <c r="L705" s="498"/>
      <c r="M705" s="189"/>
      <c r="N705" s="766"/>
      <c r="O705" s="498"/>
      <c r="P705" s="49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</row>
    <row r="706" spans="1:26" ht="18.75" hidden="1">
      <c r="A706" s="744"/>
      <c r="B706" s="763"/>
      <c r="C706" s="763"/>
      <c r="D706" s="763"/>
      <c r="E706" s="763"/>
      <c r="F706" s="763"/>
      <c r="G706" s="189"/>
      <c r="H706" s="764" t="s">
        <v>34</v>
      </c>
      <c r="I706" s="765"/>
      <c r="J706" s="215">
        <v>0</v>
      </c>
      <c r="K706" s="498"/>
      <c r="L706" s="498"/>
      <c r="M706" s="189"/>
      <c r="N706" s="766"/>
      <c r="O706" s="498"/>
      <c r="P706" s="49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</row>
    <row r="707" spans="1:26" ht="18.75" hidden="1">
      <c r="A707" s="744"/>
      <c r="B707" s="763"/>
      <c r="C707" s="763"/>
      <c r="D707" s="763"/>
      <c r="E707" s="763"/>
      <c r="F707" s="763"/>
      <c r="G707" s="189"/>
      <c r="H707" s="764" t="s">
        <v>46</v>
      </c>
      <c r="I707" s="765">
        <f ca="1">IFERROR(__xludf.DUMMYFUNCTION("IMPORTRANGE(""https://docs.google.com/spreadsheets/d/1QqKyyYR6Q21VydFLVH3TRQUabQu_ym0Zz7PgGX0-kHA/edit?usp=sharing"",""แผน!IG40"")"),0)</f>
        <v>0</v>
      </c>
      <c r="J707" s="215">
        <v>0</v>
      </c>
      <c r="K707" s="498"/>
      <c r="L707" s="498"/>
      <c r="M707" s="189"/>
      <c r="N707" s="766"/>
      <c r="O707" s="498"/>
      <c r="P707" s="49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</row>
    <row r="708" spans="1:26" ht="19.5" hidden="1">
      <c r="A708" s="744"/>
      <c r="B708" s="763"/>
      <c r="C708" s="763"/>
      <c r="D708" s="769" t="s">
        <v>300</v>
      </c>
      <c r="E708" s="763"/>
      <c r="F708" s="763"/>
      <c r="G708" s="189"/>
      <c r="H708" s="767" t="s">
        <v>46</v>
      </c>
      <c r="I708" s="768">
        <f ca="1">IFERROR(__xludf.DUMMYFUNCTION("IMPORTRANGE(""https://docs.google.com/spreadsheets/d/1QqKyyYR6Q21VydFLVH3TRQUabQu_ym0Zz7PgGX0-kHA/edit?usp=sharing"",""แผน!IH40"")"),0)</f>
        <v>0</v>
      </c>
      <c r="J708" s="681">
        <f>J714+J717</f>
        <v>0</v>
      </c>
      <c r="K708" s="195">
        <f ca="1">IF(I708&gt;0,J708*100/I708,0)</f>
        <v>0</v>
      </c>
      <c r="L708" s="498"/>
      <c r="M708" s="189"/>
      <c r="N708" s="766"/>
      <c r="O708" s="498"/>
      <c r="P708" s="49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</row>
    <row r="709" spans="1:26" ht="18.75" hidden="1">
      <c r="A709" s="744"/>
      <c r="B709" s="763"/>
      <c r="C709" s="763"/>
      <c r="D709" s="763"/>
      <c r="E709" s="763" t="s">
        <v>301</v>
      </c>
      <c r="F709" s="763"/>
      <c r="G709" s="189"/>
      <c r="H709" s="764" t="s">
        <v>34</v>
      </c>
      <c r="I709" s="765"/>
      <c r="J709" s="215">
        <v>0</v>
      </c>
      <c r="K709" s="498"/>
      <c r="L709" s="766"/>
      <c r="M709" s="189"/>
      <c r="N709" s="766"/>
      <c r="O709" s="498"/>
      <c r="P709" s="49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</row>
    <row r="710" spans="1:26" ht="18.75" hidden="1">
      <c r="A710" s="744"/>
      <c r="B710" s="763"/>
      <c r="C710" s="763"/>
      <c r="D710" s="763"/>
      <c r="E710" s="763"/>
      <c r="F710" s="763"/>
      <c r="G710" s="189"/>
      <c r="H710" s="764" t="s">
        <v>46</v>
      </c>
      <c r="I710" s="765"/>
      <c r="J710" s="215">
        <v>0</v>
      </c>
      <c r="K710" s="498"/>
      <c r="L710" s="766"/>
      <c r="M710" s="189"/>
      <c r="N710" s="766"/>
      <c r="O710" s="498"/>
      <c r="P710" s="49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</row>
    <row r="711" spans="1:26" ht="18.75" hidden="1">
      <c r="A711" s="744"/>
      <c r="B711" s="763"/>
      <c r="C711" s="763"/>
      <c r="D711" s="763"/>
      <c r="E711" s="763" t="s">
        <v>302</v>
      </c>
      <c r="F711" s="763"/>
      <c r="G711" s="189"/>
      <c r="H711" s="762"/>
      <c r="I711" s="765"/>
      <c r="J711" s="270"/>
      <c r="K711" s="498"/>
      <c r="L711" s="766"/>
      <c r="M711" s="189"/>
      <c r="N711" s="766"/>
      <c r="O711" s="498"/>
      <c r="P711" s="49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</row>
    <row r="712" spans="1:26" ht="18.75" hidden="1">
      <c r="A712" s="744"/>
      <c r="B712" s="763"/>
      <c r="C712" s="763"/>
      <c r="D712" s="763"/>
      <c r="E712" s="763"/>
      <c r="F712" s="763" t="s">
        <v>303</v>
      </c>
      <c r="G712" s="189"/>
      <c r="H712" s="764" t="s">
        <v>35</v>
      </c>
      <c r="I712" s="765"/>
      <c r="J712" s="215">
        <v>0</v>
      </c>
      <c r="K712" s="498"/>
      <c r="L712" s="766"/>
      <c r="M712" s="189"/>
      <c r="N712" s="766"/>
      <c r="O712" s="498"/>
      <c r="P712" s="49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</row>
    <row r="713" spans="1:26" ht="18.75" hidden="1">
      <c r="A713" s="744"/>
      <c r="B713" s="763"/>
      <c r="C713" s="763"/>
      <c r="D713" s="763"/>
      <c r="E713" s="763"/>
      <c r="F713" s="763"/>
      <c r="G713" s="189"/>
      <c r="H713" s="764" t="s">
        <v>34</v>
      </c>
      <c r="I713" s="765"/>
      <c r="J713" s="215">
        <v>0</v>
      </c>
      <c r="K713" s="498"/>
      <c r="L713" s="766"/>
      <c r="M713" s="189"/>
      <c r="N713" s="766"/>
      <c r="O713" s="498"/>
      <c r="P713" s="49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</row>
    <row r="714" spans="1:26" ht="18.75" hidden="1">
      <c r="A714" s="744"/>
      <c r="B714" s="763"/>
      <c r="C714" s="763"/>
      <c r="D714" s="763"/>
      <c r="E714" s="763"/>
      <c r="F714" s="763"/>
      <c r="G714" s="189"/>
      <c r="H714" s="764" t="s">
        <v>46</v>
      </c>
      <c r="I714" s="765"/>
      <c r="J714" s="215">
        <v>0</v>
      </c>
      <c r="K714" s="498"/>
      <c r="L714" s="766"/>
      <c r="M714" s="189"/>
      <c r="N714" s="766"/>
      <c r="O714" s="498"/>
      <c r="P714" s="49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</row>
    <row r="715" spans="1:26" ht="18.75" hidden="1">
      <c r="A715" s="744"/>
      <c r="B715" s="763"/>
      <c r="C715" s="763"/>
      <c r="D715" s="763"/>
      <c r="E715" s="763"/>
      <c r="F715" s="763" t="s">
        <v>304</v>
      </c>
      <c r="G715" s="189"/>
      <c r="H715" s="764" t="s">
        <v>35</v>
      </c>
      <c r="I715" s="765"/>
      <c r="J715" s="215">
        <v>0</v>
      </c>
      <c r="K715" s="498"/>
      <c r="L715" s="766"/>
      <c r="M715" s="189"/>
      <c r="N715" s="766"/>
      <c r="O715" s="498"/>
      <c r="P715" s="49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</row>
    <row r="716" spans="1:26" ht="18.75" hidden="1">
      <c r="A716" s="744"/>
      <c r="B716" s="763"/>
      <c r="C716" s="763"/>
      <c r="D716" s="763"/>
      <c r="E716" s="763"/>
      <c r="F716" s="763"/>
      <c r="G716" s="189"/>
      <c r="H716" s="764" t="s">
        <v>34</v>
      </c>
      <c r="I716" s="765"/>
      <c r="J716" s="215">
        <v>0</v>
      </c>
      <c r="K716" s="498"/>
      <c r="L716" s="766"/>
      <c r="M716" s="189"/>
      <c r="N716" s="766"/>
      <c r="O716" s="498"/>
      <c r="P716" s="49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</row>
    <row r="717" spans="1:26" ht="18.75" hidden="1">
      <c r="A717" s="744"/>
      <c r="B717" s="763"/>
      <c r="C717" s="763"/>
      <c r="D717" s="763"/>
      <c r="E717" s="763"/>
      <c r="F717" s="763"/>
      <c r="G717" s="189"/>
      <c r="H717" s="764" t="s">
        <v>46</v>
      </c>
      <c r="I717" s="765"/>
      <c r="J717" s="215">
        <v>0</v>
      </c>
      <c r="K717" s="498"/>
      <c r="L717" s="766"/>
      <c r="M717" s="189"/>
      <c r="N717" s="766"/>
      <c r="O717" s="498"/>
      <c r="P717" s="49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</row>
    <row r="718" spans="1:26" ht="18.75" hidden="1">
      <c r="A718" s="744"/>
      <c r="B718" s="763"/>
      <c r="C718" s="763"/>
      <c r="D718" s="763" t="s">
        <v>305</v>
      </c>
      <c r="E718" s="763"/>
      <c r="F718" s="763"/>
      <c r="G718" s="189"/>
      <c r="H718" s="764" t="s">
        <v>35</v>
      </c>
      <c r="I718" s="765"/>
      <c r="J718" s="270">
        <f ca="1">IFERROR(__xludf.DUMMYFUNCTION("IMPORTRANGE(""https://docs.google.com/spreadsheets/d/1XWAQStnk-4SwqDmLtmXYiTMKHgktTP8We1SCoS47DrQ/edit?usp=sharing"",""จัดที่ดิน!BF40"")"),0)</f>
        <v>0</v>
      </c>
      <c r="K718" s="498"/>
      <c r="L718" s="498"/>
      <c r="M718" s="189"/>
      <c r="N718" s="766"/>
      <c r="O718" s="498"/>
      <c r="P718" s="49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</row>
    <row r="719" spans="1:26" ht="18.75" hidden="1">
      <c r="A719" s="744"/>
      <c r="B719" s="763"/>
      <c r="C719" s="763"/>
      <c r="D719" s="763"/>
      <c r="E719" s="763"/>
      <c r="F719" s="763"/>
      <c r="G719" s="189"/>
      <c r="H719" s="764" t="s">
        <v>34</v>
      </c>
      <c r="I719" s="765"/>
      <c r="J719" s="270">
        <f ca="1">IFERROR(__xludf.DUMMYFUNCTION("IMPORTRANGE(""https://docs.google.com/spreadsheets/d/1XWAQStnk-4SwqDmLtmXYiTMKHgktTP8We1SCoS47DrQ/edit?usp=sharing"",""จัดที่ดิน!BG40"")"),0)</f>
        <v>0</v>
      </c>
      <c r="K719" s="498"/>
      <c r="L719" s="766"/>
      <c r="M719" s="189"/>
      <c r="N719" s="766"/>
      <c r="O719" s="498"/>
      <c r="P719" s="49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</row>
    <row r="720" spans="1:26" ht="18.75" hidden="1">
      <c r="A720" s="744"/>
      <c r="B720" s="763"/>
      <c r="C720" s="763"/>
      <c r="D720" s="763"/>
      <c r="E720" s="763"/>
      <c r="F720" s="763"/>
      <c r="G720" s="189"/>
      <c r="H720" s="764" t="s">
        <v>46</v>
      </c>
      <c r="I720" s="765">
        <f ca="1">IFERROR(__xludf.DUMMYFUNCTION("IMPORTRANGE(""https://docs.google.com/spreadsheets/d/1QqKyyYR6Q21VydFLVH3TRQUabQu_ym0Zz7PgGX0-kHA/edit?usp=sharing"",""แผน!II40"")"),0)</f>
        <v>0</v>
      </c>
      <c r="J720" s="270">
        <f ca="1">IFERROR(__xludf.DUMMYFUNCTION("IMPORTRANGE(""https://docs.google.com/spreadsheets/d/1XWAQStnk-4SwqDmLtmXYiTMKHgktTP8We1SCoS47DrQ/edit?usp=sharing"",""จัดที่ดิน!BH40"")"),0)</f>
        <v>0</v>
      </c>
      <c r="K720" s="498">
        <f t="shared" ref="K720:K723" ca="1" si="291">IF(I720&gt;0,J720*100/I720,0)</f>
        <v>0</v>
      </c>
      <c r="L720" s="766"/>
      <c r="M720" s="189"/>
      <c r="N720" s="766"/>
      <c r="O720" s="498"/>
      <c r="P720" s="49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</row>
    <row r="721" spans="1:26" ht="19.5" hidden="1">
      <c r="A721" s="744"/>
      <c r="B721" s="763"/>
      <c r="C721" s="763"/>
      <c r="D721" s="763" t="s">
        <v>306</v>
      </c>
      <c r="E721" s="763"/>
      <c r="F721" s="763"/>
      <c r="G721" s="189"/>
      <c r="H721" s="767" t="s">
        <v>35</v>
      </c>
      <c r="I721" s="768">
        <f ca="1">IFERROR(__xludf.DUMMYFUNCTION("IMPORTRANGE(""https://docs.google.com/spreadsheets/d/1QqKyyYR6Q21VydFLVH3TRQUabQu_ym0Zz7PgGX0-kHA/edit?usp=sharing"",""แผน!IJ40"")"),0)</f>
        <v>0</v>
      </c>
      <c r="J721" s="681">
        <f ca="1">J723+J726</f>
        <v>0</v>
      </c>
      <c r="K721" s="195">
        <f t="shared" ca="1" si="291"/>
        <v>0</v>
      </c>
      <c r="L721" s="766"/>
      <c r="M721" s="189"/>
      <c r="N721" s="766"/>
      <c r="O721" s="498"/>
      <c r="P721" s="49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</row>
    <row r="722" spans="1:26" ht="19.5" hidden="1">
      <c r="A722" s="744"/>
      <c r="B722" s="763"/>
      <c r="C722" s="763"/>
      <c r="D722" s="763"/>
      <c r="E722" s="763"/>
      <c r="F722" s="763"/>
      <c r="G722" s="189"/>
      <c r="H722" s="767" t="s">
        <v>46</v>
      </c>
      <c r="I722" s="768">
        <f ca="1">IFERROR(__xludf.DUMMYFUNCTION("IMPORTRANGE(""https://docs.google.com/spreadsheets/d/1QqKyyYR6Q21VydFLVH3TRQUabQu_ym0Zz7PgGX0-kHA/edit?usp=sharing"",""แผน!IK40"")"),0)</f>
        <v>0</v>
      </c>
      <c r="J722" s="681">
        <f ca="1">J725+J728</f>
        <v>0</v>
      </c>
      <c r="K722" s="195">
        <f t="shared" ca="1" si="291"/>
        <v>0</v>
      </c>
      <c r="L722" s="498"/>
      <c r="M722" s="189"/>
      <c r="N722" s="766"/>
      <c r="O722" s="498"/>
      <c r="P722" s="49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</row>
    <row r="723" spans="1:26" ht="18.75" hidden="1">
      <c r="A723" s="744"/>
      <c r="B723" s="763"/>
      <c r="C723" s="763"/>
      <c r="D723" s="763"/>
      <c r="E723" s="763" t="s">
        <v>307</v>
      </c>
      <c r="F723" s="763"/>
      <c r="G723" s="189"/>
      <c r="H723" s="764" t="s">
        <v>35</v>
      </c>
      <c r="I723" s="765">
        <f ca="1">IFERROR(__xludf.DUMMYFUNCTION("IMPORTRANGE(""https://docs.google.com/spreadsheets/d/1QqKyyYR6Q21VydFLVH3TRQUabQu_ym0Zz7PgGX0-kHA/edit?usp=sharing"",""แผน!IL40"")"),0)</f>
        <v>0</v>
      </c>
      <c r="J723" s="270">
        <f ca="1">IFERROR(__xludf.DUMMYFUNCTION("IMPORTRANGE(""https://docs.google.com/spreadsheets/d/1XWAQStnk-4SwqDmLtmXYiTMKHgktTP8We1SCoS47DrQ/edit?usp=sharing"",""จัดที่ดิน!BM40"")"),0)</f>
        <v>0</v>
      </c>
      <c r="K723" s="498">
        <f t="shared" ca="1" si="291"/>
        <v>0</v>
      </c>
      <c r="L723" s="498"/>
      <c r="M723" s="189"/>
      <c r="N723" s="766"/>
      <c r="O723" s="498"/>
      <c r="P723" s="49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</row>
    <row r="724" spans="1:26" ht="18.75" hidden="1">
      <c r="A724" s="744"/>
      <c r="B724" s="763"/>
      <c r="C724" s="763"/>
      <c r="D724" s="763"/>
      <c r="E724" s="763"/>
      <c r="F724" s="763"/>
      <c r="G724" s="189"/>
      <c r="H724" s="764" t="s">
        <v>34</v>
      </c>
      <c r="I724" s="765"/>
      <c r="J724" s="270">
        <f ca="1">IFERROR(__xludf.DUMMYFUNCTION("IMPORTRANGE(""https://docs.google.com/spreadsheets/d/1XWAQStnk-4SwqDmLtmXYiTMKHgktTP8We1SCoS47DrQ/edit?usp=sharing"",""จัดที่ดิน!BN40"")"),0)</f>
        <v>0</v>
      </c>
      <c r="K724" s="498"/>
      <c r="L724" s="766"/>
      <c r="M724" s="189"/>
      <c r="N724" s="766"/>
      <c r="O724" s="498"/>
      <c r="P724" s="49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</row>
    <row r="725" spans="1:26" ht="18.75" hidden="1">
      <c r="A725" s="744"/>
      <c r="B725" s="763"/>
      <c r="C725" s="763"/>
      <c r="D725" s="763"/>
      <c r="E725" s="763"/>
      <c r="F725" s="763"/>
      <c r="G725" s="189"/>
      <c r="H725" s="764" t="s">
        <v>46</v>
      </c>
      <c r="I725" s="765">
        <f ca="1">IFERROR(__xludf.DUMMYFUNCTION("IMPORTRANGE(""https://docs.google.com/spreadsheets/d/1QqKyyYR6Q21VydFLVH3TRQUabQu_ym0Zz7PgGX0-kHA/edit?usp=sharing"",""แผน!IM40"")"),0)</f>
        <v>0</v>
      </c>
      <c r="J725" s="270">
        <f ca="1">IFERROR(__xludf.DUMMYFUNCTION("IMPORTRANGE(""https://docs.google.com/spreadsheets/d/1XWAQStnk-4SwqDmLtmXYiTMKHgktTP8We1SCoS47DrQ/edit?usp=sharing"",""จัดที่ดิน!BO40"")"),0)</f>
        <v>0</v>
      </c>
      <c r="K725" s="498">
        <f t="shared" ref="K725:K726" ca="1" si="292">IF(I725&gt;0,J725*100/I725,0)</f>
        <v>0</v>
      </c>
      <c r="L725" s="766"/>
      <c r="M725" s="189"/>
      <c r="N725" s="766"/>
      <c r="O725" s="498"/>
      <c r="P725" s="49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</row>
    <row r="726" spans="1:26" ht="18.75" hidden="1">
      <c r="A726" s="744"/>
      <c r="B726" s="763"/>
      <c r="C726" s="763"/>
      <c r="D726" s="763"/>
      <c r="E726" s="763" t="s">
        <v>308</v>
      </c>
      <c r="F726" s="763"/>
      <c r="G726" s="189"/>
      <c r="H726" s="764" t="s">
        <v>35</v>
      </c>
      <c r="I726" s="765">
        <f ca="1">IFERROR(__xludf.DUMMYFUNCTION("IMPORTRANGE(""https://docs.google.com/spreadsheets/d/1QqKyyYR6Q21VydFLVH3TRQUabQu_ym0Zz7PgGX0-kHA/edit?usp=sharing"",""แผน!IN40"")"),0)</f>
        <v>0</v>
      </c>
      <c r="J726" s="270">
        <f ca="1">IFERROR(__xludf.DUMMYFUNCTION("IMPORTRANGE(""https://docs.google.com/spreadsheets/d/1XWAQStnk-4SwqDmLtmXYiTMKHgktTP8We1SCoS47DrQ/edit?usp=sharing"",""จัดที่ดิน!BR40"")"),0)</f>
        <v>0</v>
      </c>
      <c r="K726" s="498">
        <f t="shared" ca="1" si="292"/>
        <v>0</v>
      </c>
      <c r="L726" s="498"/>
      <c r="M726" s="189"/>
      <c r="N726" s="766"/>
      <c r="O726" s="498"/>
      <c r="P726" s="49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</row>
    <row r="727" spans="1:26" ht="18.75" hidden="1">
      <c r="A727" s="744"/>
      <c r="B727" s="763"/>
      <c r="C727" s="763"/>
      <c r="D727" s="763"/>
      <c r="E727" s="763"/>
      <c r="F727" s="763"/>
      <c r="G727" s="189"/>
      <c r="H727" s="764" t="s">
        <v>34</v>
      </c>
      <c r="I727" s="765"/>
      <c r="J727" s="270">
        <f ca="1">IFERROR(__xludf.DUMMYFUNCTION("IMPORTRANGE(""https://docs.google.com/spreadsheets/d/1XWAQStnk-4SwqDmLtmXYiTMKHgktTP8We1SCoS47DrQ/edit?usp=sharing"",""จัดที่ดิน!BS40"")"),0)</f>
        <v>0</v>
      </c>
      <c r="K727" s="498"/>
      <c r="L727" s="766"/>
      <c r="M727" s="189"/>
      <c r="N727" s="766"/>
      <c r="O727" s="498"/>
      <c r="P727" s="49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</row>
    <row r="728" spans="1:26" ht="18.75" hidden="1">
      <c r="A728" s="744"/>
      <c r="B728" s="763"/>
      <c r="C728" s="763"/>
      <c r="D728" s="763"/>
      <c r="E728" s="763"/>
      <c r="F728" s="763"/>
      <c r="G728" s="189"/>
      <c r="H728" s="764" t="s">
        <v>46</v>
      </c>
      <c r="I728" s="765">
        <f ca="1">IFERROR(__xludf.DUMMYFUNCTION("IMPORTRANGE(""https://docs.google.com/spreadsheets/d/1QqKyyYR6Q21VydFLVH3TRQUabQu_ym0Zz7PgGX0-kHA/edit?usp=sharing"",""แผน!IO40"")"),0)</f>
        <v>0</v>
      </c>
      <c r="J728" s="270">
        <f ca="1">IFERROR(__xludf.DUMMYFUNCTION("IMPORTRANGE(""https://docs.google.com/spreadsheets/d/1XWAQStnk-4SwqDmLtmXYiTMKHgktTP8We1SCoS47DrQ/edit?usp=sharing"",""จัดที่ดิน!BT40"")"),0)</f>
        <v>0</v>
      </c>
      <c r="K728" s="498">
        <f t="shared" ref="K728:K729" ca="1" si="293">IF(I728&gt;0,J728*100/I728,0)</f>
        <v>0</v>
      </c>
      <c r="L728" s="766"/>
      <c r="M728" s="189"/>
      <c r="N728" s="766"/>
      <c r="O728" s="498"/>
      <c r="P728" s="49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</row>
    <row r="729" spans="1:26" ht="19.5" hidden="1">
      <c r="A729" s="744"/>
      <c r="B729" s="763"/>
      <c r="C729" s="763"/>
      <c r="D729" s="763" t="s">
        <v>309</v>
      </c>
      <c r="E729" s="763"/>
      <c r="F729" s="763"/>
      <c r="G729" s="189"/>
      <c r="H729" s="767" t="s">
        <v>46</v>
      </c>
      <c r="I729" s="768">
        <f ca="1">IFERROR(__xludf.DUMMYFUNCTION("IMPORTRANGE(""https://docs.google.com/spreadsheets/d/1QqKyyYR6Q21VydFLVH3TRQUabQu_ym0Zz7PgGX0-kHA/edit?usp=sharing"",""แผน!IP40"")"),0)</f>
        <v>0</v>
      </c>
      <c r="J729" s="681">
        <f>J732+J735</f>
        <v>0</v>
      </c>
      <c r="K729" s="195">
        <f t="shared" ca="1" si="293"/>
        <v>0</v>
      </c>
      <c r="L729" s="498"/>
      <c r="M729" s="189"/>
      <c r="N729" s="766"/>
      <c r="O729" s="498"/>
      <c r="P729" s="49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</row>
    <row r="730" spans="1:26" ht="18.75" hidden="1">
      <c r="A730" s="744"/>
      <c r="B730" s="763"/>
      <c r="C730" s="763"/>
      <c r="D730" s="763"/>
      <c r="E730" s="763" t="s">
        <v>310</v>
      </c>
      <c r="F730" s="763"/>
      <c r="G730" s="189"/>
      <c r="H730" s="764" t="s">
        <v>35</v>
      </c>
      <c r="I730" s="765"/>
      <c r="J730" s="215">
        <v>0</v>
      </c>
      <c r="K730" s="498"/>
      <c r="L730" s="766"/>
      <c r="M730" s="498"/>
      <c r="N730" s="766"/>
      <c r="O730" s="498"/>
      <c r="P730" s="49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</row>
    <row r="731" spans="1:26" ht="18.75" hidden="1">
      <c r="A731" s="744"/>
      <c r="B731" s="763"/>
      <c r="C731" s="763"/>
      <c r="D731" s="763"/>
      <c r="E731" s="763"/>
      <c r="F731" s="763"/>
      <c r="G731" s="189"/>
      <c r="H731" s="764" t="s">
        <v>34</v>
      </c>
      <c r="I731" s="765"/>
      <c r="J731" s="215">
        <v>0</v>
      </c>
      <c r="K731" s="498"/>
      <c r="L731" s="766"/>
      <c r="M731" s="498"/>
      <c r="N731" s="766"/>
      <c r="O731" s="498"/>
      <c r="P731" s="49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</row>
    <row r="732" spans="1:26" ht="18.75" hidden="1">
      <c r="A732" s="744"/>
      <c r="B732" s="763"/>
      <c r="C732" s="763"/>
      <c r="D732" s="763"/>
      <c r="E732" s="763"/>
      <c r="F732" s="763"/>
      <c r="G732" s="189"/>
      <c r="H732" s="764" t="s">
        <v>46</v>
      </c>
      <c r="I732" s="765"/>
      <c r="J732" s="215">
        <v>0</v>
      </c>
      <c r="K732" s="498"/>
      <c r="L732" s="766"/>
      <c r="M732" s="498"/>
      <c r="N732" s="766"/>
      <c r="O732" s="498"/>
      <c r="P732" s="49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</row>
    <row r="733" spans="1:26" ht="18.75" hidden="1">
      <c r="A733" s="744"/>
      <c r="B733" s="763"/>
      <c r="C733" s="763"/>
      <c r="D733" s="763"/>
      <c r="E733" s="763" t="s">
        <v>311</v>
      </c>
      <c r="F733" s="763"/>
      <c r="G733" s="189"/>
      <c r="H733" s="764" t="s">
        <v>35</v>
      </c>
      <c r="I733" s="765"/>
      <c r="J733" s="215">
        <v>0</v>
      </c>
      <c r="K733" s="498"/>
      <c r="L733" s="766"/>
      <c r="M733" s="498"/>
      <c r="N733" s="766"/>
      <c r="O733" s="498"/>
      <c r="P733" s="49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</row>
    <row r="734" spans="1:26" ht="18.75" hidden="1">
      <c r="A734" s="744"/>
      <c r="B734" s="763"/>
      <c r="C734" s="763"/>
      <c r="D734" s="763"/>
      <c r="E734" s="763"/>
      <c r="F734" s="763"/>
      <c r="G734" s="189"/>
      <c r="H734" s="764" t="s">
        <v>34</v>
      </c>
      <c r="I734" s="765"/>
      <c r="J734" s="215">
        <v>0</v>
      </c>
      <c r="K734" s="498"/>
      <c r="L734" s="766"/>
      <c r="M734" s="498"/>
      <c r="N734" s="766"/>
      <c r="O734" s="498"/>
      <c r="P734" s="49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</row>
    <row r="735" spans="1:26" ht="19.5" hidden="1">
      <c r="A735" s="770"/>
      <c r="B735" s="771" t="s">
        <v>312</v>
      </c>
      <c r="C735" s="734"/>
      <c r="D735" s="734"/>
      <c r="E735" s="734"/>
      <c r="F735" s="734"/>
      <c r="G735" s="735"/>
      <c r="H735" s="422" t="s">
        <v>46</v>
      </c>
      <c r="I735" s="772"/>
      <c r="J735" s="424">
        <v>0</v>
      </c>
      <c r="K735" s="507"/>
      <c r="L735" s="773"/>
      <c r="M735" s="507"/>
      <c r="N735" s="773"/>
      <c r="O735" s="507"/>
      <c r="P735" s="507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</row>
    <row r="736" spans="1:26" ht="19.5" hidden="1">
      <c r="A736" s="774">
        <v>9</v>
      </c>
      <c r="B736" s="775" t="s">
        <v>313</v>
      </c>
      <c r="C736" s="776"/>
      <c r="D736" s="776"/>
      <c r="E736" s="776"/>
      <c r="F736" s="776"/>
      <c r="G736" s="777"/>
      <c r="H736" s="778" t="s">
        <v>46</v>
      </c>
      <c r="I736" s="779"/>
      <c r="J736" s="779">
        <f>J751</f>
        <v>0</v>
      </c>
      <c r="K736" s="780">
        <f>IF(I736&gt;0,J736*100/I736,0)</f>
        <v>0</v>
      </c>
      <c r="L736" s="781"/>
      <c r="M736" s="781"/>
      <c r="N736" s="781"/>
      <c r="O736" s="781"/>
      <c r="P736" s="781"/>
      <c r="Q736" s="604"/>
      <c r="R736" s="604"/>
      <c r="S736" s="604"/>
      <c r="T736" s="604"/>
      <c r="U736" s="604"/>
      <c r="V736" s="604"/>
      <c r="W736" s="604"/>
      <c r="X736" s="604"/>
      <c r="Y736" s="604"/>
      <c r="Z736" s="604"/>
    </row>
    <row r="737" spans="1:26" ht="19.5" hidden="1">
      <c r="A737" s="599"/>
      <c r="B737" s="759"/>
      <c r="C737" s="759" t="s">
        <v>16</v>
      </c>
      <c r="D737" s="864" t="s">
        <v>17</v>
      </c>
      <c r="E737" s="857"/>
      <c r="F737" s="857"/>
      <c r="G737" s="603"/>
      <c r="H737" s="646" t="s">
        <v>12</v>
      </c>
      <c r="I737" s="617"/>
      <c r="J737" s="617"/>
      <c r="K737" s="93"/>
      <c r="L737" s="647">
        <f t="shared" ref="L737:N737" si="294">L738+L739</f>
        <v>0</v>
      </c>
      <c r="M737" s="647">
        <f t="shared" si="294"/>
        <v>0</v>
      </c>
      <c r="N737" s="647">
        <f t="shared" si="294"/>
        <v>0</v>
      </c>
      <c r="O737" s="647">
        <f t="shared" ref="O737:O742" si="295">IF(L737&gt;0,N737*100/L737,0)</f>
        <v>0</v>
      </c>
      <c r="P737" s="647">
        <f t="shared" ref="P737:P742" si="296">IF(M737&gt;0,N737*100/M737,0)</f>
        <v>0</v>
      </c>
      <c r="Q737" s="604"/>
      <c r="R737" s="604"/>
      <c r="S737" s="604"/>
      <c r="T737" s="604"/>
      <c r="U737" s="604"/>
      <c r="V737" s="604"/>
      <c r="W737" s="604"/>
      <c r="X737" s="604"/>
      <c r="Y737" s="604"/>
      <c r="Z737" s="604"/>
    </row>
    <row r="738" spans="1:26" ht="18.75" hidden="1">
      <c r="A738" s="599"/>
      <c r="B738" s="759"/>
      <c r="C738" s="759"/>
      <c r="D738" s="720"/>
      <c r="E738" s="759" t="s">
        <v>185</v>
      </c>
      <c r="F738" s="759"/>
      <c r="G738" s="603"/>
      <c r="H738" s="165" t="s">
        <v>12</v>
      </c>
      <c r="I738" s="617"/>
      <c r="J738" s="617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4"/>
      <c r="R738" s="604"/>
      <c r="S738" s="604"/>
      <c r="T738" s="604"/>
      <c r="U738" s="604"/>
      <c r="V738" s="604"/>
      <c r="W738" s="604"/>
      <c r="X738" s="604"/>
      <c r="Y738" s="604"/>
      <c r="Z738" s="604"/>
    </row>
    <row r="739" spans="1:26" ht="18.75" hidden="1">
      <c r="A739" s="599"/>
      <c r="B739" s="607"/>
      <c r="C739" s="759"/>
      <c r="D739" s="720"/>
      <c r="E739" s="759" t="s">
        <v>186</v>
      </c>
      <c r="F739" s="759"/>
      <c r="G739" s="603"/>
      <c r="H739" s="165" t="s">
        <v>12</v>
      </c>
      <c r="I739" s="617"/>
      <c r="J739" s="617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4"/>
      <c r="R739" s="604"/>
      <c r="S739" s="604"/>
      <c r="T739" s="604"/>
      <c r="U739" s="604"/>
      <c r="V739" s="604"/>
      <c r="W739" s="604"/>
      <c r="X739" s="604"/>
      <c r="Y739" s="604"/>
      <c r="Z739" s="604"/>
    </row>
    <row r="740" spans="1:26" ht="19.5" hidden="1">
      <c r="A740" s="599"/>
      <c r="B740" s="607"/>
      <c r="C740" s="759"/>
      <c r="D740" s="645" t="s">
        <v>20</v>
      </c>
      <c r="E740" s="759"/>
      <c r="F740" s="759"/>
      <c r="G740" s="603"/>
      <c r="H740" s="646" t="s">
        <v>12</v>
      </c>
      <c r="I740" s="166"/>
      <c r="J740" s="166"/>
      <c r="K740" s="167"/>
      <c r="L740" s="647">
        <f t="shared" ref="L740:N740" si="298">L741+L742</f>
        <v>0</v>
      </c>
      <c r="M740" s="647">
        <f t="shared" si="298"/>
        <v>0</v>
      </c>
      <c r="N740" s="647">
        <f t="shared" si="298"/>
        <v>0</v>
      </c>
      <c r="O740" s="647">
        <f t="shared" si="295"/>
        <v>0</v>
      </c>
      <c r="P740" s="647">
        <f t="shared" si="296"/>
        <v>0</v>
      </c>
      <c r="Q740" s="604"/>
      <c r="R740" s="604"/>
      <c r="S740" s="604"/>
      <c r="T740" s="604"/>
      <c r="U740" s="604"/>
      <c r="V740" s="604"/>
      <c r="W740" s="604"/>
      <c r="X740" s="604"/>
      <c r="Y740" s="604"/>
      <c r="Z740" s="604"/>
    </row>
    <row r="741" spans="1:26" ht="18.75" hidden="1">
      <c r="A741" s="599"/>
      <c r="B741" s="607"/>
      <c r="C741" s="759"/>
      <c r="D741" s="720"/>
      <c r="E741" s="759" t="s">
        <v>185</v>
      </c>
      <c r="F741" s="759"/>
      <c r="G741" s="603"/>
      <c r="H741" s="165" t="s">
        <v>12</v>
      </c>
      <c r="I741" s="617"/>
      <c r="J741" s="617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4"/>
      <c r="R741" s="604"/>
      <c r="S741" s="604"/>
      <c r="T741" s="604"/>
      <c r="U741" s="604"/>
      <c r="V741" s="604"/>
      <c r="W741" s="604"/>
      <c r="X741" s="604"/>
      <c r="Y741" s="604"/>
      <c r="Z741" s="604"/>
    </row>
    <row r="742" spans="1:26" ht="18.75" hidden="1">
      <c r="A742" s="599"/>
      <c r="B742" s="607"/>
      <c r="C742" s="759"/>
      <c r="D742" s="720"/>
      <c r="E742" s="759" t="s">
        <v>186</v>
      </c>
      <c r="F742" s="759"/>
      <c r="G742" s="603"/>
      <c r="H742" s="165" t="s">
        <v>12</v>
      </c>
      <c r="I742" s="617"/>
      <c r="J742" s="617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4"/>
      <c r="R742" s="604"/>
      <c r="S742" s="604"/>
      <c r="T742" s="604"/>
      <c r="U742" s="604"/>
      <c r="V742" s="604"/>
      <c r="W742" s="604"/>
      <c r="X742" s="604"/>
      <c r="Y742" s="604"/>
      <c r="Z742" s="604"/>
    </row>
    <row r="743" spans="1:26" ht="18.75" hidden="1">
      <c r="A743" s="649"/>
      <c r="B743" s="607"/>
      <c r="C743" s="759"/>
      <c r="D743" s="759"/>
      <c r="E743" s="759"/>
      <c r="F743" s="759" t="s">
        <v>187</v>
      </c>
      <c r="G743" s="603"/>
      <c r="H743" s="165" t="s">
        <v>12</v>
      </c>
      <c r="I743" s="617"/>
      <c r="J743" s="617"/>
      <c r="K743" s="93"/>
      <c r="L743" s="93"/>
      <c r="M743" s="93"/>
      <c r="N743" s="93"/>
      <c r="O743" s="93"/>
      <c r="P743" s="93"/>
      <c r="Q743" s="604"/>
      <c r="R743" s="604"/>
      <c r="S743" s="604"/>
      <c r="T743" s="604"/>
      <c r="U743" s="604"/>
      <c r="V743" s="604"/>
      <c r="W743" s="604"/>
      <c r="X743" s="604"/>
      <c r="Y743" s="604"/>
      <c r="Z743" s="604"/>
    </row>
    <row r="744" spans="1:26" ht="18.75" hidden="1">
      <c r="A744" s="649"/>
      <c r="B744" s="607"/>
      <c r="C744" s="759"/>
      <c r="D744" s="759"/>
      <c r="E744" s="759"/>
      <c r="F744" s="759" t="s">
        <v>188</v>
      </c>
      <c r="G744" s="603"/>
      <c r="H744" s="165" t="s">
        <v>12</v>
      </c>
      <c r="I744" s="617"/>
      <c r="J744" s="617"/>
      <c r="K744" s="93"/>
      <c r="L744" s="93"/>
      <c r="M744" s="93"/>
      <c r="N744" s="93"/>
      <c r="O744" s="93"/>
      <c r="P744" s="93"/>
      <c r="Q744" s="604"/>
      <c r="R744" s="604"/>
      <c r="S744" s="604"/>
      <c r="T744" s="604"/>
      <c r="U744" s="604"/>
      <c r="V744" s="604"/>
      <c r="W744" s="604"/>
      <c r="X744" s="604"/>
      <c r="Y744" s="604"/>
      <c r="Z744" s="604"/>
    </row>
    <row r="745" spans="1:26" ht="18.75" hidden="1">
      <c r="A745" s="649"/>
      <c r="B745" s="607"/>
      <c r="C745" s="759"/>
      <c r="D745" s="759"/>
      <c r="E745" s="759"/>
      <c r="F745" s="759" t="s">
        <v>189</v>
      </c>
      <c r="G745" s="603"/>
      <c r="H745" s="165" t="s">
        <v>12</v>
      </c>
      <c r="I745" s="617"/>
      <c r="J745" s="617"/>
      <c r="K745" s="93"/>
      <c r="L745" s="93"/>
      <c r="M745" s="93"/>
      <c r="N745" s="93"/>
      <c r="O745" s="93"/>
      <c r="P745" s="93"/>
      <c r="Q745" s="604"/>
      <c r="R745" s="604"/>
      <c r="S745" s="604"/>
      <c r="T745" s="604"/>
      <c r="U745" s="604"/>
      <c r="V745" s="604"/>
      <c r="W745" s="604"/>
      <c r="X745" s="604"/>
      <c r="Y745" s="604"/>
      <c r="Z745" s="604"/>
    </row>
    <row r="746" spans="1:26" ht="18.75" hidden="1">
      <c r="A746" s="649"/>
      <c r="B746" s="607"/>
      <c r="C746" s="759"/>
      <c r="D746" s="759"/>
      <c r="E746" s="759"/>
      <c r="F746" s="759" t="s">
        <v>190</v>
      </c>
      <c r="G746" s="603"/>
      <c r="H746" s="165" t="s">
        <v>12</v>
      </c>
      <c r="I746" s="617"/>
      <c r="J746" s="617"/>
      <c r="K746" s="93"/>
      <c r="L746" s="93"/>
      <c r="M746" s="93"/>
      <c r="N746" s="93"/>
      <c r="O746" s="93"/>
      <c r="P746" s="93"/>
      <c r="Q746" s="604"/>
      <c r="R746" s="604"/>
      <c r="S746" s="604"/>
      <c r="T746" s="604"/>
      <c r="U746" s="604"/>
      <c r="V746" s="604"/>
      <c r="W746" s="604"/>
      <c r="X746" s="604"/>
      <c r="Y746" s="604"/>
      <c r="Z746" s="604"/>
    </row>
    <row r="747" spans="1:26" ht="19.5" hidden="1">
      <c r="A747" s="599"/>
      <c r="B747" s="607"/>
      <c r="C747" s="759"/>
      <c r="D747" s="645" t="s">
        <v>21</v>
      </c>
      <c r="E747" s="759"/>
      <c r="F747" s="759"/>
      <c r="G747" s="603"/>
      <c r="H747" s="783" t="s">
        <v>12</v>
      </c>
      <c r="I747" s="166"/>
      <c r="J747" s="166"/>
      <c r="K747" s="167"/>
      <c r="L747" s="647">
        <f t="shared" ref="L747:N747" si="299">L748+L749</f>
        <v>0</v>
      </c>
      <c r="M747" s="647">
        <f t="shared" si="299"/>
        <v>0</v>
      </c>
      <c r="N747" s="647">
        <f t="shared" si="299"/>
        <v>0</v>
      </c>
      <c r="O747" s="647">
        <f t="shared" ref="O747:O749" si="300">IF(L747&gt;0,N747*100/L747,0)</f>
        <v>0</v>
      </c>
      <c r="P747" s="647">
        <f t="shared" ref="P747:P749" si="301">IF(M747&gt;0,N747*100/M747,0)</f>
        <v>0</v>
      </c>
      <c r="Q747" s="604"/>
      <c r="R747" s="604"/>
      <c r="S747" s="604"/>
      <c r="T747" s="604"/>
      <c r="U747" s="604"/>
      <c r="V747" s="604"/>
      <c r="W747" s="604"/>
      <c r="X747" s="604"/>
      <c r="Y747" s="604"/>
      <c r="Z747" s="604"/>
    </row>
    <row r="748" spans="1:26" ht="18.75" hidden="1">
      <c r="A748" s="599"/>
      <c r="B748" s="607"/>
      <c r="C748" s="759"/>
      <c r="D748" s="759"/>
      <c r="E748" s="759" t="s">
        <v>18</v>
      </c>
      <c r="F748" s="759"/>
      <c r="G748" s="603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4"/>
      <c r="R748" s="604"/>
      <c r="S748" s="604"/>
      <c r="T748" s="604"/>
      <c r="U748" s="604"/>
      <c r="V748" s="604"/>
      <c r="W748" s="604"/>
      <c r="X748" s="604"/>
      <c r="Y748" s="604"/>
      <c r="Z748" s="604"/>
    </row>
    <row r="749" spans="1:26" ht="18.75" hidden="1">
      <c r="A749" s="599"/>
      <c r="B749" s="607"/>
      <c r="C749" s="759"/>
      <c r="D749" s="759"/>
      <c r="E749" s="759" t="s">
        <v>19</v>
      </c>
      <c r="F749" s="759"/>
      <c r="G749" s="603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4"/>
      <c r="R749" s="604"/>
      <c r="S749" s="604"/>
      <c r="T749" s="604"/>
      <c r="U749" s="604"/>
      <c r="V749" s="604"/>
      <c r="W749" s="604"/>
      <c r="X749" s="604"/>
      <c r="Y749" s="604"/>
      <c r="Z749" s="604"/>
    </row>
    <row r="750" spans="1:26" ht="19.5" hidden="1">
      <c r="A750" s="614"/>
      <c r="B750" s="616"/>
      <c r="C750" s="759" t="s">
        <v>16</v>
      </c>
      <c r="D750" s="899" t="s">
        <v>38</v>
      </c>
      <c r="E750" s="651"/>
      <c r="F750" s="651"/>
      <c r="G750" s="652"/>
      <c r="H750" s="366"/>
      <c r="I750" s="166"/>
      <c r="J750" s="166"/>
      <c r="K750" s="167"/>
      <c r="L750" s="167"/>
      <c r="M750" s="167"/>
      <c r="N750" s="167"/>
      <c r="O750" s="167"/>
      <c r="P750" s="167"/>
      <c r="Q750" s="604"/>
      <c r="R750" s="604"/>
      <c r="S750" s="604"/>
      <c r="T750" s="604"/>
      <c r="U750" s="604"/>
      <c r="V750" s="604"/>
      <c r="W750" s="604"/>
      <c r="X750" s="604"/>
      <c r="Y750" s="604"/>
      <c r="Z750" s="604"/>
    </row>
    <row r="751" spans="1:26" ht="18.75" hidden="1">
      <c r="A751" s="649"/>
      <c r="B751" s="607"/>
      <c r="C751" s="759"/>
      <c r="D751" s="759"/>
      <c r="E751" s="759" t="s">
        <v>314</v>
      </c>
      <c r="F751" s="759"/>
      <c r="G751" s="603"/>
      <c r="H751" s="165" t="s">
        <v>46</v>
      </c>
      <c r="I751" s="617"/>
      <c r="J751" s="617"/>
      <c r="K751" s="93"/>
      <c r="L751" s="93"/>
      <c r="M751" s="93"/>
      <c r="N751" s="93"/>
      <c r="O751" s="93"/>
      <c r="P751" s="93"/>
      <c r="Q751" s="604"/>
      <c r="R751" s="604"/>
      <c r="S751" s="604"/>
      <c r="T751" s="604"/>
      <c r="U751" s="604"/>
      <c r="V751" s="604"/>
      <c r="W751" s="604"/>
      <c r="X751" s="604"/>
      <c r="Y751" s="604"/>
      <c r="Z751" s="604"/>
    </row>
    <row r="752" spans="1:26" ht="18.75" hidden="1">
      <c r="A752" s="649"/>
      <c r="B752" s="607"/>
      <c r="C752" s="759"/>
      <c r="D752" s="759"/>
      <c r="E752" s="759"/>
      <c r="F752" s="759"/>
      <c r="G752" s="603"/>
      <c r="H752" s="165" t="s">
        <v>315</v>
      </c>
      <c r="I752" s="617"/>
      <c r="J752" s="617"/>
      <c r="K752" s="93"/>
      <c r="L752" s="93"/>
      <c r="M752" s="93"/>
      <c r="N752" s="93"/>
      <c r="O752" s="93"/>
      <c r="P752" s="93"/>
      <c r="Q752" s="604"/>
      <c r="R752" s="604"/>
      <c r="S752" s="604"/>
      <c r="T752" s="604"/>
      <c r="U752" s="604"/>
      <c r="V752" s="604"/>
      <c r="W752" s="604"/>
      <c r="X752" s="604"/>
      <c r="Y752" s="604"/>
      <c r="Z752" s="604"/>
    </row>
    <row r="753" spans="1:26" ht="19.5" hidden="1">
      <c r="A753" s="785">
        <v>10</v>
      </c>
      <c r="B753" s="786" t="s">
        <v>316</v>
      </c>
      <c r="C753" s="787"/>
      <c r="D753" s="787"/>
      <c r="E753" s="787"/>
      <c r="F753" s="787"/>
      <c r="G753" s="788"/>
      <c r="H753" s="789" t="s">
        <v>46</v>
      </c>
      <c r="I753" s="790"/>
      <c r="J753" s="790">
        <f>J768</f>
        <v>0</v>
      </c>
      <c r="K753" s="791">
        <f>IF(I753&gt;0,J753*100/I753,0)</f>
        <v>0</v>
      </c>
      <c r="L753" s="792"/>
      <c r="M753" s="792"/>
      <c r="N753" s="792"/>
      <c r="O753" s="792"/>
      <c r="P753" s="792"/>
      <c r="Q753" s="604"/>
      <c r="R753" s="604"/>
      <c r="S753" s="604"/>
      <c r="T753" s="604"/>
      <c r="U753" s="604"/>
      <c r="V753" s="604"/>
      <c r="W753" s="604"/>
      <c r="X753" s="604"/>
      <c r="Y753" s="604"/>
      <c r="Z753" s="604"/>
    </row>
    <row r="754" spans="1:26" ht="19.5" hidden="1">
      <c r="A754" s="599"/>
      <c r="B754" s="759"/>
      <c r="C754" s="759" t="s">
        <v>16</v>
      </c>
      <c r="D754" s="864" t="s">
        <v>17</v>
      </c>
      <c r="E754" s="857"/>
      <c r="F754" s="857"/>
      <c r="G754" s="603"/>
      <c r="H754" s="646" t="s">
        <v>12</v>
      </c>
      <c r="I754" s="617"/>
      <c r="J754" s="617"/>
      <c r="K754" s="93"/>
      <c r="L754" s="647">
        <f t="shared" ref="L754:N754" si="302">L755+L756</f>
        <v>0</v>
      </c>
      <c r="M754" s="647">
        <f t="shared" si="302"/>
        <v>0</v>
      </c>
      <c r="N754" s="647">
        <f t="shared" si="302"/>
        <v>0</v>
      </c>
      <c r="O754" s="647">
        <f t="shared" ref="O754:O759" si="303">IF(L754&gt;0,N754*100/L754,0)</f>
        <v>0</v>
      </c>
      <c r="P754" s="647">
        <f t="shared" ref="P754:P759" si="304">IF(M754&gt;0,N754*100/M754,0)</f>
        <v>0</v>
      </c>
      <c r="Q754" s="604"/>
      <c r="R754" s="604"/>
      <c r="S754" s="604"/>
      <c r="T754" s="604"/>
      <c r="U754" s="604"/>
      <c r="V754" s="604"/>
      <c r="W754" s="604"/>
      <c r="X754" s="604"/>
      <c r="Y754" s="604"/>
      <c r="Z754" s="604"/>
    </row>
    <row r="755" spans="1:26" ht="18.75" hidden="1">
      <c r="A755" s="599"/>
      <c r="B755" s="759"/>
      <c r="C755" s="759"/>
      <c r="D755" s="720"/>
      <c r="E755" s="759" t="s">
        <v>185</v>
      </c>
      <c r="F755" s="759"/>
      <c r="G755" s="603"/>
      <c r="H755" s="165" t="s">
        <v>12</v>
      </c>
      <c r="I755" s="617"/>
      <c r="J755" s="617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4"/>
      <c r="R755" s="604"/>
      <c r="S755" s="604"/>
      <c r="T755" s="604"/>
      <c r="U755" s="604"/>
      <c r="V755" s="604"/>
      <c r="W755" s="604"/>
      <c r="X755" s="604"/>
      <c r="Y755" s="604"/>
      <c r="Z755" s="604"/>
    </row>
    <row r="756" spans="1:26" ht="18.75" hidden="1">
      <c r="A756" s="599"/>
      <c r="B756" s="607"/>
      <c r="C756" s="759"/>
      <c r="D756" s="720"/>
      <c r="E756" s="759" t="s">
        <v>186</v>
      </c>
      <c r="F756" s="759"/>
      <c r="G756" s="603"/>
      <c r="H756" s="165" t="s">
        <v>12</v>
      </c>
      <c r="I756" s="617"/>
      <c r="J756" s="617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4"/>
      <c r="R756" s="604"/>
      <c r="S756" s="604"/>
      <c r="T756" s="604"/>
      <c r="U756" s="604"/>
      <c r="V756" s="604"/>
      <c r="W756" s="604"/>
      <c r="X756" s="604"/>
      <c r="Y756" s="604"/>
      <c r="Z756" s="604"/>
    </row>
    <row r="757" spans="1:26" ht="19.5" hidden="1">
      <c r="A757" s="599"/>
      <c r="B757" s="607"/>
      <c r="C757" s="759"/>
      <c r="D757" s="645" t="s">
        <v>20</v>
      </c>
      <c r="E757" s="759"/>
      <c r="F757" s="759"/>
      <c r="G757" s="603"/>
      <c r="H757" s="646" t="s">
        <v>12</v>
      </c>
      <c r="I757" s="166"/>
      <c r="J757" s="166"/>
      <c r="K757" s="167"/>
      <c r="L757" s="647">
        <f t="shared" ref="L757:N757" si="306">L758+L759</f>
        <v>0</v>
      </c>
      <c r="M757" s="647">
        <f t="shared" si="306"/>
        <v>0</v>
      </c>
      <c r="N757" s="647">
        <f t="shared" si="306"/>
        <v>0</v>
      </c>
      <c r="O757" s="647">
        <f t="shared" si="303"/>
        <v>0</v>
      </c>
      <c r="P757" s="647">
        <f t="shared" si="304"/>
        <v>0</v>
      </c>
      <c r="Q757" s="604"/>
      <c r="R757" s="604"/>
      <c r="S757" s="604"/>
      <c r="T757" s="604"/>
      <c r="U757" s="604"/>
      <c r="V757" s="604"/>
      <c r="W757" s="604"/>
      <c r="X757" s="604"/>
      <c r="Y757" s="604"/>
      <c r="Z757" s="604"/>
    </row>
    <row r="758" spans="1:26" ht="18.75" hidden="1">
      <c r="A758" s="599"/>
      <c r="B758" s="607"/>
      <c r="C758" s="759"/>
      <c r="D758" s="720"/>
      <c r="E758" s="759" t="s">
        <v>185</v>
      </c>
      <c r="F758" s="759"/>
      <c r="G758" s="603"/>
      <c r="H758" s="165" t="s">
        <v>12</v>
      </c>
      <c r="I758" s="617"/>
      <c r="J758" s="617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4"/>
      <c r="R758" s="604"/>
      <c r="S758" s="604"/>
      <c r="T758" s="604"/>
      <c r="U758" s="604"/>
      <c r="V758" s="604"/>
      <c r="W758" s="604"/>
      <c r="X758" s="604"/>
      <c r="Y758" s="604"/>
      <c r="Z758" s="604"/>
    </row>
    <row r="759" spans="1:26" ht="18.75" hidden="1">
      <c r="A759" s="599"/>
      <c r="B759" s="607"/>
      <c r="C759" s="759"/>
      <c r="D759" s="720"/>
      <c r="E759" s="759" t="s">
        <v>186</v>
      </c>
      <c r="F759" s="759"/>
      <c r="G759" s="603"/>
      <c r="H759" s="165" t="s">
        <v>12</v>
      </c>
      <c r="I759" s="617"/>
      <c r="J759" s="617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4"/>
      <c r="R759" s="604"/>
      <c r="S759" s="604"/>
      <c r="T759" s="604"/>
      <c r="U759" s="604"/>
      <c r="V759" s="604"/>
      <c r="W759" s="604"/>
      <c r="X759" s="604"/>
      <c r="Y759" s="604"/>
      <c r="Z759" s="604"/>
    </row>
    <row r="760" spans="1:26" ht="18.75" hidden="1">
      <c r="A760" s="649"/>
      <c r="B760" s="607"/>
      <c r="C760" s="759"/>
      <c r="D760" s="759"/>
      <c r="E760" s="759"/>
      <c r="F760" s="759" t="s">
        <v>187</v>
      </c>
      <c r="G760" s="603"/>
      <c r="H760" s="165" t="s">
        <v>12</v>
      </c>
      <c r="I760" s="617"/>
      <c r="J760" s="617"/>
      <c r="K760" s="93"/>
      <c r="L760" s="93"/>
      <c r="M760" s="93"/>
      <c r="N760" s="93"/>
      <c r="O760" s="93"/>
      <c r="P760" s="93"/>
      <c r="Q760" s="604"/>
      <c r="R760" s="604"/>
      <c r="S760" s="604"/>
      <c r="T760" s="604"/>
      <c r="U760" s="604"/>
      <c r="V760" s="604"/>
      <c r="W760" s="604"/>
      <c r="X760" s="604"/>
      <c r="Y760" s="604"/>
      <c r="Z760" s="604"/>
    </row>
    <row r="761" spans="1:26" ht="18.75" hidden="1">
      <c r="A761" s="649"/>
      <c r="B761" s="607"/>
      <c r="C761" s="759"/>
      <c r="D761" s="759"/>
      <c r="E761" s="759"/>
      <c r="F761" s="759" t="s">
        <v>188</v>
      </c>
      <c r="G761" s="603"/>
      <c r="H761" s="165" t="s">
        <v>12</v>
      </c>
      <c r="I761" s="617"/>
      <c r="J761" s="617"/>
      <c r="K761" s="93"/>
      <c r="L761" s="93"/>
      <c r="M761" s="93"/>
      <c r="N761" s="93"/>
      <c r="O761" s="93"/>
      <c r="P761" s="93"/>
      <c r="Q761" s="604"/>
      <c r="R761" s="604"/>
      <c r="S761" s="604"/>
      <c r="T761" s="604"/>
      <c r="U761" s="604"/>
      <c r="V761" s="604"/>
      <c r="W761" s="604"/>
      <c r="X761" s="604"/>
      <c r="Y761" s="604"/>
      <c r="Z761" s="604"/>
    </row>
    <row r="762" spans="1:26" ht="18.75" hidden="1">
      <c r="A762" s="649"/>
      <c r="B762" s="607"/>
      <c r="C762" s="759"/>
      <c r="D762" s="759"/>
      <c r="E762" s="759"/>
      <c r="F762" s="759" t="s">
        <v>189</v>
      </c>
      <c r="G762" s="603"/>
      <c r="H762" s="165" t="s">
        <v>12</v>
      </c>
      <c r="I762" s="617"/>
      <c r="J762" s="617"/>
      <c r="K762" s="93"/>
      <c r="L762" s="93"/>
      <c r="M762" s="93"/>
      <c r="N762" s="93"/>
      <c r="O762" s="93"/>
      <c r="P762" s="93"/>
      <c r="Q762" s="604"/>
      <c r="R762" s="604"/>
      <c r="S762" s="604"/>
      <c r="T762" s="604"/>
      <c r="U762" s="604"/>
      <c r="V762" s="604"/>
      <c r="W762" s="604"/>
      <c r="X762" s="604"/>
      <c r="Y762" s="604"/>
      <c r="Z762" s="604"/>
    </row>
    <row r="763" spans="1:26" ht="18.75" hidden="1">
      <c r="A763" s="649"/>
      <c r="B763" s="607"/>
      <c r="C763" s="759"/>
      <c r="D763" s="759"/>
      <c r="E763" s="759"/>
      <c r="F763" s="759" t="s">
        <v>190</v>
      </c>
      <c r="G763" s="603"/>
      <c r="H763" s="165" t="s">
        <v>12</v>
      </c>
      <c r="I763" s="617"/>
      <c r="J763" s="617"/>
      <c r="K763" s="93"/>
      <c r="L763" s="93"/>
      <c r="M763" s="93"/>
      <c r="N763" s="93"/>
      <c r="O763" s="93"/>
      <c r="P763" s="93"/>
      <c r="Q763" s="604"/>
      <c r="R763" s="604"/>
      <c r="S763" s="604"/>
      <c r="T763" s="604"/>
      <c r="U763" s="604"/>
      <c r="V763" s="604"/>
      <c r="W763" s="604"/>
      <c r="X763" s="604"/>
      <c r="Y763" s="604"/>
      <c r="Z763" s="604"/>
    </row>
    <row r="764" spans="1:26" ht="19.5" hidden="1">
      <c r="A764" s="599"/>
      <c r="B764" s="607"/>
      <c r="C764" s="759"/>
      <c r="D764" s="645" t="s">
        <v>21</v>
      </c>
      <c r="E764" s="759"/>
      <c r="F764" s="759"/>
      <c r="G764" s="603"/>
      <c r="H764" s="783" t="s">
        <v>12</v>
      </c>
      <c r="I764" s="166"/>
      <c r="J764" s="166"/>
      <c r="K764" s="167"/>
      <c r="L764" s="647">
        <f t="shared" ref="L764:N764" si="307">L765+L766</f>
        <v>0</v>
      </c>
      <c r="M764" s="647">
        <f t="shared" si="307"/>
        <v>0</v>
      </c>
      <c r="N764" s="647">
        <f t="shared" si="307"/>
        <v>0</v>
      </c>
      <c r="O764" s="647">
        <f t="shared" ref="O764:O766" si="308">IF(L764&gt;0,N764*100/L764,0)</f>
        <v>0</v>
      </c>
      <c r="P764" s="647">
        <f t="shared" ref="P764:P766" si="309">IF(M764&gt;0,N764*100/M764,0)</f>
        <v>0</v>
      </c>
      <c r="Q764" s="604"/>
      <c r="R764" s="604"/>
      <c r="S764" s="604"/>
      <c r="T764" s="604"/>
      <c r="U764" s="604"/>
      <c r="V764" s="604"/>
      <c r="W764" s="604"/>
      <c r="X764" s="604"/>
      <c r="Y764" s="604"/>
      <c r="Z764" s="604"/>
    </row>
    <row r="765" spans="1:26" ht="18.75" hidden="1">
      <c r="A765" s="599"/>
      <c r="B765" s="607"/>
      <c r="C765" s="759"/>
      <c r="D765" s="759"/>
      <c r="E765" s="759" t="s">
        <v>18</v>
      </c>
      <c r="F765" s="759"/>
      <c r="G765" s="603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4"/>
      <c r="R765" s="604"/>
      <c r="S765" s="604"/>
      <c r="T765" s="604"/>
      <c r="U765" s="604"/>
      <c r="V765" s="604"/>
      <c r="W765" s="604"/>
      <c r="X765" s="604"/>
      <c r="Y765" s="604"/>
      <c r="Z765" s="604"/>
    </row>
    <row r="766" spans="1:26" ht="18.75" hidden="1">
      <c r="A766" s="599"/>
      <c r="B766" s="607"/>
      <c r="C766" s="759"/>
      <c r="D766" s="759"/>
      <c r="E766" s="759" t="s">
        <v>19</v>
      </c>
      <c r="F766" s="759"/>
      <c r="G766" s="603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4"/>
      <c r="R766" s="604"/>
      <c r="S766" s="604"/>
      <c r="T766" s="604"/>
      <c r="U766" s="604"/>
      <c r="V766" s="604"/>
      <c r="W766" s="604"/>
      <c r="X766" s="604"/>
      <c r="Y766" s="604"/>
      <c r="Z766" s="604"/>
    </row>
    <row r="767" spans="1:26" ht="19.5" hidden="1">
      <c r="A767" s="614"/>
      <c r="B767" s="616"/>
      <c r="C767" s="759" t="s">
        <v>16</v>
      </c>
      <c r="D767" s="899" t="s">
        <v>38</v>
      </c>
      <c r="E767" s="651"/>
      <c r="F767" s="651"/>
      <c r="G767" s="652"/>
      <c r="H767" s="366"/>
      <c r="I767" s="166"/>
      <c r="J767" s="166"/>
      <c r="K767" s="167"/>
      <c r="L767" s="167"/>
      <c r="M767" s="167"/>
      <c r="N767" s="167"/>
      <c r="O767" s="167"/>
      <c r="P767" s="167"/>
      <c r="Q767" s="604"/>
      <c r="R767" s="604"/>
      <c r="S767" s="604"/>
      <c r="T767" s="604"/>
      <c r="U767" s="604"/>
      <c r="V767" s="604"/>
      <c r="W767" s="604"/>
      <c r="X767" s="604"/>
      <c r="Y767" s="604"/>
      <c r="Z767" s="604"/>
    </row>
    <row r="768" spans="1:26" ht="18.75" hidden="1">
      <c r="A768" s="649"/>
      <c r="B768" s="607"/>
      <c r="C768" s="759"/>
      <c r="D768" s="759"/>
      <c r="E768" s="759" t="s">
        <v>317</v>
      </c>
      <c r="F768" s="759"/>
      <c r="G768" s="603"/>
      <c r="H768" s="165" t="s">
        <v>46</v>
      </c>
      <c r="I768" s="617"/>
      <c r="J768" s="617"/>
      <c r="K768" s="93"/>
      <c r="L768" s="93"/>
      <c r="M768" s="93"/>
      <c r="N768" s="93"/>
      <c r="O768" s="93"/>
      <c r="P768" s="93"/>
      <c r="Q768" s="604"/>
      <c r="R768" s="604"/>
      <c r="S768" s="604"/>
      <c r="T768" s="604"/>
      <c r="U768" s="604"/>
      <c r="V768" s="604"/>
      <c r="W768" s="604"/>
      <c r="X768" s="604"/>
      <c r="Y768" s="604"/>
      <c r="Z768" s="604"/>
    </row>
    <row r="769" spans="1:26" ht="19.5" hidden="1">
      <c r="A769" s="793">
        <v>11</v>
      </c>
      <c r="B769" s="794" t="s">
        <v>318</v>
      </c>
      <c r="C769" s="795"/>
      <c r="D769" s="795"/>
      <c r="E769" s="795"/>
      <c r="F769" s="795"/>
      <c r="G769" s="796"/>
      <c r="H769" s="797" t="s">
        <v>46</v>
      </c>
      <c r="I769" s="798"/>
      <c r="J769" s="798">
        <f>J784</f>
        <v>0</v>
      </c>
      <c r="K769" s="799">
        <f>IF(I769&gt;0,J769*100/I769,0)</f>
        <v>0</v>
      </c>
      <c r="L769" s="800"/>
      <c r="M769" s="800"/>
      <c r="N769" s="800"/>
      <c r="O769" s="800"/>
      <c r="P769" s="800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</row>
    <row r="770" spans="1:26" ht="19.5" hidden="1">
      <c r="A770" s="599"/>
      <c r="B770" s="759"/>
      <c r="C770" s="759" t="s">
        <v>16</v>
      </c>
      <c r="D770" s="864" t="s">
        <v>17</v>
      </c>
      <c r="E770" s="857"/>
      <c r="F770" s="857"/>
      <c r="G770" s="603"/>
      <c r="H770" s="646" t="s">
        <v>12</v>
      </c>
      <c r="I770" s="617"/>
      <c r="J770" s="617"/>
      <c r="K770" s="93"/>
      <c r="L770" s="647">
        <f t="shared" ref="L770:N770" si="310">L771+L772</f>
        <v>0</v>
      </c>
      <c r="M770" s="647">
        <f t="shared" si="310"/>
        <v>0</v>
      </c>
      <c r="N770" s="647">
        <f t="shared" si="310"/>
        <v>0</v>
      </c>
      <c r="O770" s="647">
        <f t="shared" ref="O770:O775" si="311">IF(L770&gt;0,N770*100/L770,0)</f>
        <v>0</v>
      </c>
      <c r="P770" s="647">
        <f t="shared" ref="P770:P775" si="312">IF(M770&gt;0,N770*100/M770,0)</f>
        <v>0</v>
      </c>
      <c r="Q770" s="604"/>
      <c r="R770" s="604"/>
      <c r="S770" s="604"/>
      <c r="T770" s="604"/>
      <c r="U770" s="604"/>
      <c r="V770" s="604"/>
      <c r="W770" s="604"/>
      <c r="X770" s="604"/>
      <c r="Y770" s="604"/>
      <c r="Z770" s="604"/>
    </row>
    <row r="771" spans="1:26" ht="18.75" hidden="1">
      <c r="A771" s="599"/>
      <c r="B771" s="759"/>
      <c r="C771" s="759"/>
      <c r="D771" s="720"/>
      <c r="E771" s="759" t="s">
        <v>185</v>
      </c>
      <c r="F771" s="759"/>
      <c r="G771" s="603"/>
      <c r="H771" s="165" t="s">
        <v>12</v>
      </c>
      <c r="I771" s="617"/>
      <c r="J771" s="617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4"/>
      <c r="R771" s="604"/>
      <c r="S771" s="604"/>
      <c r="T771" s="604"/>
      <c r="U771" s="604"/>
      <c r="V771" s="604"/>
      <c r="W771" s="604"/>
      <c r="X771" s="604"/>
      <c r="Y771" s="604"/>
      <c r="Z771" s="604"/>
    </row>
    <row r="772" spans="1:26" ht="18.75" hidden="1">
      <c r="A772" s="599"/>
      <c r="B772" s="607"/>
      <c r="C772" s="759"/>
      <c r="D772" s="720"/>
      <c r="E772" s="759" t="s">
        <v>186</v>
      </c>
      <c r="F772" s="759"/>
      <c r="G772" s="603"/>
      <c r="H772" s="165" t="s">
        <v>12</v>
      </c>
      <c r="I772" s="617"/>
      <c r="J772" s="617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4"/>
      <c r="R772" s="604"/>
      <c r="S772" s="604"/>
      <c r="T772" s="604"/>
      <c r="U772" s="604"/>
      <c r="V772" s="604"/>
      <c r="W772" s="604"/>
      <c r="X772" s="604"/>
      <c r="Y772" s="604"/>
      <c r="Z772" s="604"/>
    </row>
    <row r="773" spans="1:26" ht="19.5" hidden="1">
      <c r="A773" s="599"/>
      <c r="B773" s="607"/>
      <c r="C773" s="759"/>
      <c r="D773" s="645" t="s">
        <v>20</v>
      </c>
      <c r="E773" s="759"/>
      <c r="F773" s="759"/>
      <c r="G773" s="603"/>
      <c r="H773" s="646" t="s">
        <v>12</v>
      </c>
      <c r="I773" s="166"/>
      <c r="J773" s="166"/>
      <c r="K773" s="167"/>
      <c r="L773" s="647">
        <f t="shared" ref="L773:N773" si="314">L774+L775</f>
        <v>0</v>
      </c>
      <c r="M773" s="647">
        <f t="shared" si="314"/>
        <v>0</v>
      </c>
      <c r="N773" s="647">
        <f t="shared" si="314"/>
        <v>0</v>
      </c>
      <c r="O773" s="647">
        <f t="shared" si="311"/>
        <v>0</v>
      </c>
      <c r="P773" s="647">
        <f t="shared" si="312"/>
        <v>0</v>
      </c>
      <c r="Q773" s="604"/>
      <c r="R773" s="604"/>
      <c r="S773" s="604"/>
      <c r="T773" s="604"/>
      <c r="U773" s="604"/>
      <c r="V773" s="604"/>
      <c r="W773" s="604"/>
      <c r="X773" s="604"/>
      <c r="Y773" s="604"/>
      <c r="Z773" s="604"/>
    </row>
    <row r="774" spans="1:26" ht="18.75" hidden="1">
      <c r="A774" s="599"/>
      <c r="B774" s="607"/>
      <c r="C774" s="759"/>
      <c r="D774" s="720"/>
      <c r="E774" s="759" t="s">
        <v>185</v>
      </c>
      <c r="F774" s="759"/>
      <c r="G774" s="603"/>
      <c r="H774" s="165" t="s">
        <v>12</v>
      </c>
      <c r="I774" s="617"/>
      <c r="J774" s="617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4"/>
      <c r="R774" s="604"/>
      <c r="S774" s="604"/>
      <c r="T774" s="604"/>
      <c r="U774" s="604"/>
      <c r="V774" s="604"/>
      <c r="W774" s="604"/>
      <c r="X774" s="604"/>
      <c r="Y774" s="604"/>
      <c r="Z774" s="604"/>
    </row>
    <row r="775" spans="1:26" ht="18.75" hidden="1">
      <c r="A775" s="599"/>
      <c r="B775" s="607"/>
      <c r="C775" s="759"/>
      <c r="D775" s="720"/>
      <c r="E775" s="759" t="s">
        <v>186</v>
      </c>
      <c r="F775" s="759"/>
      <c r="G775" s="603"/>
      <c r="H775" s="165" t="s">
        <v>12</v>
      </c>
      <c r="I775" s="617"/>
      <c r="J775" s="617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4"/>
      <c r="R775" s="604"/>
      <c r="S775" s="604"/>
      <c r="T775" s="604"/>
      <c r="U775" s="604"/>
      <c r="V775" s="604"/>
      <c r="W775" s="604"/>
      <c r="X775" s="604"/>
      <c r="Y775" s="604"/>
      <c r="Z775" s="604"/>
    </row>
    <row r="776" spans="1:26" ht="18.75" hidden="1">
      <c r="A776" s="649"/>
      <c r="B776" s="607"/>
      <c r="C776" s="759"/>
      <c r="D776" s="759"/>
      <c r="E776" s="759"/>
      <c r="F776" s="759" t="s">
        <v>187</v>
      </c>
      <c r="G776" s="603"/>
      <c r="H776" s="165" t="s">
        <v>12</v>
      </c>
      <c r="I776" s="617"/>
      <c r="J776" s="617"/>
      <c r="K776" s="93"/>
      <c r="L776" s="93"/>
      <c r="M776" s="93"/>
      <c r="N776" s="93"/>
      <c r="O776" s="93"/>
      <c r="P776" s="93"/>
      <c r="Q776" s="604"/>
      <c r="R776" s="604"/>
      <c r="S776" s="604"/>
      <c r="T776" s="604"/>
      <c r="U776" s="604"/>
      <c r="V776" s="604"/>
      <c r="W776" s="604"/>
      <c r="X776" s="604"/>
      <c r="Y776" s="604"/>
      <c r="Z776" s="604"/>
    </row>
    <row r="777" spans="1:26" ht="18.75" hidden="1">
      <c r="A777" s="649"/>
      <c r="B777" s="607"/>
      <c r="C777" s="759"/>
      <c r="D777" s="759"/>
      <c r="E777" s="759"/>
      <c r="F777" s="759" t="s">
        <v>188</v>
      </c>
      <c r="G777" s="603"/>
      <c r="H777" s="165" t="s">
        <v>12</v>
      </c>
      <c r="I777" s="617"/>
      <c r="J777" s="617"/>
      <c r="K777" s="93"/>
      <c r="L777" s="93"/>
      <c r="M777" s="93"/>
      <c r="N777" s="93"/>
      <c r="O777" s="93"/>
      <c r="P777" s="93"/>
      <c r="Q777" s="604"/>
      <c r="R777" s="604"/>
      <c r="S777" s="604"/>
      <c r="T777" s="604"/>
      <c r="U777" s="604"/>
      <c r="V777" s="604"/>
      <c r="W777" s="604"/>
      <c r="X777" s="604"/>
      <c r="Y777" s="604"/>
      <c r="Z777" s="604"/>
    </row>
    <row r="778" spans="1:26" ht="18.75" hidden="1">
      <c r="A778" s="649"/>
      <c r="B778" s="607"/>
      <c r="C778" s="759"/>
      <c r="D778" s="759"/>
      <c r="E778" s="759"/>
      <c r="F778" s="759" t="s">
        <v>189</v>
      </c>
      <c r="G778" s="603"/>
      <c r="H778" s="165" t="s">
        <v>12</v>
      </c>
      <c r="I778" s="617"/>
      <c r="J778" s="617"/>
      <c r="K778" s="93"/>
      <c r="L778" s="93"/>
      <c r="M778" s="93"/>
      <c r="N778" s="93"/>
      <c r="O778" s="93"/>
      <c r="P778" s="93"/>
      <c r="Q778" s="604"/>
      <c r="R778" s="604"/>
      <c r="S778" s="604"/>
      <c r="T778" s="604"/>
      <c r="U778" s="604"/>
      <c r="V778" s="604"/>
      <c r="W778" s="604"/>
      <c r="X778" s="604"/>
      <c r="Y778" s="604"/>
      <c r="Z778" s="604"/>
    </row>
    <row r="779" spans="1:26" ht="18.75" hidden="1">
      <c r="A779" s="649"/>
      <c r="B779" s="607"/>
      <c r="C779" s="759"/>
      <c r="D779" s="759"/>
      <c r="E779" s="759"/>
      <c r="F779" s="759" t="s">
        <v>190</v>
      </c>
      <c r="G779" s="603"/>
      <c r="H779" s="165" t="s">
        <v>12</v>
      </c>
      <c r="I779" s="617"/>
      <c r="J779" s="617"/>
      <c r="K779" s="93"/>
      <c r="L779" s="93"/>
      <c r="M779" s="93"/>
      <c r="N779" s="93"/>
      <c r="O779" s="93"/>
      <c r="P779" s="93"/>
      <c r="Q779" s="604"/>
      <c r="R779" s="604"/>
      <c r="S779" s="604"/>
      <c r="T779" s="604"/>
      <c r="U779" s="604"/>
      <c r="V779" s="604"/>
      <c r="W779" s="604"/>
      <c r="X779" s="604"/>
      <c r="Y779" s="604"/>
      <c r="Z779" s="604"/>
    </row>
    <row r="780" spans="1:26" ht="19.5" hidden="1">
      <c r="A780" s="599"/>
      <c r="B780" s="607"/>
      <c r="C780" s="759"/>
      <c r="D780" s="645" t="s">
        <v>21</v>
      </c>
      <c r="E780" s="759"/>
      <c r="F780" s="759"/>
      <c r="G780" s="603"/>
      <c r="H780" s="783" t="s">
        <v>12</v>
      </c>
      <c r="I780" s="166"/>
      <c r="J780" s="166"/>
      <c r="K780" s="167"/>
      <c r="L780" s="647">
        <f t="shared" ref="L780:N780" si="315">L781+L782</f>
        <v>0</v>
      </c>
      <c r="M780" s="647">
        <f t="shared" si="315"/>
        <v>0</v>
      </c>
      <c r="N780" s="647">
        <f t="shared" si="315"/>
        <v>0</v>
      </c>
      <c r="O780" s="647">
        <f t="shared" ref="O780:O782" si="316">IF(L780&gt;0,N780*100/L780,0)</f>
        <v>0</v>
      </c>
      <c r="P780" s="647">
        <f t="shared" ref="P780:P782" si="317">IF(M780&gt;0,N780*100/M780,0)</f>
        <v>0</v>
      </c>
      <c r="Q780" s="604"/>
      <c r="R780" s="604"/>
      <c r="S780" s="604"/>
      <c r="T780" s="604"/>
      <c r="U780" s="604"/>
      <c r="V780" s="604"/>
      <c r="W780" s="604"/>
      <c r="X780" s="604"/>
      <c r="Y780" s="604"/>
      <c r="Z780" s="604"/>
    </row>
    <row r="781" spans="1:26" ht="18.75" hidden="1">
      <c r="A781" s="599"/>
      <c r="B781" s="607"/>
      <c r="C781" s="759"/>
      <c r="D781" s="759"/>
      <c r="E781" s="759" t="s">
        <v>18</v>
      </c>
      <c r="F781" s="759"/>
      <c r="G781" s="603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4"/>
      <c r="R781" s="604"/>
      <c r="S781" s="604"/>
      <c r="T781" s="604"/>
      <c r="U781" s="604"/>
      <c r="V781" s="604"/>
      <c r="W781" s="604"/>
      <c r="X781" s="604"/>
      <c r="Y781" s="604"/>
      <c r="Z781" s="604"/>
    </row>
    <row r="782" spans="1:26" ht="18.75" hidden="1">
      <c r="A782" s="599"/>
      <c r="B782" s="607"/>
      <c r="C782" s="759"/>
      <c r="D782" s="759"/>
      <c r="E782" s="759" t="s">
        <v>19</v>
      </c>
      <c r="F782" s="759"/>
      <c r="G782" s="603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4"/>
      <c r="R782" s="604"/>
      <c r="S782" s="604"/>
      <c r="T782" s="604"/>
      <c r="U782" s="604"/>
      <c r="V782" s="604"/>
      <c r="W782" s="604"/>
      <c r="X782" s="604"/>
      <c r="Y782" s="604"/>
      <c r="Z782" s="604"/>
    </row>
    <row r="783" spans="1:26" ht="19.5" hidden="1">
      <c r="A783" s="614"/>
      <c r="B783" s="616"/>
      <c r="C783" s="759" t="s">
        <v>16</v>
      </c>
      <c r="D783" s="899" t="s">
        <v>38</v>
      </c>
      <c r="E783" s="651"/>
      <c r="F783" s="651"/>
      <c r="G783" s="652"/>
      <c r="H783" s="801"/>
      <c r="I783" s="166"/>
      <c r="J783" s="166"/>
      <c r="K783" s="167"/>
      <c r="L783" s="167"/>
      <c r="M783" s="167"/>
      <c r="N783" s="167"/>
      <c r="O783" s="167"/>
      <c r="P783" s="167"/>
      <c r="Q783" s="604"/>
      <c r="R783" s="604"/>
      <c r="S783" s="604"/>
      <c r="T783" s="604"/>
      <c r="U783" s="604"/>
      <c r="V783" s="604"/>
      <c r="W783" s="604"/>
      <c r="X783" s="604"/>
      <c r="Y783" s="604"/>
      <c r="Z783" s="604"/>
    </row>
    <row r="784" spans="1:26" ht="18.75" hidden="1">
      <c r="A784" s="649"/>
      <c r="B784" s="607"/>
      <c r="C784" s="759"/>
      <c r="D784" s="759"/>
      <c r="E784" s="759" t="s">
        <v>319</v>
      </c>
      <c r="F784" s="759"/>
      <c r="G784" s="603"/>
      <c r="H784" s="165" t="s">
        <v>46</v>
      </c>
      <c r="I784" s="617"/>
      <c r="J784" s="617"/>
      <c r="K784" s="93"/>
      <c r="L784" s="93"/>
      <c r="M784" s="93"/>
      <c r="N784" s="93"/>
      <c r="O784" s="93"/>
      <c r="P784" s="93"/>
      <c r="Q784" s="604"/>
      <c r="R784" s="604"/>
      <c r="S784" s="604"/>
      <c r="T784" s="604"/>
      <c r="U784" s="604"/>
      <c r="V784" s="604"/>
      <c r="W784" s="604"/>
      <c r="X784" s="604"/>
      <c r="Y784" s="604"/>
      <c r="Z784" s="604"/>
    </row>
    <row r="785" spans="1:26" ht="19.5" hidden="1">
      <c r="A785" s="802">
        <v>12</v>
      </c>
      <c r="B785" s="803" t="s">
        <v>320</v>
      </c>
      <c r="C785" s="804"/>
      <c r="D785" s="804"/>
      <c r="E785" s="804"/>
      <c r="F785" s="804"/>
      <c r="G785" s="805"/>
      <c r="H785" s="900" t="s">
        <v>46</v>
      </c>
      <c r="I785" s="901">
        <f t="shared" ref="I785:J785" ca="1" si="318">I800</f>
        <v>0</v>
      </c>
      <c r="J785" s="902">
        <f t="shared" ca="1" si="318"/>
        <v>0</v>
      </c>
      <c r="K785" s="903">
        <f ca="1">IF(I785&gt;0,J785*100/I785,0)</f>
        <v>0</v>
      </c>
      <c r="L785" s="809"/>
      <c r="M785" s="809"/>
      <c r="N785" s="809"/>
      <c r="O785" s="809"/>
      <c r="P785" s="809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</row>
    <row r="786" spans="1:26" ht="19.5" hidden="1">
      <c r="A786" s="597"/>
      <c r="B786" s="575"/>
      <c r="C786" s="763" t="s">
        <v>16</v>
      </c>
      <c r="D786" s="863" t="s">
        <v>17</v>
      </c>
      <c r="E786" s="857"/>
      <c r="F786" s="857"/>
      <c r="G786" s="189"/>
      <c r="H786" s="598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</row>
    <row r="787" spans="1:26" ht="18.75" hidden="1">
      <c r="A787" s="599"/>
      <c r="B787" s="607"/>
      <c r="C787" s="759"/>
      <c r="D787" s="720"/>
      <c r="E787" s="759" t="s">
        <v>185</v>
      </c>
      <c r="F787" s="759"/>
      <c r="G787" s="603"/>
      <c r="H787" s="165" t="s">
        <v>12</v>
      </c>
      <c r="I787" s="617"/>
      <c r="J787" s="617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4"/>
      <c r="R787" s="604"/>
      <c r="S787" s="604"/>
      <c r="T787" s="604"/>
      <c r="U787" s="604"/>
      <c r="V787" s="604"/>
      <c r="W787" s="604"/>
      <c r="X787" s="604"/>
      <c r="Y787" s="604"/>
      <c r="Z787" s="604"/>
    </row>
    <row r="788" spans="1:26" ht="18.75" hidden="1">
      <c r="A788" s="599"/>
      <c r="B788" s="607"/>
      <c r="C788" s="607"/>
      <c r="D788" s="616"/>
      <c r="E788" s="759" t="s">
        <v>186</v>
      </c>
      <c r="F788" s="759"/>
      <c r="G788" s="603"/>
      <c r="H788" s="165" t="s">
        <v>12</v>
      </c>
      <c r="I788" s="617"/>
      <c r="J788" s="617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4"/>
      <c r="R788" s="604"/>
      <c r="S788" s="604"/>
      <c r="T788" s="604"/>
      <c r="U788" s="604"/>
      <c r="V788" s="604"/>
      <c r="W788" s="604"/>
      <c r="X788" s="604"/>
      <c r="Y788" s="604"/>
      <c r="Z788" s="604"/>
    </row>
    <row r="789" spans="1:26" ht="18.75" hidden="1">
      <c r="A789" s="597"/>
      <c r="B789" s="575"/>
      <c r="C789" s="575"/>
      <c r="D789" s="606" t="s">
        <v>20</v>
      </c>
      <c r="E789" s="763"/>
      <c r="F789" s="763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</row>
    <row r="790" spans="1:26" ht="18.75" hidden="1">
      <c r="A790" s="599"/>
      <c r="B790" s="607"/>
      <c r="C790" s="607"/>
      <c r="D790" s="616"/>
      <c r="E790" s="759" t="s">
        <v>185</v>
      </c>
      <c r="F790" s="759"/>
      <c r="G790" s="603"/>
      <c r="H790" s="165" t="s">
        <v>12</v>
      </c>
      <c r="I790" s="617"/>
      <c r="J790" s="617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4"/>
      <c r="R790" s="604"/>
      <c r="S790" s="604"/>
      <c r="T790" s="604"/>
      <c r="U790" s="604"/>
      <c r="V790" s="604"/>
      <c r="W790" s="604"/>
      <c r="X790" s="604"/>
      <c r="Y790" s="604"/>
      <c r="Z790" s="604"/>
    </row>
    <row r="791" spans="1:26" ht="18.75" hidden="1">
      <c r="A791" s="599"/>
      <c r="B791" s="607"/>
      <c r="C791" s="607"/>
      <c r="D791" s="616"/>
      <c r="E791" s="759" t="s">
        <v>186</v>
      </c>
      <c r="F791" s="759"/>
      <c r="G791" s="603"/>
      <c r="H791" s="165" t="s">
        <v>12</v>
      </c>
      <c r="I791" s="617"/>
      <c r="J791" s="617"/>
      <c r="K791" s="93"/>
      <c r="L791" s="93">
        <f ca="1">IFERROR(__xludf.DUMMYFUNCTION("IMPORTRANGE(""https://docs.google.com/spreadsheets/d/1QqKyyYR6Q21VydFLVH3TRQUabQu_ym0Zz7PgGX0-kHA/edit?usp=sharing"",""แผน!JJ40"")"),0)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4"/>
      <c r="R791" s="604"/>
      <c r="S791" s="604"/>
      <c r="T791" s="604"/>
      <c r="U791" s="604"/>
      <c r="V791" s="604"/>
      <c r="W791" s="604"/>
      <c r="X791" s="604"/>
      <c r="Y791" s="604"/>
      <c r="Z791" s="604"/>
    </row>
    <row r="792" spans="1:26" ht="18.75" hidden="1">
      <c r="A792" s="574"/>
      <c r="B792" s="575"/>
      <c r="C792" s="763"/>
      <c r="D792" s="763"/>
      <c r="E792" s="763"/>
      <c r="F792" s="763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40">
        <v>0</v>
      </c>
      <c r="O792" s="498"/>
      <c r="P792" s="49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</row>
    <row r="793" spans="1:26" ht="18.75" hidden="1">
      <c r="A793" s="574"/>
      <c r="B793" s="575"/>
      <c r="C793" s="763"/>
      <c r="D793" s="763"/>
      <c r="E793" s="763"/>
      <c r="F793" s="763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40">
        <v>0</v>
      </c>
      <c r="O793" s="498"/>
      <c r="P793" s="49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</row>
    <row r="794" spans="1:26" ht="18.75" hidden="1">
      <c r="A794" s="574"/>
      <c r="B794" s="575"/>
      <c r="C794" s="763"/>
      <c r="D794" s="763"/>
      <c r="E794" s="763"/>
      <c r="F794" s="763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40">
        <v>0</v>
      </c>
      <c r="O794" s="498"/>
      <c r="P794" s="49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</row>
    <row r="795" spans="1:26" ht="18.75" hidden="1">
      <c r="A795" s="574"/>
      <c r="B795" s="575"/>
      <c r="C795" s="763"/>
      <c r="D795" s="763"/>
      <c r="E795" s="763"/>
      <c r="F795" s="763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40">
        <v>0</v>
      </c>
      <c r="O795" s="498"/>
      <c r="P795" s="49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</row>
    <row r="796" spans="1:26" ht="18.75" hidden="1">
      <c r="A796" s="597"/>
      <c r="B796" s="575"/>
      <c r="C796" s="763"/>
      <c r="D796" s="606" t="s">
        <v>21</v>
      </c>
      <c r="E796" s="763"/>
      <c r="F796" s="763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</row>
    <row r="797" spans="1:26" ht="18.75" hidden="1">
      <c r="A797" s="599"/>
      <c r="B797" s="607"/>
      <c r="C797" s="759"/>
      <c r="D797" s="759"/>
      <c r="E797" s="759" t="s">
        <v>18</v>
      </c>
      <c r="F797" s="759"/>
      <c r="G797" s="603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4"/>
      <c r="R797" s="604"/>
      <c r="S797" s="604"/>
      <c r="T797" s="604"/>
      <c r="U797" s="604"/>
      <c r="V797" s="604"/>
      <c r="W797" s="604"/>
      <c r="X797" s="604"/>
      <c r="Y797" s="604"/>
      <c r="Z797" s="604"/>
    </row>
    <row r="798" spans="1:26" ht="18.75" hidden="1">
      <c r="A798" s="599"/>
      <c r="B798" s="607"/>
      <c r="C798" s="759"/>
      <c r="D798" s="759"/>
      <c r="E798" s="759" t="s">
        <v>19</v>
      </c>
      <c r="F798" s="759"/>
      <c r="G798" s="603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4"/>
      <c r="R798" s="604"/>
      <c r="S798" s="604"/>
      <c r="T798" s="604"/>
      <c r="U798" s="604"/>
      <c r="V798" s="604"/>
      <c r="W798" s="604"/>
      <c r="X798" s="604"/>
      <c r="Y798" s="604"/>
      <c r="Z798" s="604"/>
    </row>
    <row r="799" spans="1:26" ht="19.5" hidden="1">
      <c r="A799" s="608"/>
      <c r="B799" s="618"/>
      <c r="C799" s="763" t="s">
        <v>16</v>
      </c>
      <c r="D799" s="898" t="s">
        <v>38</v>
      </c>
      <c r="E799" s="761"/>
      <c r="F799" s="761"/>
      <c r="G799" s="613"/>
      <c r="H799" s="904"/>
      <c r="I799" s="184"/>
      <c r="J799" s="184"/>
      <c r="K799" s="163"/>
      <c r="L799" s="163"/>
      <c r="M799" s="163"/>
      <c r="N799" s="163"/>
      <c r="O799" s="163"/>
      <c r="P799" s="163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</row>
    <row r="800" spans="1:26" ht="18.75" hidden="1">
      <c r="A800" s="608"/>
      <c r="B800" s="618"/>
      <c r="C800" s="618"/>
      <c r="D800" s="618"/>
      <c r="E800" s="626"/>
      <c r="F800" s="626" t="s">
        <v>321</v>
      </c>
      <c r="G800" s="762"/>
      <c r="H800" s="185" t="s">
        <v>46</v>
      </c>
      <c r="I800" s="184">
        <f ca="1">IFERROR(__xludf.DUMMYFUNCTION("IMPORTRANGE(""https://docs.google.com/spreadsheets/d/1QqKyyYR6Q21VydFLVH3TRQUabQu_ym0Zz7PgGX0-kHA/edit?usp=sharing"",""แผน!JN40"")"),0)</f>
        <v>0</v>
      </c>
      <c r="J800" s="184">
        <f ca="1">IFERROR(__xludf.DUMMYFUNCTION("IMPORTRANGE(""https://docs.google.com/spreadsheets/d/1MaWodYyGHDf7siQLGxnXhG4mBNTNIuy296niS2xXulU/edit?usp=sharing"",""RTK!H40"")"),0)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</row>
    <row r="801" spans="1:26" ht="18.75" hidden="1">
      <c r="A801" s="608"/>
      <c r="B801" s="618"/>
      <c r="C801" s="618"/>
      <c r="D801" s="618"/>
      <c r="E801" s="626"/>
      <c r="F801" s="626"/>
      <c r="G801" s="762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IFERROR(__xludf.DUMMYFUNCTION("IMPORTRANGE(""https://docs.google.com/spreadsheets/d/1MaWodYyGHDf7siQLGxnXhG4mBNTNIuy296niS2xXulU/edit?usp=sharing"",""RTK!I40"")"),0)</f>
        <v>0</v>
      </c>
      <c r="K801" s="498"/>
      <c r="L801" s="498"/>
      <c r="M801" s="498"/>
      <c r="N801" s="498"/>
      <c r="O801" s="163"/>
      <c r="P801" s="163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</row>
    <row r="802" spans="1:26" ht="18.75" hidden="1">
      <c r="A802" s="614"/>
      <c r="B802" s="616"/>
      <c r="C802" s="616"/>
      <c r="D802" s="616"/>
      <c r="E802" s="720"/>
      <c r="F802" s="720" t="s">
        <v>322</v>
      </c>
      <c r="G802" s="366"/>
      <c r="H802" s="653" t="s">
        <v>46</v>
      </c>
      <c r="I802" s="166"/>
      <c r="J802" s="617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4"/>
      <c r="R802" s="604"/>
      <c r="S802" s="604"/>
      <c r="T802" s="604"/>
      <c r="U802" s="604"/>
      <c r="V802" s="604"/>
      <c r="W802" s="604"/>
      <c r="X802" s="604"/>
      <c r="Y802" s="604"/>
      <c r="Z802" s="604"/>
    </row>
    <row r="803" spans="1:26" ht="18.75" hidden="1">
      <c r="A803" s="614"/>
      <c r="B803" s="616"/>
      <c r="C803" s="616"/>
      <c r="D803" s="616"/>
      <c r="E803" s="720"/>
      <c r="F803" s="720"/>
      <c r="G803" s="366"/>
      <c r="H803" s="653" t="s">
        <v>34</v>
      </c>
      <c r="I803" s="166"/>
      <c r="J803" s="617">
        <v>0</v>
      </c>
      <c r="K803" s="167"/>
      <c r="L803" s="167"/>
      <c r="M803" s="167"/>
      <c r="N803" s="167"/>
      <c r="O803" s="167"/>
      <c r="P803" s="167"/>
      <c r="Q803" s="604"/>
      <c r="R803" s="604"/>
      <c r="S803" s="604"/>
      <c r="T803" s="604"/>
      <c r="U803" s="604"/>
      <c r="V803" s="604"/>
      <c r="W803" s="604"/>
      <c r="X803" s="604"/>
      <c r="Y803" s="604"/>
      <c r="Z803" s="604"/>
    </row>
    <row r="804" spans="1:26" ht="19.5" hidden="1">
      <c r="A804" s="793">
        <v>13</v>
      </c>
      <c r="B804" s="794" t="s">
        <v>323</v>
      </c>
      <c r="C804" s="795"/>
      <c r="D804" s="825"/>
      <c r="E804" s="795"/>
      <c r="F804" s="795"/>
      <c r="G804" s="796"/>
      <c r="H804" s="797" t="s">
        <v>46</v>
      </c>
      <c r="I804" s="798"/>
      <c r="J804" s="798">
        <f>J819</f>
        <v>0</v>
      </c>
      <c r="K804" s="799">
        <f>IF(I804&gt;0,J804*100/I804,0)</f>
        <v>0</v>
      </c>
      <c r="L804" s="800"/>
      <c r="M804" s="800"/>
      <c r="N804" s="800"/>
      <c r="O804" s="800"/>
      <c r="P804" s="800"/>
      <c r="Q804" s="604"/>
      <c r="R804" s="604"/>
      <c r="S804" s="604"/>
      <c r="T804" s="604"/>
      <c r="U804" s="604"/>
      <c r="V804" s="604"/>
      <c r="W804" s="604"/>
      <c r="X804" s="604"/>
      <c r="Y804" s="604"/>
      <c r="Z804" s="604"/>
    </row>
    <row r="805" spans="1:26" ht="19.5" hidden="1">
      <c r="A805" s="599"/>
      <c r="B805" s="759"/>
      <c r="C805" s="759" t="s">
        <v>16</v>
      </c>
      <c r="D805" s="864" t="s">
        <v>17</v>
      </c>
      <c r="E805" s="857"/>
      <c r="F805" s="857"/>
      <c r="G805" s="603"/>
      <c r="H805" s="646" t="s">
        <v>12</v>
      </c>
      <c r="I805" s="617"/>
      <c r="J805" s="617"/>
      <c r="K805" s="93"/>
      <c r="L805" s="647">
        <f t="shared" ref="L805:N805" si="327">L806+L807</f>
        <v>0</v>
      </c>
      <c r="M805" s="647">
        <f t="shared" si="327"/>
        <v>0</v>
      </c>
      <c r="N805" s="647">
        <f t="shared" si="327"/>
        <v>0</v>
      </c>
      <c r="O805" s="647">
        <f t="shared" ref="O805:O810" si="328">IF(L805&gt;0,N805*100/L805,0)</f>
        <v>0</v>
      </c>
      <c r="P805" s="647">
        <f t="shared" ref="P805:P810" si="329">IF(M805&gt;0,N805*100/M805,0)</f>
        <v>0</v>
      </c>
      <c r="Q805" s="604"/>
      <c r="R805" s="604"/>
      <c r="S805" s="604"/>
      <c r="T805" s="604"/>
      <c r="U805" s="604"/>
      <c r="V805" s="604"/>
      <c r="W805" s="604"/>
      <c r="X805" s="604"/>
      <c r="Y805" s="604"/>
      <c r="Z805" s="604"/>
    </row>
    <row r="806" spans="1:26" ht="18.75" hidden="1">
      <c r="A806" s="599"/>
      <c r="B806" s="759"/>
      <c r="C806" s="759"/>
      <c r="D806" s="616"/>
      <c r="E806" s="759" t="s">
        <v>185</v>
      </c>
      <c r="F806" s="759"/>
      <c r="G806" s="603"/>
      <c r="H806" s="165" t="s">
        <v>12</v>
      </c>
      <c r="I806" s="617"/>
      <c r="J806" s="617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4"/>
      <c r="R806" s="604"/>
      <c r="S806" s="604"/>
      <c r="T806" s="604"/>
      <c r="U806" s="604"/>
      <c r="V806" s="604"/>
      <c r="W806" s="604"/>
      <c r="X806" s="604"/>
      <c r="Y806" s="604"/>
      <c r="Z806" s="604"/>
    </row>
    <row r="807" spans="1:26" ht="18.75" hidden="1">
      <c r="A807" s="599"/>
      <c r="B807" s="759"/>
      <c r="C807" s="759"/>
      <c r="D807" s="616"/>
      <c r="E807" s="759" t="s">
        <v>186</v>
      </c>
      <c r="F807" s="759"/>
      <c r="G807" s="603"/>
      <c r="H807" s="165" t="s">
        <v>12</v>
      </c>
      <c r="I807" s="617"/>
      <c r="J807" s="617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4"/>
      <c r="R807" s="604"/>
      <c r="S807" s="604"/>
      <c r="T807" s="604"/>
      <c r="U807" s="604"/>
      <c r="V807" s="604"/>
      <c r="W807" s="604"/>
      <c r="X807" s="604"/>
      <c r="Y807" s="604"/>
      <c r="Z807" s="604"/>
    </row>
    <row r="808" spans="1:26" ht="19.5" hidden="1">
      <c r="A808" s="599"/>
      <c r="B808" s="607"/>
      <c r="C808" s="759"/>
      <c r="D808" s="905" t="s">
        <v>20</v>
      </c>
      <c r="E808" s="857"/>
      <c r="F808" s="857"/>
      <c r="G808" s="603"/>
      <c r="H808" s="646" t="s">
        <v>12</v>
      </c>
      <c r="I808" s="166"/>
      <c r="J808" s="166"/>
      <c r="K808" s="167"/>
      <c r="L808" s="647">
        <f t="shared" ref="L808:N808" si="331">L809+L810</f>
        <v>0</v>
      </c>
      <c r="M808" s="647">
        <f t="shared" si="331"/>
        <v>0</v>
      </c>
      <c r="N808" s="647">
        <f t="shared" si="331"/>
        <v>0</v>
      </c>
      <c r="O808" s="647">
        <f t="shared" si="328"/>
        <v>0</v>
      </c>
      <c r="P808" s="647">
        <f t="shared" si="329"/>
        <v>0</v>
      </c>
      <c r="Q808" s="604"/>
      <c r="R808" s="604"/>
      <c r="S808" s="604"/>
      <c r="T808" s="604"/>
      <c r="U808" s="604"/>
      <c r="V808" s="604"/>
      <c r="W808" s="604"/>
      <c r="X808" s="604"/>
      <c r="Y808" s="604"/>
      <c r="Z808" s="604"/>
    </row>
    <row r="809" spans="1:26" ht="18.75" hidden="1">
      <c r="A809" s="599"/>
      <c r="B809" s="759"/>
      <c r="C809" s="759"/>
      <c r="D809" s="616"/>
      <c r="E809" s="759" t="s">
        <v>185</v>
      </c>
      <c r="F809" s="759"/>
      <c r="G809" s="603"/>
      <c r="H809" s="165" t="s">
        <v>12</v>
      </c>
      <c r="I809" s="617"/>
      <c r="J809" s="617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4"/>
      <c r="R809" s="604"/>
      <c r="S809" s="604"/>
      <c r="T809" s="604"/>
      <c r="U809" s="604"/>
      <c r="V809" s="604"/>
      <c r="W809" s="604"/>
      <c r="X809" s="604"/>
      <c r="Y809" s="604"/>
      <c r="Z809" s="604"/>
    </row>
    <row r="810" spans="1:26" ht="18.75" hidden="1">
      <c r="A810" s="599"/>
      <c r="B810" s="759"/>
      <c r="C810" s="759"/>
      <c r="D810" s="616"/>
      <c r="E810" s="759" t="s">
        <v>186</v>
      </c>
      <c r="F810" s="759"/>
      <c r="G810" s="603"/>
      <c r="H810" s="165" t="s">
        <v>12</v>
      </c>
      <c r="I810" s="617"/>
      <c r="J810" s="617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4"/>
      <c r="R810" s="604"/>
      <c r="S810" s="604"/>
      <c r="T810" s="604"/>
      <c r="U810" s="604"/>
      <c r="V810" s="604"/>
      <c r="W810" s="604"/>
      <c r="X810" s="604"/>
      <c r="Y810" s="604"/>
      <c r="Z810" s="604"/>
    </row>
    <row r="811" spans="1:26" ht="18.75" hidden="1">
      <c r="A811" s="649"/>
      <c r="B811" s="607"/>
      <c r="C811" s="759"/>
      <c r="D811" s="607"/>
      <c r="E811" s="759"/>
      <c r="F811" s="759" t="s">
        <v>187</v>
      </c>
      <c r="G811" s="603"/>
      <c r="H811" s="165" t="s">
        <v>12</v>
      </c>
      <c r="I811" s="617"/>
      <c r="J811" s="617"/>
      <c r="K811" s="93"/>
      <c r="L811" s="93"/>
      <c r="M811" s="93"/>
      <c r="N811" s="93"/>
      <c r="O811" s="93"/>
      <c r="P811" s="93"/>
      <c r="Q811" s="604"/>
      <c r="R811" s="604"/>
      <c r="S811" s="604"/>
      <c r="T811" s="604"/>
      <c r="U811" s="604"/>
      <c r="V811" s="604"/>
      <c r="W811" s="604"/>
      <c r="X811" s="604"/>
      <c r="Y811" s="604"/>
      <c r="Z811" s="604"/>
    </row>
    <row r="812" spans="1:26" ht="18.75" hidden="1">
      <c r="A812" s="649"/>
      <c r="B812" s="607"/>
      <c r="C812" s="759"/>
      <c r="D812" s="607"/>
      <c r="E812" s="759"/>
      <c r="F812" s="759" t="s">
        <v>188</v>
      </c>
      <c r="G812" s="603"/>
      <c r="H812" s="165" t="s">
        <v>12</v>
      </c>
      <c r="I812" s="617"/>
      <c r="J812" s="617"/>
      <c r="K812" s="93"/>
      <c r="L812" s="93"/>
      <c r="M812" s="93"/>
      <c r="N812" s="93"/>
      <c r="O812" s="93"/>
      <c r="P812" s="93"/>
      <c r="Q812" s="604"/>
      <c r="R812" s="604"/>
      <c r="S812" s="604"/>
      <c r="T812" s="604"/>
      <c r="U812" s="604"/>
      <c r="V812" s="604"/>
      <c r="W812" s="604"/>
      <c r="X812" s="604"/>
      <c r="Y812" s="604"/>
      <c r="Z812" s="604"/>
    </row>
    <row r="813" spans="1:26" ht="18.75" hidden="1">
      <c r="A813" s="649"/>
      <c r="B813" s="607"/>
      <c r="C813" s="759"/>
      <c r="D813" s="607"/>
      <c r="E813" s="759"/>
      <c r="F813" s="759" t="s">
        <v>189</v>
      </c>
      <c r="G813" s="603"/>
      <c r="H813" s="165" t="s">
        <v>12</v>
      </c>
      <c r="I813" s="617"/>
      <c r="J813" s="617"/>
      <c r="K813" s="93"/>
      <c r="L813" s="93"/>
      <c r="M813" s="93"/>
      <c r="N813" s="93"/>
      <c r="O813" s="93"/>
      <c r="P813" s="93"/>
      <c r="Q813" s="604"/>
      <c r="R813" s="604"/>
      <c r="S813" s="604"/>
      <c r="T813" s="604"/>
      <c r="U813" s="604"/>
      <c r="V813" s="604"/>
      <c r="W813" s="604"/>
      <c r="X813" s="604"/>
      <c r="Y813" s="604"/>
      <c r="Z813" s="604"/>
    </row>
    <row r="814" spans="1:26" ht="18.75" hidden="1">
      <c r="A814" s="649"/>
      <c r="B814" s="607"/>
      <c r="C814" s="759"/>
      <c r="D814" s="607"/>
      <c r="E814" s="759"/>
      <c r="F814" s="759" t="s">
        <v>190</v>
      </c>
      <c r="G814" s="603"/>
      <c r="H814" s="165" t="s">
        <v>12</v>
      </c>
      <c r="I814" s="617"/>
      <c r="J814" s="617"/>
      <c r="K814" s="93"/>
      <c r="L814" s="93"/>
      <c r="M814" s="93"/>
      <c r="N814" s="93"/>
      <c r="O814" s="93"/>
      <c r="P814" s="93"/>
      <c r="Q814" s="604"/>
      <c r="R814" s="604"/>
      <c r="S814" s="604"/>
      <c r="T814" s="604"/>
      <c r="U814" s="604"/>
      <c r="V814" s="604"/>
      <c r="W814" s="604"/>
      <c r="X814" s="604"/>
      <c r="Y814" s="604"/>
      <c r="Z814" s="604"/>
    </row>
    <row r="815" spans="1:26" ht="19.5" hidden="1">
      <c r="A815" s="599"/>
      <c r="B815" s="607"/>
      <c r="C815" s="759"/>
      <c r="D815" s="905" t="s">
        <v>21</v>
      </c>
      <c r="E815" s="857"/>
      <c r="F815" s="857"/>
      <c r="G815" s="603"/>
      <c r="H815" s="783" t="s">
        <v>12</v>
      </c>
      <c r="I815" s="166"/>
      <c r="J815" s="166"/>
      <c r="K815" s="167"/>
      <c r="L815" s="647">
        <f t="shared" ref="L815:N815" si="332">L816+L817</f>
        <v>0</v>
      </c>
      <c r="M815" s="647">
        <f t="shared" si="332"/>
        <v>0</v>
      </c>
      <c r="N815" s="647">
        <f t="shared" si="332"/>
        <v>0</v>
      </c>
      <c r="O815" s="647">
        <f t="shared" ref="O815:O817" si="333">IF(L815&gt;0,N815*100/L815,0)</f>
        <v>0</v>
      </c>
      <c r="P815" s="647">
        <f t="shared" ref="P815:P817" si="334">IF(M815&gt;0,N815*100/M815,0)</f>
        <v>0</v>
      </c>
      <c r="Q815" s="604"/>
      <c r="R815" s="604"/>
      <c r="S815" s="604"/>
      <c r="T815" s="604"/>
      <c r="U815" s="604"/>
      <c r="V815" s="604"/>
      <c r="W815" s="604"/>
      <c r="X815" s="604"/>
      <c r="Y815" s="604"/>
      <c r="Z815" s="604"/>
    </row>
    <row r="816" spans="1:26" ht="18.75" hidden="1">
      <c r="A816" s="599"/>
      <c r="B816" s="607"/>
      <c r="C816" s="759"/>
      <c r="D816" s="607"/>
      <c r="E816" s="759" t="s">
        <v>18</v>
      </c>
      <c r="F816" s="759"/>
      <c r="G816" s="603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4"/>
      <c r="R816" s="604"/>
      <c r="S816" s="604"/>
      <c r="T816" s="604"/>
      <c r="U816" s="604"/>
      <c r="V816" s="604"/>
      <c r="W816" s="604"/>
      <c r="X816" s="604"/>
      <c r="Y816" s="604"/>
      <c r="Z816" s="604"/>
    </row>
    <row r="817" spans="1:26" ht="18.75" hidden="1">
      <c r="A817" s="599"/>
      <c r="B817" s="607"/>
      <c r="C817" s="759"/>
      <c r="D817" s="607"/>
      <c r="E817" s="759" t="s">
        <v>19</v>
      </c>
      <c r="F817" s="759"/>
      <c r="G817" s="603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4"/>
      <c r="R817" s="604"/>
      <c r="S817" s="604"/>
      <c r="T817" s="604"/>
      <c r="U817" s="604"/>
      <c r="V817" s="604"/>
      <c r="W817" s="604"/>
      <c r="X817" s="604"/>
      <c r="Y817" s="604"/>
      <c r="Z817" s="604"/>
    </row>
    <row r="818" spans="1:26" ht="19.5" hidden="1">
      <c r="A818" s="614"/>
      <c r="B818" s="616"/>
      <c r="C818" s="759" t="s">
        <v>16</v>
      </c>
      <c r="D818" s="906" t="s">
        <v>38</v>
      </c>
      <c r="E818" s="651"/>
      <c r="F818" s="651"/>
      <c r="G818" s="652"/>
      <c r="H818" s="366"/>
      <c r="I818" s="166"/>
      <c r="J818" s="166"/>
      <c r="K818" s="167"/>
      <c r="L818" s="167"/>
      <c r="M818" s="167"/>
      <c r="N818" s="167"/>
      <c r="O818" s="167"/>
      <c r="P818" s="167"/>
      <c r="Q818" s="604"/>
      <c r="R818" s="604"/>
      <c r="S818" s="604"/>
      <c r="T818" s="604"/>
      <c r="U818" s="604"/>
      <c r="V818" s="604"/>
      <c r="W818" s="604"/>
      <c r="X818" s="604"/>
      <c r="Y818" s="604"/>
      <c r="Z818" s="604"/>
    </row>
    <row r="819" spans="1:26" ht="19.5" hidden="1" thickBot="1">
      <c r="A819" s="827"/>
      <c r="B819" s="828"/>
      <c r="C819" s="830"/>
      <c r="D819" s="828"/>
      <c r="E819" s="830" t="s">
        <v>324</v>
      </c>
      <c r="F819" s="830"/>
      <c r="G819" s="831"/>
      <c r="H819" s="832" t="s">
        <v>46</v>
      </c>
      <c r="I819" s="833"/>
      <c r="J819" s="833"/>
      <c r="K819" s="834"/>
      <c r="L819" s="834"/>
      <c r="M819" s="834"/>
      <c r="N819" s="834"/>
      <c r="O819" s="834"/>
      <c r="P819" s="834"/>
      <c r="Q819" s="604"/>
      <c r="R819" s="604"/>
      <c r="S819" s="604"/>
      <c r="T819" s="604"/>
      <c r="U819" s="604"/>
      <c r="V819" s="604"/>
      <c r="W819" s="604"/>
      <c r="X819" s="604"/>
      <c r="Y819" s="604"/>
      <c r="Z819" s="604"/>
    </row>
    <row r="820" spans="1:26" ht="19.5">
      <c r="A820" s="907" t="s">
        <v>337</v>
      </c>
      <c r="B820" s="908"/>
      <c r="C820" s="908"/>
      <c r="D820" s="909"/>
      <c r="E820" s="908"/>
      <c r="F820" s="908"/>
      <c r="G820" s="910"/>
      <c r="H820" s="91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912"/>
      <c r="J820" s="912"/>
      <c r="K820" s="913"/>
      <c r="L820" s="913"/>
      <c r="M820" s="913"/>
      <c r="N820" s="913"/>
      <c r="O820" s="913"/>
      <c r="P820" s="913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</row>
    <row r="821" spans="1:26" ht="18.75">
      <c r="A821" s="744"/>
      <c r="B821" s="763" t="s">
        <v>326</v>
      </c>
      <c r="C821" s="763"/>
      <c r="D821" s="575"/>
      <c r="E821" s="763"/>
      <c r="F821" s="763"/>
      <c r="G821" s="189"/>
      <c r="H821" s="623" t="s">
        <v>12</v>
      </c>
      <c r="I821" s="270">
        <f ca="1">IFERROR(__xludf.DUMMYFUNCTION("IMPORTRANGE(""https://docs.google.com/spreadsheets/d/19vJNZY_5yjcGF2XGBMNZRCAIB0Kwfpjp8YEOfu-bneM/edit?usp=sharing"",""งานกองทุน!D40"")"),5557427.33)</f>
        <v>5557427.3300000001</v>
      </c>
      <c r="J821" s="270">
        <f ca="1">IFERROR(__xludf.DUMMYFUNCTION("IMPORTRANGE(""https://docs.google.com/spreadsheets/d/19vJNZY_5yjcGF2XGBMNZRCAIB0Kwfpjp8YEOfu-bneM/edit?usp=sharing"",""งานกองทุน!F40"")"),5418110.76)</f>
        <v>5418110.7599999998</v>
      </c>
      <c r="K821" s="498">
        <f t="shared" ref="K821:K828" ca="1" si="335">IF(I821&gt;0,J821*100/I821,0)</f>
        <v>97.493146347628439</v>
      </c>
      <c r="L821" s="498"/>
      <c r="M821" s="498"/>
      <c r="N821" s="498"/>
      <c r="O821" s="498"/>
      <c r="P821" s="49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</row>
    <row r="822" spans="1:26" ht="18.75">
      <c r="A822" s="744"/>
      <c r="B822" s="763"/>
      <c r="C822" s="763"/>
      <c r="D822" s="575"/>
      <c r="E822" s="763"/>
      <c r="F822" s="763"/>
      <c r="G822" s="189"/>
      <c r="H822" s="623" t="s">
        <v>35</v>
      </c>
      <c r="I822" s="270">
        <f ca="1">IFERROR(__xludf.DUMMYFUNCTION("IMPORTRANGE(""https://docs.google.com/spreadsheets/d/19vJNZY_5yjcGF2XGBMNZRCAIB0Kwfpjp8YEOfu-bneM/edit?usp=sharing"",""งานกองทุน!C40"")"),480)</f>
        <v>480</v>
      </c>
      <c r="J822" s="270">
        <f ca="1">IFERROR(__xludf.DUMMYFUNCTION("IMPORTRANGE(""https://docs.google.com/spreadsheets/d/19vJNZY_5yjcGF2XGBMNZRCAIB0Kwfpjp8YEOfu-bneM/edit?usp=sharing"",""งานกองทุน!E40"")"),464)</f>
        <v>464</v>
      </c>
      <c r="K822" s="498">
        <f t="shared" ca="1" si="335"/>
        <v>96.666666666666671</v>
      </c>
      <c r="L822" s="498"/>
      <c r="M822" s="498"/>
      <c r="N822" s="498"/>
      <c r="O822" s="498"/>
      <c r="P822" s="49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</row>
    <row r="823" spans="1:26" ht="18.75">
      <c r="A823" s="744"/>
      <c r="B823" s="763" t="s">
        <v>327</v>
      </c>
      <c r="C823" s="763"/>
      <c r="D823" s="575"/>
      <c r="E823" s="763"/>
      <c r="F823" s="763"/>
      <c r="G823" s="189"/>
      <c r="H823" s="623" t="s">
        <v>12</v>
      </c>
      <c r="I823" s="270">
        <f ca="1">IFERROR(__xludf.DUMMYFUNCTION("IMPORTRANGE(""https://docs.google.com/spreadsheets/d/19vJNZY_5yjcGF2XGBMNZRCAIB0Kwfpjp8YEOfu-bneM/edit?usp=sharing"",""งานกองทุน!I40"")"),3854406.98)</f>
        <v>3854406.98</v>
      </c>
      <c r="J823" s="270">
        <f ca="1">IFERROR(__xludf.DUMMYFUNCTION("IMPORTRANGE(""https://docs.google.com/spreadsheets/d/19vJNZY_5yjcGF2XGBMNZRCAIB0Kwfpjp8YEOfu-bneM/edit?usp=sharing"",""งานกองทุน!K40"")"),771826)</f>
        <v>771826</v>
      </c>
      <c r="K823" s="498">
        <f t="shared" ca="1" si="335"/>
        <v>20.024507116267209</v>
      </c>
      <c r="L823" s="498"/>
      <c r="M823" s="498"/>
      <c r="N823" s="498"/>
      <c r="O823" s="498"/>
      <c r="P823" s="49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</row>
    <row r="824" spans="1:26" ht="18.75">
      <c r="A824" s="744"/>
      <c r="B824" s="763"/>
      <c r="C824" s="763"/>
      <c r="D824" s="575"/>
      <c r="E824" s="763"/>
      <c r="F824" s="763"/>
      <c r="G824" s="189"/>
      <c r="H824" s="623" t="s">
        <v>35</v>
      </c>
      <c r="I824" s="270">
        <f ca="1">IFERROR(__xludf.DUMMYFUNCTION("IMPORTRANGE(""https://docs.google.com/spreadsheets/d/19vJNZY_5yjcGF2XGBMNZRCAIB0Kwfpjp8YEOfu-bneM/edit?usp=sharing"",""งานกองทุน!H40"")"),233)</f>
        <v>233</v>
      </c>
      <c r="J824" s="270">
        <f ca="1">IFERROR(__xludf.DUMMYFUNCTION("IMPORTRANGE(""https://docs.google.com/spreadsheets/d/19vJNZY_5yjcGF2XGBMNZRCAIB0Kwfpjp8YEOfu-bneM/edit?usp=sharing"",""งานกองทุน!J40"")"),96)</f>
        <v>96</v>
      </c>
      <c r="K824" s="498">
        <f t="shared" ca="1" si="335"/>
        <v>41.201716738197426</v>
      </c>
      <c r="L824" s="498"/>
      <c r="M824" s="498"/>
      <c r="N824" s="498"/>
      <c r="O824" s="498"/>
      <c r="P824" s="49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</row>
    <row r="825" spans="1:26" ht="18.75">
      <c r="A825" s="744"/>
      <c r="B825" s="763" t="s">
        <v>328</v>
      </c>
      <c r="C825" s="763"/>
      <c r="D825" s="575"/>
      <c r="E825" s="763"/>
      <c r="F825" s="763"/>
      <c r="G825" s="189"/>
      <c r="H825" s="623" t="s">
        <v>12</v>
      </c>
      <c r="I825" s="270">
        <f ca="1">IFERROR(__xludf.DUMMYFUNCTION("IMPORTRANGE(""https://docs.google.com/spreadsheets/d/19vJNZY_5yjcGF2XGBMNZRCAIB0Kwfpjp8YEOfu-bneM/edit?usp=sharing"",""งานกองทุน!N40"")"),0)</f>
        <v>0</v>
      </c>
      <c r="J825" s="270">
        <f ca="1">IFERROR(__xludf.DUMMYFUNCTION("IMPORTRANGE(""https://docs.google.com/spreadsheets/d/19vJNZY_5yjcGF2XGBMNZRCAIB0Kwfpjp8YEOfu-bneM/edit?usp=sharing"",""งานกองทุน!P40"")"),15430.1)</f>
        <v>15430.1</v>
      </c>
      <c r="K825" s="498">
        <f t="shared" ca="1" si="335"/>
        <v>0</v>
      </c>
      <c r="L825" s="498"/>
      <c r="M825" s="498"/>
      <c r="N825" s="498"/>
      <c r="O825" s="498"/>
      <c r="P825" s="49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</row>
    <row r="826" spans="1:26" ht="18.75">
      <c r="A826" s="744"/>
      <c r="B826" s="763"/>
      <c r="C826" s="763"/>
      <c r="D826" s="575"/>
      <c r="E826" s="763"/>
      <c r="F826" s="763"/>
      <c r="G826" s="189"/>
      <c r="H826" s="623" t="s">
        <v>35</v>
      </c>
      <c r="I826" s="270">
        <f ca="1">IFERROR(__xludf.DUMMYFUNCTION("IMPORTRANGE(""https://docs.google.com/spreadsheets/d/19vJNZY_5yjcGF2XGBMNZRCAIB0Kwfpjp8YEOfu-bneM/edit?usp=sharing"",""งานกองทุน!M40"")"),0)</f>
        <v>0</v>
      </c>
      <c r="J826" s="270">
        <f ca="1">IFERROR(__xludf.DUMMYFUNCTION("IMPORTRANGE(""https://docs.google.com/spreadsheets/d/19vJNZY_5yjcGF2XGBMNZRCAIB0Kwfpjp8YEOfu-bneM/edit?usp=sharing"",""งานกองทุน!O40"")"),7)</f>
        <v>7</v>
      </c>
      <c r="K826" s="498">
        <f t="shared" ca="1" si="335"/>
        <v>0</v>
      </c>
      <c r="L826" s="498"/>
      <c r="M826" s="498"/>
      <c r="N826" s="498"/>
      <c r="O826" s="498"/>
      <c r="P826" s="49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</row>
    <row r="827" spans="1:26" ht="18.75">
      <c r="A827" s="744"/>
      <c r="B827" s="763" t="s">
        <v>329</v>
      </c>
      <c r="C827" s="763"/>
      <c r="D827" s="575"/>
      <c r="E827" s="763"/>
      <c r="F827" s="763"/>
      <c r="G827" s="189"/>
      <c r="H827" s="623" t="s">
        <v>12</v>
      </c>
      <c r="I827" s="270">
        <f ca="1">IFERROR(__xludf.DUMMYFUNCTION("IMPORTRANGE(""https://docs.google.com/spreadsheets/d/19vJNZY_5yjcGF2XGBMNZRCAIB0Kwfpjp8YEOfu-bneM/edit?usp=sharing"",""งานกองทุน!S40"")"),5080000)</f>
        <v>5080000</v>
      </c>
      <c r="J827" s="270">
        <f ca="1">IFERROR(__xludf.DUMMYFUNCTION("IMPORTRANGE(""https://docs.google.com/spreadsheets/d/19vJNZY_5yjcGF2XGBMNZRCAIB0Kwfpjp8YEOfu-bneM/edit?usp=sharing"",""งานกองทุน!U40"")"),7250000)</f>
        <v>7250000</v>
      </c>
      <c r="K827" s="498">
        <f t="shared" ca="1" si="335"/>
        <v>142.71653543307087</v>
      </c>
      <c r="L827" s="498"/>
      <c r="M827" s="498"/>
      <c r="N827" s="498"/>
      <c r="O827" s="498"/>
      <c r="P827" s="49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</row>
    <row r="828" spans="1:26" ht="18.75">
      <c r="A828" s="841"/>
      <c r="B828" s="749"/>
      <c r="C828" s="749"/>
      <c r="D828" s="748"/>
      <c r="E828" s="749"/>
      <c r="F828" s="749"/>
      <c r="G828" s="842"/>
      <c r="H828" s="843" t="s">
        <v>35</v>
      </c>
      <c r="I828" s="506">
        <f ca="1">IFERROR(__xludf.DUMMYFUNCTION("IMPORTRANGE(""https://docs.google.com/spreadsheets/d/19vJNZY_5yjcGF2XGBMNZRCAIB0Kwfpjp8YEOfu-bneM/edit?usp=sharing"",""งานกองทุน!R40"")"),203)</f>
        <v>203</v>
      </c>
      <c r="J828" s="506">
        <f ca="1">IFERROR(__xludf.DUMMYFUNCTION("IMPORTRANGE(""https://docs.google.com/spreadsheets/d/19vJNZY_5yjcGF2XGBMNZRCAIB0Kwfpjp8YEOfu-bneM/edit?usp=sharing"",""งานกองทุน!T40"")"),188)</f>
        <v>188</v>
      </c>
      <c r="K828" s="507">
        <f t="shared" ca="1" si="335"/>
        <v>92.610837438423644</v>
      </c>
      <c r="L828" s="507"/>
      <c r="M828" s="507"/>
      <c r="N828" s="507"/>
      <c r="O828" s="507"/>
      <c r="P828" s="507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F7B03-F09A-4182-831A-DFFFE73E937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349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364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6088473</v>
      </c>
      <c r="M8" s="22">
        <f t="shared" ca="1" si="0"/>
        <v>6742427.1799999997</v>
      </c>
      <c r="N8" s="22">
        <f t="shared" ca="1" si="0"/>
        <v>6760927.1799999997</v>
      </c>
      <c r="O8" s="22">
        <f t="shared" ref="O8:O16" ca="1" si="1">IF(L8&gt;0,N8*100/L8,0)</f>
        <v>111.0447098968822</v>
      </c>
      <c r="P8" s="22">
        <f t="shared" ref="P8:P16" ca="1" si="2">IF(M8&gt;0,N8*100/M8,0)</f>
        <v>100.27438190292773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6088473</v>
      </c>
      <c r="M10" s="30">
        <f t="shared" ca="1" si="3"/>
        <v>6742427.1799999997</v>
      </c>
      <c r="N10" s="30">
        <f t="shared" ca="1" si="3"/>
        <v>6760927.1799999997</v>
      </c>
      <c r="O10" s="30">
        <f t="shared" ca="1" si="1"/>
        <v>111.0447098968822</v>
      </c>
      <c r="P10" s="30">
        <f t="shared" ca="1" si="2"/>
        <v>100.27438190292773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3" t="s">
        <v>12</v>
      </c>
      <c r="I11" s="270"/>
      <c r="J11" s="270"/>
      <c r="K11" s="498"/>
      <c r="L11" s="498">
        <f t="shared" ref="L11:N11" ca="1" si="4">L12+L13</f>
        <v>5701173</v>
      </c>
      <c r="M11" s="498">
        <f t="shared" ca="1" si="4"/>
        <v>6159127.1799999997</v>
      </c>
      <c r="N11" s="498">
        <f t="shared" ca="1" si="4"/>
        <v>6159127.1799999997</v>
      </c>
      <c r="O11" s="498">
        <f t="shared" ca="1" si="1"/>
        <v>108.03263082877857</v>
      </c>
      <c r="P11" s="498">
        <f t="shared" ca="1" si="2"/>
        <v>100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7"/>
      <c r="J12" s="617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7"/>
      <c r="J13" s="617"/>
      <c r="K13" s="93"/>
      <c r="L13" s="93">
        <f t="shared" ca="1" si="5"/>
        <v>5701173</v>
      </c>
      <c r="M13" s="93">
        <f t="shared" ca="1" si="5"/>
        <v>6159127.1799999997</v>
      </c>
      <c r="N13" s="93">
        <f t="shared" ca="1" si="5"/>
        <v>6159127.1799999997</v>
      </c>
      <c r="O13" s="93">
        <f t="shared" ca="1" si="1"/>
        <v>108.03263082877857</v>
      </c>
      <c r="P13" s="93">
        <f t="shared" ca="1" si="2"/>
        <v>100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3" t="s">
        <v>12</v>
      </c>
      <c r="I14" s="270"/>
      <c r="J14" s="270"/>
      <c r="K14" s="498"/>
      <c r="L14" s="498">
        <f t="shared" ref="L14:N14" ca="1" si="6">L15+L16</f>
        <v>387300</v>
      </c>
      <c r="M14" s="498">
        <f t="shared" ca="1" si="6"/>
        <v>583300</v>
      </c>
      <c r="N14" s="498">
        <f t="shared" ca="1" si="6"/>
        <v>601800</v>
      </c>
      <c r="O14" s="498">
        <f t="shared" ca="1" si="1"/>
        <v>155.38342370255617</v>
      </c>
      <c r="P14" s="498">
        <f t="shared" ca="1" si="2"/>
        <v>103.17160980627465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7"/>
      <c r="J15" s="617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387300</v>
      </c>
      <c r="M16" s="52">
        <f t="shared" ca="1" si="7"/>
        <v>583300</v>
      </c>
      <c r="N16" s="52">
        <f t="shared" ca="1" si="7"/>
        <v>601800</v>
      </c>
      <c r="O16" s="52">
        <f t="shared" ca="1" si="1"/>
        <v>155.38342370255617</v>
      </c>
      <c r="P16" s="52">
        <f t="shared" ca="1" si="2"/>
        <v>103.17160980627465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4165990</v>
      </c>
      <c r="M18" s="22">
        <f t="shared" ca="1" si="8"/>
        <v>4814934.18</v>
      </c>
      <c r="N18" s="22">
        <f t="shared" ca="1" si="8"/>
        <v>4833434.18</v>
      </c>
      <c r="O18" s="22">
        <f t="shared" ref="O18:O26" ca="1" si="9">IF(L18&gt;0,N18*100/L18,0)</f>
        <v>116.02126217297689</v>
      </c>
      <c r="P18" s="22">
        <f t="shared" ref="P18:P26" ca="1" si="10">IF(M18&gt;0,N18*100/M18,0)</f>
        <v>100.38422124391325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4165990</v>
      </c>
      <c r="M20" s="30">
        <f t="shared" ca="1" si="11"/>
        <v>4814934.18</v>
      </c>
      <c r="N20" s="30">
        <f t="shared" ca="1" si="11"/>
        <v>4833434.18</v>
      </c>
      <c r="O20" s="30">
        <f t="shared" ca="1" si="9"/>
        <v>116.02126217297689</v>
      </c>
      <c r="P20" s="30">
        <f t="shared" ca="1" si="10"/>
        <v>100.38422124391325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3" t="s">
        <v>12</v>
      </c>
      <c r="I21" s="270"/>
      <c r="J21" s="270"/>
      <c r="K21" s="498"/>
      <c r="L21" s="498">
        <f t="shared" ref="L21:N21" ca="1" si="12">L22+L23</f>
        <v>3778690</v>
      </c>
      <c r="M21" s="498">
        <f t="shared" ca="1" si="12"/>
        <v>4231634.18</v>
      </c>
      <c r="N21" s="498">
        <f t="shared" ca="1" si="12"/>
        <v>4231634.18</v>
      </c>
      <c r="O21" s="498">
        <f t="shared" ca="1" si="9"/>
        <v>111.98680442163818</v>
      </c>
      <c r="P21" s="498">
        <f t="shared" ca="1" si="10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7"/>
      <c r="J22" s="617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7"/>
      <c r="J23" s="617"/>
      <c r="K23" s="93"/>
      <c r="L23" s="93">
        <f t="shared" ca="1" si="13"/>
        <v>3778690</v>
      </c>
      <c r="M23" s="93">
        <f t="shared" ca="1" si="13"/>
        <v>4231634.18</v>
      </c>
      <c r="N23" s="93">
        <f t="shared" ca="1" si="13"/>
        <v>4231634.18</v>
      </c>
      <c r="O23" s="93">
        <f t="shared" ca="1" si="9"/>
        <v>111.98680442163818</v>
      </c>
      <c r="P23" s="93">
        <f t="shared" ca="1" si="10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3" t="s">
        <v>12</v>
      </c>
      <c r="I24" s="270"/>
      <c r="J24" s="270"/>
      <c r="K24" s="498"/>
      <c r="L24" s="498">
        <f t="shared" ref="L24:N24" ca="1" si="14">L25+L26</f>
        <v>387300</v>
      </c>
      <c r="M24" s="498">
        <f t="shared" ca="1" si="14"/>
        <v>583300</v>
      </c>
      <c r="N24" s="498">
        <f t="shared" ca="1" si="14"/>
        <v>601800</v>
      </c>
      <c r="O24" s="498">
        <f t="shared" ca="1" si="9"/>
        <v>155.38342370255617</v>
      </c>
      <c r="P24" s="498">
        <f t="shared" ca="1" si="10"/>
        <v>103.17160980627465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7"/>
      <c r="J25" s="617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387300</v>
      </c>
      <c r="M26" s="52">
        <f t="shared" ca="1" si="15"/>
        <v>583300</v>
      </c>
      <c r="N26" s="52">
        <f t="shared" ca="1" si="15"/>
        <v>601800</v>
      </c>
      <c r="O26" s="52">
        <f t="shared" ca="1" si="9"/>
        <v>155.38342370255617</v>
      </c>
      <c r="P26" s="52">
        <f t="shared" ca="1" si="10"/>
        <v>103.17160980627465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1922483</v>
      </c>
      <c r="M28" s="22">
        <f t="shared" ca="1" si="16"/>
        <v>1927493</v>
      </c>
      <c r="N28" s="22">
        <f t="shared" si="16"/>
        <v>1927493</v>
      </c>
      <c r="O28" s="22">
        <f t="shared" ref="O28:O37" ca="1" si="17">IF(L28&gt;0,N28*100/L28,0)</f>
        <v>100.26060048385344</v>
      </c>
      <c r="P28" s="22">
        <f t="shared" ref="P28:P37" ca="1" si="18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1922483</v>
      </c>
      <c r="M30" s="30">
        <f t="shared" ca="1" si="19"/>
        <v>1927493</v>
      </c>
      <c r="N30" s="30">
        <f t="shared" si="19"/>
        <v>1927493</v>
      </c>
      <c r="O30" s="30">
        <f t="shared" ca="1" si="17"/>
        <v>100.26060048385344</v>
      </c>
      <c r="P30" s="30">
        <f t="shared" ca="1" si="18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3" t="s">
        <v>12</v>
      </c>
      <c r="I31" s="270"/>
      <c r="J31" s="270"/>
      <c r="K31" s="498"/>
      <c r="L31" s="498">
        <f t="shared" ref="L31:N31" ca="1" si="20">L32+L33</f>
        <v>1922483</v>
      </c>
      <c r="M31" s="498">
        <f t="shared" ca="1" si="20"/>
        <v>1927493</v>
      </c>
      <c r="N31" s="498">
        <f t="shared" si="20"/>
        <v>1927493</v>
      </c>
      <c r="O31" s="498">
        <f t="shared" ca="1" si="17"/>
        <v>100.26060048385344</v>
      </c>
      <c r="P31" s="498">
        <f t="shared" ca="1" si="18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7"/>
      <c r="J32" s="617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7"/>
      <c r="J33" s="617"/>
      <c r="K33" s="93"/>
      <c r="L33" s="93">
        <f t="shared" ca="1" si="21"/>
        <v>1922483</v>
      </c>
      <c r="M33" s="93">
        <f t="shared" ca="1" si="21"/>
        <v>1927493</v>
      </c>
      <c r="N33" s="93">
        <f t="shared" si="21"/>
        <v>1927493</v>
      </c>
      <c r="O33" s="93">
        <f t="shared" ca="1" si="17"/>
        <v>100.26060048385344</v>
      </c>
      <c r="P33" s="93">
        <f t="shared" ca="1" si="18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3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7"/>
      <c r="J35" s="617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7" t="s">
        <v>24</v>
      </c>
      <c r="B37" s="868"/>
      <c r="C37" s="868"/>
      <c r="D37" s="868"/>
      <c r="E37" s="868"/>
      <c r="F37" s="868"/>
      <c r="G37" s="869"/>
      <c r="H37" s="870"/>
      <c r="I37" s="871"/>
      <c r="J37" s="871"/>
      <c r="K37" s="872"/>
      <c r="L37" s="873">
        <f t="shared" ref="L37:N37" ca="1" si="24">L41+L53+L66+L88+L119+L132+L149+L165+L181+L261+L277+L298+L315+L328+L345+L389+L402</f>
        <v>4165990</v>
      </c>
      <c r="M37" s="873">
        <f t="shared" ca="1" si="24"/>
        <v>4814934.18</v>
      </c>
      <c r="N37" s="873">
        <f t="shared" ca="1" si="24"/>
        <v>4833434.18</v>
      </c>
      <c r="O37" s="873">
        <f t="shared" ca="1" si="17"/>
        <v>116.02126217297689</v>
      </c>
      <c r="P37" s="873">
        <f t="shared" ca="1" si="18"/>
        <v>100.38422124391325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632700</v>
      </c>
      <c r="M41" s="85">
        <f t="shared" ca="1" si="25"/>
        <v>701483</v>
      </c>
      <c r="N41" s="85">
        <f t="shared" ca="1" si="25"/>
        <v>701483</v>
      </c>
      <c r="O41" s="85">
        <f t="shared" ref="O41:O49" ca="1" si="26">IF(L41&gt;0,N41*100/L41,0)</f>
        <v>110.87134502923976</v>
      </c>
      <c r="P41" s="85">
        <f t="shared" ref="P41:P49" ca="1" si="27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632700</v>
      </c>
      <c r="M43" s="92">
        <f t="shared" ca="1" si="28"/>
        <v>701483</v>
      </c>
      <c r="N43" s="92">
        <f t="shared" ca="1" si="28"/>
        <v>701483</v>
      </c>
      <c r="O43" s="92">
        <f t="shared" ca="1" si="26"/>
        <v>110.87134502923976</v>
      </c>
      <c r="P43" s="92">
        <f t="shared" ca="1" si="27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3" t="s">
        <v>12</v>
      </c>
      <c r="I44" s="270"/>
      <c r="J44" s="270"/>
      <c r="K44" s="498"/>
      <c r="L44" s="498">
        <f t="shared" ref="L44:N44" ca="1" si="29">L45+L46</f>
        <v>632700</v>
      </c>
      <c r="M44" s="498">
        <f t="shared" ca="1" si="29"/>
        <v>701483</v>
      </c>
      <c r="N44" s="498">
        <f t="shared" ca="1" si="29"/>
        <v>701483</v>
      </c>
      <c r="O44" s="498">
        <f t="shared" ca="1" si="26"/>
        <v>110.87134502923976</v>
      </c>
      <c r="P44" s="498">
        <f t="shared" ca="1" si="27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7"/>
      <c r="J45" s="617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7"/>
      <c r="J46" s="617"/>
      <c r="K46" s="93"/>
      <c r="L46" s="93">
        <f ca="1">IFERROR(__xludf.DUMMYFUNCTION("IMPORTRANGE(""https://docs.google.com/spreadsheets/d/1MeEWN-I1oV_STSDYn1IFDPWt_1FKiwhDph83XaGc0o0/edit?usp=sharing"",""งบพรบ!M41"")"),632700)</f>
        <v>632700</v>
      </c>
      <c r="M46" s="93">
        <f ca="1">IFERROR(__xludf.DUMMYFUNCTION("IMPORTRANGE(""https://docs.google.com/spreadsheets/d/1MeEWN-I1oV_STSDYn1IFDPWt_1FKiwhDph83XaGc0o0/edit?usp=sharing"",""งบพรบ!R41"")"),701483)</f>
        <v>701483</v>
      </c>
      <c r="N46" s="93">
        <f ca="1">IFERROR(__xludf.DUMMYFUNCTION("IMPORTRANGE(""https://docs.google.com/spreadsheets/d/1MeEWN-I1oV_STSDYn1IFDPWt_1FKiwhDph83XaGc0o0/edit?usp=sharing"",""งบพรบ!T41"")"),701483)</f>
        <v>701483</v>
      </c>
      <c r="O46" s="93">
        <f t="shared" ca="1" si="26"/>
        <v>110.87134502923976</v>
      </c>
      <c r="P46" s="93">
        <f t="shared" ca="1" si="27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3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7"/>
      <c r="J48" s="617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IFERROR(__xludf.DUMMYFUNCTION("IMPORTRANGE(""https://docs.google.com/spreadsheets/d/1MeEWN-I1oV_STSDYn1IFDPWt_1FKiwhDph83XaGc0o0/edit?usp=sharing"",""งบพรบ!P41"")"),0)</f>
        <v>0</v>
      </c>
      <c r="M49" s="52">
        <f ca="1">IFERROR(__xludf.DUMMYFUNCTION("IMPORTRANGE(""https://docs.google.com/spreadsheets/d/1MeEWN-I1oV_STSDYn1IFDPWt_1FKiwhDph83XaGc0o0/edit?usp=sharing"",""งบพรบ!S41"")"),0)</f>
        <v>0</v>
      </c>
      <c r="N49" s="52">
        <f ca="1">IFERROR(__xludf.DUMMYFUNCTION("IMPORTRANGE(""https://docs.google.com/spreadsheets/d/1MeEWN-I1oV_STSDYn1IFDPWt_1FKiwhDph83XaGc0o0/edit?usp=sharing"",""งบพรบ!U41"")"),0)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1011300</v>
      </c>
      <c r="M53" s="116">
        <f t="shared" ca="1" si="31"/>
        <v>1241701.18</v>
      </c>
      <c r="N53" s="116">
        <f t="shared" ca="1" si="31"/>
        <v>1248201.18</v>
      </c>
      <c r="O53" s="116">
        <f t="shared" ref="O53:O61" ca="1" si="32">IF(L53&gt;0,N53*100/L53,0)</f>
        <v>123.42541085731237</v>
      </c>
      <c r="P53" s="116">
        <f t="shared" ref="P53:P61" ca="1" si="33">IF(M53&gt;0,N53*100/M53,0)</f>
        <v>100.52347538237824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1011300</v>
      </c>
      <c r="M55" s="123">
        <f t="shared" ca="1" si="34"/>
        <v>1241701.18</v>
      </c>
      <c r="N55" s="123">
        <f t="shared" ca="1" si="34"/>
        <v>1248201.18</v>
      </c>
      <c r="O55" s="123">
        <f t="shared" ca="1" si="32"/>
        <v>123.42541085731237</v>
      </c>
      <c r="P55" s="123">
        <f t="shared" ca="1" si="33"/>
        <v>100.52347538237824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3" t="s">
        <v>12</v>
      </c>
      <c r="I56" s="270"/>
      <c r="J56" s="270"/>
      <c r="K56" s="498"/>
      <c r="L56" s="498">
        <f t="shared" ref="L56:N56" ca="1" si="35">L57+L58</f>
        <v>845400</v>
      </c>
      <c r="M56" s="498">
        <f t="shared" ca="1" si="35"/>
        <v>1075801.18</v>
      </c>
      <c r="N56" s="498">
        <f t="shared" ca="1" si="35"/>
        <v>1075801.18</v>
      </c>
      <c r="O56" s="498">
        <f t="shared" ca="1" si="32"/>
        <v>127.25351076413531</v>
      </c>
      <c r="P56" s="498">
        <f t="shared" ca="1" si="33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7"/>
      <c r="J57" s="617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7"/>
      <c r="J58" s="617"/>
      <c r="K58" s="93"/>
      <c r="L58" s="93">
        <f ca="1">IFERROR(__xludf.DUMMYFUNCTION("IMPORTRANGE(""https://docs.google.com/spreadsheets/d/1MeEWN-I1oV_STSDYn1IFDPWt_1FKiwhDph83XaGc0o0/edit?usp=sharing"",""งบพรบ!W41"")"),845400)</f>
        <v>845400</v>
      </c>
      <c r="M58" s="93">
        <f ca="1">IFERROR(__xludf.DUMMYFUNCTION("IMPORTRANGE(""https://docs.google.com/spreadsheets/d/1MeEWN-I1oV_STSDYn1IFDPWt_1FKiwhDph83XaGc0o0/edit?usp=sharing"",""งบพรบ!AB41"")"),1075801.18)</f>
        <v>1075801.18</v>
      </c>
      <c r="N58" s="93">
        <f ca="1">IFERROR(__xludf.DUMMYFUNCTION("IMPORTRANGE(""https://docs.google.com/spreadsheets/d/1MeEWN-I1oV_STSDYn1IFDPWt_1FKiwhDph83XaGc0o0/edit?usp=sharing"",""งบพรบ!AD41"")"),1075801.18)</f>
        <v>1075801.18</v>
      </c>
      <c r="O58" s="93">
        <f t="shared" ca="1" si="32"/>
        <v>127.25351076413531</v>
      </c>
      <c r="P58" s="93">
        <f t="shared" ca="1" si="33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3" t="s">
        <v>12</v>
      </c>
      <c r="I59" s="270"/>
      <c r="J59" s="270"/>
      <c r="K59" s="498"/>
      <c r="L59" s="498">
        <f t="shared" ref="L59:N59" ca="1" si="36">L60+L61</f>
        <v>165900</v>
      </c>
      <c r="M59" s="498">
        <f t="shared" ca="1" si="36"/>
        <v>165900</v>
      </c>
      <c r="N59" s="498">
        <f t="shared" ca="1" si="36"/>
        <v>172400</v>
      </c>
      <c r="O59" s="498">
        <f t="shared" ca="1" si="32"/>
        <v>103.91802290536468</v>
      </c>
      <c r="P59" s="498">
        <f t="shared" ca="1" si="33"/>
        <v>103.91802290536468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7"/>
      <c r="J60" s="617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IFERROR(__xludf.DUMMYFUNCTION("IMPORTRANGE(""https://docs.google.com/spreadsheets/d/1MeEWN-I1oV_STSDYn1IFDPWt_1FKiwhDph83XaGc0o0/edit?usp=sharing"",""งบพรบ!Z41"")"),165900)</f>
        <v>165900</v>
      </c>
      <c r="M61" s="52">
        <f ca="1">IFERROR(__xludf.DUMMYFUNCTION("IMPORTRANGE(""https://docs.google.com/spreadsheets/d/1MeEWN-I1oV_STSDYn1IFDPWt_1FKiwhDph83XaGc0o0/edit?usp=sharing"",""งบพรบ!AC41"")"),165900)</f>
        <v>165900</v>
      </c>
      <c r="N61" s="52">
        <f ca="1">IFERROR(__xludf.DUMMYFUNCTION("IMPORTRANGE(""https://docs.google.com/spreadsheets/d/1MeEWN-I1oV_STSDYn1IFDPWt_1FKiwhDph83XaGc0o0/edit?usp=sharing"",""งบพรบ!AE41"")"),172400)</f>
        <v>172400</v>
      </c>
      <c r="O61" s="52">
        <f t="shared" ca="1" si="32"/>
        <v>103.91802290536468</v>
      </c>
      <c r="P61" s="52">
        <f t="shared" ca="1" si="33"/>
        <v>103.91802290536468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697000</v>
      </c>
      <c r="M66" s="155">
        <f t="shared" ca="1" si="39"/>
        <v>712320</v>
      </c>
      <c r="N66" s="155">
        <f t="shared" ca="1" si="39"/>
        <v>712320</v>
      </c>
      <c r="O66" s="155">
        <f t="shared" ref="O66:O74" ca="1" si="40">IF(L66&gt;0,N66*100/L66,0)</f>
        <v>102.19799139167863</v>
      </c>
      <c r="P66" s="155">
        <f t="shared" ref="P66:P74" ca="1" si="41">IF(M66&gt;0,N66*100/M66,0)</f>
        <v>100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7"/>
      <c r="J67" s="617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7"/>
      <c r="J68" s="617"/>
      <c r="K68" s="93"/>
      <c r="L68" s="93">
        <f t="shared" ca="1" si="42"/>
        <v>697000</v>
      </c>
      <c r="M68" s="93">
        <f t="shared" ca="1" si="42"/>
        <v>712320</v>
      </c>
      <c r="N68" s="93">
        <f t="shared" ca="1" si="42"/>
        <v>712320</v>
      </c>
      <c r="O68" s="93">
        <f t="shared" ca="1" si="40"/>
        <v>102.19799139167863</v>
      </c>
      <c r="P68" s="93">
        <f t="shared" ca="1" si="41"/>
        <v>100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697000</v>
      </c>
      <c r="M69" s="498">
        <f t="shared" ca="1" si="43"/>
        <v>712320</v>
      </c>
      <c r="N69" s="498">
        <f t="shared" ca="1" si="43"/>
        <v>712320</v>
      </c>
      <c r="O69" s="498">
        <f t="shared" ca="1" si="40"/>
        <v>102.19799139167863</v>
      </c>
      <c r="P69" s="498">
        <f t="shared" ca="1" si="41"/>
        <v>100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IFERROR(__xludf.DUMMYFUNCTION("IMPORTRANGE(""https://docs.google.com/spreadsheets/d/1MeEWN-I1oV_STSDYn1IFDPWt_1FKiwhDph83XaGc0o0/edit?usp=sharing"",""งบพรบ!AG41"")"),697000)</f>
        <v>697000</v>
      </c>
      <c r="M71" s="93">
        <f ca="1">IFERROR(__xludf.DUMMYFUNCTION("IMPORTRANGE(""https://docs.google.com/spreadsheets/d/1MeEWN-I1oV_STSDYn1IFDPWt_1FKiwhDph83XaGc0o0/edit?usp=sharing"",""งบพรบ!AL41"")"),712320)</f>
        <v>712320</v>
      </c>
      <c r="N71" s="93">
        <f ca="1">IFERROR(__xludf.DUMMYFUNCTION("IMPORTRANGE(""https://docs.google.com/spreadsheets/d/1MeEWN-I1oV_STSDYn1IFDPWt_1FKiwhDph83XaGc0o0/edit?usp=sharing"",""งบพรบ!AN41"")"),712320)</f>
        <v>712320</v>
      </c>
      <c r="O71" s="93">
        <f t="shared" ca="1" si="40"/>
        <v>102.19799139167863</v>
      </c>
      <c r="P71" s="93">
        <f t="shared" ca="1" si="41"/>
        <v>100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IFERROR(__xludf.DUMMYFUNCTION("IMPORTRANGE(""https://docs.google.com/spreadsheets/d/1MeEWN-I1oV_STSDYn1IFDPWt_1FKiwhDph83XaGc0o0/edit?usp=sharing"",""งบพรบ!AJ41"")"),0)</f>
        <v>0</v>
      </c>
      <c r="M74" s="93">
        <f ca="1">IFERROR(__xludf.DUMMYFUNCTION("IMPORTRANGE(""https://docs.google.com/spreadsheets/d/1MeEWN-I1oV_STSDYn1IFDPWt_1FKiwhDph83XaGc0o0/edit?usp=sharing"",""งบพรบ!AM41"")"),0)</f>
        <v>0</v>
      </c>
      <c r="N74" s="93">
        <f ca="1">IFERROR(__xludf.DUMMYFUNCTION("IMPORTRANGE(""https://docs.google.com/spreadsheets/d/1MeEWN-I1oV_STSDYn1IFDPWt_1FKiwhDph83XaGc0o0/edit?usp=sharing"",""งบพรบ!AO41"")"),0)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7" t="s">
        <v>38</v>
      </c>
      <c r="E75" s="173"/>
      <c r="F75" s="173"/>
      <c r="G75" s="174"/>
      <c r="H75" s="76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4" t="s">
        <v>34</v>
      </c>
      <c r="I78" s="184">
        <f ca="1">IFERROR(__xludf.DUMMYFUNCTION("IMPORTRANGE(""https://docs.google.com/spreadsheets/d/1QqKyyYR6Q21VydFLVH3TRQUabQu_ym0Zz7PgGX0-kHA/edit?usp=sharing"",""แผน!H41"")"),0)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4" t="s">
        <v>35</v>
      </c>
      <c r="I79" s="184">
        <f ca="1">IFERROR(__xludf.DUMMYFUNCTION("IMPORTRANGE(""https://docs.google.com/spreadsheets/d/1QqKyyYR6Q21VydFLVH3TRQUabQu_ym0Zz7PgGX0-kHA/edit?usp=sharing"",""แผน!I41"")"),0)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4" t="s">
        <v>34</v>
      </c>
      <c r="I80" s="184">
        <f ca="1">IFERROR(__xludf.DUMMYFUNCTION("IMPORTRANGE(""https://docs.google.com/spreadsheets/d/1QqKyyYR6Q21VydFLVH3TRQUabQu_ym0Zz7PgGX0-kHA/edit?usp=sharing"",""แผน!F41"")"),1)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4" t="s">
        <v>35</v>
      </c>
      <c r="I81" s="184">
        <f ca="1">IFERROR(__xludf.DUMMYFUNCTION("IMPORTRANGE(""https://docs.google.com/spreadsheets/d/1QqKyyYR6Q21VydFLVH3TRQUabQu_ym0Zz7PgGX0-kHA/edit?usp=sharing"",""แผน!G41"")"),40)</f>
        <v>40</v>
      </c>
      <c r="J81" s="215">
        <v>40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4" t="s">
        <v>34</v>
      </c>
      <c r="I82" s="184">
        <f ca="1">IFERROR(__xludf.DUMMYFUNCTION("IMPORTRANGE(""https://docs.google.com/spreadsheets/d/1QqKyyYR6Q21VydFLVH3TRQUabQu_ym0Zz7PgGX0-kHA/edit?usp=sharing"",""แผน!D41"")"),0)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4" t="s">
        <v>35</v>
      </c>
      <c r="I83" s="184">
        <f ca="1">IFERROR(__xludf.DUMMYFUNCTION("IMPORTRANGE(""https://docs.google.com/spreadsheets/d/1QqKyyYR6Q21VydFLVH3TRQUabQu_ym0Zz7PgGX0-kHA/edit?usp=sharing"",""แผน!E41"")"),0)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IFERROR(__xludf.DUMMYFUNCTION("IMPORTRANGE(""https://docs.google.com/spreadsheets/d/1QqKyyYR6Q21VydFLVH3TRQUabQu_ym0Zz7PgGX0-kHA/edit?usp=sharing"",""แผน!J41"")"),1)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111880</v>
      </c>
      <c r="M88" s="155">
        <f t="shared" ca="1" si="49"/>
        <v>111880</v>
      </c>
      <c r="N88" s="155">
        <f t="shared" ca="1" si="49"/>
        <v>111880</v>
      </c>
      <c r="O88" s="155">
        <f t="shared" ref="O88:O96" ca="1" si="50">IF(L88&gt;0,N88*100/L88,0)</f>
        <v>100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7"/>
      <c r="J89" s="617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7"/>
      <c r="J90" s="617"/>
      <c r="K90" s="93"/>
      <c r="L90" s="93">
        <f t="shared" ca="1" si="52"/>
        <v>111880</v>
      </c>
      <c r="M90" s="93">
        <f t="shared" ca="1" si="52"/>
        <v>111880</v>
      </c>
      <c r="N90" s="93">
        <f t="shared" ca="1" si="52"/>
        <v>111880</v>
      </c>
      <c r="O90" s="93">
        <f t="shared" ca="1" si="50"/>
        <v>100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111880</v>
      </c>
      <c r="M91" s="498">
        <f t="shared" ca="1" si="53"/>
        <v>111880</v>
      </c>
      <c r="N91" s="498">
        <f t="shared" ca="1" si="53"/>
        <v>111880</v>
      </c>
      <c r="O91" s="498">
        <f t="shared" ca="1" si="50"/>
        <v>100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IFERROR(__xludf.DUMMYFUNCTION("IMPORTRANGE(""https://docs.google.com/spreadsheets/d/1MeEWN-I1oV_STSDYn1IFDPWt_1FKiwhDph83XaGc0o0/edit?usp=sharing"",""งบพรบ!AQ41"")"),111880)</f>
        <v>111880</v>
      </c>
      <c r="M93" s="93">
        <f ca="1">IFERROR(__xludf.DUMMYFUNCTION("IMPORTRANGE(""https://docs.google.com/spreadsheets/d/1MeEWN-I1oV_STSDYn1IFDPWt_1FKiwhDph83XaGc0o0/edit?usp=sharing"",""งบพรบ!AV41"")"),111880)</f>
        <v>111880</v>
      </c>
      <c r="N93" s="93">
        <f ca="1">IFERROR(__xludf.DUMMYFUNCTION("IMPORTRANGE(""https://docs.google.com/spreadsheets/d/1MeEWN-I1oV_STSDYn1IFDPWt_1FKiwhDph83XaGc0o0/edit?usp=sharing"",""งบพรบ!AX41"")"),111880)</f>
        <v>111880</v>
      </c>
      <c r="O93" s="93">
        <f t="shared" ca="1" si="50"/>
        <v>100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IFERROR(__xludf.DUMMYFUNCTION("IMPORTRANGE(""https://docs.google.com/spreadsheets/d/1MeEWN-I1oV_STSDYn1IFDPWt_1FKiwhDph83XaGc0o0/edit?usp=sharing"",""งบพรบ!AT41"")"),0)</f>
        <v>0</v>
      </c>
      <c r="M96" s="93">
        <f ca="1">IFERROR(__xludf.DUMMYFUNCTION("IMPORTRANGE(""https://docs.google.com/spreadsheets/d/1MeEWN-I1oV_STSDYn1IFDPWt_1FKiwhDph83XaGc0o0/edit?usp=sharing"",""งบพรบ!AW41"")"),0)</f>
        <v>0</v>
      </c>
      <c r="N96" s="93">
        <f ca="1">IFERROR(__xludf.DUMMYFUNCTION("IMPORTRANGE(""https://docs.google.com/spreadsheets/d/1MeEWN-I1oV_STSDYn1IFDPWt_1FKiwhDph83XaGc0o0/edit?usp=sharing"",""งบพรบ!AY41"")"),0)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7" t="s">
        <v>38</v>
      </c>
      <c r="E97" s="173"/>
      <c r="F97" s="173"/>
      <c r="G97" s="174"/>
      <c r="H97" s="762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3" t="s">
        <v>46</v>
      </c>
      <c r="I98" s="270">
        <f ca="1">IFERROR(__xludf.DUMMYFUNCTION("IMPORTRANGE(""https://docs.google.com/spreadsheets/d/1QqKyyYR6Q21VydFLVH3TRQUabQu_ym0Zz7PgGX0-kHA/edit?usp=sharing"",""แผน!K41"")"),60)</f>
        <v>60</v>
      </c>
      <c r="J98" s="270">
        <f>J102</f>
        <v>60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3" t="s">
        <v>35</v>
      </c>
      <c r="I99" s="270">
        <f ca="1">IFERROR(__xludf.DUMMYFUNCTION("IMPORTRANGE(""https://docs.google.com/spreadsheets/d/1QqKyyYR6Q21VydFLVH3TRQUabQu_ym0Zz7PgGX0-kHA/edit?usp=sharing"",""แผน!L41"")"),20)</f>
        <v>20</v>
      </c>
      <c r="J99" s="270">
        <f>J104</f>
        <v>20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3" t="s">
        <v>49</v>
      </c>
      <c r="I100" s="270">
        <f ca="1">IFERROR(__xludf.DUMMYFUNCTION("IMPORTRANGE(""https://docs.google.com/spreadsheets/d/1QqKyyYR6Q21VydFLVH3TRQUabQu_ym0Zz7PgGX0-kHA/edit?usp=sharing"",""แผน!M41"")"),2)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3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6" t="s">
        <v>47</v>
      </c>
      <c r="F102" s="178"/>
      <c r="G102" s="179"/>
      <c r="H102" s="623" t="s">
        <v>46</v>
      </c>
      <c r="I102" s="270">
        <f ca="1">IFERROR(__xludf.DUMMYFUNCTION("IMPORTRANGE(""https://docs.google.com/spreadsheets/d/1QqKyyYR6Q21VydFLVH3TRQUabQu_ym0Zz7PgGX0-kHA/edit?usp=sharing"",""แผน!N41"")"),60)</f>
        <v>60</v>
      </c>
      <c r="J102" s="215">
        <v>60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3" t="s">
        <v>35</v>
      </c>
      <c r="I103" s="270">
        <f ca="1">IFERROR(__xludf.DUMMYFUNCTION("IMPORTRANGE(""https://docs.google.com/spreadsheets/d/1QqKyyYR6Q21VydFLVH3TRQUabQu_ym0Zz7PgGX0-kHA/edit?usp=sharing"",""แผน!O41"")"),20)</f>
        <v>20</v>
      </c>
      <c r="J103" s="215">
        <v>20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3" t="s">
        <v>35</v>
      </c>
      <c r="I104" s="270">
        <f ca="1">IFERROR(__xludf.DUMMYFUNCTION("IMPORTRANGE(""https://docs.google.com/spreadsheets/d/1QqKyyYR6Q21VydFLVH3TRQUabQu_ym0Zz7PgGX0-kHA/edit?usp=sharing"",""แผน!O41"")"),20)</f>
        <v>20</v>
      </c>
      <c r="J104" s="215">
        <v>20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3" t="s">
        <v>49</v>
      </c>
      <c r="I106" s="270">
        <f ca="1">IFERROR(__xludf.DUMMYFUNCTION("IMPORTRANGE(""https://docs.google.com/spreadsheets/d/1QqKyyYR6Q21VydFLVH3TRQUabQu_ym0Zz7PgGX0-kHA/edit?usp=sharing"",""แผน!P41"")"),1)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3" t="s">
        <v>49</v>
      </c>
      <c r="I107" s="270">
        <f ca="1">IFERROR(__xludf.DUMMYFUNCTION("IMPORTRANGE(""https://docs.google.com/spreadsheets/d/1QqKyyYR6Q21VydFLVH3TRQUabQu_ym0Zz7PgGX0-kHA/edit?usp=sharing"",""แผน!P41"")"),1)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3" t="s">
        <v>49</v>
      </c>
      <c r="I109" s="270">
        <f ca="1">IFERROR(__xludf.DUMMYFUNCTION("IMPORTRANGE(""https://docs.google.com/spreadsheets/d/1QqKyyYR6Q21VydFLVH3TRQUabQu_ym0Zz7PgGX0-kHA/edit?usp=sharing"",""แผน!Q41"")"),1)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3" t="s">
        <v>49</v>
      </c>
      <c r="I110" s="270">
        <f ca="1">IFERROR(__xludf.DUMMYFUNCTION("IMPORTRANGE(""https://docs.google.com/spreadsheets/d/1QqKyyYR6Q21VydFLVH3TRQUabQu_ym0Zz7PgGX0-kHA/edit?usp=sharing"",""แผน!Q41"")"),1)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7" t="s">
        <v>35</v>
      </c>
      <c r="I111" s="193">
        <f ca="1">IFERROR(__xludf.DUMMYFUNCTION("IMPORTRANGE(""https://docs.google.com/spreadsheets/d/1QqKyyYR6Q21VydFLVH3TRQUabQu_ym0Zz7PgGX0-kHA/edit?usp=sharing"",""แผน!R41"")"),20)</f>
        <v>20</v>
      </c>
      <c r="J111" s="681">
        <f>J114</f>
        <v>20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1">
        <f t="shared" si="59"/>
        <v>2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2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IFERROR(__xludf.DUMMYFUNCTION("IMPORTRANGE(""https://docs.google.com/spreadsheets/d/1QqKyyYR6Q21VydFLVH3TRQUabQu_ym0Zz7PgGX0-kHA/edit?usp=sharing"",""แผน!R41"")"),20)</f>
        <v>20</v>
      </c>
      <c r="J113" s="215">
        <v>20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IFERROR(__xludf.DUMMYFUNCTION("IMPORTRANGE(""https://docs.google.com/spreadsheets/d/1QqKyyYR6Q21VydFLVH3TRQUabQu_ym0Zz7PgGX0-kHA/edit?usp=sharing"",""แผน!R41"")"),20)</f>
        <v>20</v>
      </c>
      <c r="J114" s="215">
        <v>20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IFERROR(__xludf.DUMMYFUNCTION("IMPORTRANGE(""https://docs.google.com/spreadsheets/d/1QqKyyYR6Q21VydFLVH3TRQUabQu_ym0Zz7PgGX0-kHA/edit?usp=sharing"",""แผน!S41"")"),1)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IFERROR(__xludf.DUMMYFUNCTION("IMPORTRANGE(""https://docs.google.com/spreadsheets/d/1QqKyyYR6Q21VydFLVH3TRQUabQu_ym0Zz7PgGX0-kHA/edit?usp=sharing"",""แผน!T41"")"),1)</f>
        <v>1</v>
      </c>
      <c r="J116" s="215">
        <v>1</v>
      </c>
      <c r="K116" s="498">
        <f t="shared" ca="1" si="58"/>
        <v>100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26800</v>
      </c>
      <c r="M119" s="155">
        <f t="shared" ca="1" si="60"/>
        <v>26800</v>
      </c>
      <c r="N119" s="155">
        <f t="shared" ca="1" si="60"/>
        <v>26800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7"/>
      <c r="J120" s="617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7"/>
      <c r="J121" s="617"/>
      <c r="K121" s="93"/>
      <c r="L121" s="93">
        <f t="shared" ca="1" si="63"/>
        <v>26800</v>
      </c>
      <c r="M121" s="93">
        <f t="shared" ca="1" si="63"/>
        <v>26800</v>
      </c>
      <c r="N121" s="93">
        <f t="shared" ca="1" si="63"/>
        <v>26800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IFERROR(__xludf.DUMMYFUNCTION("IMPORTRANGE(""https://docs.google.com/spreadsheets/d/1MeEWN-I1oV_STSDYn1IFDPWt_1FKiwhDph83XaGc0o0/edit?usp=sharing"",""งบพรบ!BA41"")"),0)</f>
        <v>0</v>
      </c>
      <c r="M124" s="93">
        <f ca="1">IFERROR(__xludf.DUMMYFUNCTION("IMPORTRANGE(""https://docs.google.com/spreadsheets/d/1MeEWN-I1oV_STSDYn1IFDPWt_1FKiwhDph83XaGc0o0/edit?usp=sharing"",""งบพรบ!BF41"")"),0)</f>
        <v>0</v>
      </c>
      <c r="N124" s="93">
        <f ca="1">IFERROR(__xludf.DUMMYFUNCTION("IMPORTRANGE(""https://docs.google.com/spreadsheets/d/1MeEWN-I1oV_STSDYn1IFDPWt_1FKiwhDph83XaGc0o0/edit?usp=sharing"",""งบพรบ!BH41"")"),0)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26800</v>
      </c>
      <c r="M125" s="498">
        <f t="shared" ca="1" si="65"/>
        <v>26800</v>
      </c>
      <c r="N125" s="498">
        <f t="shared" ca="1" si="65"/>
        <v>26800</v>
      </c>
      <c r="O125" s="498">
        <f t="shared" ca="1" si="61"/>
        <v>100</v>
      </c>
      <c r="P125" s="498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IFERROR(__xludf.DUMMYFUNCTION("IMPORTRANGE(""https://docs.google.com/spreadsheets/d/1MeEWN-I1oV_STSDYn1IFDPWt_1FKiwhDph83XaGc0o0/edit?usp=sharing"",""งบพรบ!BD41"")"),26800)</f>
        <v>26800</v>
      </c>
      <c r="M127" s="93">
        <f ca="1">IFERROR(__xludf.DUMMYFUNCTION("IMPORTRANGE(""https://docs.google.com/spreadsheets/d/1MeEWN-I1oV_STSDYn1IFDPWt_1FKiwhDph83XaGc0o0/edit?usp=sharing"",""งบพรบ!BG41"")"),26800)</f>
        <v>26800</v>
      </c>
      <c r="N127" s="93">
        <f ca="1">IFERROR(__xludf.DUMMYFUNCTION("IMPORTRANGE(""https://docs.google.com/spreadsheets/d/1MeEWN-I1oV_STSDYn1IFDPWt_1FKiwhDph83XaGc0o0/edit?usp=sharing"",""งบพรบ!BI41"")"),26800)</f>
        <v>26800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489055</v>
      </c>
      <c r="M132" s="155">
        <f t="shared" ca="1" si="69"/>
        <v>501055</v>
      </c>
      <c r="N132" s="155">
        <f t="shared" ca="1" si="69"/>
        <v>501055</v>
      </c>
      <c r="O132" s="155">
        <f t="shared" ref="O132:O140" ca="1" si="70">IF(L132&gt;0,N132*100/L132,0)</f>
        <v>102.45371175021215</v>
      </c>
      <c r="P132" s="155">
        <f t="shared" ref="P132:P140" ca="1" si="71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7"/>
      <c r="J133" s="617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7"/>
      <c r="J134" s="617"/>
      <c r="K134" s="93"/>
      <c r="L134" s="93">
        <f t="shared" ca="1" si="72"/>
        <v>489055</v>
      </c>
      <c r="M134" s="93">
        <f t="shared" ca="1" si="72"/>
        <v>501055</v>
      </c>
      <c r="N134" s="93">
        <f t="shared" ca="1" si="72"/>
        <v>501055</v>
      </c>
      <c r="O134" s="93">
        <f t="shared" ca="1" si="70"/>
        <v>102.45371175021215</v>
      </c>
      <c r="P134" s="93">
        <f t="shared" ca="1" si="71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386055</v>
      </c>
      <c r="M135" s="498">
        <f t="shared" ca="1" si="73"/>
        <v>398055</v>
      </c>
      <c r="N135" s="498">
        <f t="shared" ca="1" si="73"/>
        <v>398055</v>
      </c>
      <c r="O135" s="498">
        <f t="shared" ca="1" si="70"/>
        <v>103.1083653883514</v>
      </c>
      <c r="P135" s="498">
        <f t="shared" ca="1" si="71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IFERROR(__xludf.DUMMYFUNCTION("IMPORTRANGE(""https://docs.google.com/spreadsheets/d/1MeEWN-I1oV_STSDYn1IFDPWt_1FKiwhDph83XaGc0o0/edit?usp=sharing"",""งบพรบ!BK41"")"),386055)</f>
        <v>386055</v>
      </c>
      <c r="M137" s="93">
        <f ca="1">IFERROR(__xludf.DUMMYFUNCTION("IMPORTRANGE(""https://docs.google.com/spreadsheets/d/1MeEWN-I1oV_STSDYn1IFDPWt_1FKiwhDph83XaGc0o0/edit?usp=sharing"",""งบพรบ!BP41"")"),398055)</f>
        <v>398055</v>
      </c>
      <c r="N137" s="93">
        <f ca="1">IFERROR(__xludf.DUMMYFUNCTION("IMPORTRANGE(""https://docs.google.com/spreadsheets/d/1MeEWN-I1oV_STSDYn1IFDPWt_1FKiwhDph83XaGc0o0/edit?usp=sharing"",""งบพรบ!BR41"")"),398055)</f>
        <v>398055</v>
      </c>
      <c r="O137" s="93">
        <f t="shared" ca="1" si="70"/>
        <v>103.1083653883514</v>
      </c>
      <c r="P137" s="93">
        <f t="shared" ca="1" si="71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103000</v>
      </c>
      <c r="N138" s="498">
        <f t="shared" ca="1" si="74"/>
        <v>103000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IFERROR(__xludf.DUMMYFUNCTION("IMPORTRANGE(""https://docs.google.com/spreadsheets/d/1MeEWN-I1oV_STSDYn1IFDPWt_1FKiwhDph83XaGc0o0/edit?usp=sharing"",""งบพรบ!BN41"")"),103000)</f>
        <v>103000</v>
      </c>
      <c r="M140" s="93">
        <f ca="1">IFERROR(__xludf.DUMMYFUNCTION("IMPORTRANGE(""https://docs.google.com/spreadsheets/d/1MeEWN-I1oV_STSDYn1IFDPWt_1FKiwhDph83XaGc0o0/edit?usp=sharing"",""งบพรบ!BQ41"")"),103000)</f>
        <v>103000</v>
      </c>
      <c r="N140" s="93">
        <f ca="1">IFERROR(__xludf.DUMMYFUNCTION("IMPORTRANGE(""https://docs.google.com/spreadsheets/d/1MeEWN-I1oV_STSDYn1IFDPWt_1FKiwhDph83XaGc0o0/edit?usp=sharing"",""งบพรบ!BS41"")"),103000)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IFERROR(__xludf.DUMMYFUNCTION("IMPORTRANGE(""https://docs.google.com/spreadsheets/d/1QqKyyYR6Q21VydFLVH3TRQUabQu_ym0Zz7PgGX0-kHA/edit?usp=sharing"",""แผน!U41"")"),5)</f>
        <v>5</v>
      </c>
      <c r="J144" s="215">
        <v>10</v>
      </c>
      <c r="K144" s="498">
        <f t="shared" ca="1" si="75"/>
        <v>200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IFERROR(__xludf.DUMMYFUNCTION("IMPORTRANGE(""https://docs.google.com/spreadsheets/d/1QqKyyYR6Q21VydFLVH3TRQUabQu_ym0Zz7PgGX0-kHA/edit?usp=sharing"",""แผน!V41"")"),10)</f>
        <v>10</v>
      </c>
      <c r="J145" s="215">
        <v>10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IFERROR(__xludf.DUMMYFUNCTION("IMPORTRANGE(""https://docs.google.com/spreadsheets/d/1QqKyyYR6Q21VydFLVH3TRQUabQu_ym0Zz7PgGX0-kHA/edit?usp=sharing"",""แผน!W41"")"),1)</f>
        <v>1</v>
      </c>
      <c r="J146" s="215">
        <v>1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7840</v>
      </c>
      <c r="N149" s="155">
        <f t="shared" ca="1" si="77"/>
        <v>7840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7"/>
      <c r="J150" s="617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7"/>
      <c r="J151" s="617"/>
      <c r="K151" s="93"/>
      <c r="L151" s="93">
        <f t="shared" ca="1" si="80"/>
        <v>0</v>
      </c>
      <c r="M151" s="93">
        <f t="shared" ca="1" si="80"/>
        <v>7840</v>
      </c>
      <c r="N151" s="93">
        <f t="shared" ca="1" si="80"/>
        <v>7840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7840</v>
      </c>
      <c r="N152" s="498">
        <f t="shared" ca="1" si="81"/>
        <v>7840</v>
      </c>
      <c r="O152" s="498">
        <f t="shared" ca="1" si="78"/>
        <v>0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IFERROR(__xludf.DUMMYFUNCTION("IMPORTRANGE(""https://docs.google.com/spreadsheets/d/1MeEWN-I1oV_STSDYn1IFDPWt_1FKiwhDph83XaGc0o0/edit?usp=sharing"",""งบพรบ!BU41"")"),0)</f>
        <v>0</v>
      </c>
      <c r="M154" s="93">
        <f ca="1">IFERROR(__xludf.DUMMYFUNCTION("IMPORTRANGE(""https://docs.google.com/spreadsheets/d/1MeEWN-I1oV_STSDYn1IFDPWt_1FKiwhDph83XaGc0o0/edit?usp=sharing"",""งบพรบ!BZ41"")"),7840)</f>
        <v>7840</v>
      </c>
      <c r="N154" s="93">
        <f ca="1">IFERROR(__xludf.DUMMYFUNCTION("IMPORTRANGE(""https://docs.google.com/spreadsheets/d/1MeEWN-I1oV_STSDYn1IFDPWt_1FKiwhDph83XaGc0o0/edit?usp=sharing"",""งบพรบ!CB41"")"),7840)</f>
        <v>7840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IFERROR(__xludf.DUMMYFUNCTION("IMPORTRANGE(""https://docs.google.com/spreadsheets/d/1MeEWN-I1oV_STSDYn1IFDPWt_1FKiwhDph83XaGc0o0/edit?usp=sharing"",""งบพรบ!BX41"")"),0)</f>
        <v>0</v>
      </c>
      <c r="M157" s="93">
        <f ca="1">IFERROR(__xludf.DUMMYFUNCTION("IMPORTRANGE(""https://docs.google.com/spreadsheets/d/1MeEWN-I1oV_STSDYn1IFDPWt_1FKiwhDph83XaGc0o0/edit?usp=sharing"",""งบพรบ!CA41"")"),0)</f>
        <v>0</v>
      </c>
      <c r="N157" s="93">
        <f ca="1">IFERROR(__xludf.DUMMYFUNCTION("IMPORTRANGE(""https://docs.google.com/spreadsheets/d/1MeEWN-I1oV_STSDYn1IFDPWt_1FKiwhDph83XaGc0o0/edit?usp=sharing"",""งบพรบ!CC41"")"),0)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IFERROR(__xludf.DUMMYFUNCTION("IMPORTRANGE(""https://docs.google.com/spreadsheets/d/1QqKyyYR6Q21VydFLVH3TRQUabQu_ym0Zz7PgGX0-kHA/edit?usp=sharing"",""แผน!X41"")"),0)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7"/>
      <c r="J160" s="617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38155</v>
      </c>
      <c r="N165" s="155">
        <f t="shared" ca="1" si="84"/>
        <v>38155</v>
      </c>
      <c r="O165" s="155">
        <f t="shared" ref="O165:O173" ca="1" si="85">IF(L165&gt;0,N165*100/L165,0)</f>
        <v>172.9993198821129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7"/>
      <c r="J166" s="617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7"/>
      <c r="J167" s="617"/>
      <c r="K167" s="93"/>
      <c r="L167" s="93">
        <f t="shared" ca="1" si="87"/>
        <v>22055</v>
      </c>
      <c r="M167" s="93">
        <f t="shared" ca="1" si="87"/>
        <v>38155</v>
      </c>
      <c r="N167" s="93">
        <f t="shared" ca="1" si="87"/>
        <v>38155</v>
      </c>
      <c r="O167" s="93">
        <f t="shared" ca="1" si="85"/>
        <v>172.9993198821129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38155</v>
      </c>
      <c r="N168" s="498">
        <f t="shared" ca="1" si="88"/>
        <v>38155</v>
      </c>
      <c r="O168" s="498">
        <f t="shared" ca="1" si="85"/>
        <v>172.9993198821129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IFERROR(__xludf.DUMMYFUNCTION("IMPORTRANGE(""https://docs.google.com/spreadsheets/d/1MeEWN-I1oV_STSDYn1IFDPWt_1FKiwhDph83XaGc0o0/edit?usp=sharing"",""งบพรบ!CE41"")"),22055)</f>
        <v>22055</v>
      </c>
      <c r="M170" s="93">
        <f ca="1">IFERROR(__xludf.DUMMYFUNCTION("IMPORTRANGE(""https://docs.google.com/spreadsheets/d/1MeEWN-I1oV_STSDYn1IFDPWt_1FKiwhDph83XaGc0o0/edit?usp=sharing"",""งบพรบ!CJ41"")"),38155)</f>
        <v>38155</v>
      </c>
      <c r="N170" s="93">
        <f ca="1">IFERROR(__xludf.DUMMYFUNCTION("IMPORTRANGE(""https://docs.google.com/spreadsheets/d/1MeEWN-I1oV_STSDYn1IFDPWt_1FKiwhDph83XaGc0o0/edit?usp=sharing"",""งบพรบ!CL41"")"),38155)</f>
        <v>38155</v>
      </c>
      <c r="O170" s="93">
        <f t="shared" ca="1" si="85"/>
        <v>172.9993198821129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IFERROR(__xludf.DUMMYFUNCTION("IMPORTRANGE(""https://docs.google.com/spreadsheets/d/1MeEWN-I1oV_STSDYn1IFDPWt_1FKiwhDph83XaGc0o0/edit?usp=sharing"",""งบพรบ!CH41"")"),0)</f>
        <v>0</v>
      </c>
      <c r="M173" s="93">
        <f ca="1">IFERROR(__xludf.DUMMYFUNCTION("IMPORTRANGE(""https://docs.google.com/spreadsheets/d/1MeEWN-I1oV_STSDYn1IFDPWt_1FKiwhDph83XaGc0o0/edit?usp=sharing"",""งบพรบ!CK41"")"),0)</f>
        <v>0</v>
      </c>
      <c r="N173" s="93">
        <f ca="1">IFERROR(__xludf.DUMMYFUNCTION("IMPORTRANGE(""https://docs.google.com/spreadsheets/d/1MeEWN-I1oV_STSDYn1IFDPWt_1FKiwhDph83XaGc0o0/edit?usp=sharing"",""งบพรบ!CM41"")"),0)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7" t="s">
        <v>38</v>
      </c>
      <c r="E175" s="173"/>
      <c r="F175" s="173"/>
      <c r="G175" s="174"/>
      <c r="H175" s="76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6" t="s">
        <v>85</v>
      </c>
      <c r="E176" s="178"/>
      <c r="F176" s="178"/>
      <c r="G176" s="179"/>
      <c r="H176" s="623" t="s">
        <v>35</v>
      </c>
      <c r="I176" s="270">
        <f ca="1">IFERROR(__xludf.DUMMYFUNCTION("IMPORTRANGE(""https://docs.google.com/spreadsheets/d/1QqKyyYR6Q21VydFLVH3TRQUabQu_ym0Zz7PgGX0-kHA/edit?usp=sharing"",""แผน!Y41"")"),11)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72500</v>
      </c>
      <c r="M181" s="155">
        <f t="shared" ca="1" si="92"/>
        <v>72500</v>
      </c>
      <c r="N181" s="155">
        <f t="shared" ca="1" si="92"/>
        <v>72500</v>
      </c>
      <c r="O181" s="155">
        <f t="shared" ref="O181:O189" ca="1" si="93">IF(L181&gt;0,N181*100/L181,0)</f>
        <v>100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7"/>
      <c r="J182" s="617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7"/>
      <c r="J183" s="617"/>
      <c r="K183" s="93"/>
      <c r="L183" s="93">
        <f t="shared" ca="1" si="95"/>
        <v>72500</v>
      </c>
      <c r="M183" s="93">
        <f t="shared" ca="1" si="95"/>
        <v>72500</v>
      </c>
      <c r="N183" s="93">
        <f t="shared" ca="1" si="95"/>
        <v>72500</v>
      </c>
      <c r="O183" s="93">
        <f t="shared" ca="1" si="93"/>
        <v>100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72500</v>
      </c>
      <c r="M184" s="498">
        <f t="shared" ca="1" si="96"/>
        <v>72500</v>
      </c>
      <c r="N184" s="498">
        <f t="shared" ca="1" si="96"/>
        <v>72500</v>
      </c>
      <c r="O184" s="498">
        <f t="shared" ca="1" si="93"/>
        <v>100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IFERROR(__xludf.DUMMYFUNCTION("IMPORTRANGE(""https://docs.google.com/spreadsheets/d/1MeEWN-I1oV_STSDYn1IFDPWt_1FKiwhDph83XaGc0o0/edit?usp=sharing"",""งบพรบ!CO41"")"),72500)</f>
        <v>72500</v>
      </c>
      <c r="M186" s="93">
        <f ca="1">IFERROR(__xludf.DUMMYFUNCTION("IMPORTRANGE(""https://docs.google.com/spreadsheets/d/1MeEWN-I1oV_STSDYn1IFDPWt_1FKiwhDph83XaGc0o0/edit?usp=sharing"",""งบพรบ!CT41"")"),72500)</f>
        <v>72500</v>
      </c>
      <c r="N186" s="93">
        <f ca="1">IFERROR(__xludf.DUMMYFUNCTION("IMPORTRANGE(""https://docs.google.com/spreadsheets/d/1MeEWN-I1oV_STSDYn1IFDPWt_1FKiwhDph83XaGc0o0/edit?usp=sharing"",""งบพรบ!CV41"")"),72500)</f>
        <v>72500</v>
      </c>
      <c r="O186" s="93">
        <f t="shared" ca="1" si="93"/>
        <v>100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IFERROR(__xludf.DUMMYFUNCTION("IMPORTRANGE(""https://docs.google.com/spreadsheets/d/1MeEWN-I1oV_STSDYn1IFDPWt_1FKiwhDph83XaGc0o0/edit?usp=sharing"",""งบพรบ!CR41"")"),0)</f>
        <v>0</v>
      </c>
      <c r="M189" s="93">
        <f ca="1">IFERROR(__xludf.DUMMYFUNCTION("IMPORTRANGE(""https://docs.google.com/spreadsheets/d/1MeEWN-I1oV_STSDYn1IFDPWt_1FKiwhDph83XaGc0o0/edit?usp=sharing"",""งบพรบ!CU41"")"),0)</f>
        <v>0</v>
      </c>
      <c r="N189" s="93">
        <f ca="1">IFERROR(__xludf.DUMMYFUNCTION("IMPORTRANGE(""https://docs.google.com/spreadsheets/d/1MeEWN-I1oV_STSDYn1IFDPWt_1FKiwhDph83XaGc0o0/edit?usp=sharing"",""งบพรบ!CW41"")"),0)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8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IFERROR(__xludf.DUMMYFUNCTION("IMPORTRANGE(""https://docs.google.com/spreadsheets/d/1QqKyyYR6Q21VydFLVH3TRQUabQu_ym0Zz7PgGX0-kHA/edit?usp=sharing"",""แผน!Z41"")"),6000)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7" t="s">
        <v>38</v>
      </c>
      <c r="E192" s="173"/>
      <c r="F192" s="173"/>
      <c r="G192" s="174"/>
      <c r="H192" s="762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4" t="s">
        <v>90</v>
      </c>
      <c r="I193" s="270">
        <f ca="1">IFERROR(__xludf.DUMMYFUNCTION("IMPORTRANGE(""https://docs.google.com/spreadsheets/d/1QqKyyYR6Q21VydFLVH3TRQUabQu_ym0Zz7PgGX0-kHA/edit?usp=sharing"",""แผน!AC41"")"),4)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90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f>20+20+29+21</f>
        <v>90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8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IFERROR(__xludf.DUMMYFUNCTION("IMPORTRANGE(""https://docs.google.com/spreadsheets/d/1QqKyyYR6Q21VydFLVH3TRQUabQu_ym0Zz7PgGX0-kHA/edit?usp=sharing"",""แผน!AE41"")"),3000)</f>
        <v>3000</v>
      </c>
      <c r="M199" s="498"/>
      <c r="N199" s="840">
        <v>3000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3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IFERROR(__xludf.DUMMYFUNCTION("IMPORTRANGE(""https://docs.google.com/spreadsheets/d/1QqKyyYR6Q21VydFLVH3TRQUabQu_ym0Zz7PgGX0-kHA/edit?usp=sharing"",""แผน!AF41"")"),24000)</f>
        <v>24000</v>
      </c>
      <c r="M200" s="498"/>
      <c r="N200" s="840">
        <v>24000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3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IFERROR(__xludf.DUMMYFUNCTION("IMPORTRANGE(""https://docs.google.com/spreadsheets/d/1QqKyyYR6Q21VydFLVH3TRQUabQu_ym0Zz7PgGX0-kHA/edit?usp=sharing"",""แผน!AG41"")"),12000)</f>
        <v>12000</v>
      </c>
      <c r="M201" s="498"/>
      <c r="N201" s="840">
        <v>12000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3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IFERROR(__xludf.DUMMYFUNCTION("IMPORTRANGE(""https://docs.google.com/spreadsheets/d/1QqKyyYR6Q21VydFLVH3TRQUabQu_ym0Zz7PgGX0-kHA/edit?usp=sharing"",""แผน!AH41"")"),0)</f>
        <v>0</v>
      </c>
      <c r="M202" s="498"/>
      <c r="N202" s="840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7" t="s">
        <v>38</v>
      </c>
      <c r="E203" s="173"/>
      <c r="F203" s="173"/>
      <c r="G203" s="174"/>
      <c r="H203" s="76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2" t="s">
        <v>96</v>
      </c>
      <c r="I204" s="270">
        <f ca="1">IFERROR(__xludf.DUMMYFUNCTION("IMPORTRANGE(""https://docs.google.com/spreadsheets/d/1QqKyyYR6Q21VydFLVH3TRQUabQu_ym0Zz7PgGX0-kHA/edit?usp=sharing"",""แผน!AI41"")"),3)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2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2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8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IFERROR(__xludf.DUMMYFUNCTION("IMPORTRANGE(""https://docs.google.com/spreadsheets/d/1QqKyyYR6Q21VydFLVH3TRQUabQu_ym0Zz7PgGX0-kHA/edit?usp=sharing"",""แผน!AK41"")"),1000)</f>
        <v>1000</v>
      </c>
      <c r="M210" s="498"/>
      <c r="N210" s="840">
        <v>1000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IFERROR(__xludf.DUMMYFUNCTION("IMPORTRANGE(""https://docs.google.com/spreadsheets/d/1QqKyyYR6Q21VydFLVH3TRQUabQu_ym0Zz7PgGX0-kHA/edit?usp=sharing"",""แผน!AL41"")"),5000)</f>
        <v>5000</v>
      </c>
      <c r="M211" s="498"/>
      <c r="N211" s="840">
        <v>5000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IFERROR(__xludf.DUMMYFUNCTION("IMPORTRANGE(""https://docs.google.com/spreadsheets/d/1QqKyyYR6Q21VydFLVH3TRQUabQu_ym0Zz7PgGX0-kHA/edit?usp=sharing"",""แผน!AM41"")"),8000)</f>
        <v>8000</v>
      </c>
      <c r="M212" s="498"/>
      <c r="N212" s="840">
        <v>8000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7" t="s">
        <v>38</v>
      </c>
      <c r="E213" s="173"/>
      <c r="F213" s="173"/>
      <c r="G213" s="174"/>
      <c r="H213" s="762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2" t="s">
        <v>96</v>
      </c>
      <c r="I214" s="270">
        <f ca="1">IFERROR(__xludf.DUMMYFUNCTION("IMPORTRANGE(""https://docs.google.com/spreadsheets/d/1QqKyyYR6Q21VydFLVH3TRQUabQu_ym0Zz7PgGX0-kHA/edit?usp=sharing"",""แผน!AN41"")"),1)</f>
        <v>1</v>
      </c>
      <c r="J214" s="215">
        <v>1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2" t="s">
        <v>96</v>
      </c>
      <c r="I215" s="270">
        <f ca="1">IFERROR(__xludf.DUMMYFUNCTION("IMPORTRANGE(""https://docs.google.com/spreadsheets/d/1QqKyyYR6Q21VydFLVH3TRQUabQu_ym0Zz7PgGX0-kHA/edit?usp=sharing"",""แผน!AN41"")"),1)</f>
        <v>1</v>
      </c>
      <c r="J215" s="215">
        <v>1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30000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8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13500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IFERROR(__xludf.DUMMYFUNCTION("IMPORTRANGE(""https://docs.google.com/spreadsheets/d/1QqKyyYR6Q21VydFLVH3TRQUabQu_ym0Zz7PgGX0-kHA/edit?usp=sharing"",""แผน!AP41"")"),5000)</f>
        <v>5000</v>
      </c>
      <c r="M218" s="498"/>
      <c r="N218" s="840">
        <v>5000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IFERROR(__xludf.DUMMYFUNCTION("IMPORTRANGE(""https://docs.google.com/spreadsheets/d/1QqKyyYR6Q21VydFLVH3TRQUabQu_ym0Zz7PgGX0-kHA/edit?usp=sharing"",""แผน!AQ41"")"),8500)</f>
        <v>8500</v>
      </c>
      <c r="M219" s="498"/>
      <c r="N219" s="840">
        <v>8500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IFERROR(__xludf.DUMMYFUNCTION("IMPORTRANGE(""https://docs.google.com/spreadsheets/d/1QqKyyYR6Q21VydFLVH3TRQUabQu_ym0Zz7PgGX0-kHA/edit?usp=sharing"",""แผน!AR41"")"),0)</f>
        <v>0</v>
      </c>
      <c r="M220" s="498"/>
      <c r="N220" s="840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7" t="s">
        <v>38</v>
      </c>
      <c r="E221" s="173"/>
      <c r="F221" s="173"/>
      <c r="G221" s="174"/>
      <c r="H221" s="76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4" t="s">
        <v>109</v>
      </c>
      <c r="I223" s="270">
        <f ca="1">IFERROR(__xludf.DUMMYFUNCTION("IMPORTRANGE(""https://docs.google.com/spreadsheets/d/1QqKyyYR6Q21VydFLVH3TRQUabQu_ym0Zz7PgGX0-kHA/edit?usp=sharing"",""แผน!AT41"")"),30000)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4" t="s">
        <v>109</v>
      </c>
      <c r="I224" s="270">
        <f ca="1">IFERROR(__xludf.DUMMYFUNCTION("IMPORTRANGE(""https://docs.google.com/spreadsheets/d/1QqKyyYR6Q21VydFLVH3TRQUabQu_ym0Zz7PgGX0-kHA/edit?usp=sharing"",""แผน!AT41"")"),30000)</f>
        <v>30000</v>
      </c>
      <c r="J224" s="215">
        <v>30000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4" t="s">
        <v>35</v>
      </c>
      <c r="I225" s="270">
        <f ca="1">IFERROR(__xludf.DUMMYFUNCTION("IMPORTRANGE(""https://docs.google.com/spreadsheets/d/1QqKyyYR6Q21VydFLVH3TRQUabQu_ym0Zz7PgGX0-kHA/edit?usp=sharing"",""แผน!AS41"")"),0)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8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2"/>
      <c r="P227" s="8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7"/>
      <c r="J229" s="617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7"/>
      <c r="J230" s="617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7"/>
      <c r="J231" s="617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7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7">
        <f t="shared" ref="I233:J233" ca="1" si="108">I244+I255</f>
        <v>0</v>
      </c>
      <c r="J233" s="617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7"/>
      <c r="J234" s="617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7">
        <f t="shared" ref="I235:J236" si="109">I246+I257</f>
        <v>0</v>
      </c>
      <c r="J235" s="617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7">
        <f t="shared" si="109"/>
        <v>0</v>
      </c>
      <c r="J236" s="617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IFERROR(__xludf.DUMMYFUNCTION("IMPORTRANGE(""https://docs.google.com/spreadsheets/d/1QqKyyYR6Q21VydFLVH3TRQUabQu_ym0Zz7PgGX0-kHA/edit?usp=sharing"",""แผน!AV41"")"),0)</f>
        <v>0</v>
      </c>
      <c r="M239" s="322"/>
      <c r="N239" s="88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IFERROR(__xludf.DUMMYFUNCTION("IMPORTRANGE(""https://docs.google.com/spreadsheets/d/1QqKyyYR6Q21VydFLVH3TRQUabQu_ym0Zz7PgGX0-kHA/edit?usp=sharing"",""แผน!AW41"")"),0)</f>
        <v>0</v>
      </c>
      <c r="M240" s="322"/>
      <c r="N240" s="88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IFERROR(__xludf.DUMMYFUNCTION("IMPORTRANGE(""https://docs.google.com/spreadsheets/d/1QqKyyYR6Q21VydFLVH3TRQUabQu_ym0Zz7PgGX0-kHA/edit?usp=sharing"",""แผน!AX41"")"),0)</f>
        <v>0</v>
      </c>
      <c r="M241" s="322"/>
      <c r="N241" s="88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IFERROR(__xludf.DUMMYFUNCTION("IMPORTRANGE(""https://docs.google.com/spreadsheets/d/1QqKyyYR6Q21VydFLVH3TRQUabQu_ym0Zz7PgGX0-kHA/edit?usp=sharing"",""แผน!AY41"")"),0)</f>
        <v>0</v>
      </c>
      <c r="M242" s="322"/>
      <c r="N242" s="88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7" t="s">
        <v>38</v>
      </c>
      <c r="E243" s="173"/>
      <c r="F243" s="173"/>
      <c r="G243" s="174"/>
      <c r="H243" s="762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4" t="s">
        <v>35</v>
      </c>
      <c r="I244" s="270">
        <f ca="1">IFERROR(__xludf.DUMMYFUNCTION("IMPORTRANGE(""https://docs.google.com/spreadsheets/d/1QqKyyYR6Q21VydFLVH3TRQUabQu_ym0Zz7PgGX0-kHA/edit?usp=sharing"",""แผน!BE41"")"),0)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4" t="s">
        <v>43</v>
      </c>
      <c r="E245" s="178"/>
      <c r="F245" s="178"/>
      <c r="G245" s="179"/>
      <c r="H245" s="764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4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4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8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IFERROR(__xludf.DUMMYFUNCTION("IMPORTRANGE(""https://docs.google.com/spreadsheets/d/1QqKyyYR6Q21VydFLVH3TRQUabQu_ym0Zz7PgGX0-kHA/edit?usp=sharing"",""แผน!AZ41"")"),0)</f>
        <v>0</v>
      </c>
      <c r="M250" s="322"/>
      <c r="N250" s="88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IFERROR(__xludf.DUMMYFUNCTION("IMPORTRANGE(""https://docs.google.com/spreadsheets/d/1QqKyyYR6Q21VydFLVH3TRQUabQu_ym0Zz7PgGX0-kHA/edit?usp=sharing"",""แผน!BA41"")"),0)</f>
        <v>0</v>
      </c>
      <c r="M251" s="322"/>
      <c r="N251" s="88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IFERROR(__xludf.DUMMYFUNCTION("IMPORTRANGE(""https://docs.google.com/spreadsheets/d/1QqKyyYR6Q21VydFLVH3TRQUabQu_ym0Zz7PgGX0-kHA/edit?usp=sharing"",""แผน!BB41"")"),0)</f>
        <v>0</v>
      </c>
      <c r="M252" s="322"/>
      <c r="N252" s="88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IFERROR(__xludf.DUMMYFUNCTION("IMPORTRANGE(""https://docs.google.com/spreadsheets/d/1QqKyyYR6Q21VydFLVH3TRQUabQu_ym0Zz7PgGX0-kHA/edit?usp=sharing"",""แผน!BC41"")"),0)</f>
        <v>0</v>
      </c>
      <c r="M253" s="322"/>
      <c r="N253" s="88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7" t="s">
        <v>38</v>
      </c>
      <c r="E254" s="173"/>
      <c r="F254" s="173"/>
      <c r="G254" s="174"/>
      <c r="H254" s="762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4" t="s">
        <v>35</v>
      </c>
      <c r="I255" s="270">
        <f ca="1">IFERROR(__xludf.DUMMYFUNCTION("IMPORTRANGE(""https://docs.google.com/spreadsheets/d/1QqKyyYR6Q21VydFLVH3TRQUabQu_ym0Zz7PgGX0-kHA/edit?usp=sharing"",""แผน!BF41"")"),0)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4" t="s">
        <v>43</v>
      </c>
      <c r="E256" s="178"/>
      <c r="F256" s="178"/>
      <c r="G256" s="179"/>
      <c r="H256" s="764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4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4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26900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7"/>
      <c r="J262" s="617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7"/>
      <c r="J263" s="617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26900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26900</v>
      </c>
      <c r="N264" s="498">
        <f t="shared" ca="1" si="120"/>
        <v>26900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IFERROR(__xludf.DUMMYFUNCTION("IMPORTRANGE(""https://docs.google.com/spreadsheets/d/1MeEWN-I1oV_STSDYn1IFDPWt_1FKiwhDph83XaGc0o0/edit?usp=sharing"",""งบพรบ!CY41"")"),26900)</f>
        <v>26900</v>
      </c>
      <c r="M266" s="93">
        <f ca="1">IFERROR(__xludf.DUMMYFUNCTION("IMPORTRANGE(""https://docs.google.com/spreadsheets/d/1MeEWN-I1oV_STSDYn1IFDPWt_1FKiwhDph83XaGc0o0/edit?usp=sharing"",""งบพรบ!DD41"")"),26900)</f>
        <v>26900</v>
      </c>
      <c r="N266" s="93">
        <f ca="1">IFERROR(__xludf.DUMMYFUNCTION("IMPORTRANGE(""https://docs.google.com/spreadsheets/d/1MeEWN-I1oV_STSDYn1IFDPWt_1FKiwhDph83XaGc0o0/edit?usp=sharing"",""งบพรบ!DF41"")"),26900)</f>
        <v>26900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IFERROR(__xludf.DUMMYFUNCTION("IMPORTRANGE(""https://docs.google.com/spreadsheets/d/1MeEWN-I1oV_STSDYn1IFDPWt_1FKiwhDph83XaGc0o0/edit?usp=sharing"",""งบพรบ!DB41"")"),0)</f>
        <v>0</v>
      </c>
      <c r="M269" s="93">
        <f ca="1">IFERROR(__xludf.DUMMYFUNCTION("IMPORTRANGE(""https://docs.google.com/spreadsheets/d/1MeEWN-I1oV_STSDYn1IFDPWt_1FKiwhDph83XaGc0o0/edit?usp=sharing"",""งบพรบ!DE41"")"),0)</f>
        <v>0</v>
      </c>
      <c r="N269" s="93">
        <f ca="1">IFERROR(__xludf.DUMMYFUNCTION("IMPORTRANGE(""https://docs.google.com/spreadsheets/d/1MeEWN-I1oV_STSDYn1IFDPWt_1FKiwhDph83XaGc0o0/edit?usp=sharing"",""งบพรบ!DG41"")"),0)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7" t="s">
        <v>38</v>
      </c>
      <c r="E270" s="173"/>
      <c r="F270" s="173"/>
      <c r="G270" s="174"/>
      <c r="H270" s="76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6">
        <v>0</v>
      </c>
      <c r="J272" s="506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5">
        <f t="shared" ref="I276:J276" ca="1" si="124">I287</f>
        <v>50</v>
      </c>
      <c r="J276" s="885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22630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7"/>
      <c r="J278" s="617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7"/>
      <c r="J279" s="617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22630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22630</v>
      </c>
      <c r="M280" s="498">
        <f t="shared" ca="1" si="129"/>
        <v>22630</v>
      </c>
      <c r="N280" s="498">
        <f t="shared" ca="1" si="129"/>
        <v>22630</v>
      </c>
      <c r="O280" s="498">
        <f t="shared" ca="1" si="126"/>
        <v>100</v>
      </c>
      <c r="P280" s="49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IFERROR(__xludf.DUMMYFUNCTION("IMPORTRANGE(""https://docs.google.com/spreadsheets/d/1MeEWN-I1oV_STSDYn1IFDPWt_1FKiwhDph83XaGc0o0/edit?usp=sharing"",""งบพรบ!DI41"")"),22630)</f>
        <v>22630</v>
      </c>
      <c r="M282" s="93">
        <f ca="1">IFERROR(__xludf.DUMMYFUNCTION("IMPORTRANGE(""https://docs.google.com/spreadsheets/d/1MeEWN-I1oV_STSDYn1IFDPWt_1FKiwhDph83XaGc0o0/edit?usp=sharing"",""งบพรบ!DN41"")"),22630)</f>
        <v>22630</v>
      </c>
      <c r="N282" s="93">
        <f ca="1">IFERROR(__xludf.DUMMYFUNCTION("IMPORTRANGE(""https://docs.google.com/spreadsheets/d/1MeEWN-I1oV_STSDYn1IFDPWt_1FKiwhDph83XaGc0o0/edit?usp=sharing"",""งบพรบ!DP41"")"),22630)</f>
        <v>22630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IFERROR(__xludf.DUMMYFUNCTION("IMPORTRANGE(""https://docs.google.com/spreadsheets/d/1MeEWN-I1oV_STSDYn1IFDPWt_1FKiwhDph83XaGc0o0/edit?usp=sharing"",""งบพรบ!DL41"")"),0)</f>
        <v>0</v>
      </c>
      <c r="M285" s="93">
        <f ca="1">IFERROR(__xludf.DUMMYFUNCTION("IMPORTRANGE(""https://docs.google.com/spreadsheets/d/1MeEWN-I1oV_STSDYn1IFDPWt_1FKiwhDph83XaGc0o0/edit?usp=sharing"",""งบพรบ!DO41"")"),0)</f>
        <v>0</v>
      </c>
      <c r="N285" s="93">
        <f ca="1">IFERROR(__xludf.DUMMYFUNCTION("IMPORTRANGE(""https://docs.google.com/spreadsheets/d/1MeEWN-I1oV_STSDYn1IFDPWt_1FKiwhDph83XaGc0o0/edit?usp=sharing"",""งบพรบ!DQ41"")"),0)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7" t="s">
        <v>38</v>
      </c>
      <c r="E286" s="173"/>
      <c r="F286" s="173"/>
      <c r="G286" s="174"/>
      <c r="H286" s="76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6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IFERROR(__xludf.DUMMYFUNCTION("IMPORTRANGE(""https://docs.google.com/spreadsheets/d/1QqKyyYR6Q21VydFLVH3TRQUabQu_ym0Zz7PgGX0-kHA/edit?usp=sharing"",""แผน!EC41"")"),50)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6" t="s">
        <v>130</v>
      </c>
      <c r="E288" s="171"/>
      <c r="F288" s="178"/>
      <c r="G288" s="179"/>
      <c r="H288" s="180" t="s">
        <v>35</v>
      </c>
      <c r="I288" s="681">
        <f ca="1">IFERROR(__xludf.DUMMYFUNCTION("IMPORTRANGE(""https://docs.google.com/spreadsheets/d/1QqKyyYR6Q21VydFLVH3TRQUabQu_ym0Zz7PgGX0-kHA/edit?usp=sharing"",""แผน!EB41"")"),5)</f>
        <v>5</v>
      </c>
      <c r="J288" s="681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6" t="s">
        <v>132</v>
      </c>
      <c r="F290" s="178"/>
      <c r="G290" s="179"/>
      <c r="H290" s="764" t="s">
        <v>35</v>
      </c>
      <c r="I290" s="184">
        <f ca="1">IFERROR(__xludf.DUMMYFUNCTION("IMPORTRANGE(""https://docs.google.com/spreadsheets/d/1QqKyyYR6Q21VydFLVH3TRQUabQu_ym0Zz7PgGX0-kHA/edit?usp=sharing"",""แผน!EB41"")"),5)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6" t="s">
        <v>133</v>
      </c>
      <c r="F291" s="178"/>
      <c r="G291" s="179"/>
      <c r="H291" s="764" t="s">
        <v>35</v>
      </c>
      <c r="I291" s="184">
        <f ca="1">IFERROR(__xludf.DUMMYFUNCTION("IMPORTRANGE(""https://docs.google.com/spreadsheets/d/1QqKyyYR6Q21VydFLVH3TRQUabQu_ym0Zz7PgGX0-kHA/edit?usp=sharing"",""แผน!EB41"")"),5)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6" t="s">
        <v>132</v>
      </c>
      <c r="F293" s="178"/>
      <c r="G293" s="179"/>
      <c r="H293" s="764" t="s">
        <v>35</v>
      </c>
      <c r="I293" s="184">
        <f ca="1">IFERROR(__xludf.DUMMYFUNCTION("IMPORTRANGE(""https://docs.google.com/spreadsheets/d/1QqKyyYR6Q21VydFLVH3TRQUabQu_ym0Zz7PgGX0-kHA/edit?usp=sharing"",""แผน!EB41"")"),5)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4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IFERROR(__xludf.DUMMYFUNCTION("IMPORTRANGE(""https://docs.google.com/spreadsheets/d/1QqKyyYR6Q21VydFLVH3TRQUabQu_ym0Zz7PgGX0-kHA/edit?usp=sharing"",""แผน!EB41"")"),5)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7"/>
      <c r="J299" s="617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7"/>
      <c r="J300" s="617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82400</v>
      </c>
      <c r="O301" s="498">
        <f t="shared" ca="1" si="136"/>
        <v>100</v>
      </c>
      <c r="P301" s="49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IFERROR(__xludf.DUMMYFUNCTION("IMPORTRANGE(""https://docs.google.com/spreadsheets/d/1MeEWN-I1oV_STSDYn1IFDPWt_1FKiwhDph83XaGc0o0/edit?usp=sharing"",""งบพรบ!DS41"")"),82400)</f>
        <v>82400</v>
      </c>
      <c r="M303" s="93">
        <f ca="1">IFERROR(__xludf.DUMMYFUNCTION("IMPORTRANGE(""https://docs.google.com/spreadsheets/d/1MeEWN-I1oV_STSDYn1IFDPWt_1FKiwhDph83XaGc0o0/edit?usp=sharing"",""งบพรบ!DX41"")"),82400)</f>
        <v>82400</v>
      </c>
      <c r="N303" s="93">
        <f ca="1">IFERROR(__xludf.DUMMYFUNCTION("IMPORTRANGE(""https://docs.google.com/spreadsheets/d/1MeEWN-I1oV_STSDYn1IFDPWt_1FKiwhDph83XaGc0o0/edit?usp=sharing"",""งบพรบ!DZ41"")"),82400)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IFERROR(__xludf.DUMMYFUNCTION("IMPORTRANGE(""https://docs.google.com/spreadsheets/d/1MeEWN-I1oV_STSDYn1IFDPWt_1FKiwhDph83XaGc0o0/edit?usp=sharing"",""งบพรบ!DV41"")"),0)</f>
        <v>0</v>
      </c>
      <c r="M306" s="93">
        <f ca="1">IFERROR(__xludf.DUMMYFUNCTION("IMPORTRANGE(""https://docs.google.com/spreadsheets/d/1MeEWN-I1oV_STSDYn1IFDPWt_1FKiwhDph83XaGc0o0/edit?usp=sharing"",""งบพรบ!DY41"")"),0)</f>
        <v>0</v>
      </c>
      <c r="N306" s="93">
        <f ca="1">IFERROR(__xludf.DUMMYFUNCTION("IMPORTRANGE(""https://docs.google.com/spreadsheets/d/1MeEWN-I1oV_STSDYn1IFDPWt_1FKiwhDph83XaGc0o0/edit?usp=sharing"",""งบพรบ!EA41"")"),0)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7" t="s">
        <v>38</v>
      </c>
      <c r="E307" s="173"/>
      <c r="F307" s="173"/>
      <c r="G307" s="174"/>
      <c r="H307" s="762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4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4" t="s">
        <v>35</v>
      </c>
      <c r="I309" s="270">
        <f ca="1">IFERROR(__xludf.DUMMYFUNCTION("IMPORTRANGE(""https://docs.google.com/spreadsheets/d/1QqKyyYR6Q21VydFLVH3TRQUabQu_ym0Zz7PgGX0-kHA/edit?usp=sharing"",""แผน!ED41"")"),20)</f>
        <v>20</v>
      </c>
      <c r="J309" s="921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4" t="s">
        <v>35</v>
      </c>
      <c r="I310" s="270">
        <f ca="1">IFERROR(__xludf.DUMMYFUNCTION("IMPORTRANGE(""https://docs.google.com/spreadsheets/d/1QqKyyYR6Q21VydFLVH3TRQUabQu_ym0Zz7PgGX0-kHA/edit?usp=sharing"",""แผน!ED41"")"),20)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4" t="s">
        <v>35</v>
      </c>
      <c r="I311" s="270">
        <f ca="1">IFERROR(__xludf.DUMMYFUNCTION("IMPORTRANGE(""https://docs.google.com/spreadsheets/d/1QqKyyYR6Q21VydFLVH3TRQUabQu_ym0Zz7PgGX0-kHA/edit?usp=sharing"",""แผน!ED41"")"),20)</f>
        <v>20</v>
      </c>
      <c r="J311" s="215">
        <v>20</v>
      </c>
      <c r="K311" s="498">
        <f t="shared" ca="1" si="141"/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4" t="s">
        <v>35</v>
      </c>
      <c r="I312" s="270">
        <f ca="1">IFERROR(__xludf.DUMMYFUNCTION("IMPORTRANGE(""https://docs.google.com/spreadsheets/d/1QqKyyYR6Q21VydFLVH3TRQUabQu_ym0Zz7PgGX0-kHA/edit?usp=sharing"",""แผน!EE41"")"),4)</f>
        <v>4</v>
      </c>
      <c r="J312" s="215">
        <v>4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7"/>
      <c r="J316" s="617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7"/>
      <c r="J317" s="617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IFERROR(__xludf.DUMMYFUNCTION("IMPORTRANGE(""https://docs.google.com/spreadsheets/d/1MeEWN-I1oV_STSDYn1IFDPWt_1FKiwhDph83XaGc0o0/edit?usp=sharing"",""งบพรบ!EC41"")"),0)</f>
        <v>0</v>
      </c>
      <c r="M320" s="93">
        <f ca="1">IFERROR(__xludf.DUMMYFUNCTION("IMPORTRANGE(""https://docs.google.com/spreadsheets/d/1MeEWN-I1oV_STSDYn1IFDPWt_1FKiwhDph83XaGc0o0/edit?usp=sharing"",""งบพรบ!EH41"")"),0)</f>
        <v>0</v>
      </c>
      <c r="N320" s="93">
        <f ca="1">IFERROR(__xludf.DUMMYFUNCTION("IMPORTRANGE(""https://docs.google.com/spreadsheets/d/1MeEWN-I1oV_STSDYn1IFDPWt_1FKiwhDph83XaGc0o0/edit?usp=sharing"",""งบพรบ!EJ41"")"),0)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IFERROR(__xludf.DUMMYFUNCTION("IMPORTRANGE(""https://docs.google.com/spreadsheets/d/1MeEWN-I1oV_STSDYn1IFDPWt_1FKiwhDph83XaGc0o0/edit?usp=sharing"",""งบพรบ!EF41"")"),0)</f>
        <v>0</v>
      </c>
      <c r="M323" s="93">
        <f ca="1">IFERROR(__xludf.DUMMYFUNCTION("IMPORTRANGE(""https://docs.google.com/spreadsheets/d/1MeEWN-I1oV_STSDYn1IFDPWt_1FKiwhDph83XaGc0o0/edit?usp=sharing"",""งบพรบ!EI41"")"),0)</f>
        <v>0</v>
      </c>
      <c r="N323" s="93">
        <f ca="1">IFERROR(__xludf.DUMMYFUNCTION("IMPORTRANGE(""https://docs.google.com/spreadsheets/d/1MeEWN-I1oV_STSDYn1IFDPWt_1FKiwhDph83XaGc0o0/edit?usp=sharing"",""งบพรบ!EK41"")"),0)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7" t="s">
        <v>38</v>
      </c>
      <c r="E324" s="173"/>
      <c r="F324" s="173"/>
      <c r="G324" s="174"/>
      <c r="H324" s="762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3" t="s">
        <v>146</v>
      </c>
      <c r="I325" s="270">
        <f ca="1">IFERROR(__xludf.DUMMYFUNCTION("IMPORTRANGE(""https://docs.google.com/spreadsheets/d/1QqKyyYR6Q21VydFLVH3TRQUabQu_ym0Zz7PgGX0-kHA/edit?usp=sharing"",""แผน!EF41"")"),0)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IFERROR(__xludf.DUMMYFUNCTION("IMPORTRANGE(""https://docs.google.com/spreadsheets/d/1QqKyyYR6Q21VydFLVH3TRQUabQu_ym0Zz7PgGX0-kHA/edit?usp=sharing"",""แผน!EG41"")"),3200)</f>
        <v>3200</v>
      </c>
      <c r="J327" s="444">
        <f ca="1">J338+J341+J342+J343</f>
        <v>10514</v>
      </c>
      <c r="K327" s="445">
        <f ca="1">IF(I327&gt;0,J327*100/I327,0)</f>
        <v>328.5625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179000</v>
      </c>
      <c r="M328" s="155">
        <f t="shared" ca="1" si="149"/>
        <v>377500</v>
      </c>
      <c r="N328" s="155">
        <f t="shared" ca="1" si="149"/>
        <v>389500</v>
      </c>
      <c r="O328" s="155">
        <f t="shared" ref="O328:O336" ca="1" si="150">IF(L328&gt;0,N328*100/L328,0)</f>
        <v>217.5977653631285</v>
      </c>
      <c r="P328" s="155">
        <f t="shared" ref="P328:P336" ca="1" si="151">IF(M328&gt;0,N328*100/M328,0)</f>
        <v>103.17880794701986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7"/>
      <c r="J329" s="617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7"/>
      <c r="J330" s="617"/>
      <c r="K330" s="93"/>
      <c r="L330" s="93">
        <f t="shared" ca="1" si="152"/>
        <v>179000</v>
      </c>
      <c r="M330" s="93">
        <f t="shared" ca="1" si="152"/>
        <v>377500</v>
      </c>
      <c r="N330" s="93">
        <f t="shared" ca="1" si="152"/>
        <v>389500</v>
      </c>
      <c r="O330" s="93">
        <f t="shared" ca="1" si="150"/>
        <v>217.5977653631285</v>
      </c>
      <c r="P330" s="93">
        <f t="shared" ca="1" si="151"/>
        <v>103.17880794701986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179000</v>
      </c>
      <c r="M331" s="498">
        <f t="shared" ca="1" si="153"/>
        <v>181500</v>
      </c>
      <c r="N331" s="498">
        <f t="shared" ca="1" si="153"/>
        <v>181500</v>
      </c>
      <c r="O331" s="498">
        <f t="shared" ca="1" si="150"/>
        <v>101.39664804469274</v>
      </c>
      <c r="P331" s="498">
        <f t="shared" ca="1" si="151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IFERROR(__xludf.DUMMYFUNCTION("IMPORTRANGE(""https://docs.google.com/spreadsheets/d/1MeEWN-I1oV_STSDYn1IFDPWt_1FKiwhDph83XaGc0o0/edit?usp=sharing"",""งบพรบ!EM41"")"),179000)</f>
        <v>179000</v>
      </c>
      <c r="M333" s="93">
        <f ca="1">IFERROR(__xludf.DUMMYFUNCTION("IMPORTRANGE(""https://docs.google.com/spreadsheets/d/1MeEWN-I1oV_STSDYn1IFDPWt_1FKiwhDph83XaGc0o0/edit?usp=sharing"",""งบพรบ!ER41"")"),181500)</f>
        <v>181500</v>
      </c>
      <c r="N333" s="93">
        <f ca="1">IFERROR(__xludf.DUMMYFUNCTION("IMPORTRANGE(""https://docs.google.com/spreadsheets/d/1MeEWN-I1oV_STSDYn1IFDPWt_1FKiwhDph83XaGc0o0/edit?usp=sharing"",""งบพรบ!ET41"")"),181500)</f>
        <v>181500</v>
      </c>
      <c r="O333" s="93">
        <f t="shared" ca="1" si="150"/>
        <v>101.39664804469274</v>
      </c>
      <c r="P333" s="93">
        <f t="shared" ca="1" si="151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196000</v>
      </c>
      <c r="N334" s="498">
        <f t="shared" ca="1" si="154"/>
        <v>208000</v>
      </c>
      <c r="O334" s="498">
        <f t="shared" ca="1" si="150"/>
        <v>0</v>
      </c>
      <c r="P334" s="498">
        <f t="shared" ca="1" si="151"/>
        <v>106.12244897959184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IFERROR(__xludf.DUMMYFUNCTION("IMPORTRANGE(""https://docs.google.com/spreadsheets/d/1MeEWN-I1oV_STSDYn1IFDPWt_1FKiwhDph83XaGc0o0/edit?usp=sharing"",""งบพรบ!EP41"")"),0)</f>
        <v>0</v>
      </c>
      <c r="M336" s="93">
        <f ca="1">IFERROR(__xludf.DUMMYFUNCTION("IMPORTRANGE(""https://docs.google.com/spreadsheets/d/1MeEWN-I1oV_STSDYn1IFDPWt_1FKiwhDph83XaGc0o0/edit?usp=sharing"",""งบพรบ!ES41"")"),196000)</f>
        <v>196000</v>
      </c>
      <c r="N336" s="93">
        <f ca="1">IFERROR(__xludf.DUMMYFUNCTION("IMPORTRANGE(""https://docs.google.com/spreadsheets/d/1MeEWN-I1oV_STSDYn1IFDPWt_1FKiwhDph83XaGc0o0/edit?usp=sharing"",""งบพรบ!EU41"")"),208000)</f>
        <v>208000</v>
      </c>
      <c r="O336" s="93">
        <f t="shared" ca="1" si="150"/>
        <v>0</v>
      </c>
      <c r="P336" s="93">
        <f t="shared" ca="1" si="151"/>
        <v>106.12244897959184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86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62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IFERROR(__xludf.DUMMYFUNCTION("IMPORTRANGE(""https://docs.google.com/spreadsheets/d/1QqKyyYR6Q21VydFLVH3TRQUabQu_ym0Zz7PgGX0-kHA/edit?usp=sharing"",""แผน!EG41"")"),3200)</f>
        <v>3200</v>
      </c>
      <c r="J338" s="270">
        <f ca="1">IFERROR(__xludf.DUMMYFUNCTION("IMPORTRANGE(""https://docs.google.com/spreadsheets/d/1kVcqe37tkHyjCSG3S0O1AXqVkqjo8mSIZil3BcpIysc/edit?usp=sharing"",""ศูนย์!D41"")"),10056)</f>
        <v>10056</v>
      </c>
      <c r="K338" s="498">
        <f ca="1">IF(I338&gt;0,J338*100/I338,0)</f>
        <v>314.25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IFERROR(__xludf.DUMMYFUNCTION("IMPORTRANGE(""https://docs.google.com/spreadsheets/d/1QqKyyYR6Q21VydFLVH3TRQUabQu_ym0Zz7PgGX0-kHA/edit?usp=sharing"",""แผน!EH41"")"),8)</f>
        <v>8</v>
      </c>
      <c r="J340" s="270">
        <f ca="1">IFERROR(__xludf.DUMMYFUNCTION("IMPORTRANGE(""https://docs.google.com/spreadsheets/d/1kVcqe37tkHyjCSG3S0O1AXqVkqjo8mSIZil3BcpIysc/edit?usp=sharing"",""ศูนย์!E41"")"),18)</f>
        <v>18</v>
      </c>
      <c r="K340" s="498">
        <f ca="1">IF(I340&gt;0,J340*100/I340,0)</f>
        <v>225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IFERROR(__xludf.DUMMYFUNCTION("IMPORTRANGE(""https://docs.google.com/spreadsheets/d/1kVcqe37tkHyjCSG3S0O1AXqVkqjo8mSIZil3BcpIysc/edit?usp=sharing"",""ศูนย์!F41"")"),458)</f>
        <v>458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IFERROR(__xludf.DUMMYFUNCTION("IMPORTRANGE(""https://docs.google.com/spreadsheets/d/1kVcqe37tkHyjCSG3S0O1AXqVkqjo8mSIZil3BcpIysc/edit?usp=sharing"",""ศูนย์!G41"")"),0)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IFERROR(__xludf.DUMMYFUNCTION("IMPORTRANGE(""https://docs.google.com/spreadsheets/d/1kVcqe37tkHyjCSG3S0O1AXqVkqjo8mSIZil3BcpIysc/edit?usp=sharing"",""ศูนย์!H41"")"),0)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791770</v>
      </c>
      <c r="M345" s="155">
        <f t="shared" ca="1" si="155"/>
        <v>891770</v>
      </c>
      <c r="N345" s="155">
        <f t="shared" ca="1" si="155"/>
        <v>891770</v>
      </c>
      <c r="O345" s="155">
        <f t="shared" ref="O345:O353" ca="1" si="156">IF(L345&gt;0,N345*100/L345,0)</f>
        <v>112.62993040908344</v>
      </c>
      <c r="P345" s="155">
        <f t="shared" ref="P345:P353" ca="1" si="157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7"/>
      <c r="J346" s="617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7"/>
      <c r="J347" s="617"/>
      <c r="K347" s="93"/>
      <c r="L347" s="93">
        <f t="shared" ca="1" si="158"/>
        <v>791770</v>
      </c>
      <c r="M347" s="93">
        <f t="shared" ca="1" si="158"/>
        <v>891770</v>
      </c>
      <c r="N347" s="93">
        <f t="shared" ca="1" si="158"/>
        <v>891770</v>
      </c>
      <c r="O347" s="93">
        <f t="shared" ca="1" si="156"/>
        <v>112.62993040908344</v>
      </c>
      <c r="P347" s="93">
        <f t="shared" ca="1" si="157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700170</v>
      </c>
      <c r="M348" s="498">
        <f t="shared" ca="1" si="159"/>
        <v>800170</v>
      </c>
      <c r="N348" s="498">
        <f t="shared" ca="1" si="159"/>
        <v>800170</v>
      </c>
      <c r="O348" s="498">
        <f t="shared" ca="1" si="156"/>
        <v>114.28224574032021</v>
      </c>
      <c r="P348" s="498">
        <f t="shared" ca="1" si="157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IFERROR(__xludf.DUMMYFUNCTION("IMPORTRANGE(""https://docs.google.com/spreadsheets/d/1MeEWN-I1oV_STSDYn1IFDPWt_1FKiwhDph83XaGc0o0/edit?usp=sharing"",""งบพรบ!EW41"")"),700170)</f>
        <v>700170</v>
      </c>
      <c r="M350" s="93">
        <f ca="1">IFERROR(__xludf.DUMMYFUNCTION("IMPORTRANGE(""https://docs.google.com/spreadsheets/d/1MeEWN-I1oV_STSDYn1IFDPWt_1FKiwhDph83XaGc0o0/edit?usp=sharing"",""งบพรบ!FB41"")"),800170)</f>
        <v>800170</v>
      </c>
      <c r="N350" s="93">
        <f ca="1">IFERROR(__xludf.DUMMYFUNCTION("IMPORTRANGE(""https://docs.google.com/spreadsheets/d/1MeEWN-I1oV_STSDYn1IFDPWt_1FKiwhDph83XaGc0o0/edit?usp=sharing"",""งบพรบ!FD41"")"),800170)</f>
        <v>800170</v>
      </c>
      <c r="O350" s="93">
        <f t="shared" ca="1" si="156"/>
        <v>114.28224574032021</v>
      </c>
      <c r="P350" s="93">
        <f t="shared" ca="1" si="157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91600</v>
      </c>
      <c r="M351" s="498">
        <f t="shared" ca="1" si="160"/>
        <v>91600</v>
      </c>
      <c r="N351" s="498">
        <f t="shared" ca="1" si="160"/>
        <v>91600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IFERROR(__xludf.DUMMYFUNCTION("IMPORTRANGE(""https://docs.google.com/spreadsheets/d/1MeEWN-I1oV_STSDYn1IFDPWt_1FKiwhDph83XaGc0o0/edit?usp=sharing"",""งบพรบ!EZ41"")"),91600)</f>
        <v>91600</v>
      </c>
      <c r="M353" s="93">
        <f ca="1">IFERROR(__xludf.DUMMYFUNCTION("IMPORTRANGE(""https://docs.google.com/spreadsheets/d/1MeEWN-I1oV_STSDYn1IFDPWt_1FKiwhDph83XaGc0o0/edit?usp=sharing"",""งบพรบ!FC41"")"),91600)</f>
        <v>91600</v>
      </c>
      <c r="N353" s="93">
        <f ca="1">IFERROR(__xludf.DUMMYFUNCTION("IMPORTRANGE(""https://docs.google.com/spreadsheets/d/1MeEWN-I1oV_STSDYn1IFDPWt_1FKiwhDph83XaGc0o0/edit?usp=sharing"",""งบพรบ!FE41"")"),91600)</f>
        <v>91600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8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IFERROR(__xludf.DUMMYFUNCTION("IMPORTRANGE(""https://docs.google.com/spreadsheets/d/1QqKyyYR6Q21VydFLVH3TRQUabQu_ym0Zz7PgGX0-kHA/edit?usp=sharing"",""แผน!EP41"")"),530)</f>
        <v>530</v>
      </c>
      <c r="J355" s="465">
        <f ca="1">J362</f>
        <v>721</v>
      </c>
      <c r="K355" s="466">
        <f ca="1">IF(I355&gt;0,J355*100/I355,0)</f>
        <v>136.03773584905662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77" t="s">
        <v>38</v>
      </c>
      <c r="E357" s="173"/>
      <c r="F357" s="173"/>
      <c r="G357" s="174"/>
      <c r="H357" s="762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IFERROR(__xludf.DUMMYFUNCTION("IMPORTRANGE(""https://docs.google.com/spreadsheets/d/1XWAQStnk-4SwqDmLtmXYiTMKHgktTP8We1SCoS47DrQ/edit?usp=sharing"",""จัดที่ดิน!W41"")"),721)</f>
        <v>721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IFERROR(__xludf.DUMMYFUNCTION("IMPORTRANGE(""https://docs.google.com/spreadsheets/d/1QqKyyYR6Q21VydFLVH3TRQUabQu_ym0Zz7PgGX0-kHA/edit?usp=sharing"",""แผน!EO41"")"),4700)</f>
        <v>4700</v>
      </c>
      <c r="J359" s="270">
        <f ca="1">IFERROR(__xludf.DUMMYFUNCTION("IMPORTRANGE(""https://docs.google.com/spreadsheets/d/1XWAQStnk-4SwqDmLtmXYiTMKHgktTP8We1SCoS47DrQ/edit?usp=sharing"",""จัดที่ดิน!X41"")"),5036.27)</f>
        <v>5036.2700000000004</v>
      </c>
      <c r="K359" s="498">
        <f t="shared" ca="1" si="161"/>
        <v>107.15468085106384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4" t="s">
        <v>35</v>
      </c>
      <c r="I360" s="270">
        <f ca="1">IFERROR(__xludf.DUMMYFUNCTION("IMPORTRANGE(""https://docs.google.com/spreadsheets/d/1QqKyyYR6Q21VydFLVH3TRQUabQu_ym0Zz7PgGX0-kHA/edit?usp=sharing"",""แผน!EP41"")"),530)</f>
        <v>530</v>
      </c>
      <c r="J360" s="270">
        <f ca="1">IFERROR(__xludf.DUMMYFUNCTION("IMPORTRANGE(""https://docs.google.com/spreadsheets/d/1XWAQStnk-4SwqDmLtmXYiTMKHgktTP8We1SCoS47DrQ/edit?usp=sharing"",""จัดที่ดิน!Y41"")"),733)</f>
        <v>733</v>
      </c>
      <c r="K360" s="498">
        <f t="shared" ca="1" si="161"/>
        <v>138.30188679245282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IFERROR(__xludf.DUMMYFUNCTION("IMPORTRANGE(""https://docs.google.com/spreadsheets/d/1XWAQStnk-4SwqDmLtmXYiTMKHgktTP8We1SCoS47DrQ/edit?usp=sharing"",""จัดที่ดิน!Z41"")"),5121.77)</f>
        <v>5121.7700000000004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4" t="s">
        <v>35</v>
      </c>
      <c r="I362" s="270">
        <f ca="1">IFERROR(__xludf.DUMMYFUNCTION("IMPORTRANGE(""https://docs.google.com/spreadsheets/d/1QqKyyYR6Q21VydFLVH3TRQUabQu_ym0Zz7PgGX0-kHA/edit?usp=sharing"",""แผน!EP41"")"),530)</f>
        <v>530</v>
      </c>
      <c r="J362" s="270">
        <f ca="1">IFERROR(__xludf.DUMMYFUNCTION("IMPORTRANGE(""https://docs.google.com/spreadsheets/d/1XWAQStnk-4SwqDmLtmXYiTMKHgktTP8We1SCoS47DrQ/edit?usp=sharing"",""จัดที่ดิน!AA41"")"),721)</f>
        <v>721</v>
      </c>
      <c r="K362" s="498">
        <f t="shared" ca="1" si="161"/>
        <v>136.03773584905662</v>
      </c>
      <c r="L362" s="163"/>
      <c r="M362" s="163"/>
      <c r="N362" s="163"/>
      <c r="O362" s="163"/>
      <c r="P362" s="163"/>
    </row>
    <row r="363" spans="1:26" ht="18.75" hidden="1">
      <c r="A363" s="499" t="s">
        <v>169</v>
      </c>
      <c r="B363" s="178"/>
      <c r="C363" s="171"/>
      <c r="D363" s="178"/>
      <c r="E363" s="447"/>
      <c r="F363" s="178"/>
      <c r="G363" s="179"/>
      <c r="H363" s="76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IFERROR(__xludf.DUMMYFUNCTION("IMPORTRANGE(""https://docs.google.com/spreadsheets/d/1XWAQStnk-4SwqDmLtmXYiTMKHgktTP8We1SCoS47DrQ/edit?usp=sharing"",""จัดที่ดิน!AB41"")"),5034.83)</f>
        <v>5034.83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t="shared" ref="I364:J364" ca="1" si="162">I365+I374</f>
        <v>1135</v>
      </c>
      <c r="J364" s="479">
        <f t="shared" ca="1" si="162"/>
        <v>1365</v>
      </c>
      <c r="K364" s="480">
        <f t="shared" ca="1" si="161"/>
        <v>120.26431718061674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IFERROR(__xludf.DUMMYFUNCTION("IMPORTRANGE(""https://docs.google.com/spreadsheets/d/1QqKyyYR6Q21VydFLVH3TRQUabQu_ym0Zz7PgGX0-kHA/edit?usp=sharing"",""แผน!EJ41"")"),140)</f>
        <v>140</v>
      </c>
      <c r="J365" s="491">
        <f ca="1">J372</f>
        <v>230</v>
      </c>
      <c r="K365" s="492">
        <f t="shared" ca="1" si="161"/>
        <v>164.28571428571428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77" t="s">
        <v>38</v>
      </c>
      <c r="E367" s="173"/>
      <c r="F367" s="173"/>
      <c r="G367" s="174"/>
      <c r="H367" s="762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IFERROR(__xludf.DUMMYFUNCTION("IMPORTRANGE(""https://docs.google.com/spreadsheets/d/1XWAQStnk-4SwqDmLtmXYiTMKHgktTP8We1SCoS47DrQ/edit?usp=sharing"",""จัดที่ดิน!E41"")"),228)</f>
        <v>228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IFERROR(__xludf.DUMMYFUNCTION("IMPORTRANGE(""https://docs.google.com/spreadsheets/d/1QqKyyYR6Q21VydFLVH3TRQUabQu_ym0Zz7PgGX0-kHA/edit?usp=sharing"",""แผน!EI41"")"),1400)</f>
        <v>1400</v>
      </c>
      <c r="J369" s="270">
        <f ca="1">IFERROR(__xludf.DUMMYFUNCTION("IMPORTRANGE(""https://docs.google.com/spreadsheets/d/1XWAQStnk-4SwqDmLtmXYiTMKHgktTP8We1SCoS47DrQ/edit?usp=sharing"",""จัดที่ดิน!F41"")"),1622.74)</f>
        <v>1622.74</v>
      </c>
      <c r="K369" s="498">
        <f t="shared" ca="1" si="163"/>
        <v>115.91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4" t="s">
        <v>35</v>
      </c>
      <c r="I370" s="270">
        <f ca="1">IFERROR(__xludf.DUMMYFUNCTION("IMPORTRANGE(""https://docs.google.com/spreadsheets/d/1QqKyyYR6Q21VydFLVH3TRQUabQu_ym0Zz7PgGX0-kHA/edit?usp=sharing"",""แผน!EJ41"")"),140)</f>
        <v>140</v>
      </c>
      <c r="J370" s="270">
        <f ca="1">IFERROR(__xludf.DUMMYFUNCTION("IMPORTRANGE(""https://docs.google.com/spreadsheets/d/1XWAQStnk-4SwqDmLtmXYiTMKHgktTP8We1SCoS47DrQ/edit?usp=sharing"",""จัดที่ดิน!G41"")"),240)</f>
        <v>240</v>
      </c>
      <c r="K370" s="498">
        <f t="shared" ca="1" si="163"/>
        <v>171.42857142857142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IFERROR(__xludf.DUMMYFUNCTION("IMPORTRANGE(""https://docs.google.com/spreadsheets/d/1XWAQStnk-4SwqDmLtmXYiTMKHgktTP8We1SCoS47DrQ/edit?usp=sharing"",""จัดที่ดิน!H41"")"),1694.43)</f>
        <v>1694.43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4" t="s">
        <v>35</v>
      </c>
      <c r="I372" s="270">
        <f ca="1">IFERROR(__xludf.DUMMYFUNCTION("IMPORTRANGE(""https://docs.google.com/spreadsheets/d/1QqKyyYR6Q21VydFLVH3TRQUabQu_ym0Zz7PgGX0-kHA/edit?usp=sharing"",""แผน!EJ41"")"),140)</f>
        <v>140</v>
      </c>
      <c r="J372" s="270">
        <f ca="1">IFERROR(__xludf.DUMMYFUNCTION("IMPORTRANGE(""https://docs.google.com/spreadsheets/d/1XWAQStnk-4SwqDmLtmXYiTMKHgktTP8We1SCoS47DrQ/edit?usp=sharing"",""จัดที่ดิน!I41"")"),230)</f>
        <v>230</v>
      </c>
      <c r="K372" s="498">
        <f t="shared" ca="1" si="163"/>
        <v>164.28571428571428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8"/>
      <c r="C373" s="171"/>
      <c r="D373" s="178"/>
      <c r="E373" s="447"/>
      <c r="F373" s="178"/>
      <c r="G373" s="179"/>
      <c r="H373" s="76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IFERROR(__xludf.DUMMYFUNCTION("IMPORTRANGE(""https://docs.google.com/spreadsheets/d/1XWAQStnk-4SwqDmLtmXYiTMKHgktTP8We1SCoS47DrQ/edit?usp=sharing"",""จัดที่ดิน!J41"")"),1610.53)</f>
        <v>1610.53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IFERROR(__xludf.DUMMYFUNCTION("IMPORTRANGE(""https://docs.google.com/spreadsheets/d/1QqKyyYR6Q21VydFLVH3TRQUabQu_ym0Zz7PgGX0-kHA/edit?usp=sharing"",""แผน!EU41"")"),995)</f>
        <v>995</v>
      </c>
      <c r="J374" s="491">
        <f ca="1">J381</f>
        <v>1135</v>
      </c>
      <c r="K374" s="492">
        <f t="shared" ca="1" si="163"/>
        <v>114.07035175879398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77" t="s">
        <v>38</v>
      </c>
      <c r="E376" s="173"/>
      <c r="F376" s="173"/>
      <c r="G376" s="174"/>
      <c r="H376" s="762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IFERROR(__xludf.DUMMYFUNCTION("IMPORTRANGE(""https://docs.google.com/spreadsheets/d/1XWAQStnk-4SwqDmLtmXYiTMKHgktTP8We1SCoS47DrQ/edit?usp=sharing"",""จัดที่ดิน!AH41"")"),493)</f>
        <v>493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IFERROR(__xludf.DUMMYFUNCTION("IMPORTRANGE(""https://docs.google.com/spreadsheets/d/1QqKyyYR6Q21VydFLVH3TRQUabQu_ym0Zz7PgGX0-kHA/edit?usp=sharing"",""แผน!ET41"")"),3300)</f>
        <v>3300</v>
      </c>
      <c r="J378" s="270">
        <f ca="1">IFERROR(__xludf.DUMMYFUNCTION("IMPORTRANGE(""https://docs.google.com/spreadsheets/d/1XWAQStnk-4SwqDmLtmXYiTMKHgktTP8We1SCoS47DrQ/edit?usp=sharing"",""จัดที่ดิน!AI41"")"),3413.53)</f>
        <v>3413.53</v>
      </c>
      <c r="K378" s="498">
        <f t="shared" ca="1" si="164"/>
        <v>103.44030303030303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4" t="s">
        <v>35</v>
      </c>
      <c r="I379" s="270">
        <f ca="1">IFERROR(__xludf.DUMMYFUNCTION("IMPORTRANGE(""https://docs.google.com/spreadsheets/d/1QqKyyYR6Q21VydFLVH3TRQUabQu_ym0Zz7PgGX0-kHA/edit?usp=sharing"",""แผน!EU41"")"),995)</f>
        <v>995</v>
      </c>
      <c r="J379" s="270">
        <f ca="1">IFERROR(__xludf.DUMMYFUNCTION("IMPORTRANGE(""https://docs.google.com/spreadsheets/d/1XWAQStnk-4SwqDmLtmXYiTMKHgktTP8We1SCoS47DrQ/edit?usp=sharing"",""จัดที่ดิน!AJ41"")"),1140)</f>
        <v>1140</v>
      </c>
      <c r="K379" s="498">
        <f t="shared" ca="1" si="164"/>
        <v>114.57286432160804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IFERROR(__xludf.DUMMYFUNCTION("IMPORTRANGE(""https://docs.google.com/spreadsheets/d/1XWAQStnk-4SwqDmLtmXYiTMKHgktTP8We1SCoS47DrQ/edit?usp=sharing"",""จัดที่ดิน!AK41"")"),11332.47)</f>
        <v>11332.47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4" t="s">
        <v>35</v>
      </c>
      <c r="I381" s="270">
        <f ca="1">IFERROR(__xludf.DUMMYFUNCTION("IMPORTRANGE(""https://docs.google.com/spreadsheets/d/1QqKyyYR6Q21VydFLVH3TRQUabQu_ym0Zz7PgGX0-kHA/edit?usp=sharing"",""แผน!EU41"")"),995)</f>
        <v>995</v>
      </c>
      <c r="J381" s="270">
        <f ca="1">IFERROR(__xludf.DUMMYFUNCTION("IMPORTRANGE(""https://docs.google.com/spreadsheets/d/1XWAQStnk-4SwqDmLtmXYiTMKHgktTP8We1SCoS47DrQ/edit?usp=sharing"",""จัดที่ดิน!AL41"")"),1135)</f>
        <v>1135</v>
      </c>
      <c r="K381" s="498">
        <f t="shared" ca="1" si="164"/>
        <v>114.07035175879398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8"/>
      <c r="C382" s="171"/>
      <c r="D382" s="178"/>
      <c r="E382" s="447"/>
      <c r="F382" s="178"/>
      <c r="G382" s="179"/>
      <c r="H382" s="76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IFERROR(__xludf.DUMMYFUNCTION("IMPORTRANGE(""https://docs.google.com/spreadsheets/d/1XWAQStnk-4SwqDmLtmXYiTMKHgktTP8We1SCoS47DrQ/edit?usp=sharing"",""จัดที่ดิน!AM41"")"),11294.1)</f>
        <v>11294.1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500"/>
      <c r="B383" s="501"/>
      <c r="C383" s="291"/>
      <c r="D383" s="889" t="s">
        <v>170</v>
      </c>
      <c r="E383" s="291"/>
      <c r="F383" s="291"/>
      <c r="G383" s="503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86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62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4" t="s">
        <v>171</v>
      </c>
      <c r="F385" s="381"/>
      <c r="G385" s="382"/>
      <c r="H385" s="505" t="s">
        <v>35</v>
      </c>
      <c r="I385" s="506">
        <f ca="1">IFERROR(__xludf.DUMMYFUNCTION("IMPORTRANGE(""https://docs.google.com/spreadsheets/d/1QqKyyYR6Q21VydFLVH3TRQUabQu_ym0Zz7PgGX0-kHA/edit?usp=sharing"",""แผน!EW41"")"),50)</f>
        <v>50</v>
      </c>
      <c r="J385" s="506">
        <f ca="1">IFERROR(__xludf.DUMMYFUNCTION("IMPORTRANGE(""https://docs.google.com/spreadsheets/d/1XWAQStnk-4SwqDmLtmXYiTMKHgktTP8We1SCoS47DrQ/edit?usp=sharing"",""จัดที่ดิน!AP41"")"),27)</f>
        <v>27</v>
      </c>
      <c r="K385" s="507">
        <f ca="1">IF(I385&gt;0,J385*100/I385,0)</f>
        <v>54</v>
      </c>
      <c r="L385" s="385"/>
      <c r="M385" s="385"/>
      <c r="N385" s="385"/>
      <c r="O385" s="385"/>
      <c r="P385" s="385"/>
    </row>
    <row r="386" spans="1:26" ht="19.5" hidden="1">
      <c r="A386" s="508" t="s">
        <v>172</v>
      </c>
      <c r="B386" s="509"/>
      <c r="C386" s="509"/>
      <c r="D386" s="509"/>
      <c r="E386" s="510"/>
      <c r="F386" s="510"/>
      <c r="G386" s="511"/>
      <c r="H386" s="512"/>
      <c r="I386" s="513"/>
      <c r="J386" s="513"/>
      <c r="K386" s="514"/>
      <c r="L386" s="514"/>
      <c r="M386" s="514"/>
      <c r="N386" s="514"/>
      <c r="O386" s="514"/>
      <c r="P386" s="514"/>
    </row>
    <row r="387" spans="1:26" ht="19.5" hidden="1">
      <c r="A387" s="515" t="s">
        <v>173</v>
      </c>
      <c r="B387" s="516"/>
      <c r="C387" s="516"/>
      <c r="D387" s="517"/>
      <c r="E387" s="516"/>
      <c r="F387" s="516"/>
      <c r="G387" s="516"/>
      <c r="H387" s="518"/>
      <c r="I387" s="519"/>
      <c r="J387" s="519"/>
      <c r="K387" s="520"/>
      <c r="L387" s="520"/>
      <c r="M387" s="520"/>
      <c r="N387" s="520"/>
      <c r="O387" s="520"/>
      <c r="P387" s="520"/>
    </row>
    <row r="388" spans="1:26" ht="19.5" hidden="1">
      <c r="A388" s="521"/>
      <c r="B388" s="522" t="s">
        <v>174</v>
      </c>
      <c r="C388" s="523"/>
      <c r="D388" s="524"/>
      <c r="E388" s="524"/>
      <c r="F388" s="524"/>
      <c r="G388" s="525"/>
      <c r="H388" s="526" t="s">
        <v>66</v>
      </c>
      <c r="I388" s="527">
        <f t="shared" ref="I388:J388" si="165">I400</f>
        <v>0</v>
      </c>
      <c r="J388" s="527">
        <f t="shared" si="165"/>
        <v>0</v>
      </c>
      <c r="K388" s="528">
        <f>IF(I388&gt;0,J388*100/I388,0)</f>
        <v>0</v>
      </c>
      <c r="L388" s="529"/>
      <c r="M388" s="529"/>
      <c r="N388" s="529"/>
      <c r="O388" s="529"/>
      <c r="P388" s="529"/>
    </row>
    <row r="389" spans="1:26" ht="19.5" hidden="1">
      <c r="A389" s="147"/>
      <c r="B389" s="148"/>
      <c r="C389" s="149" t="s">
        <v>16</v>
      </c>
      <c r="D389" s="87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7"/>
      <c r="J390" s="617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7"/>
      <c r="J391" s="617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IFERROR(__xludf.DUMMYFUNCTION("IMPORTRANGE(""https://docs.google.com/spreadsheets/d/1MeEWN-I1oV_STSDYn1IFDPWt_1FKiwhDph83XaGc0o0/edit?usp=sharing"",""งบพรบ!FG41"")"),0)</f>
        <v>0</v>
      </c>
      <c r="M394" s="93">
        <f ca="1">IFERROR(__xludf.DUMMYFUNCTION("IMPORTRANGE(""https://docs.google.com/spreadsheets/d/1MeEWN-I1oV_STSDYn1IFDPWt_1FKiwhDph83XaGc0o0/edit?usp=sharing"",""งบพรบ!FL41"")"),0)</f>
        <v>0</v>
      </c>
      <c r="N394" s="93">
        <f ca="1">IFERROR(__xludf.DUMMYFUNCTION("IMPORTRANGE(""https://docs.google.com/spreadsheets/d/1MeEWN-I1oV_STSDYn1IFDPWt_1FKiwhDph83XaGc0o0/edit?usp=sharing"",""งบพรบ!FN41"")"),0)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IFERROR(__xludf.DUMMYFUNCTION("IMPORTRANGE(""https://docs.google.com/spreadsheets/d/1MeEWN-I1oV_STSDYn1IFDPWt_1FKiwhDph83XaGc0o0/edit?usp=sharing"",""งบพรบ!FJ41"")"),0)</f>
        <v>0</v>
      </c>
      <c r="M397" s="93">
        <f ca="1">IFERROR(__xludf.DUMMYFUNCTION("IMPORTRANGE(""https://docs.google.com/spreadsheets/d/1MeEWN-I1oV_STSDYn1IFDPWt_1FKiwhDph83XaGc0o0/edit?usp=sharing"",""งบพรบ!FM41"")"),0)</f>
        <v>0</v>
      </c>
      <c r="N397" s="93">
        <f ca="1">IFERROR(__xludf.DUMMYFUNCTION("IMPORTRANGE(""https://docs.google.com/spreadsheets/d/1MeEWN-I1oV_STSDYn1IFDPWt_1FKiwhDph83XaGc0o0/edit?usp=sharing"",""งบพรบ!FO41"")"),0)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7" t="s">
        <v>38</v>
      </c>
      <c r="E398" s="173"/>
      <c r="F398" s="173"/>
      <c r="G398" s="174"/>
      <c r="H398" s="762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30"/>
      <c r="B399" s="148"/>
      <c r="C399" s="531"/>
      <c r="D399" s="532" t="s">
        <v>175</v>
      </c>
      <c r="E399" s="415"/>
      <c r="F399" s="148"/>
      <c r="G399" s="151"/>
      <c r="H399" s="533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4"/>
      <c r="M399" s="534"/>
      <c r="N399" s="534"/>
      <c r="O399" s="534"/>
      <c r="P399" s="534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1"/>
      <c r="B401" s="522" t="s">
        <v>177</v>
      </c>
      <c r="C401" s="523"/>
      <c r="D401" s="524"/>
      <c r="E401" s="524"/>
      <c r="F401" s="524"/>
      <c r="G401" s="525"/>
      <c r="H401" s="526" t="s">
        <v>66</v>
      </c>
      <c r="I401" s="527">
        <f t="shared" ref="I401:J401" si="173">I412</f>
        <v>0</v>
      </c>
      <c r="J401" s="527">
        <f t="shared" si="173"/>
        <v>0</v>
      </c>
      <c r="K401" s="528">
        <f t="shared" si="172"/>
        <v>0</v>
      </c>
      <c r="L401" s="529"/>
      <c r="M401" s="529"/>
      <c r="N401" s="529"/>
      <c r="O401" s="529"/>
      <c r="P401" s="529"/>
    </row>
    <row r="402" spans="1:26" ht="19.5" hidden="1">
      <c r="A402" s="147"/>
      <c r="B402" s="148"/>
      <c r="C402" s="149" t="s">
        <v>16</v>
      </c>
      <c r="D402" s="87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7"/>
      <c r="J403" s="617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7"/>
      <c r="J404" s="617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IFERROR(__xludf.DUMMYFUNCTION("IMPORTRANGE(""https://docs.google.com/spreadsheets/d/1MeEWN-I1oV_STSDYn1IFDPWt_1FKiwhDph83XaGc0o0/edit?usp=sharing"",""งบพรบ!FQ41"")"),0)</f>
        <v>0</v>
      </c>
      <c r="M407" s="93">
        <f ca="1">IFERROR(__xludf.DUMMYFUNCTION("IMPORTRANGE(""https://docs.google.com/spreadsheets/d/1MeEWN-I1oV_STSDYn1IFDPWt_1FKiwhDph83XaGc0o0/edit?usp=sharing"",""งบพรบ!FV41"")"),0)</f>
        <v>0</v>
      </c>
      <c r="N407" s="93">
        <f ca="1">IFERROR(__xludf.DUMMYFUNCTION("IMPORTRANGE(""https://docs.google.com/spreadsheets/d/1MeEWN-I1oV_STSDYn1IFDPWt_1FKiwhDph83XaGc0o0/edit?usp=sharing"",""งบพรบ!FX41"")"),0)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IFERROR(__xludf.DUMMYFUNCTION("IMPORTRANGE(""https://docs.google.com/spreadsheets/d/1MeEWN-I1oV_STSDYn1IFDPWt_1FKiwhDph83XaGc0o0/edit?usp=sharing"",""งบพรบ!FT41"")"),0)</f>
        <v>0</v>
      </c>
      <c r="M410" s="93">
        <f ca="1">IFERROR(__xludf.DUMMYFUNCTION("IMPORTRANGE(""https://docs.google.com/spreadsheets/d/1MeEWN-I1oV_STSDYn1IFDPWt_1FKiwhDph83XaGc0o0/edit?usp=sharing"",""งบพรบ!FW41"")"),0)</f>
        <v>0</v>
      </c>
      <c r="N410" s="93">
        <f ca="1">IFERROR(__xludf.DUMMYFUNCTION("IMPORTRANGE(""https://docs.google.com/spreadsheets/d/1MeEWN-I1oV_STSDYn1IFDPWt_1FKiwhDph83XaGc0o0/edit?usp=sharing"",""งบพรบ!FY41"")"),0)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90" t="s">
        <v>38</v>
      </c>
      <c r="E411" s="536"/>
      <c r="F411" s="536"/>
      <c r="G411" s="537"/>
      <c r="H411" s="762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8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9"/>
      <c r="B413" s="540"/>
      <c r="C413" s="540"/>
      <c r="D413" s="541" t="s">
        <v>179</v>
      </c>
      <c r="E413" s="540"/>
      <c r="F413" s="540"/>
      <c r="G413" s="542"/>
      <c r="H413" s="543" t="s">
        <v>180</v>
      </c>
      <c r="I413" s="544">
        <v>0</v>
      </c>
      <c r="J413" s="545">
        <v>0</v>
      </c>
      <c r="K413" s="546">
        <f t="shared" si="180"/>
        <v>0</v>
      </c>
      <c r="L413" s="547"/>
      <c r="M413" s="547"/>
      <c r="N413" s="547"/>
      <c r="O413" s="547"/>
      <c r="P413" s="547"/>
    </row>
    <row r="414" spans="1:26" ht="19.5">
      <c r="A414" s="548" t="s">
        <v>181</v>
      </c>
      <c r="B414" s="549"/>
      <c r="C414" s="549"/>
      <c r="D414" s="549"/>
      <c r="E414" s="549"/>
      <c r="F414" s="549"/>
      <c r="G414" s="550"/>
      <c r="H414" s="551"/>
      <c r="I414" s="552"/>
      <c r="J414" s="552"/>
      <c r="K414" s="553"/>
      <c r="L414" s="554">
        <f t="shared" ref="L414:N414" ca="1" si="181">L419+L444+L467+L502+L523+L544+L629+L655+L685+L737+L754+L770+L786+L805</f>
        <v>1922483</v>
      </c>
      <c r="M414" s="554">
        <f t="shared" ca="1" si="181"/>
        <v>1927493</v>
      </c>
      <c r="N414" s="554">
        <f t="shared" si="181"/>
        <v>1927493</v>
      </c>
      <c r="O414" s="554">
        <f ca="1">IF(L414&gt;0,N414*100/L414,0)</f>
        <v>100.26060048385344</v>
      </c>
      <c r="P414" s="554">
        <f ca="1">IF(M414&gt;0,N414*100/M414,0)</f>
        <v>100</v>
      </c>
    </row>
    <row r="415" spans="1:26" ht="19.5">
      <c r="A415" s="555" t="s">
        <v>182</v>
      </c>
      <c r="B415" s="556"/>
      <c r="C415" s="556"/>
      <c r="D415" s="556"/>
      <c r="E415" s="556"/>
      <c r="F415" s="556"/>
      <c r="G415" s="556"/>
      <c r="H415" s="557"/>
      <c r="I415" s="558"/>
      <c r="J415" s="558"/>
      <c r="K415" s="559"/>
      <c r="L415" s="560"/>
      <c r="M415" s="560"/>
      <c r="N415" s="560"/>
      <c r="O415" s="560"/>
      <c r="P415" s="560"/>
    </row>
    <row r="416" spans="1:26" ht="19.5">
      <c r="A416" s="555" t="s">
        <v>183</v>
      </c>
      <c r="B416" s="556"/>
      <c r="C416" s="556"/>
      <c r="D416" s="556"/>
      <c r="E416" s="556"/>
      <c r="F416" s="556"/>
      <c r="G416" s="561"/>
      <c r="H416" s="562"/>
      <c r="I416" s="563"/>
      <c r="J416" s="563"/>
      <c r="K416" s="560"/>
      <c r="L416" s="560"/>
      <c r="M416" s="560"/>
      <c r="N416" s="560"/>
      <c r="O416" s="560"/>
      <c r="P416" s="560"/>
    </row>
    <row r="417" spans="1:26" ht="39">
      <c r="A417" s="564">
        <v>1</v>
      </c>
      <c r="B417" s="566" t="s">
        <v>184</v>
      </c>
      <c r="C417" s="566"/>
      <c r="D417" s="567"/>
      <c r="E417" s="567"/>
      <c r="F417" s="567"/>
      <c r="G417" s="568"/>
      <c r="H417" s="569" t="s">
        <v>35</v>
      </c>
      <c r="I417" s="570">
        <f t="shared" ref="I417:J418" ca="1" si="182">I433</f>
        <v>20</v>
      </c>
      <c r="J417" s="570">
        <f t="shared" ca="1" si="182"/>
        <v>20</v>
      </c>
      <c r="K417" s="571">
        <f t="shared" ref="K417:K418" ca="1" si="183">IF(I417&gt;0,J417*100/I417,0)</f>
        <v>100</v>
      </c>
      <c r="L417" s="572"/>
      <c r="M417" s="572"/>
      <c r="N417" s="572"/>
      <c r="O417" s="572"/>
      <c r="P417" s="572"/>
    </row>
    <row r="418" spans="1:26" ht="19.5">
      <c r="A418" s="573"/>
      <c r="B418" s="564"/>
      <c r="C418" s="566"/>
      <c r="D418" s="567"/>
      <c r="E418" s="567"/>
      <c r="F418" s="567"/>
      <c r="G418" s="568"/>
      <c r="H418" s="569" t="s">
        <v>49</v>
      </c>
      <c r="I418" s="570">
        <f t="shared" ca="1" si="182"/>
        <v>1</v>
      </c>
      <c r="J418" s="570">
        <f t="shared" si="182"/>
        <v>1</v>
      </c>
      <c r="K418" s="571">
        <f t="shared" ca="1" si="183"/>
        <v>100</v>
      </c>
      <c r="L418" s="572"/>
      <c r="M418" s="572"/>
      <c r="N418" s="572"/>
      <c r="O418" s="572"/>
      <c r="P418" s="572"/>
    </row>
    <row r="419" spans="1:26" ht="19.5">
      <c r="A419" s="147"/>
      <c r="B419" s="148"/>
      <c r="C419" s="148" t="s">
        <v>16</v>
      </c>
      <c r="D419" s="891" t="s">
        <v>17</v>
      </c>
      <c r="E419" s="862"/>
      <c r="F419" s="86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78660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7"/>
      <c r="J420" s="617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7"/>
      <c r="J421" s="617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78660</v>
      </c>
      <c r="O421" s="93">
        <f t="shared" ca="1" si="185"/>
        <v>100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78660</v>
      </c>
      <c r="N422" s="498">
        <f t="shared" si="188"/>
        <v>78660</v>
      </c>
      <c r="O422" s="498">
        <f t="shared" ca="1" si="185"/>
        <v>100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7"/>
      <c r="J423" s="617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7"/>
      <c r="J424" s="617"/>
      <c r="K424" s="93"/>
      <c r="L424" s="93">
        <f ca="1">IFERROR(__xludf.DUMMYFUNCTION("IMPORTRANGE(""https://docs.google.com/spreadsheets/d/1QqKyyYR6Q21VydFLVH3TRQUabQu_ym0Zz7PgGX0-kHA/edit?usp=sharing"",""แผน!EY41"")"),78660)</f>
        <v>78660</v>
      </c>
      <c r="M424" s="93">
        <f ca="1">L424</f>
        <v>78660</v>
      </c>
      <c r="N424" s="93">
        <f>N425+N426+N427+N428</f>
        <v>78660</v>
      </c>
      <c r="O424" s="93">
        <f t="shared" ca="1" si="185"/>
        <v>100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4"/>
      <c r="B425" s="575"/>
      <c r="C425" s="763"/>
      <c r="D425" s="763"/>
      <c r="E425" s="763"/>
      <c r="F425" s="763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40">
        <f>47480+4800</f>
        <v>52280</v>
      </c>
      <c r="O425" s="498"/>
      <c r="P425" s="49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</row>
    <row r="426" spans="1:26" ht="18.75">
      <c r="A426" s="574"/>
      <c r="B426" s="575"/>
      <c r="C426" s="763"/>
      <c r="D426" s="763"/>
      <c r="E426" s="763"/>
      <c r="F426" s="763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40">
        <v>0</v>
      </c>
      <c r="O426" s="498"/>
      <c r="P426" s="49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</row>
    <row r="427" spans="1:26" ht="18.75">
      <c r="A427" s="574"/>
      <c r="B427" s="575"/>
      <c r="C427" s="763"/>
      <c r="D427" s="763"/>
      <c r="E427" s="763"/>
      <c r="F427" s="763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40">
        <v>0</v>
      </c>
      <c r="O427" s="498"/>
      <c r="P427" s="49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40">
        <f>8660+3230+3270+8525+2695</f>
        <v>26380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92" t="s">
        <v>38</v>
      </c>
      <c r="E432" s="580"/>
      <c r="F432" s="580"/>
      <c r="G432" s="581"/>
      <c r="H432" s="582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1">
        <f ca="1">I435</f>
        <v>20</v>
      </c>
      <c r="J433" s="681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1">
        <f t="shared" ref="I434:J434" ca="1" si="193">I438+I440</f>
        <v>1</v>
      </c>
      <c r="J434" s="681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3" t="s">
        <v>35</v>
      </c>
      <c r="I435" s="583">
        <f ca="1">IFERROR(__xludf.DUMMYFUNCTION("IMPORTRANGE(""https://docs.google.com/spreadsheets/d/1QqKyyYR6Q21VydFLVH3TRQUabQu_ym0Zz7PgGX0-kHA/edit?usp=sharing"",""แผน!FC41"")"),20)</f>
        <v>20</v>
      </c>
      <c r="J435" s="584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3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3" t="s">
        <v>35</v>
      </c>
      <c r="I437" s="583">
        <f ca="1">IFERROR(__xludf.DUMMYFUNCTION("IMPORTRANGE(""https://docs.google.com/spreadsheets/d/1QqKyyYR6Q21VydFLVH3TRQUabQu_ym0Zz7PgGX0-kHA/edit?usp=sharing"",""แผน!FD41"")"),0)</f>
        <v>0</v>
      </c>
      <c r="J437" s="584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3" t="s">
        <v>49</v>
      </c>
      <c r="I438" s="270">
        <f ca="1">IFERROR(__xludf.DUMMYFUNCTION("IMPORTRANGE(""https://docs.google.com/spreadsheets/d/1QqKyyYR6Q21VydFLVH3TRQUabQu_ym0Zz7PgGX0-kHA/edit?usp=sharing"",""แผน!FE41"")"),0)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3" t="s">
        <v>35</v>
      </c>
      <c r="I439" s="583">
        <f ca="1">IFERROR(__xludf.DUMMYFUNCTION("IMPORTRANGE(""https://docs.google.com/spreadsheets/d/1QqKyyYR6Q21VydFLVH3TRQUabQu_ym0Zz7PgGX0-kHA/edit?usp=sharing"",""แผน!FF41"")"),20)</f>
        <v>20</v>
      </c>
      <c r="J439" s="584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3" t="s">
        <v>49</v>
      </c>
      <c r="I440" s="270">
        <f ca="1">IFERROR(__xludf.DUMMYFUNCTION("IMPORTRANGE(""https://docs.google.com/spreadsheets/d/1QqKyyYR6Q21VydFLVH3TRQUabQu_ym0Zz7PgGX0-kHA/edit?usp=sharing"",""แผน!FG41"")"),1)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3" t="s">
        <v>35</v>
      </c>
      <c r="I441" s="270">
        <f ca="1">IFERROR(__xludf.DUMMYFUNCTION("IMPORTRANGE(""https://docs.google.com/spreadsheets/d/1QqKyyYR6Q21VydFLVH3TRQUabQu_ym0Zz7PgGX0-kHA/edit?usp=sharing"",""แผน!FH41"")"),0)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5">
        <v>2</v>
      </c>
      <c r="B442" s="586" t="s">
        <v>200</v>
      </c>
      <c r="C442" s="587"/>
      <c r="D442" s="587"/>
      <c r="E442" s="587"/>
      <c r="F442" s="587"/>
      <c r="G442" s="588"/>
      <c r="H442" s="589" t="s">
        <v>35</v>
      </c>
      <c r="I442" s="590">
        <f t="shared" ref="I442:J442" ca="1" si="195">I460</f>
        <v>100</v>
      </c>
      <c r="J442" s="590">
        <f t="shared" si="195"/>
        <v>100</v>
      </c>
      <c r="K442" s="591">
        <f t="shared" ca="1" si="194"/>
        <v>100</v>
      </c>
      <c r="L442" s="592"/>
      <c r="M442" s="592"/>
      <c r="N442" s="592"/>
      <c r="O442" s="592"/>
      <c r="P442" s="592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</row>
    <row r="443" spans="1:26" ht="19.5">
      <c r="A443" s="593"/>
      <c r="B443" s="594"/>
      <c r="C443" s="595"/>
      <c r="D443" s="595"/>
      <c r="E443" s="595"/>
      <c r="F443" s="595"/>
      <c r="G443" s="596"/>
      <c r="H443" s="569" t="s">
        <v>46</v>
      </c>
      <c r="I443" s="570">
        <f t="shared" ref="I443:J443" ca="1" si="196">I462</f>
        <v>280</v>
      </c>
      <c r="J443" s="570">
        <f t="shared" si="196"/>
        <v>280</v>
      </c>
      <c r="K443" s="571">
        <f t="shared" ca="1" si="194"/>
        <v>100</v>
      </c>
      <c r="L443" s="572"/>
      <c r="M443" s="572"/>
      <c r="N443" s="572"/>
      <c r="O443" s="572"/>
      <c r="P443" s="572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</row>
    <row r="444" spans="1:26" ht="19.5">
      <c r="A444" s="597"/>
      <c r="B444" s="763"/>
      <c r="C444" s="763" t="s">
        <v>16</v>
      </c>
      <c r="D444" s="863" t="s">
        <v>17</v>
      </c>
      <c r="E444" s="857"/>
      <c r="F444" s="857"/>
      <c r="G444" s="189"/>
      <c r="H444" s="598" t="s">
        <v>12</v>
      </c>
      <c r="I444" s="270"/>
      <c r="J444" s="270"/>
      <c r="K444" s="498"/>
      <c r="L444" s="195">
        <f t="shared" ref="L444:N444" ca="1" si="197">L445+L446</f>
        <v>616680</v>
      </c>
      <c r="M444" s="195">
        <f t="shared" ca="1" si="197"/>
        <v>619078</v>
      </c>
      <c r="N444" s="195">
        <f t="shared" si="197"/>
        <v>619078</v>
      </c>
      <c r="O444" s="195">
        <f t="shared" ref="O444:O449" ca="1" si="198">IF(L444&gt;0,N444*100/L444,0)</f>
        <v>100.38885645715769</v>
      </c>
      <c r="P444" s="195">
        <f t="shared" ref="P444:P449" ca="1" si="199">IF(M444&gt;0,N444*100/M444,0)</f>
        <v>100</v>
      </c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</row>
    <row r="445" spans="1:26" ht="18.75" hidden="1">
      <c r="A445" s="599"/>
      <c r="B445" s="759"/>
      <c r="C445" s="759"/>
      <c r="D445" s="720"/>
      <c r="E445" s="759" t="s">
        <v>185</v>
      </c>
      <c r="F445" s="759"/>
      <c r="G445" s="603"/>
      <c r="H445" s="165" t="s">
        <v>12</v>
      </c>
      <c r="I445" s="617"/>
      <c r="J445" s="617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4"/>
      <c r="R445" s="604"/>
      <c r="S445" s="604"/>
      <c r="T445" s="604"/>
      <c r="U445" s="604"/>
      <c r="V445" s="604"/>
      <c r="W445" s="604"/>
      <c r="X445" s="604"/>
      <c r="Y445" s="604"/>
      <c r="Z445" s="604"/>
    </row>
    <row r="446" spans="1:26" ht="18.75" hidden="1">
      <c r="A446" s="599"/>
      <c r="B446" s="607"/>
      <c r="C446" s="759"/>
      <c r="D446" s="720"/>
      <c r="E446" s="759" t="s">
        <v>186</v>
      </c>
      <c r="F446" s="759"/>
      <c r="G446" s="603"/>
      <c r="H446" s="165" t="s">
        <v>12</v>
      </c>
      <c r="I446" s="617"/>
      <c r="J446" s="617"/>
      <c r="K446" s="93"/>
      <c r="L446" s="93">
        <f t="shared" ca="1" si="200"/>
        <v>616680</v>
      </c>
      <c r="M446" s="93">
        <f t="shared" ca="1" si="200"/>
        <v>619078</v>
      </c>
      <c r="N446" s="93">
        <f t="shared" si="200"/>
        <v>619078</v>
      </c>
      <c r="O446" s="93">
        <f t="shared" ca="1" si="198"/>
        <v>100.38885645715769</v>
      </c>
      <c r="P446" s="93">
        <f t="shared" ca="1" si="199"/>
        <v>100</v>
      </c>
      <c r="Q446" s="604"/>
      <c r="R446" s="604"/>
      <c r="S446" s="604"/>
      <c r="T446" s="604"/>
      <c r="U446" s="604"/>
      <c r="V446" s="604"/>
      <c r="W446" s="604"/>
      <c r="X446" s="604"/>
      <c r="Y446" s="604"/>
      <c r="Z446" s="604"/>
    </row>
    <row r="447" spans="1:26" ht="18.75">
      <c r="A447" s="597"/>
      <c r="B447" s="575"/>
      <c r="C447" s="763"/>
      <c r="D447" s="606" t="s">
        <v>20</v>
      </c>
      <c r="E447" s="763"/>
      <c r="F447" s="763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616680</v>
      </c>
      <c r="M447" s="498">
        <f t="shared" ca="1" si="201"/>
        <v>619078</v>
      </c>
      <c r="N447" s="498">
        <f t="shared" si="201"/>
        <v>619078</v>
      </c>
      <c r="O447" s="498">
        <f t="shared" ca="1" si="198"/>
        <v>100.38885645715769</v>
      </c>
      <c r="P447" s="498">
        <f t="shared" ca="1" si="199"/>
        <v>100</v>
      </c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</row>
    <row r="448" spans="1:26" ht="18.75" hidden="1">
      <c r="A448" s="599"/>
      <c r="B448" s="607"/>
      <c r="C448" s="759"/>
      <c r="D448" s="720"/>
      <c r="E448" s="759" t="s">
        <v>185</v>
      </c>
      <c r="F448" s="759"/>
      <c r="G448" s="603"/>
      <c r="H448" s="165" t="s">
        <v>12</v>
      </c>
      <c r="I448" s="617"/>
      <c r="J448" s="617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</row>
    <row r="449" spans="1:26" ht="18.75" hidden="1">
      <c r="A449" s="599"/>
      <c r="B449" s="607"/>
      <c r="C449" s="759"/>
      <c r="D449" s="720"/>
      <c r="E449" s="759" t="s">
        <v>186</v>
      </c>
      <c r="F449" s="759"/>
      <c r="G449" s="603"/>
      <c r="H449" s="165" t="s">
        <v>12</v>
      </c>
      <c r="I449" s="617"/>
      <c r="J449" s="617"/>
      <c r="K449" s="93"/>
      <c r="L449" s="93">
        <f ca="1">IFERROR(__xludf.DUMMYFUNCTION("IMPORTRANGE(""https://docs.google.com/spreadsheets/d/1QqKyyYR6Q21VydFLVH3TRQUabQu_ym0Zz7PgGX0-kHA/edit?usp=sharing"",""แผน!FJ41"")"),616680)</f>
        <v>616680</v>
      </c>
      <c r="M449" s="93">
        <f ca="1">L449+5000-2602</f>
        <v>619078</v>
      </c>
      <c r="N449" s="93">
        <f>N450+N451+N452+N453</f>
        <v>619078</v>
      </c>
      <c r="O449" s="93">
        <f t="shared" ca="1" si="198"/>
        <v>100.38885645715769</v>
      </c>
      <c r="P449" s="93">
        <f t="shared" ca="1" si="199"/>
        <v>100</v>
      </c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</row>
    <row r="450" spans="1:26" ht="18.75">
      <c r="A450" s="574"/>
      <c r="B450" s="575"/>
      <c r="C450" s="763"/>
      <c r="D450" s="763"/>
      <c r="E450" s="763"/>
      <c r="F450" s="763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40">
        <f>112640+19840+10480</f>
        <v>142960</v>
      </c>
      <c r="O450" s="498"/>
      <c r="P450" s="49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</row>
    <row r="451" spans="1:26" ht="18.75">
      <c r="A451" s="574"/>
      <c r="B451" s="575"/>
      <c r="C451" s="763"/>
      <c r="D451" s="763"/>
      <c r="E451" s="763"/>
      <c r="F451" s="763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40">
        <f>264600+8400</f>
        <v>273000</v>
      </c>
      <c r="O451" s="498"/>
      <c r="P451" s="49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</row>
    <row r="452" spans="1:26" ht="18.75">
      <c r="A452" s="574"/>
      <c r="B452" s="575"/>
      <c r="C452" s="575"/>
      <c r="D452" s="575"/>
      <c r="E452" s="575"/>
      <c r="F452" s="763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40">
        <f>64566+11700+12566+13000+12566+13000+13000</f>
        <v>140398</v>
      </c>
      <c r="O452" s="498"/>
      <c r="P452" s="49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</row>
    <row r="453" spans="1:26" ht="18.75">
      <c r="A453" s="574"/>
      <c r="B453" s="575"/>
      <c r="C453" s="575"/>
      <c r="D453" s="575"/>
      <c r="E453" s="575"/>
      <c r="F453" s="763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40">
        <f>8380+6000+1480+1760+5490+16800+10830+5820+1680+4480</f>
        <v>62720</v>
      </c>
      <c r="O453" s="498"/>
      <c r="P453" s="49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</row>
    <row r="454" spans="1:26" ht="18.75">
      <c r="A454" s="597"/>
      <c r="B454" s="575"/>
      <c r="C454" s="575"/>
      <c r="D454" s="606" t="s">
        <v>21</v>
      </c>
      <c r="E454" s="575"/>
      <c r="F454" s="763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</row>
    <row r="455" spans="1:26" ht="18.75" hidden="1">
      <c r="A455" s="599"/>
      <c r="B455" s="607"/>
      <c r="C455" s="607"/>
      <c r="D455" s="607"/>
      <c r="E455" s="607" t="s">
        <v>18</v>
      </c>
      <c r="F455" s="759"/>
      <c r="G455" s="603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4"/>
      <c r="R455" s="604"/>
      <c r="S455" s="604"/>
      <c r="T455" s="604"/>
      <c r="U455" s="604"/>
      <c r="V455" s="604"/>
      <c r="W455" s="604"/>
      <c r="X455" s="604"/>
      <c r="Y455" s="604"/>
      <c r="Z455" s="604"/>
    </row>
    <row r="456" spans="1:26" ht="18.75" hidden="1">
      <c r="A456" s="599"/>
      <c r="B456" s="607"/>
      <c r="C456" s="607"/>
      <c r="D456" s="607"/>
      <c r="E456" s="607" t="s">
        <v>19</v>
      </c>
      <c r="F456" s="759"/>
      <c r="G456" s="603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4"/>
      <c r="R456" s="604"/>
      <c r="S456" s="604"/>
      <c r="T456" s="604"/>
      <c r="U456" s="604"/>
      <c r="V456" s="604"/>
      <c r="W456" s="604"/>
      <c r="X456" s="604"/>
      <c r="Y456" s="604"/>
      <c r="Z456" s="604"/>
    </row>
    <row r="457" spans="1:26" ht="19.5">
      <c r="A457" s="608"/>
      <c r="B457" s="618"/>
      <c r="C457" s="575" t="s">
        <v>16</v>
      </c>
      <c r="D457" s="893" t="s">
        <v>38</v>
      </c>
      <c r="E457" s="611"/>
      <c r="F457" s="761"/>
      <c r="G457" s="613"/>
      <c r="H457" s="762"/>
      <c r="I457" s="270"/>
      <c r="J457" s="270"/>
      <c r="K457" s="498"/>
      <c r="L457" s="498"/>
      <c r="M457" s="498"/>
      <c r="N457" s="498"/>
      <c r="O457" s="498"/>
      <c r="P457" s="49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</row>
    <row r="458" spans="1:26" ht="18.75" hidden="1">
      <c r="A458" s="614"/>
      <c r="B458" s="616"/>
      <c r="C458" s="616"/>
      <c r="D458" s="616" t="s">
        <v>201</v>
      </c>
      <c r="E458" s="616"/>
      <c r="F458" s="720"/>
      <c r="G458" s="366"/>
      <c r="H458" s="370" t="s">
        <v>35</v>
      </c>
      <c r="I458" s="617">
        <v>0</v>
      </c>
      <c r="J458" s="617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4"/>
      <c r="R458" s="604"/>
      <c r="S458" s="604"/>
      <c r="T458" s="604"/>
      <c r="U458" s="604"/>
      <c r="V458" s="604"/>
      <c r="W458" s="604"/>
      <c r="X458" s="604"/>
      <c r="Y458" s="604"/>
      <c r="Z458" s="604"/>
    </row>
    <row r="459" spans="1:26" ht="18.75" hidden="1">
      <c r="A459" s="614"/>
      <c r="B459" s="616"/>
      <c r="C459" s="616"/>
      <c r="D459" s="616" t="s">
        <v>202</v>
      </c>
      <c r="E459" s="616"/>
      <c r="F459" s="720"/>
      <c r="G459" s="366"/>
      <c r="H459" s="370"/>
      <c r="I459" s="617"/>
      <c r="J459" s="617"/>
      <c r="K459" s="93"/>
      <c r="L459" s="93"/>
      <c r="M459" s="93"/>
      <c r="N459" s="93"/>
      <c r="O459" s="93"/>
      <c r="P459" s="93"/>
      <c r="Q459" s="604"/>
      <c r="R459" s="604"/>
      <c r="S459" s="604"/>
      <c r="T459" s="604"/>
      <c r="U459" s="604"/>
      <c r="V459" s="604"/>
      <c r="W459" s="604"/>
      <c r="X459" s="604"/>
      <c r="Y459" s="604"/>
      <c r="Z459" s="604"/>
    </row>
    <row r="460" spans="1:26" ht="18.75">
      <c r="A460" s="608"/>
      <c r="B460" s="618"/>
      <c r="C460" s="618"/>
      <c r="D460" s="618" t="s">
        <v>203</v>
      </c>
      <c r="E460" s="618"/>
      <c r="F460" s="626"/>
      <c r="G460" s="762"/>
      <c r="H460" s="764" t="s">
        <v>35</v>
      </c>
      <c r="I460" s="270">
        <f ca="1">IFERROR(__xludf.DUMMYFUNCTION("IMPORTRANGE(""https://docs.google.com/spreadsheets/d/1QqKyyYR6Q21VydFLVH3TRQUabQu_ym0Zz7PgGX0-kHA/edit?usp=sharing"",""แผน!FN41"")"),100)</f>
        <v>100</v>
      </c>
      <c r="J460" s="215">
        <v>100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</row>
    <row r="461" spans="1:26" ht="18.75">
      <c r="A461" s="608"/>
      <c r="B461" s="618"/>
      <c r="C461" s="618"/>
      <c r="D461" s="618" t="s">
        <v>204</v>
      </c>
      <c r="E461" s="626"/>
      <c r="F461" s="626"/>
      <c r="G461" s="762"/>
      <c r="H461" s="764"/>
      <c r="I461" s="270"/>
      <c r="J461" s="270"/>
      <c r="K461" s="498"/>
      <c r="L461" s="498"/>
      <c r="M461" s="498"/>
      <c r="N461" s="498"/>
      <c r="O461" s="498"/>
      <c r="P461" s="49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</row>
    <row r="462" spans="1:26" ht="18.75">
      <c r="A462" s="608"/>
      <c r="B462" s="618"/>
      <c r="C462" s="618"/>
      <c r="D462" s="618" t="s">
        <v>205</v>
      </c>
      <c r="E462" s="626"/>
      <c r="F462" s="626"/>
      <c r="G462" s="762"/>
      <c r="H462" s="764" t="s">
        <v>46</v>
      </c>
      <c r="I462" s="270">
        <f ca="1">IFERROR(__xludf.DUMMYFUNCTION("IMPORTRANGE(""https://docs.google.com/spreadsheets/d/1QqKyyYR6Q21VydFLVH3TRQUabQu_ym0Zz7PgGX0-kHA/edit?usp=sharing"",""แผน!FO41"")"),280)</f>
        <v>280</v>
      </c>
      <c r="J462" s="215">
        <v>280</v>
      </c>
      <c r="K462" s="498">
        <f t="shared" ref="K462:K466" ca="1" si="205">IF(I462&gt;0,J462*100/I462,0)</f>
        <v>100</v>
      </c>
      <c r="L462" s="498"/>
      <c r="M462" s="498"/>
      <c r="N462" s="498"/>
      <c r="O462" s="498"/>
      <c r="P462" s="49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</row>
    <row r="463" spans="1:26" ht="18.75">
      <c r="A463" s="608"/>
      <c r="B463" s="618"/>
      <c r="C463" s="618"/>
      <c r="D463" s="618" t="s">
        <v>59</v>
      </c>
      <c r="E463" s="626"/>
      <c r="F463" s="763"/>
      <c r="G463" s="189"/>
      <c r="H463" s="764" t="s">
        <v>46</v>
      </c>
      <c r="I463" s="270">
        <f ca="1">IFERROR(__xludf.DUMMYFUNCTION("IMPORTRANGE(""https://docs.google.com/spreadsheets/d/1QqKyyYR6Q21VydFLVH3TRQUabQu_ym0Zz7PgGX0-kHA/edit?usp=sharing"",""แผน!FO41"")"),280)</f>
        <v>280</v>
      </c>
      <c r="J463" s="215">
        <v>280</v>
      </c>
      <c r="K463" s="498">
        <f t="shared" ca="1" si="205"/>
        <v>100</v>
      </c>
      <c r="L463" s="498"/>
      <c r="M463" s="498"/>
      <c r="N463" s="498"/>
      <c r="O463" s="498"/>
      <c r="P463" s="49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</row>
    <row r="464" spans="1:26" ht="19.5">
      <c r="A464" s="608"/>
      <c r="B464" s="618"/>
      <c r="C464" s="618"/>
      <c r="D464" s="618"/>
      <c r="E464" s="626"/>
      <c r="F464" s="626"/>
      <c r="G464" s="620"/>
      <c r="H464" s="764" t="s">
        <v>35</v>
      </c>
      <c r="I464" s="270">
        <f ca="1">IFERROR(__xludf.DUMMYFUNCTION("IMPORTRANGE(""https://docs.google.com/spreadsheets/d/1QqKyyYR6Q21VydFLVH3TRQUabQu_ym0Zz7PgGX0-kHA/edit?usp=sharing"",""แผน!FN41"")"),100)</f>
        <v>100</v>
      </c>
      <c r="J464" s="215">
        <v>100</v>
      </c>
      <c r="K464" s="498">
        <f t="shared" ca="1" si="205"/>
        <v>100</v>
      </c>
      <c r="L464" s="498"/>
      <c r="M464" s="498"/>
      <c r="N464" s="498"/>
      <c r="O464" s="498"/>
      <c r="P464" s="49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</row>
    <row r="465" spans="1:26" ht="19.5">
      <c r="A465" s="585">
        <v>3</v>
      </c>
      <c r="B465" s="586" t="s">
        <v>206</v>
      </c>
      <c r="C465" s="587"/>
      <c r="D465" s="587"/>
      <c r="E465" s="587"/>
      <c r="F465" s="587"/>
      <c r="G465" s="588"/>
      <c r="H465" s="589" t="s">
        <v>35</v>
      </c>
      <c r="I465" s="590">
        <f ca="1">IFERROR(__xludf.DUMMYFUNCTION("IMPORTRANGE(""https://docs.google.com/spreadsheets/d/1QqKyyYR6Q21VydFLVH3TRQUabQu_ym0Zz7PgGX0-kHA/edit?usp=sharing"",""แผน!FX41"")"),61)</f>
        <v>61</v>
      </c>
      <c r="J465" s="590">
        <f>J485+J489+J492</f>
        <v>61</v>
      </c>
      <c r="K465" s="591">
        <f t="shared" ca="1" si="205"/>
        <v>100</v>
      </c>
      <c r="L465" s="592"/>
      <c r="M465" s="592"/>
      <c r="N465" s="592"/>
      <c r="O465" s="592"/>
      <c r="P465" s="592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</row>
    <row r="466" spans="1:26" ht="19.5">
      <c r="A466" s="593"/>
      <c r="B466" s="594"/>
      <c r="C466" s="595"/>
      <c r="D466" s="595"/>
      <c r="E466" s="595"/>
      <c r="F466" s="595"/>
      <c r="G466" s="596"/>
      <c r="H466" s="569" t="s">
        <v>46</v>
      </c>
      <c r="I466" s="570">
        <f ca="1">IFERROR(__xludf.DUMMYFUNCTION("IMPORTRANGE(""https://docs.google.com/spreadsheets/d/1QqKyyYR6Q21VydFLVH3TRQUabQu_ym0Zz7PgGX0-kHA/edit?usp=sharing"",""แผน!FW41"")"),600)</f>
        <v>600</v>
      </c>
      <c r="J466" s="570">
        <f>J495+J498</f>
        <v>600</v>
      </c>
      <c r="K466" s="571">
        <f t="shared" ca="1" si="205"/>
        <v>100</v>
      </c>
      <c r="L466" s="572"/>
      <c r="M466" s="572"/>
      <c r="N466" s="572"/>
      <c r="O466" s="572"/>
      <c r="P466" s="572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</row>
    <row r="467" spans="1:26" ht="19.5">
      <c r="A467" s="597"/>
      <c r="B467" s="763"/>
      <c r="C467" s="763" t="s">
        <v>16</v>
      </c>
      <c r="D467" s="863" t="s">
        <v>17</v>
      </c>
      <c r="E467" s="857"/>
      <c r="F467" s="857"/>
      <c r="G467" s="189"/>
      <c r="H467" s="598" t="s">
        <v>12</v>
      </c>
      <c r="I467" s="270"/>
      <c r="J467" s="270"/>
      <c r="K467" s="498"/>
      <c r="L467" s="195">
        <f t="shared" ref="L467:N467" ca="1" si="206">L468+L469</f>
        <v>481323</v>
      </c>
      <c r="M467" s="195">
        <f t="shared" ca="1" si="206"/>
        <v>491703</v>
      </c>
      <c r="N467" s="195">
        <f t="shared" si="206"/>
        <v>491703</v>
      </c>
      <c r="O467" s="195">
        <f t="shared" ref="O467:O472" ca="1" si="207">IF(L467&gt;0,N467*100/L467,0)</f>
        <v>102.15655599254555</v>
      </c>
      <c r="P467" s="195">
        <f t="shared" ref="P467:P472" ca="1" si="208">IF(M467&gt;0,N467*100/M467,0)</f>
        <v>100</v>
      </c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</row>
    <row r="468" spans="1:26" ht="18.75" hidden="1">
      <c r="A468" s="599"/>
      <c r="B468" s="759"/>
      <c r="C468" s="759"/>
      <c r="D468" s="720"/>
      <c r="E468" s="759" t="s">
        <v>185</v>
      </c>
      <c r="F468" s="759"/>
      <c r="G468" s="603"/>
      <c r="H468" s="165" t="s">
        <v>12</v>
      </c>
      <c r="I468" s="617"/>
      <c r="J468" s="617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4"/>
      <c r="R468" s="604"/>
      <c r="S468" s="604"/>
      <c r="T468" s="604"/>
      <c r="U468" s="604"/>
      <c r="V468" s="604"/>
      <c r="W468" s="604"/>
      <c r="X468" s="604"/>
      <c r="Y468" s="604"/>
      <c r="Z468" s="604"/>
    </row>
    <row r="469" spans="1:26" ht="18.75" hidden="1">
      <c r="A469" s="599"/>
      <c r="B469" s="607"/>
      <c r="C469" s="759"/>
      <c r="D469" s="720"/>
      <c r="E469" s="759" t="s">
        <v>186</v>
      </c>
      <c r="F469" s="759"/>
      <c r="G469" s="603"/>
      <c r="H469" s="165" t="s">
        <v>12</v>
      </c>
      <c r="I469" s="617"/>
      <c r="J469" s="617"/>
      <c r="K469" s="93"/>
      <c r="L469" s="93">
        <f t="shared" ca="1" si="209"/>
        <v>481323</v>
      </c>
      <c r="M469" s="93">
        <f t="shared" ca="1" si="209"/>
        <v>491703</v>
      </c>
      <c r="N469" s="93">
        <f t="shared" si="209"/>
        <v>491703</v>
      </c>
      <c r="O469" s="93">
        <f t="shared" ca="1" si="207"/>
        <v>102.15655599254555</v>
      </c>
      <c r="P469" s="93">
        <f t="shared" ca="1" si="208"/>
        <v>100</v>
      </c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</row>
    <row r="470" spans="1:26" ht="18.75">
      <c r="A470" s="597"/>
      <c r="B470" s="575"/>
      <c r="C470" s="763"/>
      <c r="D470" s="606" t="s">
        <v>20</v>
      </c>
      <c r="E470" s="763"/>
      <c r="F470" s="763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481323</v>
      </c>
      <c r="M470" s="498">
        <f t="shared" ca="1" si="210"/>
        <v>491703</v>
      </c>
      <c r="N470" s="498">
        <f t="shared" si="210"/>
        <v>491703</v>
      </c>
      <c r="O470" s="498">
        <f t="shared" ca="1" si="207"/>
        <v>102.15655599254555</v>
      </c>
      <c r="P470" s="498">
        <f t="shared" ca="1" si="208"/>
        <v>100</v>
      </c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</row>
    <row r="471" spans="1:26" ht="18.75" hidden="1">
      <c r="A471" s="599"/>
      <c r="B471" s="607"/>
      <c r="C471" s="759"/>
      <c r="D471" s="720"/>
      <c r="E471" s="759" t="s">
        <v>185</v>
      </c>
      <c r="F471" s="759"/>
      <c r="G471" s="603"/>
      <c r="H471" s="165" t="s">
        <v>12</v>
      </c>
      <c r="I471" s="617"/>
      <c r="J471" s="617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4"/>
      <c r="R471" s="604"/>
      <c r="S471" s="604"/>
      <c r="T471" s="604"/>
      <c r="U471" s="604"/>
      <c r="V471" s="604"/>
      <c r="W471" s="604"/>
      <c r="X471" s="604"/>
      <c r="Y471" s="604"/>
      <c r="Z471" s="604"/>
    </row>
    <row r="472" spans="1:26" ht="18.75" hidden="1">
      <c r="A472" s="599"/>
      <c r="B472" s="607"/>
      <c r="C472" s="759"/>
      <c r="D472" s="720"/>
      <c r="E472" s="759" t="s">
        <v>186</v>
      </c>
      <c r="F472" s="759"/>
      <c r="G472" s="603"/>
      <c r="H472" s="165" t="s">
        <v>12</v>
      </c>
      <c r="I472" s="617"/>
      <c r="J472" s="617"/>
      <c r="K472" s="93"/>
      <c r="L472" s="93">
        <f ca="1">IFERROR(__xludf.DUMMYFUNCTION("IMPORTRANGE(""https://docs.google.com/spreadsheets/d/1QqKyyYR6Q21VydFLVH3TRQUabQu_ym0Zz7PgGX0-kHA/edit?usp=sharing"",""แผน!FS41"")"),481323)</f>
        <v>481323</v>
      </c>
      <c r="M472" s="93">
        <f ca="1">L472+10380</f>
        <v>491703</v>
      </c>
      <c r="N472" s="93">
        <f>N473+N474+N475+N476</f>
        <v>491703</v>
      </c>
      <c r="O472" s="93">
        <f t="shared" ca="1" si="207"/>
        <v>102.15655599254555</v>
      </c>
      <c r="P472" s="93">
        <f t="shared" ca="1" si="208"/>
        <v>100</v>
      </c>
      <c r="Q472" s="604"/>
      <c r="R472" s="604"/>
      <c r="S472" s="604"/>
      <c r="T472" s="604"/>
      <c r="U472" s="604"/>
      <c r="V472" s="604"/>
      <c r="W472" s="604"/>
      <c r="X472" s="604"/>
      <c r="Y472" s="604"/>
      <c r="Z472" s="604"/>
    </row>
    <row r="473" spans="1:26" ht="18.75">
      <c r="A473" s="574"/>
      <c r="B473" s="575"/>
      <c r="C473" s="763"/>
      <c r="D473" s="763"/>
      <c r="E473" s="763"/>
      <c r="F473" s="763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40">
        <f>59850+7400-972</f>
        <v>66278</v>
      </c>
      <c r="O473" s="498"/>
      <c r="P473" s="49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</row>
    <row r="474" spans="1:26" ht="18.75">
      <c r="A474" s="574"/>
      <c r="B474" s="575"/>
      <c r="C474" s="763"/>
      <c r="D474" s="763"/>
      <c r="E474" s="763"/>
      <c r="F474" s="763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40">
        <f>372000+4000</f>
        <v>376000</v>
      </c>
      <c r="O474" s="498"/>
      <c r="P474" s="49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</row>
    <row r="475" spans="1:26" ht="18.75">
      <c r="A475" s="574"/>
      <c r="B475" s="575"/>
      <c r="C475" s="575"/>
      <c r="D475" s="575"/>
      <c r="E475" s="575"/>
      <c r="F475" s="763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40">
        <v>0</v>
      </c>
      <c r="O475" s="498"/>
      <c r="P475" s="49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</row>
    <row r="476" spans="1:26" ht="18.75">
      <c r="A476" s="574"/>
      <c r="B476" s="575"/>
      <c r="C476" s="575"/>
      <c r="D476" s="575"/>
      <c r="E476" s="575"/>
      <c r="F476" s="763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40">
        <f>14180+3350+1300+2300+1120+1360+19790+1760-1120+5385</f>
        <v>49425</v>
      </c>
      <c r="O476" s="498"/>
      <c r="P476" s="49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</row>
    <row r="477" spans="1:26" ht="18.75">
      <c r="A477" s="597"/>
      <c r="B477" s="575"/>
      <c r="C477" s="575"/>
      <c r="D477" s="606" t="s">
        <v>21</v>
      </c>
      <c r="E477" s="575"/>
      <c r="F477" s="575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</row>
    <row r="478" spans="1:26" ht="18.75" hidden="1">
      <c r="A478" s="599"/>
      <c r="B478" s="607"/>
      <c r="C478" s="607"/>
      <c r="D478" s="607"/>
      <c r="E478" s="607" t="s">
        <v>18</v>
      </c>
      <c r="F478" s="607"/>
      <c r="G478" s="603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4"/>
      <c r="R478" s="604"/>
      <c r="S478" s="604"/>
      <c r="T478" s="604"/>
      <c r="U478" s="604"/>
      <c r="V478" s="604"/>
      <c r="W478" s="604"/>
      <c r="X478" s="604"/>
      <c r="Y478" s="604"/>
      <c r="Z478" s="604"/>
    </row>
    <row r="479" spans="1:26" ht="18.75" hidden="1">
      <c r="A479" s="599"/>
      <c r="B479" s="607"/>
      <c r="C479" s="607"/>
      <c r="D479" s="607"/>
      <c r="E479" s="607" t="s">
        <v>19</v>
      </c>
      <c r="F479" s="607"/>
      <c r="G479" s="603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4"/>
      <c r="R479" s="604"/>
      <c r="S479" s="604"/>
      <c r="T479" s="604"/>
      <c r="U479" s="604"/>
      <c r="V479" s="604"/>
      <c r="W479" s="604"/>
      <c r="X479" s="604"/>
      <c r="Y479" s="604"/>
      <c r="Z479" s="604"/>
    </row>
    <row r="480" spans="1:26" ht="19.5">
      <c r="A480" s="608"/>
      <c r="B480" s="618"/>
      <c r="C480" s="575" t="s">
        <v>16</v>
      </c>
      <c r="D480" s="894" t="s">
        <v>38</v>
      </c>
      <c r="E480" s="611"/>
      <c r="F480" s="761"/>
      <c r="G480" s="613"/>
      <c r="H480" s="762"/>
      <c r="I480" s="270"/>
      <c r="J480" s="270"/>
      <c r="K480" s="498"/>
      <c r="L480" s="498"/>
      <c r="M480" s="498"/>
      <c r="N480" s="498"/>
      <c r="O480" s="498"/>
      <c r="P480" s="49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</row>
    <row r="481" spans="1:26" ht="19.5">
      <c r="A481" s="608"/>
      <c r="B481" s="618"/>
      <c r="C481" s="618"/>
      <c r="D481" s="625" t="s">
        <v>207</v>
      </c>
      <c r="E481" s="618"/>
      <c r="F481" s="618"/>
      <c r="G481" s="762"/>
      <c r="H481" s="189"/>
      <c r="I481" s="270"/>
      <c r="J481" s="270"/>
      <c r="K481" s="498"/>
      <c r="L481" s="498"/>
      <c r="M481" s="498"/>
      <c r="N481" s="498"/>
      <c r="O481" s="498"/>
      <c r="P481" s="49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</row>
    <row r="482" spans="1:26" ht="18.75">
      <c r="A482" s="608"/>
      <c r="B482" s="618"/>
      <c r="C482" s="618"/>
      <c r="D482" s="618"/>
      <c r="E482" s="618" t="s">
        <v>208</v>
      </c>
      <c r="F482" s="618"/>
      <c r="G482" s="762"/>
      <c r="H482" s="189"/>
      <c r="I482" s="270"/>
      <c r="J482" s="270"/>
      <c r="K482" s="498"/>
      <c r="L482" s="498"/>
      <c r="M482" s="498"/>
      <c r="N482" s="498"/>
      <c r="O482" s="498"/>
      <c r="P482" s="49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</row>
    <row r="483" spans="1:26" ht="18.75">
      <c r="A483" s="608"/>
      <c r="B483" s="618"/>
      <c r="C483" s="618"/>
      <c r="D483" s="618"/>
      <c r="E483" s="618"/>
      <c r="F483" s="618" t="s">
        <v>209</v>
      </c>
      <c r="G483" s="762"/>
      <c r="H483" s="623" t="s">
        <v>46</v>
      </c>
      <c r="I483" s="270">
        <f ca="1">IFERROR(__xludf.DUMMYFUNCTION("IMPORTRANGE(""https://docs.google.com/spreadsheets/d/1QqKyyYR6Q21VydFLVH3TRQUabQu_ym0Zz7PgGX0-kHA/edit?usp=sharing"",""แผน!FY41"")"),540)</f>
        <v>540</v>
      </c>
      <c r="J483" s="215">
        <v>540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</row>
    <row r="484" spans="1:26" ht="18.75">
      <c r="A484" s="608"/>
      <c r="B484" s="618"/>
      <c r="C484" s="618"/>
      <c r="D484" s="618"/>
      <c r="E484" s="618"/>
      <c r="F484" s="618" t="s">
        <v>210</v>
      </c>
      <c r="G484" s="762"/>
      <c r="H484" s="623" t="s">
        <v>35</v>
      </c>
      <c r="I484" s="270"/>
      <c r="J484" s="215"/>
      <c r="K484" s="498"/>
      <c r="L484" s="498"/>
      <c r="M484" s="498"/>
      <c r="N484" s="498"/>
      <c r="O484" s="498"/>
      <c r="P484" s="49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</row>
    <row r="485" spans="1:26" ht="18.75">
      <c r="A485" s="608"/>
      <c r="B485" s="618"/>
      <c r="C485" s="618"/>
      <c r="D485" s="618"/>
      <c r="E485" s="618"/>
      <c r="F485" s="618" t="s">
        <v>211</v>
      </c>
      <c r="G485" s="762"/>
      <c r="H485" s="623" t="s">
        <v>35</v>
      </c>
      <c r="I485" s="270">
        <f ca="1">IFERROR(__xludf.DUMMYFUNCTION("IMPORTRANGE(""https://docs.google.com/spreadsheets/d/1QqKyyYR6Q21VydFLVH3TRQUabQu_ym0Zz7PgGX0-kHA/edit?usp=sharing"",""แผน!FZ41"")"),54)</f>
        <v>54</v>
      </c>
      <c r="J485" s="215">
        <v>54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</row>
    <row r="486" spans="1:26" ht="18.75">
      <c r="A486" s="608"/>
      <c r="B486" s="618"/>
      <c r="C486" s="618"/>
      <c r="D486" s="618"/>
      <c r="E486" s="618" t="s">
        <v>62</v>
      </c>
      <c r="F486" s="618"/>
      <c r="G486" s="762"/>
      <c r="H486" s="623"/>
      <c r="I486" s="270"/>
      <c r="J486" s="270"/>
      <c r="K486" s="498"/>
      <c r="L486" s="498"/>
      <c r="M486" s="498"/>
      <c r="N486" s="498"/>
      <c r="O486" s="498"/>
      <c r="P486" s="49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</row>
    <row r="487" spans="1:26" ht="18.75">
      <c r="A487" s="608"/>
      <c r="B487" s="618"/>
      <c r="C487" s="618"/>
      <c r="D487" s="618"/>
      <c r="E487" s="618"/>
      <c r="F487" s="618" t="s">
        <v>209</v>
      </c>
      <c r="G487" s="762"/>
      <c r="H487" s="623" t="s">
        <v>46</v>
      </c>
      <c r="I487" s="270">
        <f ca="1">IFERROR(__xludf.DUMMYFUNCTION("IMPORTRANGE(""https://docs.google.com/spreadsheets/d/1QqKyyYR6Q21VydFLVH3TRQUabQu_ym0Zz7PgGX0-kHA/edit?usp=sharing"",""แผน!GA41"")"),60)</f>
        <v>60</v>
      </c>
      <c r="J487" s="215">
        <v>60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</row>
    <row r="488" spans="1:26" ht="18.75">
      <c r="A488" s="608"/>
      <c r="B488" s="618"/>
      <c r="C488" s="618"/>
      <c r="D488" s="618"/>
      <c r="E488" s="618"/>
      <c r="F488" s="618" t="s">
        <v>212</v>
      </c>
      <c r="G488" s="762"/>
      <c r="H488" s="623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</row>
    <row r="489" spans="1:26" ht="18.75">
      <c r="A489" s="608"/>
      <c r="B489" s="618"/>
      <c r="C489" s="618"/>
      <c r="D489" s="618"/>
      <c r="E489" s="618"/>
      <c r="F489" s="618" t="s">
        <v>213</v>
      </c>
      <c r="G489" s="762"/>
      <c r="H489" s="623" t="s">
        <v>35</v>
      </c>
      <c r="I489" s="270">
        <f ca="1">IFERROR(__xludf.DUMMYFUNCTION("IMPORTRANGE(""https://docs.google.com/spreadsheets/d/1QqKyyYR6Q21VydFLVH3TRQUabQu_ym0Zz7PgGX0-kHA/edit?usp=sharing"",""แผน!GB41"")"),6)</f>
        <v>6</v>
      </c>
      <c r="J489" s="215">
        <v>6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</row>
    <row r="490" spans="1:26" ht="18.75">
      <c r="A490" s="608"/>
      <c r="B490" s="618"/>
      <c r="C490" s="618"/>
      <c r="D490" s="618"/>
      <c r="E490" s="618" t="s">
        <v>63</v>
      </c>
      <c r="F490" s="626"/>
      <c r="G490" s="762"/>
      <c r="H490" s="623"/>
      <c r="I490" s="270"/>
      <c r="J490" s="270"/>
      <c r="K490" s="498"/>
      <c r="L490" s="498"/>
      <c r="M490" s="498"/>
      <c r="N490" s="498"/>
      <c r="O490" s="498"/>
      <c r="P490" s="49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</row>
    <row r="491" spans="1:26" ht="18.75">
      <c r="A491" s="608"/>
      <c r="B491" s="618"/>
      <c r="C491" s="618"/>
      <c r="D491" s="618"/>
      <c r="E491" s="618"/>
      <c r="F491" s="618" t="s">
        <v>214</v>
      </c>
      <c r="G491" s="762"/>
      <c r="H491" s="623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</row>
    <row r="492" spans="1:26" ht="18.75">
      <c r="A492" s="608"/>
      <c r="B492" s="618"/>
      <c r="C492" s="618"/>
      <c r="D492" s="618"/>
      <c r="E492" s="618"/>
      <c r="F492" s="618" t="s">
        <v>215</v>
      </c>
      <c r="G492" s="762"/>
      <c r="H492" s="623" t="s">
        <v>35</v>
      </c>
      <c r="I492" s="270">
        <f ca="1">IFERROR(__xludf.DUMMYFUNCTION("IMPORTRANGE(""https://docs.google.com/spreadsheets/d/1QqKyyYR6Q21VydFLVH3TRQUabQu_ym0Zz7PgGX0-kHA/edit?usp=sharing"",""แผน!GC41"")"),1)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</row>
    <row r="493" spans="1:26" ht="19.5">
      <c r="A493" s="608"/>
      <c r="B493" s="618"/>
      <c r="C493" s="618"/>
      <c r="D493" s="625" t="s">
        <v>59</v>
      </c>
      <c r="E493" s="618"/>
      <c r="F493" s="626"/>
      <c r="G493" s="762"/>
      <c r="H493" s="189"/>
      <c r="I493" s="270"/>
      <c r="J493" s="270"/>
      <c r="K493" s="498"/>
      <c r="L493" s="498"/>
      <c r="M493" s="498"/>
      <c r="N493" s="498"/>
      <c r="O493" s="498"/>
      <c r="P493" s="49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</row>
    <row r="494" spans="1:26" ht="18.75">
      <c r="A494" s="608"/>
      <c r="B494" s="618"/>
      <c r="C494" s="618"/>
      <c r="D494" s="618"/>
      <c r="E494" s="618" t="s">
        <v>208</v>
      </c>
      <c r="F494" s="626"/>
      <c r="G494" s="762"/>
      <c r="H494" s="189"/>
      <c r="I494" s="270"/>
      <c r="J494" s="270"/>
      <c r="K494" s="498"/>
      <c r="L494" s="498"/>
      <c r="M494" s="498"/>
      <c r="N494" s="498"/>
      <c r="O494" s="498"/>
      <c r="P494" s="49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</row>
    <row r="495" spans="1:26" ht="18.75">
      <c r="A495" s="608"/>
      <c r="B495" s="618"/>
      <c r="C495" s="618"/>
      <c r="D495" s="618"/>
      <c r="E495" s="618"/>
      <c r="F495" s="626" t="s">
        <v>216</v>
      </c>
      <c r="G495" s="762"/>
      <c r="H495" s="623" t="s">
        <v>46</v>
      </c>
      <c r="I495" s="270">
        <f ca="1">IFERROR(__xludf.DUMMYFUNCTION("IMPORTRANGE(""https://docs.google.com/spreadsheets/d/1QqKyyYR6Q21VydFLVH3TRQUabQu_ym0Zz7PgGX0-kHA/edit?usp=sharing"",""แผน!FY41"")"),540)</f>
        <v>540</v>
      </c>
      <c r="J495" s="215">
        <v>540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</row>
    <row r="496" spans="1:26" ht="18.75">
      <c r="A496" s="608"/>
      <c r="B496" s="618"/>
      <c r="C496" s="618"/>
      <c r="D496" s="618"/>
      <c r="E496" s="618"/>
      <c r="F496" s="626" t="s">
        <v>217</v>
      </c>
      <c r="G496" s="762"/>
      <c r="H496" s="623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</row>
    <row r="497" spans="1:26" ht="18.75">
      <c r="A497" s="608"/>
      <c r="B497" s="618"/>
      <c r="C497" s="618"/>
      <c r="D497" s="618"/>
      <c r="E497" s="618" t="s">
        <v>62</v>
      </c>
      <c r="F497" s="626"/>
      <c r="G497" s="762"/>
      <c r="H497" s="189"/>
      <c r="I497" s="270"/>
      <c r="J497" s="270"/>
      <c r="K497" s="498"/>
      <c r="L497" s="498"/>
      <c r="M497" s="498"/>
      <c r="N497" s="498"/>
      <c r="O497" s="498"/>
      <c r="P497" s="49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</row>
    <row r="498" spans="1:26" ht="18.75">
      <c r="A498" s="608"/>
      <c r="B498" s="618"/>
      <c r="C498" s="618"/>
      <c r="D498" s="618"/>
      <c r="E498" s="626"/>
      <c r="F498" s="626" t="s">
        <v>218</v>
      </c>
      <c r="G498" s="762"/>
      <c r="H498" s="623" t="s">
        <v>46</v>
      </c>
      <c r="I498" s="270">
        <f ca="1">IFERROR(__xludf.DUMMYFUNCTION("IMPORTRANGE(""https://docs.google.com/spreadsheets/d/1QqKyyYR6Q21VydFLVH3TRQUabQu_ym0Zz7PgGX0-kHA/edit?usp=sharing"",""แผน!GA41"")"),60)</f>
        <v>60</v>
      </c>
      <c r="J498" s="215">
        <v>60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</row>
    <row r="499" spans="1:26" ht="18.75">
      <c r="A499" s="608"/>
      <c r="B499" s="618"/>
      <c r="C499" s="618"/>
      <c r="D499" s="618"/>
      <c r="E499" s="626"/>
      <c r="F499" s="626" t="s">
        <v>219</v>
      </c>
      <c r="G499" s="762"/>
      <c r="H499" s="623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</row>
    <row r="500" spans="1:26" ht="19.5" hidden="1">
      <c r="A500" s="627">
        <v>4</v>
      </c>
      <c r="B500" s="628" t="s">
        <v>220</v>
      </c>
      <c r="C500" s="629"/>
      <c r="D500" s="630"/>
      <c r="E500" s="630"/>
      <c r="F500" s="630"/>
      <c r="G500" s="631"/>
      <c r="H500" s="632" t="s">
        <v>109</v>
      </c>
      <c r="I500" s="633"/>
      <c r="J500" s="633">
        <f t="shared" ref="J500:J501" si="214">J516</f>
        <v>0</v>
      </c>
      <c r="K500" s="634">
        <f t="shared" ref="K500:K501" si="215">IF(I500&gt;0,J500*100/I500,0)</f>
        <v>0</v>
      </c>
      <c r="L500" s="635"/>
      <c r="M500" s="635"/>
      <c r="N500" s="635"/>
      <c r="O500" s="635"/>
      <c r="P500" s="635"/>
      <c r="Q500" s="604"/>
      <c r="R500" s="604"/>
      <c r="S500" s="604"/>
      <c r="T500" s="604"/>
      <c r="U500" s="604"/>
      <c r="V500" s="604"/>
      <c r="W500" s="604"/>
      <c r="X500" s="604"/>
      <c r="Y500" s="604"/>
      <c r="Z500" s="604"/>
    </row>
    <row r="501" spans="1:26" ht="19.5" hidden="1">
      <c r="A501" s="636"/>
      <c r="B501" s="638" t="s">
        <v>221</v>
      </c>
      <c r="C501" s="638"/>
      <c r="D501" s="639"/>
      <c r="E501" s="639"/>
      <c r="F501" s="639"/>
      <c r="G501" s="640"/>
      <c r="H501" s="641" t="s">
        <v>35</v>
      </c>
      <c r="I501" s="642"/>
      <c r="J501" s="642">
        <f t="shared" si="214"/>
        <v>0</v>
      </c>
      <c r="K501" s="643">
        <f t="shared" si="215"/>
        <v>0</v>
      </c>
      <c r="L501" s="644"/>
      <c r="M501" s="644"/>
      <c r="N501" s="644"/>
      <c r="O501" s="644"/>
      <c r="P501" s="64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</row>
    <row r="502" spans="1:26" ht="19.5" hidden="1">
      <c r="A502" s="599"/>
      <c r="B502" s="759"/>
      <c r="C502" s="759" t="s">
        <v>16</v>
      </c>
      <c r="D502" s="864" t="s">
        <v>17</v>
      </c>
      <c r="E502" s="857"/>
      <c r="F502" s="857"/>
      <c r="G502" s="603"/>
      <c r="H502" s="646" t="s">
        <v>12</v>
      </c>
      <c r="I502" s="617"/>
      <c r="J502" s="617"/>
      <c r="K502" s="93"/>
      <c r="L502" s="647">
        <f t="shared" ref="L502:N502" si="216">L503+L504</f>
        <v>0</v>
      </c>
      <c r="M502" s="647">
        <f t="shared" si="216"/>
        <v>0</v>
      </c>
      <c r="N502" s="647">
        <f t="shared" si="216"/>
        <v>0</v>
      </c>
      <c r="O502" s="647">
        <f t="shared" ref="O502:O507" si="217">IF(L502&gt;0,N502*100/L502,0)</f>
        <v>0</v>
      </c>
      <c r="P502" s="647">
        <f t="shared" ref="P502:P507" si="218">IF(M502&gt;0,N502*100/M502,0)</f>
        <v>0</v>
      </c>
      <c r="Q502" s="604"/>
      <c r="R502" s="604"/>
      <c r="S502" s="604"/>
      <c r="T502" s="604"/>
      <c r="U502" s="604"/>
      <c r="V502" s="604"/>
      <c r="W502" s="604"/>
      <c r="X502" s="604"/>
      <c r="Y502" s="604"/>
      <c r="Z502" s="604"/>
    </row>
    <row r="503" spans="1:26" ht="18.75" hidden="1">
      <c r="A503" s="599"/>
      <c r="B503" s="759"/>
      <c r="C503" s="759"/>
      <c r="D503" s="720"/>
      <c r="E503" s="759" t="s">
        <v>185</v>
      </c>
      <c r="F503" s="759"/>
      <c r="G503" s="603"/>
      <c r="H503" s="165" t="s">
        <v>12</v>
      </c>
      <c r="I503" s="617"/>
      <c r="J503" s="617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4"/>
      <c r="R503" s="604"/>
      <c r="S503" s="604"/>
      <c r="T503" s="604"/>
      <c r="U503" s="604"/>
      <c r="V503" s="604"/>
      <c r="W503" s="604"/>
      <c r="X503" s="604"/>
      <c r="Y503" s="604"/>
      <c r="Z503" s="604"/>
    </row>
    <row r="504" spans="1:26" ht="18.75" hidden="1">
      <c r="A504" s="599"/>
      <c r="B504" s="607"/>
      <c r="C504" s="759"/>
      <c r="D504" s="720"/>
      <c r="E504" s="759" t="s">
        <v>186</v>
      </c>
      <c r="F504" s="759"/>
      <c r="G504" s="603"/>
      <c r="H504" s="165" t="s">
        <v>12</v>
      </c>
      <c r="I504" s="617"/>
      <c r="J504" s="617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4"/>
      <c r="R504" s="604"/>
      <c r="S504" s="604"/>
      <c r="T504" s="604"/>
      <c r="U504" s="604"/>
      <c r="V504" s="604"/>
      <c r="W504" s="604"/>
      <c r="X504" s="604"/>
      <c r="Y504" s="604"/>
      <c r="Z504" s="604"/>
    </row>
    <row r="505" spans="1:26" ht="18.75" hidden="1">
      <c r="A505" s="599"/>
      <c r="B505" s="607"/>
      <c r="C505" s="759"/>
      <c r="D505" s="648" t="s">
        <v>20</v>
      </c>
      <c r="E505" s="759"/>
      <c r="F505" s="759"/>
      <c r="G505" s="603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4"/>
      <c r="R505" s="604"/>
      <c r="S505" s="604"/>
      <c r="T505" s="604"/>
      <c r="U505" s="604"/>
      <c r="V505" s="604"/>
      <c r="W505" s="604"/>
      <c r="X505" s="604"/>
      <c r="Y505" s="604"/>
      <c r="Z505" s="604"/>
    </row>
    <row r="506" spans="1:26" ht="18.75" hidden="1">
      <c r="A506" s="599"/>
      <c r="B506" s="607"/>
      <c r="C506" s="759"/>
      <c r="D506" s="720"/>
      <c r="E506" s="759" t="s">
        <v>185</v>
      </c>
      <c r="F506" s="759"/>
      <c r="G506" s="603"/>
      <c r="H506" s="165" t="s">
        <v>12</v>
      </c>
      <c r="I506" s="617"/>
      <c r="J506" s="617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4"/>
      <c r="R506" s="604"/>
      <c r="S506" s="604"/>
      <c r="T506" s="604"/>
      <c r="U506" s="604"/>
      <c r="V506" s="604"/>
      <c r="W506" s="604"/>
      <c r="X506" s="604"/>
      <c r="Y506" s="604"/>
      <c r="Z506" s="604"/>
    </row>
    <row r="507" spans="1:26" ht="18.75" hidden="1">
      <c r="A507" s="599"/>
      <c r="B507" s="607"/>
      <c r="C507" s="759"/>
      <c r="D507" s="720"/>
      <c r="E507" s="759" t="s">
        <v>186</v>
      </c>
      <c r="F507" s="759"/>
      <c r="G507" s="603"/>
      <c r="H507" s="165" t="s">
        <v>12</v>
      </c>
      <c r="I507" s="617"/>
      <c r="J507" s="617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4"/>
      <c r="R507" s="604"/>
      <c r="S507" s="604"/>
      <c r="T507" s="604"/>
      <c r="U507" s="604"/>
      <c r="V507" s="604"/>
      <c r="W507" s="604"/>
      <c r="X507" s="604"/>
      <c r="Y507" s="604"/>
      <c r="Z507" s="604"/>
    </row>
    <row r="508" spans="1:26" ht="18.75" hidden="1">
      <c r="A508" s="649"/>
      <c r="B508" s="607"/>
      <c r="C508" s="759"/>
      <c r="D508" s="759"/>
      <c r="E508" s="759"/>
      <c r="F508" s="759" t="s">
        <v>187</v>
      </c>
      <c r="G508" s="603"/>
      <c r="H508" s="165" t="s">
        <v>12</v>
      </c>
      <c r="I508" s="617"/>
      <c r="J508" s="617"/>
      <c r="K508" s="93"/>
      <c r="L508" s="93"/>
      <c r="M508" s="93"/>
      <c r="N508" s="93">
        <v>0</v>
      </c>
      <c r="O508" s="93"/>
      <c r="P508" s="93"/>
      <c r="Q508" s="604"/>
      <c r="R508" s="604"/>
      <c r="S508" s="604"/>
      <c r="T508" s="604"/>
      <c r="U508" s="604"/>
      <c r="V508" s="604"/>
      <c r="W508" s="604"/>
      <c r="X508" s="604"/>
      <c r="Y508" s="604"/>
      <c r="Z508" s="604"/>
    </row>
    <row r="509" spans="1:26" ht="18.75" hidden="1">
      <c r="A509" s="649"/>
      <c r="B509" s="607"/>
      <c r="C509" s="759"/>
      <c r="D509" s="759"/>
      <c r="E509" s="759"/>
      <c r="F509" s="759" t="s">
        <v>188</v>
      </c>
      <c r="G509" s="603"/>
      <c r="H509" s="165" t="s">
        <v>12</v>
      </c>
      <c r="I509" s="617"/>
      <c r="J509" s="617"/>
      <c r="K509" s="93"/>
      <c r="L509" s="93"/>
      <c r="M509" s="93"/>
      <c r="N509" s="93">
        <v>0</v>
      </c>
      <c r="O509" s="93"/>
      <c r="P509" s="93"/>
      <c r="Q509" s="604"/>
      <c r="R509" s="604"/>
      <c r="S509" s="604"/>
      <c r="T509" s="604"/>
      <c r="U509" s="604"/>
      <c r="V509" s="604"/>
      <c r="W509" s="604"/>
      <c r="X509" s="604"/>
      <c r="Y509" s="604"/>
      <c r="Z509" s="604"/>
    </row>
    <row r="510" spans="1:26" ht="18.75" hidden="1">
      <c r="A510" s="649"/>
      <c r="B510" s="607"/>
      <c r="C510" s="607"/>
      <c r="D510" s="607"/>
      <c r="E510" s="759"/>
      <c r="F510" s="759" t="s">
        <v>189</v>
      </c>
      <c r="G510" s="603"/>
      <c r="H510" s="165" t="s">
        <v>12</v>
      </c>
      <c r="I510" s="617"/>
      <c r="J510" s="617"/>
      <c r="K510" s="93"/>
      <c r="L510" s="93"/>
      <c r="M510" s="93"/>
      <c r="N510" s="93">
        <v>0</v>
      </c>
      <c r="O510" s="93"/>
      <c r="P510" s="93"/>
      <c r="Q510" s="604"/>
      <c r="R510" s="604"/>
      <c r="S510" s="604"/>
      <c r="T510" s="604"/>
      <c r="U510" s="604"/>
      <c r="V510" s="604"/>
      <c r="W510" s="604"/>
      <c r="X510" s="604"/>
      <c r="Y510" s="604"/>
      <c r="Z510" s="604"/>
    </row>
    <row r="511" spans="1:26" ht="18.75" hidden="1">
      <c r="A511" s="649"/>
      <c r="B511" s="607"/>
      <c r="C511" s="607"/>
      <c r="D511" s="607"/>
      <c r="E511" s="759"/>
      <c r="F511" s="759" t="s">
        <v>190</v>
      </c>
      <c r="G511" s="603"/>
      <c r="H511" s="165" t="s">
        <v>12</v>
      </c>
      <c r="I511" s="617"/>
      <c r="J511" s="617"/>
      <c r="K511" s="93"/>
      <c r="L511" s="93"/>
      <c r="M511" s="93"/>
      <c r="N511" s="93">
        <v>0</v>
      </c>
      <c r="O511" s="93"/>
      <c r="P511" s="93"/>
      <c r="Q511" s="604"/>
      <c r="R511" s="604"/>
      <c r="S511" s="604"/>
      <c r="T511" s="604"/>
      <c r="U511" s="604"/>
      <c r="V511" s="604"/>
      <c r="W511" s="604"/>
      <c r="X511" s="604"/>
      <c r="Y511" s="604"/>
      <c r="Z511" s="604"/>
    </row>
    <row r="512" spans="1:26" ht="18.75" hidden="1">
      <c r="A512" s="599"/>
      <c r="B512" s="607"/>
      <c r="C512" s="607"/>
      <c r="D512" s="648" t="s">
        <v>21</v>
      </c>
      <c r="E512" s="607"/>
      <c r="F512" s="759"/>
      <c r="G512" s="603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4"/>
      <c r="R512" s="604"/>
      <c r="S512" s="604"/>
      <c r="T512" s="604"/>
      <c r="U512" s="604"/>
      <c r="V512" s="604"/>
      <c r="W512" s="604"/>
      <c r="X512" s="604"/>
      <c r="Y512" s="604"/>
      <c r="Z512" s="604"/>
    </row>
    <row r="513" spans="1:26" ht="18.75" hidden="1">
      <c r="A513" s="599"/>
      <c r="B513" s="607"/>
      <c r="C513" s="607"/>
      <c r="D513" s="607"/>
      <c r="E513" s="607" t="s">
        <v>18</v>
      </c>
      <c r="F513" s="759"/>
      <c r="G513" s="603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4"/>
      <c r="R513" s="604"/>
      <c r="S513" s="604"/>
      <c r="T513" s="604"/>
      <c r="U513" s="604"/>
      <c r="V513" s="604"/>
      <c r="W513" s="604"/>
      <c r="X513" s="604"/>
      <c r="Y513" s="604"/>
      <c r="Z513" s="604"/>
    </row>
    <row r="514" spans="1:26" ht="18.75" hidden="1">
      <c r="A514" s="599"/>
      <c r="B514" s="607"/>
      <c r="C514" s="607"/>
      <c r="D514" s="759"/>
      <c r="E514" s="607" t="s">
        <v>19</v>
      </c>
      <c r="F514" s="759"/>
      <c r="G514" s="603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4"/>
      <c r="R514" s="604"/>
      <c r="S514" s="604"/>
      <c r="T514" s="604"/>
      <c r="U514" s="604"/>
      <c r="V514" s="604"/>
      <c r="W514" s="604"/>
      <c r="X514" s="604"/>
      <c r="Y514" s="604"/>
      <c r="Z514" s="604"/>
    </row>
    <row r="515" spans="1:26" ht="19.5" hidden="1">
      <c r="A515" s="614"/>
      <c r="B515" s="616"/>
      <c r="C515" s="607" t="s">
        <v>16</v>
      </c>
      <c r="D515" s="895" t="s">
        <v>38</v>
      </c>
      <c r="E515" s="651"/>
      <c r="F515" s="651"/>
      <c r="G515" s="652"/>
      <c r="H515" s="366"/>
      <c r="I515" s="166"/>
      <c r="J515" s="166"/>
      <c r="K515" s="167"/>
      <c r="L515" s="167"/>
      <c r="M515" s="167"/>
      <c r="N515" s="167"/>
      <c r="O515" s="167"/>
      <c r="P515" s="167"/>
      <c r="Q515" s="604"/>
      <c r="R515" s="604"/>
      <c r="S515" s="604"/>
      <c r="T515" s="604"/>
      <c r="U515" s="604"/>
      <c r="V515" s="604"/>
      <c r="W515" s="604"/>
      <c r="X515" s="604"/>
      <c r="Y515" s="604"/>
      <c r="Z515" s="604"/>
    </row>
    <row r="516" spans="1:26" ht="18.75" hidden="1">
      <c r="A516" s="614"/>
      <c r="B516" s="616"/>
      <c r="C516" s="616"/>
      <c r="D516" s="616" t="s">
        <v>222</v>
      </c>
      <c r="E516" s="720"/>
      <c r="F516" s="720"/>
      <c r="G516" s="366"/>
      <c r="H516" s="653" t="s">
        <v>109</v>
      </c>
      <c r="I516" s="617"/>
      <c r="J516" s="617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4"/>
      <c r="R516" s="604"/>
      <c r="S516" s="604"/>
      <c r="T516" s="604"/>
      <c r="U516" s="604"/>
      <c r="V516" s="604"/>
      <c r="W516" s="604"/>
      <c r="X516" s="604"/>
      <c r="Y516" s="604"/>
      <c r="Z516" s="604"/>
    </row>
    <row r="517" spans="1:26" ht="19.5" hidden="1">
      <c r="A517" s="614"/>
      <c r="B517" s="616"/>
      <c r="C517" s="616"/>
      <c r="D517" s="616" t="s">
        <v>223</v>
      </c>
      <c r="E517" s="720"/>
      <c r="F517" s="720"/>
      <c r="G517" s="366"/>
      <c r="H517" s="654" t="s">
        <v>35</v>
      </c>
      <c r="I517" s="655"/>
      <c r="J517" s="655">
        <f>J518+J519</f>
        <v>0</v>
      </c>
      <c r="K517" s="656">
        <f t="shared" si="224"/>
        <v>0</v>
      </c>
      <c r="L517" s="167"/>
      <c r="M517" s="167"/>
      <c r="N517" s="167"/>
      <c r="O517" s="167"/>
      <c r="P517" s="167"/>
      <c r="Q517" s="604"/>
      <c r="R517" s="604"/>
      <c r="S517" s="604"/>
      <c r="T517" s="604"/>
      <c r="U517" s="604"/>
      <c r="V517" s="604"/>
      <c r="W517" s="604"/>
      <c r="X517" s="604"/>
      <c r="Y517" s="604"/>
      <c r="Z517" s="604"/>
    </row>
    <row r="518" spans="1:26" ht="18.75" hidden="1">
      <c r="A518" s="614"/>
      <c r="B518" s="616"/>
      <c r="C518" s="616"/>
      <c r="D518" s="616"/>
      <c r="E518" s="616" t="s">
        <v>224</v>
      </c>
      <c r="F518" s="720"/>
      <c r="G518" s="366"/>
      <c r="H518" s="370" t="s">
        <v>35</v>
      </c>
      <c r="I518" s="617"/>
      <c r="J518" s="617"/>
      <c r="K518" s="167"/>
      <c r="L518" s="167"/>
      <c r="M518" s="167"/>
      <c r="N518" s="167"/>
      <c r="O518" s="167"/>
      <c r="P518" s="167"/>
      <c r="Q518" s="604"/>
      <c r="R518" s="604"/>
      <c r="S518" s="604"/>
      <c r="T518" s="604"/>
      <c r="U518" s="604"/>
      <c r="V518" s="604"/>
      <c r="W518" s="604"/>
      <c r="X518" s="604"/>
      <c r="Y518" s="604"/>
      <c r="Z518" s="604"/>
    </row>
    <row r="519" spans="1:26" ht="18.75" hidden="1">
      <c r="A519" s="614"/>
      <c r="B519" s="616"/>
      <c r="C519" s="616"/>
      <c r="D519" s="616"/>
      <c r="E519" s="616" t="s">
        <v>225</v>
      </c>
      <c r="F519" s="720"/>
      <c r="G519" s="366"/>
      <c r="H519" s="653" t="s">
        <v>35</v>
      </c>
      <c r="I519" s="617"/>
      <c r="J519" s="617"/>
      <c r="K519" s="167"/>
      <c r="L519" s="167"/>
      <c r="M519" s="167"/>
      <c r="N519" s="167"/>
      <c r="O519" s="167"/>
      <c r="P519" s="167"/>
      <c r="Q519" s="604"/>
      <c r="R519" s="604"/>
      <c r="S519" s="604"/>
      <c r="T519" s="604"/>
      <c r="U519" s="604"/>
      <c r="V519" s="604"/>
      <c r="W519" s="604"/>
      <c r="X519" s="604"/>
      <c r="Y519" s="604"/>
      <c r="Z519" s="604"/>
    </row>
    <row r="520" spans="1:26" ht="19.5">
      <c r="A520" s="657" t="s">
        <v>137</v>
      </c>
      <c r="B520" s="658"/>
      <c r="C520" s="658"/>
      <c r="D520" s="659"/>
      <c r="E520" s="659"/>
      <c r="F520" s="659"/>
      <c r="G520" s="660"/>
      <c r="H520" s="661"/>
      <c r="I520" s="662"/>
      <c r="J520" s="662"/>
      <c r="K520" s="663"/>
      <c r="L520" s="663"/>
      <c r="M520" s="663"/>
      <c r="N520" s="663"/>
      <c r="O520" s="663"/>
      <c r="P520" s="663"/>
    </row>
    <row r="521" spans="1:26" ht="19.5" hidden="1">
      <c r="A521" s="664">
        <v>5</v>
      </c>
      <c r="B521" s="665" t="s">
        <v>226</v>
      </c>
      <c r="C521" s="666"/>
      <c r="D521" s="667"/>
      <c r="E521" s="667"/>
      <c r="F521" s="667"/>
      <c r="G521" s="667"/>
      <c r="H521" s="668"/>
      <c r="I521" s="669"/>
      <c r="J521" s="669"/>
      <c r="K521" s="670"/>
      <c r="L521" s="670"/>
      <c r="M521" s="670"/>
      <c r="N521" s="670"/>
      <c r="O521" s="670"/>
      <c r="P521" s="670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</row>
    <row r="522" spans="1:26" ht="19.5" hidden="1">
      <c r="A522" s="671"/>
      <c r="B522" s="672" t="s">
        <v>227</v>
      </c>
      <c r="C522" s="673"/>
      <c r="D522" s="673"/>
      <c r="E522" s="673"/>
      <c r="F522" s="673"/>
      <c r="G522" s="674"/>
      <c r="H522" s="675" t="s">
        <v>35</v>
      </c>
      <c r="I522" s="708">
        <f t="shared" ref="I522:J522" ca="1" si="225">I537</f>
        <v>0</v>
      </c>
      <c r="J522" s="708">
        <f t="shared" ca="1" si="225"/>
        <v>0</v>
      </c>
      <c r="K522" s="677">
        <f ca="1">IF(I522&gt;0,J522*100/I522,0)</f>
        <v>0</v>
      </c>
      <c r="L522" s="678"/>
      <c r="M522" s="678"/>
      <c r="N522" s="678"/>
      <c r="O522" s="678"/>
      <c r="P522" s="6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</row>
    <row r="523" spans="1:26" ht="19.5" hidden="1">
      <c r="A523" s="597"/>
      <c r="B523" s="763"/>
      <c r="C523" s="763" t="s">
        <v>16</v>
      </c>
      <c r="D523" s="863" t="s">
        <v>17</v>
      </c>
      <c r="E523" s="857"/>
      <c r="F523" s="857"/>
      <c r="G523" s="189"/>
      <c r="H523" s="598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</row>
    <row r="524" spans="1:26" ht="18.75" hidden="1">
      <c r="A524" s="599"/>
      <c r="B524" s="759"/>
      <c r="C524" s="759"/>
      <c r="D524" s="720"/>
      <c r="E524" s="759" t="s">
        <v>185</v>
      </c>
      <c r="F524" s="759"/>
      <c r="G524" s="603"/>
      <c r="H524" s="165" t="s">
        <v>12</v>
      </c>
      <c r="I524" s="617"/>
      <c r="J524" s="617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4"/>
      <c r="R524" s="604"/>
      <c r="S524" s="604"/>
      <c r="T524" s="604"/>
      <c r="U524" s="604"/>
      <c r="V524" s="604"/>
      <c r="W524" s="604"/>
      <c r="X524" s="604"/>
      <c r="Y524" s="604"/>
      <c r="Z524" s="604"/>
    </row>
    <row r="525" spans="1:26" ht="18.75" hidden="1">
      <c r="A525" s="599"/>
      <c r="B525" s="607"/>
      <c r="C525" s="759"/>
      <c r="D525" s="720"/>
      <c r="E525" s="759" t="s">
        <v>186</v>
      </c>
      <c r="F525" s="759"/>
      <c r="G525" s="603"/>
      <c r="H525" s="165" t="s">
        <v>12</v>
      </c>
      <c r="I525" s="617"/>
      <c r="J525" s="617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4"/>
      <c r="R525" s="604"/>
      <c r="S525" s="604"/>
      <c r="T525" s="604"/>
      <c r="U525" s="604"/>
      <c r="V525" s="604"/>
      <c r="W525" s="604"/>
      <c r="X525" s="604"/>
      <c r="Y525" s="604"/>
      <c r="Z525" s="604"/>
    </row>
    <row r="526" spans="1:26" ht="18.75" hidden="1">
      <c r="A526" s="597"/>
      <c r="B526" s="575"/>
      <c r="C526" s="763"/>
      <c r="D526" s="606" t="s">
        <v>20</v>
      </c>
      <c r="E526" s="763"/>
      <c r="F526" s="763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</row>
    <row r="527" spans="1:26" ht="18.75" hidden="1">
      <c r="A527" s="599"/>
      <c r="B527" s="607"/>
      <c r="C527" s="759"/>
      <c r="D527" s="720"/>
      <c r="E527" s="759" t="s">
        <v>185</v>
      </c>
      <c r="F527" s="759"/>
      <c r="G527" s="603"/>
      <c r="H527" s="165" t="s">
        <v>12</v>
      </c>
      <c r="I527" s="617"/>
      <c r="J527" s="617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4"/>
      <c r="R527" s="604"/>
      <c r="S527" s="604"/>
      <c r="T527" s="604"/>
      <c r="U527" s="604"/>
      <c r="V527" s="604"/>
      <c r="W527" s="604"/>
      <c r="X527" s="604"/>
      <c r="Y527" s="604"/>
      <c r="Z527" s="604"/>
    </row>
    <row r="528" spans="1:26" ht="18.75" hidden="1">
      <c r="A528" s="599"/>
      <c r="B528" s="607"/>
      <c r="C528" s="759"/>
      <c r="D528" s="720"/>
      <c r="E528" s="759" t="s">
        <v>186</v>
      </c>
      <c r="F528" s="759"/>
      <c r="G528" s="603"/>
      <c r="H528" s="165" t="s">
        <v>12</v>
      </c>
      <c r="I528" s="617"/>
      <c r="J528" s="617"/>
      <c r="K528" s="93"/>
      <c r="L528" s="93">
        <f ca="1">IFERROR(__xludf.DUMMYFUNCTION("IMPORTRANGE(""https://docs.google.com/spreadsheets/d/1QqKyyYR6Q21VydFLVH3TRQUabQu_ym0Zz7PgGX0-kHA/edit?usp=sharing"",""แผน!GQ41"")"),0)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4"/>
      <c r="R528" s="604"/>
      <c r="S528" s="604"/>
      <c r="T528" s="604"/>
      <c r="U528" s="604"/>
      <c r="V528" s="604"/>
      <c r="W528" s="604"/>
      <c r="X528" s="604"/>
      <c r="Y528" s="604"/>
      <c r="Z528" s="604"/>
    </row>
    <row r="529" spans="1:26" ht="18.75" hidden="1">
      <c r="A529" s="574"/>
      <c r="B529" s="575"/>
      <c r="C529" s="763"/>
      <c r="D529" s="763"/>
      <c r="E529" s="763"/>
      <c r="F529" s="763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40">
        <v>0</v>
      </c>
      <c r="O529" s="498"/>
      <c r="P529" s="49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</row>
    <row r="530" spans="1:26" ht="18.75" hidden="1">
      <c r="A530" s="574"/>
      <c r="B530" s="575"/>
      <c r="C530" s="763"/>
      <c r="D530" s="763"/>
      <c r="E530" s="763"/>
      <c r="F530" s="763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40">
        <v>0</v>
      </c>
      <c r="O530" s="498"/>
      <c r="P530" s="49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</row>
    <row r="531" spans="1:26" ht="18.75" hidden="1">
      <c r="A531" s="574"/>
      <c r="B531" s="575"/>
      <c r="C531" s="763"/>
      <c r="D531" s="763"/>
      <c r="E531" s="763"/>
      <c r="F531" s="763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40">
        <v>0</v>
      </c>
      <c r="O531" s="498"/>
      <c r="P531" s="49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</row>
    <row r="532" spans="1:26" ht="18.75" hidden="1">
      <c r="A532" s="574"/>
      <c r="B532" s="575"/>
      <c r="C532" s="763"/>
      <c r="D532" s="763"/>
      <c r="E532" s="763"/>
      <c r="F532" s="763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40">
        <v>0</v>
      </c>
      <c r="O532" s="498"/>
      <c r="P532" s="49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</row>
    <row r="533" spans="1:26" ht="18.75" hidden="1">
      <c r="A533" s="597"/>
      <c r="B533" s="575"/>
      <c r="C533" s="763"/>
      <c r="D533" s="606" t="s">
        <v>21</v>
      </c>
      <c r="E533" s="763"/>
      <c r="F533" s="763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</row>
    <row r="534" spans="1:26" ht="18.75" hidden="1">
      <c r="A534" s="599"/>
      <c r="B534" s="607"/>
      <c r="C534" s="759"/>
      <c r="D534" s="759"/>
      <c r="E534" s="759" t="s">
        <v>18</v>
      </c>
      <c r="F534" s="759"/>
      <c r="G534" s="603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4"/>
      <c r="R534" s="604"/>
      <c r="S534" s="604"/>
      <c r="T534" s="604"/>
      <c r="U534" s="604"/>
      <c r="V534" s="604"/>
      <c r="W534" s="604"/>
      <c r="X534" s="604"/>
      <c r="Y534" s="604"/>
      <c r="Z534" s="604"/>
    </row>
    <row r="535" spans="1:26" ht="18.75" hidden="1">
      <c r="A535" s="599"/>
      <c r="B535" s="607"/>
      <c r="C535" s="759"/>
      <c r="D535" s="759"/>
      <c r="E535" s="759" t="s">
        <v>19</v>
      </c>
      <c r="F535" s="759"/>
      <c r="G535" s="603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4"/>
      <c r="R535" s="604"/>
      <c r="S535" s="604"/>
      <c r="T535" s="604"/>
      <c r="U535" s="604"/>
      <c r="V535" s="604"/>
      <c r="W535" s="604"/>
      <c r="X535" s="604"/>
      <c r="Y535" s="604"/>
      <c r="Z535" s="604"/>
    </row>
    <row r="536" spans="1:26" ht="19.5" hidden="1">
      <c r="A536" s="608"/>
      <c r="B536" s="618"/>
      <c r="C536" s="763" t="s">
        <v>16</v>
      </c>
      <c r="D536" s="896" t="s">
        <v>38</v>
      </c>
      <c r="E536" s="761"/>
      <c r="F536" s="761"/>
      <c r="G536" s="613"/>
      <c r="H536" s="762"/>
      <c r="I536" s="184"/>
      <c r="J536" s="184"/>
      <c r="K536" s="163"/>
      <c r="L536" s="163"/>
      <c r="M536" s="163"/>
      <c r="N536" s="163"/>
      <c r="O536" s="163"/>
      <c r="P536" s="163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</row>
    <row r="537" spans="1:26" ht="19.5" hidden="1">
      <c r="A537" s="574"/>
      <c r="B537" s="575"/>
      <c r="C537" s="763"/>
      <c r="D537" s="763" t="s">
        <v>228</v>
      </c>
      <c r="E537" s="763"/>
      <c r="F537" s="763"/>
      <c r="G537" s="189"/>
      <c r="H537" s="623" t="s">
        <v>35</v>
      </c>
      <c r="I537" s="681">
        <f ca="1">IFERROR(__xludf.DUMMYFUNCTION("IMPORTRANGE(""https://docs.google.com/spreadsheets/d/1QqKyyYR6Q21VydFLVH3TRQUabQu_ym0Zz7PgGX0-kHA/edit?usp=sharing"",""แผน!GU41"")"),0)</f>
        <v>0</v>
      </c>
      <c r="J537" s="681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2"/>
      <c r="R537" s="682"/>
      <c r="S537" s="682"/>
      <c r="T537" s="682"/>
      <c r="U537" s="682"/>
      <c r="V537" s="682"/>
      <c r="W537" s="682"/>
      <c r="X537" s="682"/>
      <c r="Y537" s="682"/>
      <c r="Z537" s="682"/>
    </row>
    <row r="538" spans="1:26" ht="18.75" hidden="1">
      <c r="A538" s="574"/>
      <c r="B538" s="575"/>
      <c r="C538" s="763"/>
      <c r="D538" s="763"/>
      <c r="E538" s="763" t="s">
        <v>229</v>
      </c>
      <c r="F538" s="763"/>
      <c r="G538" s="189"/>
      <c r="H538" s="623" t="s">
        <v>35</v>
      </c>
      <c r="I538" s="270">
        <f ca="1">IFERROR(__xludf.DUMMYFUNCTION("IMPORTRANGE(""https://docs.google.com/spreadsheets/d/1QqKyyYR6Q21VydFLVH3TRQUabQu_ym0Zz7PgGX0-kHA/edit?usp=sharing"",""แผน!GV41"")"),0)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2"/>
      <c r="R538" s="682"/>
      <c r="S538" s="682"/>
      <c r="T538" s="682"/>
      <c r="U538" s="682"/>
      <c r="V538" s="682"/>
      <c r="W538" s="682"/>
      <c r="X538" s="682"/>
      <c r="Y538" s="682"/>
      <c r="Z538" s="682"/>
    </row>
    <row r="539" spans="1:26" ht="18.75" hidden="1">
      <c r="A539" s="574"/>
      <c r="B539" s="575"/>
      <c r="C539" s="763"/>
      <c r="D539" s="763"/>
      <c r="E539" s="763" t="s">
        <v>230</v>
      </c>
      <c r="F539" s="763"/>
      <c r="G539" s="189"/>
      <c r="H539" s="623" t="s">
        <v>35</v>
      </c>
      <c r="I539" s="270">
        <f ca="1">IFERROR(__xludf.DUMMYFUNCTION("IMPORTRANGE(""https://docs.google.com/spreadsheets/d/1QqKyyYR6Q21VydFLVH3TRQUabQu_ym0Zz7PgGX0-kHA/edit?usp=sharing"",""แผน!GW41"")"),0)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2"/>
      <c r="R539" s="682"/>
      <c r="S539" s="682"/>
      <c r="T539" s="682"/>
      <c r="U539" s="682"/>
      <c r="V539" s="682"/>
      <c r="W539" s="682"/>
      <c r="X539" s="682"/>
      <c r="Y539" s="682"/>
      <c r="Z539" s="682"/>
    </row>
    <row r="540" spans="1:26" ht="18.75" hidden="1">
      <c r="A540" s="574"/>
      <c r="B540" s="575"/>
      <c r="C540" s="763"/>
      <c r="D540" s="763"/>
      <c r="E540" s="763" t="s">
        <v>231</v>
      </c>
      <c r="F540" s="763"/>
      <c r="G540" s="189"/>
      <c r="H540" s="623" t="s">
        <v>35</v>
      </c>
      <c r="I540" s="270">
        <f ca="1">IFERROR(__xludf.DUMMYFUNCTION("IMPORTRANGE(""https://docs.google.com/spreadsheets/d/1QqKyyYR6Q21VydFLVH3TRQUabQu_ym0Zz7PgGX0-kHA/edit?usp=sharing"",""แผน!GX41"")"),0)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2"/>
      <c r="R540" s="682"/>
      <c r="S540" s="682"/>
      <c r="T540" s="682"/>
      <c r="U540" s="682"/>
      <c r="V540" s="682"/>
      <c r="W540" s="682"/>
      <c r="X540" s="682"/>
      <c r="Y540" s="682"/>
      <c r="Z540" s="682"/>
    </row>
    <row r="541" spans="1:26" ht="18.75" hidden="1">
      <c r="A541" s="574"/>
      <c r="B541" s="575"/>
      <c r="C541" s="763"/>
      <c r="D541" s="763"/>
      <c r="E541" s="769" t="s">
        <v>232</v>
      </c>
      <c r="F541" s="763"/>
      <c r="G541" s="189"/>
      <c r="H541" s="623" t="s">
        <v>35</v>
      </c>
      <c r="I541" s="270">
        <f ca="1">IFERROR(__xludf.DUMMYFUNCTION("IMPORTRANGE(""https://docs.google.com/spreadsheets/d/1QqKyyYR6Q21VydFLVH3TRQUabQu_ym0Zz7PgGX0-kHA/edit?usp=sharing"",""แผน!GY41"")"),0)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2"/>
      <c r="R541" s="682"/>
      <c r="S541" s="682"/>
      <c r="T541" s="682"/>
      <c r="U541" s="682"/>
      <c r="V541" s="682"/>
      <c r="W541" s="682"/>
      <c r="X541" s="682"/>
      <c r="Y541" s="682"/>
      <c r="Z541" s="682"/>
    </row>
    <row r="542" spans="1:26" ht="18.75" hidden="1">
      <c r="A542" s="574"/>
      <c r="B542" s="575"/>
      <c r="C542" s="763"/>
      <c r="D542" s="763" t="s">
        <v>59</v>
      </c>
      <c r="E542" s="763"/>
      <c r="F542" s="763"/>
      <c r="G542" s="189"/>
      <c r="H542" s="623" t="s">
        <v>35</v>
      </c>
      <c r="I542" s="270">
        <f ca="1">IFERROR(__xludf.DUMMYFUNCTION("IMPORTRANGE(""https://docs.google.com/spreadsheets/d/1QqKyyYR6Q21VydFLVH3TRQUabQu_ym0Zz7PgGX0-kHA/edit?usp=sharing"",""แผน!GZ41"")"),0)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2"/>
      <c r="R542" s="682"/>
      <c r="S542" s="682"/>
      <c r="T542" s="682"/>
      <c r="U542" s="682"/>
      <c r="V542" s="682"/>
      <c r="W542" s="682"/>
      <c r="X542" s="682"/>
      <c r="Y542" s="682"/>
      <c r="Z542" s="682"/>
    </row>
    <row r="543" spans="1:26" ht="19.5">
      <c r="A543" s="664">
        <v>6</v>
      </c>
      <c r="B543" s="685" t="s">
        <v>233</v>
      </c>
      <c r="C543" s="667"/>
      <c r="D543" s="667"/>
      <c r="E543" s="667"/>
      <c r="F543" s="667"/>
      <c r="G543" s="668"/>
      <c r="H543" s="686" t="s">
        <v>46</v>
      </c>
      <c r="I543" s="687">
        <f t="shared" ref="I543:J543" ca="1" si="235">I559</f>
        <v>38042.68</v>
      </c>
      <c r="J543" s="687">
        <f t="shared" si="235"/>
        <v>38042.68</v>
      </c>
      <c r="K543" s="688">
        <f t="shared" ca="1" si="234"/>
        <v>100</v>
      </c>
      <c r="L543" s="670"/>
      <c r="M543" s="670"/>
      <c r="N543" s="670"/>
      <c r="O543" s="670"/>
      <c r="P543" s="670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</row>
    <row r="544" spans="1:26" ht="19.5">
      <c r="A544" s="689"/>
      <c r="B544" s="690"/>
      <c r="C544" s="690" t="s">
        <v>16</v>
      </c>
      <c r="D544" s="897" t="s">
        <v>17</v>
      </c>
      <c r="E544" s="862"/>
      <c r="F544" s="862"/>
      <c r="G544" s="691"/>
      <c r="H544" s="275" t="s">
        <v>12</v>
      </c>
      <c r="I544" s="420"/>
      <c r="J544" s="420"/>
      <c r="K544" s="154"/>
      <c r="L544" s="155">
        <f t="shared" ref="L544:N544" ca="1" si="236">L545+L546</f>
        <v>326325</v>
      </c>
      <c r="M544" s="155">
        <f t="shared" ca="1" si="236"/>
        <v>321157</v>
      </c>
      <c r="N544" s="155">
        <f t="shared" si="236"/>
        <v>321157</v>
      </c>
      <c r="O544" s="155">
        <f t="shared" ref="O544:O549" ca="1" si="237">IF(L544&gt;0,N544*100/L544,0)</f>
        <v>98.416302765647742</v>
      </c>
      <c r="P544" s="155">
        <f t="shared" ref="P544:P549" ca="1" si="238">IF(M544&gt;0,N544*100/M544,0)</f>
        <v>100</v>
      </c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</row>
    <row r="545" spans="1:26" ht="18.75" hidden="1">
      <c r="A545" s="599"/>
      <c r="B545" s="759"/>
      <c r="C545" s="759"/>
      <c r="D545" s="759"/>
      <c r="E545" s="759" t="s">
        <v>185</v>
      </c>
      <c r="F545" s="759"/>
      <c r="G545" s="603"/>
      <c r="H545" s="165" t="s">
        <v>12</v>
      </c>
      <c r="I545" s="617"/>
      <c r="J545" s="617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4"/>
      <c r="R545" s="604"/>
      <c r="S545" s="604"/>
      <c r="T545" s="604"/>
      <c r="U545" s="604"/>
      <c r="V545" s="604"/>
      <c r="W545" s="604"/>
      <c r="X545" s="604"/>
      <c r="Y545" s="604"/>
      <c r="Z545" s="604"/>
    </row>
    <row r="546" spans="1:26" ht="18.75" hidden="1">
      <c r="A546" s="599"/>
      <c r="B546" s="607"/>
      <c r="C546" s="759"/>
      <c r="D546" s="759"/>
      <c r="E546" s="759" t="s">
        <v>186</v>
      </c>
      <c r="F546" s="759"/>
      <c r="G546" s="603"/>
      <c r="H546" s="165" t="s">
        <v>12</v>
      </c>
      <c r="I546" s="617"/>
      <c r="J546" s="617"/>
      <c r="K546" s="93"/>
      <c r="L546" s="93">
        <f t="shared" ca="1" si="239"/>
        <v>326325</v>
      </c>
      <c r="M546" s="93">
        <f t="shared" ca="1" si="240"/>
        <v>321157</v>
      </c>
      <c r="N546" s="93">
        <f t="shared" si="240"/>
        <v>321157</v>
      </c>
      <c r="O546" s="93">
        <f t="shared" ca="1" si="237"/>
        <v>98.416302765647742</v>
      </c>
      <c r="P546" s="93">
        <f t="shared" ca="1" si="238"/>
        <v>100</v>
      </c>
      <c r="Q546" s="604"/>
      <c r="R546" s="604"/>
      <c r="S546" s="604"/>
      <c r="T546" s="604"/>
      <c r="U546" s="604"/>
      <c r="V546" s="604"/>
      <c r="W546" s="604"/>
      <c r="X546" s="604"/>
      <c r="Y546" s="604"/>
      <c r="Z546" s="604"/>
    </row>
    <row r="547" spans="1:26" ht="18.75">
      <c r="A547" s="597"/>
      <c r="B547" s="575"/>
      <c r="C547" s="763"/>
      <c r="D547" s="606" t="s">
        <v>20</v>
      </c>
      <c r="E547" s="763"/>
      <c r="F547" s="763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326325</v>
      </c>
      <c r="M547" s="498">
        <f t="shared" ca="1" si="241"/>
        <v>321157</v>
      </c>
      <c r="N547" s="498">
        <f t="shared" si="241"/>
        <v>321157</v>
      </c>
      <c r="O547" s="498">
        <f t="shared" ca="1" si="237"/>
        <v>98.416302765647742</v>
      </c>
      <c r="P547" s="498">
        <f t="shared" ca="1" si="238"/>
        <v>100</v>
      </c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</row>
    <row r="548" spans="1:26" ht="18.75" hidden="1">
      <c r="A548" s="599"/>
      <c r="B548" s="607"/>
      <c r="C548" s="759"/>
      <c r="D548" s="720"/>
      <c r="E548" s="759" t="s">
        <v>185</v>
      </c>
      <c r="F548" s="759"/>
      <c r="G548" s="603"/>
      <c r="H548" s="165" t="s">
        <v>12</v>
      </c>
      <c r="I548" s="617"/>
      <c r="J548" s="617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4"/>
      <c r="R548" s="604"/>
      <c r="S548" s="604"/>
      <c r="T548" s="604"/>
      <c r="U548" s="604"/>
      <c r="V548" s="604"/>
      <c r="W548" s="604"/>
      <c r="X548" s="604"/>
      <c r="Y548" s="604"/>
      <c r="Z548" s="604"/>
    </row>
    <row r="549" spans="1:26" ht="18.75" hidden="1">
      <c r="A549" s="599"/>
      <c r="B549" s="607"/>
      <c r="C549" s="759"/>
      <c r="D549" s="720"/>
      <c r="E549" s="759" t="s">
        <v>186</v>
      </c>
      <c r="F549" s="759"/>
      <c r="G549" s="603"/>
      <c r="H549" s="165" t="s">
        <v>12</v>
      </c>
      <c r="I549" s="617"/>
      <c r="J549" s="617"/>
      <c r="K549" s="93"/>
      <c r="L549" s="93">
        <f ca="1">IFERROR(__xludf.DUMMYFUNCTION("IMPORTRANGE(""https://docs.google.com/spreadsheets/d/1QqKyyYR6Q21VydFLVH3TRQUabQu_ym0Zz7PgGX0-kHA/edit?usp=sharing"",""แผน!HB41"")"),326325)</f>
        <v>326325</v>
      </c>
      <c r="M549" s="93">
        <f ca="1">L549-1300-3868</f>
        <v>321157</v>
      </c>
      <c r="N549" s="93">
        <f>N550+N551+N552+N553+N554</f>
        <v>321157</v>
      </c>
      <c r="O549" s="93">
        <f t="shared" ca="1" si="237"/>
        <v>98.416302765647742</v>
      </c>
      <c r="P549" s="93">
        <f t="shared" ca="1" si="238"/>
        <v>100</v>
      </c>
      <c r="Q549" s="604"/>
      <c r="R549" s="604"/>
      <c r="S549" s="604"/>
      <c r="T549" s="604"/>
      <c r="U549" s="604"/>
      <c r="V549" s="604"/>
      <c r="W549" s="604"/>
      <c r="X549" s="604"/>
      <c r="Y549" s="604"/>
      <c r="Z549" s="604"/>
    </row>
    <row r="550" spans="1:26" ht="18.75">
      <c r="A550" s="574"/>
      <c r="B550" s="575"/>
      <c r="C550" s="763"/>
      <c r="D550" s="763"/>
      <c r="E550" s="763"/>
      <c r="F550" s="763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40">
        <v>0</v>
      </c>
      <c r="O550" s="498"/>
      <c r="P550" s="49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</row>
    <row r="551" spans="1:26" ht="18.75">
      <c r="A551" s="574"/>
      <c r="B551" s="575"/>
      <c r="C551" s="575"/>
      <c r="D551" s="575"/>
      <c r="E551" s="763"/>
      <c r="F551" s="763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40">
        <v>0</v>
      </c>
      <c r="O551" s="498"/>
      <c r="P551" s="49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</row>
    <row r="552" spans="1:26" ht="18.75">
      <c r="A552" s="574"/>
      <c r="B552" s="575"/>
      <c r="C552" s="763"/>
      <c r="D552" s="763"/>
      <c r="E552" s="763"/>
      <c r="F552" s="763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40">
        <f>65000+11700+13000+12566+13000+5633+6933+13000</f>
        <v>140832</v>
      </c>
      <c r="O552" s="498"/>
      <c r="P552" s="498"/>
      <c r="Q552" s="578"/>
      <c r="R552" s="578"/>
      <c r="S552" s="578"/>
      <c r="T552" s="578"/>
      <c r="U552" s="578"/>
      <c r="V552" s="578"/>
      <c r="W552" s="578"/>
      <c r="X552" s="578"/>
      <c r="Y552" s="578"/>
      <c r="Z552" s="578"/>
    </row>
    <row r="553" spans="1:26" ht="18.75">
      <c r="A553" s="574"/>
      <c r="B553" s="575"/>
      <c r="C553" s="575"/>
      <c r="D553" s="575"/>
      <c r="E553" s="763"/>
      <c r="F553" s="763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40">
        <f>14850+12000+1960+2320+5410+16705+6750+16850+1300+32404-115+34544+14550+20797</f>
        <v>180325</v>
      </c>
      <c r="O553" s="498"/>
      <c r="P553" s="49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</row>
    <row r="554" spans="1:26" ht="18.75">
      <c r="A554" s="574"/>
      <c r="B554" s="575"/>
      <c r="C554" s="575"/>
      <c r="D554" s="575"/>
      <c r="E554" s="763"/>
      <c r="F554" s="763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40">
        <v>0</v>
      </c>
      <c r="O554" s="498"/>
      <c r="P554" s="49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</row>
    <row r="555" spans="1:26" ht="18.75">
      <c r="A555" s="597"/>
      <c r="B555" s="575"/>
      <c r="C555" s="575"/>
      <c r="D555" s="606" t="s">
        <v>21</v>
      </c>
      <c r="E555" s="763"/>
      <c r="F555" s="763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</row>
    <row r="556" spans="1:26" ht="18.75" hidden="1">
      <c r="A556" s="599"/>
      <c r="B556" s="607"/>
      <c r="C556" s="607"/>
      <c r="D556" s="759"/>
      <c r="E556" s="759" t="s">
        <v>18</v>
      </c>
      <c r="F556" s="759"/>
      <c r="G556" s="603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4"/>
      <c r="R556" s="604"/>
      <c r="S556" s="604"/>
      <c r="T556" s="604"/>
      <c r="U556" s="604"/>
      <c r="V556" s="604"/>
      <c r="W556" s="604"/>
      <c r="X556" s="604"/>
      <c r="Y556" s="604"/>
      <c r="Z556" s="604"/>
    </row>
    <row r="557" spans="1:26" ht="18.75" hidden="1">
      <c r="A557" s="599"/>
      <c r="B557" s="607"/>
      <c r="C557" s="607"/>
      <c r="D557" s="759"/>
      <c r="E557" s="759" t="s">
        <v>19</v>
      </c>
      <c r="F557" s="759"/>
      <c r="G557" s="603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4"/>
      <c r="R557" s="604"/>
      <c r="S557" s="604"/>
      <c r="T557" s="604"/>
      <c r="U557" s="604"/>
      <c r="V557" s="604"/>
      <c r="W557" s="604"/>
      <c r="X557" s="604"/>
      <c r="Y557" s="604"/>
      <c r="Z557" s="604"/>
    </row>
    <row r="558" spans="1:26" ht="19.5">
      <c r="A558" s="608"/>
      <c r="B558" s="618"/>
      <c r="C558" s="575" t="s">
        <v>16</v>
      </c>
      <c r="D558" s="896" t="s">
        <v>38</v>
      </c>
      <c r="E558" s="761"/>
      <c r="F558" s="761"/>
      <c r="G558" s="613"/>
      <c r="H558" s="762"/>
      <c r="I558" s="184"/>
      <c r="J558" s="184"/>
      <c r="K558" s="163"/>
      <c r="L558" s="163"/>
      <c r="M558" s="163"/>
      <c r="N558" s="163"/>
      <c r="O558" s="163"/>
      <c r="P558" s="163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</row>
    <row r="559" spans="1:26" ht="19.5">
      <c r="A559" s="692"/>
      <c r="B559" s="693" t="s">
        <v>235</v>
      </c>
      <c r="C559" s="694"/>
      <c r="D559" s="694"/>
      <c r="E559" s="673"/>
      <c r="F559" s="673"/>
      <c r="G559" s="674"/>
      <c r="H559" s="695" t="s">
        <v>46</v>
      </c>
      <c r="I559" s="708">
        <f t="shared" ref="I559:J559" ca="1" si="245">I576</f>
        <v>38042.68</v>
      </c>
      <c r="J559" s="708">
        <f t="shared" si="245"/>
        <v>38042.68</v>
      </c>
      <c r="K559" s="677">
        <f t="shared" ref="K559:K561" ca="1" si="246">IF(I559&gt;0,J559*100/I559,0)</f>
        <v>100</v>
      </c>
      <c r="L559" s="678"/>
      <c r="M559" s="678"/>
      <c r="N559" s="678"/>
      <c r="O559" s="678"/>
      <c r="P559" s="6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</row>
    <row r="560" spans="1:26" ht="19.5">
      <c r="A560" s="608"/>
      <c r="B560" s="618"/>
      <c r="C560" s="625" t="s">
        <v>236</v>
      </c>
      <c r="D560" s="618"/>
      <c r="E560" s="626"/>
      <c r="F560" s="626"/>
      <c r="G560" s="762"/>
      <c r="H560" s="767" t="s">
        <v>46</v>
      </c>
      <c r="I560" s="193">
        <f ca="1">IFERROR(__xludf.DUMMYFUNCTION("IMPORTRANGE(""https://docs.google.com/spreadsheets/d/1QqKyyYR6Q21VydFLVH3TRQUabQu_ym0Zz7PgGX0-kHA/edit?usp=sharing"",""แผน!HH41"")"),38042.68)</f>
        <v>38042.68</v>
      </c>
      <c r="J560" s="193">
        <f t="shared" ref="J560:J561" si="247">J562+J564+J566</f>
        <v>38042</v>
      </c>
      <c r="K560" s="411">
        <f t="shared" ca="1" si="246"/>
        <v>99.998212533922427</v>
      </c>
      <c r="L560" s="163"/>
      <c r="M560" s="163"/>
      <c r="N560" s="163"/>
      <c r="O560" s="163"/>
      <c r="P560" s="163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</row>
    <row r="561" spans="1:26" ht="19.5">
      <c r="A561" s="608"/>
      <c r="B561" s="618"/>
      <c r="C561" s="618"/>
      <c r="D561" s="626"/>
      <c r="E561" s="626"/>
      <c r="F561" s="626"/>
      <c r="G561" s="762"/>
      <c r="H561" s="767" t="s">
        <v>34</v>
      </c>
      <c r="I561" s="193">
        <f ca="1">IFERROR(__xludf.DUMMYFUNCTION("IMPORTRANGE(""https://docs.google.com/spreadsheets/d/1QqKyyYR6Q21VydFLVH3TRQUabQu_ym0Zz7PgGX0-kHA/edit?usp=sharing"",""แผน!HG41"")"),3787)</f>
        <v>3787</v>
      </c>
      <c r="J561" s="193">
        <f t="shared" si="247"/>
        <v>3787</v>
      </c>
      <c r="K561" s="411">
        <f t="shared" ca="1" si="246"/>
        <v>100</v>
      </c>
      <c r="L561" s="163"/>
      <c r="M561" s="163"/>
      <c r="N561" s="163"/>
      <c r="O561" s="163"/>
      <c r="P561" s="163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</row>
    <row r="562" spans="1:26" ht="18.75">
      <c r="A562" s="608"/>
      <c r="B562" s="618"/>
      <c r="C562" s="618"/>
      <c r="D562" s="626" t="s">
        <v>237</v>
      </c>
      <c r="E562" s="626"/>
      <c r="F562" s="626"/>
      <c r="G562" s="762"/>
      <c r="H562" s="764" t="s">
        <v>46</v>
      </c>
      <c r="I562" s="184"/>
      <c r="J562" s="215">
        <v>32410</v>
      </c>
      <c r="K562" s="163"/>
      <c r="L562" s="163"/>
      <c r="M562" s="163"/>
      <c r="N562" s="163"/>
      <c r="O562" s="163"/>
      <c r="P562" s="163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</row>
    <row r="563" spans="1:26" ht="18.75">
      <c r="A563" s="608"/>
      <c r="B563" s="618"/>
      <c r="C563" s="618"/>
      <c r="D563" s="618"/>
      <c r="E563" s="626"/>
      <c r="F563" s="626"/>
      <c r="G563" s="762"/>
      <c r="H563" s="764" t="s">
        <v>34</v>
      </c>
      <c r="I563" s="184"/>
      <c r="J563" s="215">
        <v>3190</v>
      </c>
      <c r="K563" s="163"/>
      <c r="L563" s="163"/>
      <c r="M563" s="163"/>
      <c r="N563" s="163"/>
      <c r="O563" s="163"/>
      <c r="P563" s="163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</row>
    <row r="564" spans="1:26" ht="18.75">
      <c r="A564" s="608"/>
      <c r="B564" s="618"/>
      <c r="C564" s="618"/>
      <c r="D564" s="626" t="s">
        <v>238</v>
      </c>
      <c r="E564" s="626"/>
      <c r="F564" s="626"/>
      <c r="G564" s="762"/>
      <c r="H564" s="764" t="s">
        <v>46</v>
      </c>
      <c r="I564" s="184"/>
      <c r="J564" s="215">
        <v>4743</v>
      </c>
      <c r="K564" s="163"/>
      <c r="L564" s="163"/>
      <c r="M564" s="163"/>
      <c r="N564" s="163"/>
      <c r="O564" s="163"/>
      <c r="P564" s="163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</row>
    <row r="565" spans="1:26" ht="18.75">
      <c r="A565" s="608"/>
      <c r="B565" s="618"/>
      <c r="C565" s="618"/>
      <c r="D565" s="626"/>
      <c r="E565" s="626"/>
      <c r="F565" s="626"/>
      <c r="G565" s="762"/>
      <c r="H565" s="764" t="s">
        <v>34</v>
      </c>
      <c r="I565" s="184"/>
      <c r="J565" s="215">
        <v>522</v>
      </c>
      <c r="K565" s="163"/>
      <c r="L565" s="163"/>
      <c r="M565" s="163"/>
      <c r="N565" s="163"/>
      <c r="O565" s="163"/>
      <c r="P565" s="163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</row>
    <row r="566" spans="1:26" ht="18.75">
      <c r="A566" s="608"/>
      <c r="B566" s="618"/>
      <c r="C566" s="618"/>
      <c r="D566" s="626" t="s">
        <v>239</v>
      </c>
      <c r="E566" s="626"/>
      <c r="F566" s="626"/>
      <c r="G566" s="762"/>
      <c r="H566" s="764" t="s">
        <v>46</v>
      </c>
      <c r="I566" s="184"/>
      <c r="J566" s="215">
        <v>889</v>
      </c>
      <c r="K566" s="163"/>
      <c r="L566" s="163"/>
      <c r="M566" s="163"/>
      <c r="N566" s="163"/>
      <c r="O566" s="163"/>
      <c r="P566" s="163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</row>
    <row r="567" spans="1:26" ht="18.75">
      <c r="A567" s="608"/>
      <c r="B567" s="618"/>
      <c r="C567" s="618"/>
      <c r="D567" s="626"/>
      <c r="E567" s="626"/>
      <c r="F567" s="626"/>
      <c r="G567" s="762"/>
      <c r="H567" s="764" t="s">
        <v>34</v>
      </c>
      <c r="I567" s="184"/>
      <c r="J567" s="215">
        <v>75</v>
      </c>
      <c r="K567" s="163"/>
      <c r="L567" s="163"/>
      <c r="M567" s="163"/>
      <c r="N567" s="163"/>
      <c r="O567" s="163"/>
      <c r="P567" s="163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</row>
    <row r="568" spans="1:26" ht="19.5">
      <c r="A568" s="608"/>
      <c r="B568" s="618"/>
      <c r="C568" s="625" t="s">
        <v>240</v>
      </c>
      <c r="D568" s="626"/>
      <c r="E568" s="626"/>
      <c r="F568" s="626"/>
      <c r="G568" s="762"/>
      <c r="H568" s="767" t="s">
        <v>46</v>
      </c>
      <c r="I568" s="193">
        <f ca="1">IFERROR(__xludf.DUMMYFUNCTION("IMPORTRANGE(""https://docs.google.com/spreadsheets/d/1QqKyyYR6Q21VydFLVH3TRQUabQu_ym0Zz7PgGX0-kHA/edit?usp=sharing"",""แผน!HH41"")"),38042.68)</f>
        <v>38042.68</v>
      </c>
      <c r="J568" s="681">
        <f t="shared" ref="J568:J569" si="248">J570+J572+J574</f>
        <v>38043</v>
      </c>
      <c r="K568" s="411">
        <f t="shared" ref="K568:K569" ca="1" si="249">IF(I568&gt;0,J568*100/I568,0)</f>
        <v>100.00084116050709</v>
      </c>
      <c r="L568" s="163"/>
      <c r="M568" s="163"/>
      <c r="N568" s="163"/>
      <c r="O568" s="163"/>
      <c r="P568" s="163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</row>
    <row r="569" spans="1:26" ht="19.5">
      <c r="A569" s="608"/>
      <c r="B569" s="618"/>
      <c r="C569" s="618"/>
      <c r="D569" s="618"/>
      <c r="E569" s="626"/>
      <c r="F569" s="626"/>
      <c r="G569" s="762"/>
      <c r="H569" s="767" t="s">
        <v>34</v>
      </c>
      <c r="I569" s="193">
        <f ca="1">IFERROR(__xludf.DUMMYFUNCTION("IMPORTRANGE(""https://docs.google.com/spreadsheets/d/1QqKyyYR6Q21VydFLVH3TRQUabQu_ym0Zz7PgGX0-kHA/edit?usp=sharing"",""แผน!HG41"")"),3787)</f>
        <v>3787</v>
      </c>
      <c r="J569" s="681">
        <f t="shared" si="248"/>
        <v>3787</v>
      </c>
      <c r="K569" s="411">
        <f t="shared" ca="1" si="249"/>
        <v>100</v>
      </c>
      <c r="L569" s="163"/>
      <c r="M569" s="163"/>
      <c r="N569" s="163"/>
      <c r="O569" s="163"/>
      <c r="P569" s="163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</row>
    <row r="570" spans="1:26" ht="18.75">
      <c r="A570" s="608"/>
      <c r="B570" s="618"/>
      <c r="C570" s="618"/>
      <c r="D570" s="626" t="s">
        <v>241</v>
      </c>
      <c r="E570" s="618"/>
      <c r="F570" s="626"/>
      <c r="G570" s="762"/>
      <c r="H570" s="764" t="s">
        <v>46</v>
      </c>
      <c r="I570" s="184"/>
      <c r="J570" s="215">
        <v>34701</v>
      </c>
      <c r="K570" s="163"/>
      <c r="L570" s="163"/>
      <c r="M570" s="163"/>
      <c r="N570" s="163"/>
      <c r="O570" s="163"/>
      <c r="P570" s="163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</row>
    <row r="571" spans="1:26" ht="18.75">
      <c r="A571" s="608"/>
      <c r="B571" s="618"/>
      <c r="C571" s="618"/>
      <c r="D571" s="618"/>
      <c r="E571" s="626"/>
      <c r="F571" s="626"/>
      <c r="G571" s="762"/>
      <c r="H571" s="764" t="s">
        <v>34</v>
      </c>
      <c r="I571" s="184"/>
      <c r="J571" s="215">
        <v>3485</v>
      </c>
      <c r="K571" s="163"/>
      <c r="L571" s="163"/>
      <c r="M571" s="163"/>
      <c r="N571" s="163"/>
      <c r="O571" s="163"/>
      <c r="P571" s="163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</row>
    <row r="572" spans="1:26" ht="18.75">
      <c r="A572" s="608"/>
      <c r="B572" s="618"/>
      <c r="C572" s="618"/>
      <c r="D572" s="626" t="s">
        <v>242</v>
      </c>
      <c r="E572" s="626"/>
      <c r="F572" s="626"/>
      <c r="G572" s="762"/>
      <c r="H572" s="764" t="s">
        <v>46</v>
      </c>
      <c r="I572" s="184"/>
      <c r="J572" s="215">
        <v>2383</v>
      </c>
      <c r="K572" s="163"/>
      <c r="L572" s="163"/>
      <c r="M572" s="163"/>
      <c r="N572" s="163"/>
      <c r="O572" s="163"/>
      <c r="P572" s="163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</row>
    <row r="573" spans="1:26" ht="18.75">
      <c r="A573" s="608"/>
      <c r="B573" s="618"/>
      <c r="C573" s="618"/>
      <c r="D573" s="626"/>
      <c r="E573" s="626"/>
      <c r="F573" s="626"/>
      <c r="G573" s="762"/>
      <c r="H573" s="764" t="s">
        <v>34</v>
      </c>
      <c r="I573" s="184"/>
      <c r="J573" s="215">
        <v>220</v>
      </c>
      <c r="K573" s="163"/>
      <c r="L573" s="163"/>
      <c r="M573" s="163"/>
      <c r="N573" s="163"/>
      <c r="O573" s="163"/>
      <c r="P573" s="163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</row>
    <row r="574" spans="1:26" ht="18.75">
      <c r="A574" s="608"/>
      <c r="B574" s="618"/>
      <c r="C574" s="618"/>
      <c r="D574" s="626" t="s">
        <v>243</v>
      </c>
      <c r="E574" s="626"/>
      <c r="F574" s="626"/>
      <c r="G574" s="762"/>
      <c r="H574" s="764" t="s">
        <v>46</v>
      </c>
      <c r="I574" s="184"/>
      <c r="J574" s="215">
        <v>959</v>
      </c>
      <c r="K574" s="163"/>
      <c r="L574" s="163"/>
      <c r="M574" s="163"/>
      <c r="N574" s="163"/>
      <c r="O574" s="163"/>
      <c r="P574" s="163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</row>
    <row r="575" spans="1:26" ht="18.75">
      <c r="A575" s="608"/>
      <c r="B575" s="618"/>
      <c r="C575" s="618"/>
      <c r="D575" s="618"/>
      <c r="E575" s="626"/>
      <c r="F575" s="626"/>
      <c r="G575" s="762"/>
      <c r="H575" s="764" t="s">
        <v>34</v>
      </c>
      <c r="I575" s="184"/>
      <c r="J575" s="215">
        <v>82</v>
      </c>
      <c r="K575" s="163"/>
      <c r="L575" s="163"/>
      <c r="M575" s="163"/>
      <c r="N575" s="163"/>
      <c r="O575" s="163"/>
      <c r="P575" s="163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</row>
    <row r="576" spans="1:26" ht="19.5">
      <c r="A576" s="608"/>
      <c r="B576" s="618"/>
      <c r="C576" s="625" t="s">
        <v>244</v>
      </c>
      <c r="D576" s="618"/>
      <c r="E576" s="618"/>
      <c r="F576" s="626"/>
      <c r="G576" s="762"/>
      <c r="H576" s="767" t="s">
        <v>46</v>
      </c>
      <c r="I576" s="193">
        <f ca="1">IFERROR(__xludf.DUMMYFUNCTION("IMPORTRANGE(""https://docs.google.com/spreadsheets/d/1QqKyyYR6Q21VydFLVH3TRQUabQu_ym0Zz7PgGX0-kHA/edit?usp=sharing"",""แผน!HH41"")"),38042.68)</f>
        <v>38042.68</v>
      </c>
      <c r="J576" s="681">
        <f t="shared" ref="J576:J577" si="250">J578+J580+J582+J588+J590</f>
        <v>38042.68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</row>
    <row r="577" spans="1:26" ht="19.5">
      <c r="A577" s="608"/>
      <c r="B577" s="618"/>
      <c r="C577" s="618"/>
      <c r="D577" s="618"/>
      <c r="E577" s="626"/>
      <c r="F577" s="626"/>
      <c r="G577" s="762"/>
      <c r="H577" s="767" t="s">
        <v>34</v>
      </c>
      <c r="I577" s="193">
        <f ca="1">IFERROR(__xludf.DUMMYFUNCTION("IMPORTRANGE(""https://docs.google.com/spreadsheets/d/1QqKyyYR6Q21VydFLVH3TRQUabQu_ym0Zz7PgGX0-kHA/edit?usp=sharing"",""แผน!HG41"")"),3787)</f>
        <v>3787</v>
      </c>
      <c r="J577" s="681">
        <f t="shared" si="250"/>
        <v>3787</v>
      </c>
      <c r="K577" s="411">
        <f t="shared" ca="1" si="251"/>
        <v>100</v>
      </c>
      <c r="L577" s="163"/>
      <c r="M577" s="163"/>
      <c r="N577" s="163"/>
      <c r="O577" s="163"/>
      <c r="P577" s="163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</row>
    <row r="578" spans="1:26" ht="18.75">
      <c r="A578" s="608"/>
      <c r="B578" s="618"/>
      <c r="C578" s="618"/>
      <c r="D578" s="626" t="s">
        <v>245</v>
      </c>
      <c r="E578" s="626"/>
      <c r="F578" s="626"/>
      <c r="G578" s="762"/>
      <c r="H578" s="764" t="s">
        <v>46</v>
      </c>
      <c r="I578" s="184"/>
      <c r="J578" s="215">
        <v>35799.892500000002</v>
      </c>
      <c r="K578" s="163"/>
      <c r="L578" s="163"/>
      <c r="M578" s="163"/>
      <c r="N578" s="163"/>
      <c r="O578" s="163"/>
      <c r="P578" s="163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</row>
    <row r="579" spans="1:26" ht="18.75">
      <c r="A579" s="608"/>
      <c r="B579" s="618"/>
      <c r="C579" s="618"/>
      <c r="D579" s="618"/>
      <c r="E579" s="626"/>
      <c r="F579" s="626"/>
      <c r="G579" s="762"/>
      <c r="H579" s="764" t="s">
        <v>34</v>
      </c>
      <c r="I579" s="184"/>
      <c r="J579" s="215">
        <v>3597</v>
      </c>
      <c r="K579" s="163"/>
      <c r="L579" s="163"/>
      <c r="M579" s="163"/>
      <c r="N579" s="163"/>
      <c r="O579" s="163"/>
      <c r="P579" s="163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</row>
    <row r="580" spans="1:26" ht="18.75">
      <c r="A580" s="608"/>
      <c r="B580" s="618"/>
      <c r="C580" s="618"/>
      <c r="D580" s="626" t="s">
        <v>246</v>
      </c>
      <c r="E580" s="626"/>
      <c r="F580" s="626"/>
      <c r="G580" s="762"/>
      <c r="H580" s="764" t="s">
        <v>46</v>
      </c>
      <c r="I580" s="184"/>
      <c r="J580" s="215">
        <v>98.06</v>
      </c>
      <c r="K580" s="163"/>
      <c r="L580" s="163"/>
      <c r="M580" s="163"/>
      <c r="N580" s="163"/>
      <c r="O580" s="163"/>
      <c r="P580" s="163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</row>
    <row r="581" spans="1:26" ht="18.75">
      <c r="A581" s="608"/>
      <c r="B581" s="618"/>
      <c r="C581" s="618"/>
      <c r="D581" s="618"/>
      <c r="E581" s="626"/>
      <c r="F581" s="626"/>
      <c r="G581" s="762"/>
      <c r="H581" s="764" t="s">
        <v>34</v>
      </c>
      <c r="I581" s="184"/>
      <c r="J581" s="215">
        <v>10</v>
      </c>
      <c r="K581" s="163"/>
      <c r="L581" s="163"/>
      <c r="M581" s="163"/>
      <c r="N581" s="163"/>
      <c r="O581" s="163"/>
      <c r="P581" s="163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</row>
    <row r="582" spans="1:26" ht="19.5">
      <c r="A582" s="608"/>
      <c r="B582" s="618"/>
      <c r="C582" s="618"/>
      <c r="D582" s="626" t="s">
        <v>247</v>
      </c>
      <c r="E582" s="626"/>
      <c r="F582" s="626"/>
      <c r="G582" s="762"/>
      <c r="H582" s="764" t="s">
        <v>46</v>
      </c>
      <c r="I582" s="184"/>
      <c r="J582" s="681">
        <f t="shared" ref="J582:J583" si="252">J584+J586</f>
        <v>1026.3474999999999</v>
      </c>
      <c r="K582" s="411"/>
      <c r="L582" s="163"/>
      <c r="M582" s="163"/>
      <c r="N582" s="163"/>
      <c r="O582" s="163"/>
      <c r="P582" s="163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</row>
    <row r="583" spans="1:26" ht="19.5">
      <c r="A583" s="608"/>
      <c r="B583" s="618"/>
      <c r="C583" s="618"/>
      <c r="D583" s="618"/>
      <c r="E583" s="626"/>
      <c r="F583" s="626"/>
      <c r="G583" s="762"/>
      <c r="H583" s="764" t="s">
        <v>34</v>
      </c>
      <c r="I583" s="184"/>
      <c r="J583" s="681">
        <f t="shared" si="252"/>
        <v>88</v>
      </c>
      <c r="K583" s="411"/>
      <c r="L583" s="163"/>
      <c r="M583" s="163"/>
      <c r="N583" s="163"/>
      <c r="O583" s="163"/>
      <c r="P583" s="163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</row>
    <row r="584" spans="1:26" ht="18.75">
      <c r="A584" s="608"/>
      <c r="B584" s="618"/>
      <c r="C584" s="618"/>
      <c r="D584" s="618"/>
      <c r="E584" s="626" t="s">
        <v>248</v>
      </c>
      <c r="F584" s="626"/>
      <c r="G584" s="762"/>
      <c r="H584" s="764" t="s">
        <v>46</v>
      </c>
      <c r="I584" s="184"/>
      <c r="J584" s="215">
        <v>1004.4725</v>
      </c>
      <c r="K584" s="163"/>
      <c r="L584" s="163"/>
      <c r="M584" s="163"/>
      <c r="N584" s="163"/>
      <c r="O584" s="163"/>
      <c r="P584" s="163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</row>
    <row r="585" spans="1:26" ht="18.75">
      <c r="A585" s="608"/>
      <c r="B585" s="618"/>
      <c r="C585" s="618"/>
      <c r="D585" s="618"/>
      <c r="E585" s="626"/>
      <c r="F585" s="626"/>
      <c r="G585" s="762"/>
      <c r="H585" s="764" t="s">
        <v>34</v>
      </c>
      <c r="I585" s="184"/>
      <c r="J585" s="215">
        <v>87</v>
      </c>
      <c r="K585" s="163"/>
      <c r="L585" s="163"/>
      <c r="M585" s="163"/>
      <c r="N585" s="163"/>
      <c r="O585" s="163"/>
      <c r="P585" s="163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</row>
    <row r="586" spans="1:26" ht="18.75">
      <c r="A586" s="608"/>
      <c r="B586" s="618"/>
      <c r="C586" s="618"/>
      <c r="D586" s="618"/>
      <c r="E586" s="626" t="s">
        <v>249</v>
      </c>
      <c r="F586" s="626"/>
      <c r="G586" s="762"/>
      <c r="H586" s="764" t="s">
        <v>46</v>
      </c>
      <c r="I586" s="184"/>
      <c r="J586" s="215">
        <v>21.875</v>
      </c>
      <c r="K586" s="163"/>
      <c r="L586" s="163"/>
      <c r="M586" s="163"/>
      <c r="N586" s="163"/>
      <c r="O586" s="163"/>
      <c r="P586" s="163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</row>
    <row r="587" spans="1:26" ht="18.75">
      <c r="A587" s="608"/>
      <c r="B587" s="618"/>
      <c r="C587" s="618"/>
      <c r="D587" s="618"/>
      <c r="E587" s="618"/>
      <c r="F587" s="626"/>
      <c r="G587" s="762"/>
      <c r="H587" s="764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</row>
    <row r="588" spans="1:26" ht="18.75">
      <c r="A588" s="608"/>
      <c r="B588" s="618"/>
      <c r="C588" s="618"/>
      <c r="D588" s="626" t="s">
        <v>250</v>
      </c>
      <c r="E588" s="626"/>
      <c r="F588" s="626"/>
      <c r="G588" s="762"/>
      <c r="H588" s="764" t="s">
        <v>46</v>
      </c>
      <c r="I588" s="184"/>
      <c r="J588" s="215">
        <v>1118.3800000000001</v>
      </c>
      <c r="K588" s="163"/>
      <c r="L588" s="163"/>
      <c r="M588" s="163"/>
      <c r="N588" s="163"/>
      <c r="O588" s="163"/>
      <c r="P588" s="163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</row>
    <row r="589" spans="1:26" ht="18.75">
      <c r="A589" s="608"/>
      <c r="B589" s="618"/>
      <c r="C589" s="618"/>
      <c r="D589" s="618"/>
      <c r="E589" s="618"/>
      <c r="F589" s="626"/>
      <c r="G589" s="762"/>
      <c r="H589" s="764" t="s">
        <v>34</v>
      </c>
      <c r="I589" s="184"/>
      <c r="J589" s="215">
        <v>92</v>
      </c>
      <c r="K589" s="163"/>
      <c r="L589" s="163"/>
      <c r="M589" s="163"/>
      <c r="N589" s="163"/>
      <c r="O589" s="163"/>
      <c r="P589" s="163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</row>
    <row r="590" spans="1:26" ht="18.75">
      <c r="A590" s="608"/>
      <c r="B590" s="618"/>
      <c r="C590" s="618"/>
      <c r="D590" s="626" t="s">
        <v>251</v>
      </c>
      <c r="E590" s="626"/>
      <c r="F590" s="626"/>
      <c r="G590" s="762"/>
      <c r="H590" s="76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</row>
    <row r="591" spans="1:26" ht="18.75">
      <c r="A591" s="696"/>
      <c r="B591" s="697"/>
      <c r="C591" s="697"/>
      <c r="D591" s="697"/>
      <c r="E591" s="578"/>
      <c r="F591" s="578"/>
      <c r="G591" s="698"/>
      <c r="H591" s="699" t="s">
        <v>34</v>
      </c>
      <c r="I591" s="700"/>
      <c r="J591" s="701">
        <v>0</v>
      </c>
      <c r="K591" s="702"/>
      <c r="L591" s="702"/>
      <c r="M591" s="702"/>
      <c r="N591" s="702"/>
      <c r="O591" s="702"/>
      <c r="P591" s="702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</row>
    <row r="592" spans="1:26" ht="19.5">
      <c r="A592" s="692"/>
      <c r="B592" s="693" t="s">
        <v>252</v>
      </c>
      <c r="C592" s="694"/>
      <c r="D592" s="694"/>
      <c r="E592" s="673"/>
      <c r="F592" s="673"/>
      <c r="G592" s="674"/>
      <c r="H592" s="695" t="s">
        <v>46</v>
      </c>
      <c r="I592" s="703">
        <f t="shared" ref="I592:J592" ca="1" si="253">I593</f>
        <v>391.38</v>
      </c>
      <c r="J592" s="708">
        <f t="shared" si="253"/>
        <v>391.38</v>
      </c>
      <c r="K592" s="677">
        <f t="shared" ref="K592:K594" ca="1" si="254">IF(I592&gt;0,J592*100/I592,0)</f>
        <v>100</v>
      </c>
      <c r="L592" s="678"/>
      <c r="M592" s="678"/>
      <c r="N592" s="678"/>
      <c r="O592" s="678"/>
      <c r="P592" s="6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</row>
    <row r="593" spans="1:26" ht="19.5">
      <c r="A593" s="608"/>
      <c r="B593" s="618"/>
      <c r="C593" s="625" t="s">
        <v>253</v>
      </c>
      <c r="D593" s="618"/>
      <c r="E593" s="618"/>
      <c r="F593" s="626"/>
      <c r="G593" s="762"/>
      <c r="H593" s="767" t="s">
        <v>46</v>
      </c>
      <c r="I593" s="704">
        <f ca="1">IFERROR(__xludf.DUMMYFUNCTION("IMPORTRANGE(""https://docs.google.com/spreadsheets/d/1QqKyyYR6Q21VydFLVH3TRQUabQu_ym0Zz7PgGX0-kHA/edit?usp=sharing"",""แผน!HJ41"")"),391.38)</f>
        <v>391.38</v>
      </c>
      <c r="J593" s="193">
        <f t="shared" ref="J593:J594" si="255">J595+J603+J609</f>
        <v>391.38</v>
      </c>
      <c r="K593" s="411">
        <f t="shared" ca="1" si="254"/>
        <v>100</v>
      </c>
      <c r="L593" s="163"/>
      <c r="M593" s="163"/>
      <c r="N593" s="163"/>
      <c r="O593" s="163"/>
      <c r="P593" s="163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</row>
    <row r="594" spans="1:26" ht="19.5">
      <c r="A594" s="608"/>
      <c r="B594" s="618"/>
      <c r="C594" s="618"/>
      <c r="D594" s="618"/>
      <c r="E594" s="626"/>
      <c r="F594" s="626"/>
      <c r="G594" s="762"/>
      <c r="H594" s="767" t="s">
        <v>34</v>
      </c>
      <c r="I594" s="193">
        <f ca="1">IFERROR(__xludf.DUMMYFUNCTION("IMPORTRANGE(""https://docs.google.com/spreadsheets/d/1QqKyyYR6Q21VydFLVH3TRQUabQu_ym0Zz7PgGX0-kHA/edit?usp=sharing"",""แผน!HI41"")"),28)</f>
        <v>28</v>
      </c>
      <c r="J594" s="193">
        <f t="shared" si="255"/>
        <v>28</v>
      </c>
      <c r="K594" s="411">
        <f t="shared" ca="1" si="254"/>
        <v>100</v>
      </c>
      <c r="L594" s="163"/>
      <c r="M594" s="163"/>
      <c r="N594" s="163"/>
      <c r="O594" s="163"/>
      <c r="P594" s="163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</row>
    <row r="595" spans="1:26" ht="18.75">
      <c r="A595" s="608"/>
      <c r="B595" s="618"/>
      <c r="C595" s="618" t="s">
        <v>254</v>
      </c>
      <c r="D595" s="618"/>
      <c r="E595" s="618"/>
      <c r="F595" s="626"/>
      <c r="G595" s="762"/>
      <c r="H595" s="764" t="s">
        <v>46</v>
      </c>
      <c r="I595" s="184"/>
      <c r="J595" s="184">
        <f t="shared" ref="J595:J596" si="256">J597+J599</f>
        <v>385.90249999999997</v>
      </c>
      <c r="K595" s="163"/>
      <c r="L595" s="163"/>
      <c r="M595" s="163"/>
      <c r="N595" s="163"/>
      <c r="O595" s="163"/>
      <c r="P595" s="163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</row>
    <row r="596" spans="1:26" ht="18.75">
      <c r="A596" s="608"/>
      <c r="B596" s="618"/>
      <c r="C596" s="618"/>
      <c r="D596" s="618"/>
      <c r="E596" s="626"/>
      <c r="F596" s="626"/>
      <c r="G596" s="762"/>
      <c r="H596" s="764" t="s">
        <v>34</v>
      </c>
      <c r="I596" s="184"/>
      <c r="J596" s="184">
        <f t="shared" si="256"/>
        <v>27</v>
      </c>
      <c r="K596" s="163"/>
      <c r="L596" s="163"/>
      <c r="M596" s="163"/>
      <c r="N596" s="163"/>
      <c r="O596" s="163"/>
      <c r="P596" s="163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</row>
    <row r="597" spans="1:26" ht="18.75">
      <c r="A597" s="608"/>
      <c r="B597" s="618"/>
      <c r="C597" s="618"/>
      <c r="D597" s="746" t="s">
        <v>255</v>
      </c>
      <c r="E597" s="626"/>
      <c r="F597" s="626"/>
      <c r="G597" s="762"/>
      <c r="H597" s="764" t="s">
        <v>46</v>
      </c>
      <c r="I597" s="184"/>
      <c r="J597" s="215">
        <v>385.90249999999997</v>
      </c>
      <c r="K597" s="163"/>
      <c r="L597" s="163"/>
      <c r="M597" s="163"/>
      <c r="N597" s="163"/>
      <c r="O597" s="163"/>
      <c r="P597" s="163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</row>
    <row r="598" spans="1:26" ht="18.75">
      <c r="A598" s="608"/>
      <c r="B598" s="618"/>
      <c r="C598" s="618"/>
      <c r="D598" s="618"/>
      <c r="E598" s="626"/>
      <c r="F598" s="626"/>
      <c r="G598" s="762"/>
      <c r="H598" s="764" t="s">
        <v>34</v>
      </c>
      <c r="I598" s="270"/>
      <c r="J598" s="215">
        <v>27</v>
      </c>
      <c r="K598" s="163"/>
      <c r="L598" s="163"/>
      <c r="M598" s="163"/>
      <c r="N598" s="163"/>
      <c r="O598" s="163"/>
      <c r="P598" s="163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</row>
    <row r="599" spans="1:26" ht="18.75">
      <c r="A599" s="608"/>
      <c r="B599" s="618"/>
      <c r="C599" s="618"/>
      <c r="D599" s="746" t="s">
        <v>256</v>
      </c>
      <c r="E599" s="626"/>
      <c r="F599" s="626"/>
      <c r="G599" s="762"/>
      <c r="H599" s="764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</row>
    <row r="600" spans="1:26" ht="18.75">
      <c r="A600" s="608"/>
      <c r="B600" s="618"/>
      <c r="C600" s="618"/>
      <c r="D600" s="618"/>
      <c r="E600" s="626"/>
      <c r="F600" s="626"/>
      <c r="G600" s="762"/>
      <c r="H600" s="764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</row>
    <row r="601" spans="1:26" ht="18.75">
      <c r="A601" s="608"/>
      <c r="B601" s="618"/>
      <c r="C601" s="618"/>
      <c r="D601" s="746" t="s">
        <v>257</v>
      </c>
      <c r="E601" s="626"/>
      <c r="F601" s="626"/>
      <c r="G601" s="762"/>
      <c r="H601" s="76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</row>
    <row r="602" spans="1:26" ht="18.75">
      <c r="A602" s="608"/>
      <c r="B602" s="618"/>
      <c r="C602" s="618"/>
      <c r="D602" s="618"/>
      <c r="E602" s="626"/>
      <c r="F602" s="626"/>
      <c r="G602" s="762"/>
      <c r="H602" s="76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</row>
    <row r="603" spans="1:26" ht="18.75">
      <c r="A603" s="608"/>
      <c r="B603" s="618"/>
      <c r="C603" s="705" t="s">
        <v>258</v>
      </c>
      <c r="D603" s="618"/>
      <c r="E603" s="618"/>
      <c r="F603" s="626"/>
      <c r="G603" s="762"/>
      <c r="H603" s="764" t="s">
        <v>46</v>
      </c>
      <c r="I603" s="270"/>
      <c r="J603" s="270">
        <f t="shared" ref="J603:J604" si="257">J605+J607</f>
        <v>5.4775</v>
      </c>
      <c r="K603" s="163"/>
      <c r="L603" s="163"/>
      <c r="M603" s="163"/>
      <c r="N603" s="163"/>
      <c r="O603" s="163"/>
      <c r="P603" s="163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</row>
    <row r="604" spans="1:26" ht="18.75">
      <c r="A604" s="608"/>
      <c r="B604" s="618"/>
      <c r="C604" s="618"/>
      <c r="D604" s="618"/>
      <c r="E604" s="626"/>
      <c r="F604" s="626"/>
      <c r="G604" s="762"/>
      <c r="H604" s="764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</row>
    <row r="605" spans="1:26" ht="18.75">
      <c r="A605" s="608"/>
      <c r="B605" s="618"/>
      <c r="C605" s="618"/>
      <c r="D605" s="705" t="s">
        <v>259</v>
      </c>
      <c r="E605" s="626"/>
      <c r="F605" s="626"/>
      <c r="G605" s="762"/>
      <c r="H605" s="764" t="s">
        <v>46</v>
      </c>
      <c r="I605" s="270"/>
      <c r="J605" s="215">
        <v>5.4775</v>
      </c>
      <c r="K605" s="163"/>
      <c r="L605" s="163"/>
      <c r="M605" s="163"/>
      <c r="N605" s="163"/>
      <c r="O605" s="163"/>
      <c r="P605" s="163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</row>
    <row r="606" spans="1:26" ht="18.75">
      <c r="A606" s="608"/>
      <c r="B606" s="618"/>
      <c r="C606" s="618"/>
      <c r="D606" s="618"/>
      <c r="E606" s="618"/>
      <c r="F606" s="626"/>
      <c r="G606" s="762"/>
      <c r="H606" s="764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</row>
    <row r="607" spans="1:26" ht="18.75">
      <c r="A607" s="608"/>
      <c r="B607" s="618"/>
      <c r="C607" s="618"/>
      <c r="D607" s="705" t="s">
        <v>260</v>
      </c>
      <c r="E607" s="618"/>
      <c r="F607" s="626"/>
      <c r="G607" s="762"/>
      <c r="H607" s="764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</row>
    <row r="608" spans="1:26" ht="18.75">
      <c r="A608" s="608"/>
      <c r="B608" s="618"/>
      <c r="C608" s="618"/>
      <c r="D608" s="618"/>
      <c r="E608" s="626"/>
      <c r="F608" s="626"/>
      <c r="G608" s="762"/>
      <c r="H608" s="764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</row>
    <row r="609" spans="1:26" ht="18.75">
      <c r="A609" s="608"/>
      <c r="B609" s="618"/>
      <c r="C609" s="618" t="s">
        <v>261</v>
      </c>
      <c r="D609" s="618"/>
      <c r="E609" s="618"/>
      <c r="F609" s="626"/>
      <c r="G609" s="762"/>
      <c r="H609" s="764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</row>
    <row r="610" spans="1:26" ht="18.75">
      <c r="A610" s="608"/>
      <c r="B610" s="618"/>
      <c r="C610" s="618"/>
      <c r="D610" s="618"/>
      <c r="E610" s="626"/>
      <c r="F610" s="626"/>
      <c r="G610" s="762"/>
      <c r="H610" s="764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</row>
    <row r="611" spans="1:26" ht="19.5">
      <c r="A611" s="692"/>
      <c r="B611" s="706" t="s">
        <v>262</v>
      </c>
      <c r="C611" s="694"/>
      <c r="D611" s="694"/>
      <c r="E611" s="673"/>
      <c r="F611" s="673"/>
      <c r="G611" s="674"/>
      <c r="H611" s="707" t="s">
        <v>46</v>
      </c>
      <c r="I611" s="708">
        <v>0</v>
      </c>
      <c r="J611" s="708">
        <f>J614+J616</f>
        <v>0</v>
      </c>
      <c r="K611" s="677">
        <f t="shared" ref="K611:K613" si="258">IF(I611&gt;0,J611*100/I611,0)</f>
        <v>0</v>
      </c>
      <c r="L611" s="678"/>
      <c r="M611" s="678"/>
      <c r="N611" s="678"/>
      <c r="O611" s="678"/>
      <c r="P611" s="6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</row>
    <row r="612" spans="1:26" ht="19.5" hidden="1">
      <c r="A612" s="709"/>
      <c r="B612" s="719"/>
      <c r="C612" s="711" t="s">
        <v>263</v>
      </c>
      <c r="D612" s="719"/>
      <c r="E612" s="719"/>
      <c r="F612" s="712"/>
      <c r="G612" s="713"/>
      <c r="H612" s="714" t="s">
        <v>46</v>
      </c>
      <c r="I612" s="716">
        <v>0</v>
      </c>
      <c r="J612" s="716">
        <f t="shared" ref="J612:J613" si="259">J614+J616</f>
        <v>0</v>
      </c>
      <c r="K612" s="717">
        <f t="shared" si="258"/>
        <v>0</v>
      </c>
      <c r="L612" s="718"/>
      <c r="M612" s="718"/>
      <c r="N612" s="718"/>
      <c r="O612" s="718"/>
      <c r="P612" s="718"/>
      <c r="Q612" s="604"/>
      <c r="R612" s="604"/>
      <c r="S612" s="604"/>
      <c r="T612" s="604"/>
      <c r="U612" s="604"/>
      <c r="V612" s="604"/>
      <c r="W612" s="604"/>
      <c r="X612" s="604"/>
      <c r="Y612" s="604"/>
      <c r="Z612" s="604"/>
    </row>
    <row r="613" spans="1:26" ht="19.5" hidden="1">
      <c r="A613" s="709"/>
      <c r="B613" s="719"/>
      <c r="C613" s="719" t="s">
        <v>264</v>
      </c>
      <c r="D613" s="719"/>
      <c r="E613" s="719"/>
      <c r="F613" s="712"/>
      <c r="G613" s="713"/>
      <c r="H613" s="714" t="s">
        <v>34</v>
      </c>
      <c r="I613" s="716">
        <v>0</v>
      </c>
      <c r="J613" s="716">
        <f t="shared" si="259"/>
        <v>0</v>
      </c>
      <c r="K613" s="717">
        <f t="shared" si="258"/>
        <v>0</v>
      </c>
      <c r="L613" s="718"/>
      <c r="M613" s="718"/>
      <c r="N613" s="718"/>
      <c r="O613" s="718"/>
      <c r="P613" s="718"/>
      <c r="Q613" s="604"/>
      <c r="R613" s="604"/>
      <c r="S613" s="604"/>
      <c r="T613" s="604"/>
      <c r="U613" s="604"/>
      <c r="V613" s="604"/>
      <c r="W613" s="604"/>
      <c r="X613" s="604"/>
      <c r="Y613" s="604"/>
      <c r="Z613" s="604"/>
    </row>
    <row r="614" spans="1:26" ht="18.75" hidden="1">
      <c r="A614" s="614"/>
      <c r="B614" s="616"/>
      <c r="C614" s="616"/>
      <c r="D614" s="720" t="s">
        <v>265</v>
      </c>
      <c r="E614" s="616"/>
      <c r="F614" s="720"/>
      <c r="G614" s="366"/>
      <c r="H614" s="370" t="s">
        <v>46</v>
      </c>
      <c r="I614" s="617"/>
      <c r="J614" s="617">
        <v>0</v>
      </c>
      <c r="K614" s="167"/>
      <c r="L614" s="167"/>
      <c r="M614" s="167"/>
      <c r="N614" s="167"/>
      <c r="O614" s="167"/>
      <c r="P614" s="167"/>
      <c r="Q614" s="604"/>
      <c r="R614" s="604"/>
      <c r="S614" s="604"/>
      <c r="T614" s="604"/>
      <c r="U614" s="604"/>
      <c r="V614" s="604"/>
      <c r="W614" s="604"/>
      <c r="X614" s="604"/>
      <c r="Y614" s="604"/>
      <c r="Z614" s="604"/>
    </row>
    <row r="615" spans="1:26" ht="18.75" hidden="1">
      <c r="A615" s="614"/>
      <c r="B615" s="616"/>
      <c r="C615" s="616"/>
      <c r="D615" s="616"/>
      <c r="E615" s="616"/>
      <c r="F615" s="720"/>
      <c r="G615" s="366"/>
      <c r="H615" s="370" t="s">
        <v>34</v>
      </c>
      <c r="I615" s="617"/>
      <c r="J615" s="617">
        <v>0</v>
      </c>
      <c r="K615" s="167"/>
      <c r="L615" s="167"/>
      <c r="M615" s="167"/>
      <c r="N615" s="167"/>
      <c r="O615" s="167"/>
      <c r="P615" s="167"/>
      <c r="Q615" s="604"/>
      <c r="R615" s="604"/>
      <c r="S615" s="604"/>
      <c r="T615" s="604"/>
      <c r="U615" s="604"/>
      <c r="V615" s="604"/>
      <c r="W615" s="604"/>
      <c r="X615" s="604"/>
      <c r="Y615" s="604"/>
      <c r="Z615" s="604"/>
    </row>
    <row r="616" spans="1:26" ht="18.75" hidden="1">
      <c r="A616" s="614"/>
      <c r="B616" s="616"/>
      <c r="C616" s="616"/>
      <c r="D616" s="721" t="s">
        <v>265</v>
      </c>
      <c r="E616" s="720"/>
      <c r="F616" s="720"/>
      <c r="G616" s="366"/>
      <c r="H616" s="370" t="s">
        <v>46</v>
      </c>
      <c r="I616" s="617"/>
      <c r="J616" s="617">
        <v>0</v>
      </c>
      <c r="K616" s="167"/>
      <c r="L616" s="167"/>
      <c r="M616" s="167"/>
      <c r="N616" s="167"/>
      <c r="O616" s="167"/>
      <c r="P616" s="167"/>
      <c r="Q616" s="604"/>
      <c r="R616" s="604"/>
      <c r="S616" s="604"/>
      <c r="T616" s="604"/>
      <c r="U616" s="604"/>
      <c r="V616" s="604"/>
      <c r="W616" s="604"/>
      <c r="X616" s="604"/>
      <c r="Y616" s="604"/>
      <c r="Z616" s="604"/>
    </row>
    <row r="617" spans="1:26" ht="18.75" hidden="1">
      <c r="A617" s="614"/>
      <c r="B617" s="616"/>
      <c r="C617" s="616"/>
      <c r="D617" s="616"/>
      <c r="E617" s="720"/>
      <c r="F617" s="720"/>
      <c r="G617" s="366"/>
      <c r="H617" s="370" t="s">
        <v>34</v>
      </c>
      <c r="I617" s="617"/>
      <c r="J617" s="617">
        <v>0</v>
      </c>
      <c r="K617" s="167"/>
      <c r="L617" s="167"/>
      <c r="M617" s="167"/>
      <c r="N617" s="167"/>
      <c r="O617" s="167"/>
      <c r="P617" s="167"/>
      <c r="Q617" s="604"/>
      <c r="R617" s="604"/>
      <c r="S617" s="604"/>
      <c r="T617" s="604"/>
      <c r="U617" s="604"/>
      <c r="V617" s="604"/>
      <c r="W617" s="604"/>
      <c r="X617" s="604"/>
      <c r="Y617" s="604"/>
      <c r="Z617" s="604"/>
    </row>
    <row r="618" spans="1:26" ht="18.75" hidden="1">
      <c r="A618" s="614"/>
      <c r="B618" s="616"/>
      <c r="C618" s="616"/>
      <c r="D618" s="721" t="s">
        <v>266</v>
      </c>
      <c r="E618" s="720"/>
      <c r="F618" s="720"/>
      <c r="G618" s="366"/>
      <c r="H618" s="370" t="s">
        <v>46</v>
      </c>
      <c r="I618" s="617"/>
      <c r="J618" s="617">
        <v>0</v>
      </c>
      <c r="K618" s="167"/>
      <c r="L618" s="167"/>
      <c r="M618" s="167"/>
      <c r="N618" s="167"/>
      <c r="O618" s="167"/>
      <c r="P618" s="167"/>
      <c r="Q618" s="604"/>
      <c r="R618" s="604"/>
      <c r="S618" s="604"/>
      <c r="T618" s="604"/>
      <c r="U618" s="604"/>
      <c r="V618" s="604"/>
      <c r="W618" s="604"/>
      <c r="X618" s="604"/>
      <c r="Y618" s="604"/>
      <c r="Z618" s="604"/>
    </row>
    <row r="619" spans="1:26" ht="18.75" hidden="1">
      <c r="A619" s="614"/>
      <c r="B619" s="616"/>
      <c r="C619" s="616"/>
      <c r="D619" s="616"/>
      <c r="E619" s="720"/>
      <c r="F619" s="720"/>
      <c r="G619" s="366"/>
      <c r="H619" s="370" t="s">
        <v>34</v>
      </c>
      <c r="I619" s="617"/>
      <c r="J619" s="617">
        <v>0</v>
      </c>
      <c r="K619" s="167"/>
      <c r="L619" s="167"/>
      <c r="M619" s="167"/>
      <c r="N619" s="167"/>
      <c r="O619" s="167"/>
      <c r="P619" s="167"/>
      <c r="Q619" s="604"/>
      <c r="R619" s="604"/>
      <c r="S619" s="604"/>
      <c r="T619" s="604"/>
      <c r="U619" s="604"/>
      <c r="V619" s="604"/>
      <c r="W619" s="604"/>
      <c r="X619" s="604"/>
      <c r="Y619" s="604"/>
      <c r="Z619" s="604"/>
    </row>
    <row r="620" spans="1:26" ht="19.5">
      <c r="A620" s="722"/>
      <c r="B620" s="731"/>
      <c r="C620" s="724" t="s">
        <v>267</v>
      </c>
      <c r="D620" s="731"/>
      <c r="E620" s="731"/>
      <c r="F620" s="725"/>
      <c r="G620" s="726"/>
      <c r="H620" s="727" t="s">
        <v>46</v>
      </c>
      <c r="I620" s="728">
        <f ca="1">IFERROR(__xludf.DUMMYFUNCTION("IMPORTRANGE(""https://docs.google.com/spreadsheets/d/1QqKyyYR6Q21VydFLVH3TRQUabQu_ym0Zz7PgGX0-kHA/edit?usp=sharing"",""แผน!HL41"")"),0)</f>
        <v>0</v>
      </c>
      <c r="J620" s="728">
        <f t="shared" ref="J620:J621" si="260">J622+J624+J626</f>
        <v>0</v>
      </c>
      <c r="K620" s="729">
        <f t="shared" ref="K620:K621" ca="1" si="261">IF(I620&gt;0,J620*100/I620,0)</f>
        <v>0</v>
      </c>
      <c r="L620" s="730"/>
      <c r="M620" s="730"/>
      <c r="N620" s="730"/>
      <c r="O620" s="730"/>
      <c r="P620" s="730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</row>
    <row r="621" spans="1:26" ht="19.5">
      <c r="A621" s="722"/>
      <c r="B621" s="731"/>
      <c r="C621" s="731" t="s">
        <v>268</v>
      </c>
      <c r="D621" s="731"/>
      <c r="E621" s="731"/>
      <c r="F621" s="725"/>
      <c r="G621" s="726"/>
      <c r="H621" s="727" t="s">
        <v>34</v>
      </c>
      <c r="I621" s="728">
        <f ca="1">IFERROR(__xludf.DUMMYFUNCTION("IMPORTRANGE(""https://docs.google.com/spreadsheets/d/1QqKyyYR6Q21VydFLVH3TRQUabQu_ym0Zz7PgGX0-kHA/edit?usp=sharing"",""แผน!HK41"")"),0)</f>
        <v>0</v>
      </c>
      <c r="J621" s="728">
        <f t="shared" si="260"/>
        <v>0</v>
      </c>
      <c r="K621" s="729">
        <f t="shared" ca="1" si="261"/>
        <v>0</v>
      </c>
      <c r="L621" s="730"/>
      <c r="M621" s="730"/>
      <c r="N621" s="730"/>
      <c r="O621" s="730"/>
      <c r="P621" s="730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</row>
    <row r="622" spans="1:26" ht="18.75">
      <c r="A622" s="608"/>
      <c r="B622" s="618"/>
      <c r="C622" s="618"/>
      <c r="D622" s="746" t="s">
        <v>269</v>
      </c>
      <c r="E622" s="626"/>
      <c r="F622" s="626"/>
      <c r="G622" s="762"/>
      <c r="H622" s="764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</row>
    <row r="623" spans="1:26" ht="18.75">
      <c r="A623" s="608"/>
      <c r="B623" s="618"/>
      <c r="C623" s="618"/>
      <c r="D623" s="618"/>
      <c r="E623" s="626"/>
      <c r="F623" s="626"/>
      <c r="G623" s="762"/>
      <c r="H623" s="764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</row>
    <row r="624" spans="1:26" ht="18.75">
      <c r="A624" s="608"/>
      <c r="B624" s="618"/>
      <c r="C624" s="618"/>
      <c r="D624" s="746" t="s">
        <v>265</v>
      </c>
      <c r="E624" s="626"/>
      <c r="F624" s="626"/>
      <c r="G624" s="762"/>
      <c r="H624" s="764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</row>
    <row r="625" spans="1:26" ht="18.75">
      <c r="A625" s="608"/>
      <c r="B625" s="618"/>
      <c r="C625" s="618"/>
      <c r="D625" s="618"/>
      <c r="E625" s="626"/>
      <c r="F625" s="626"/>
      <c r="G625" s="762"/>
      <c r="H625" s="764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</row>
    <row r="626" spans="1:26" ht="18.75">
      <c r="A626" s="608"/>
      <c r="B626" s="618"/>
      <c r="C626" s="618"/>
      <c r="D626" s="746" t="s">
        <v>270</v>
      </c>
      <c r="E626" s="626"/>
      <c r="F626" s="626"/>
      <c r="G626" s="762"/>
      <c r="H626" s="76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</row>
    <row r="627" spans="1:26" ht="18.75">
      <c r="A627" s="732"/>
      <c r="B627" s="733"/>
      <c r="C627" s="733"/>
      <c r="D627" s="733"/>
      <c r="E627" s="734"/>
      <c r="F627" s="734"/>
      <c r="G627" s="735"/>
      <c r="H627" s="422" t="s">
        <v>34</v>
      </c>
      <c r="I627" s="506"/>
      <c r="J627" s="424">
        <v>0</v>
      </c>
      <c r="K627" s="385"/>
      <c r="L627" s="385"/>
      <c r="M627" s="385"/>
      <c r="N627" s="385"/>
      <c r="O627" s="385"/>
      <c r="P627" s="385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</row>
    <row r="628" spans="1:26" ht="19.5">
      <c r="A628" s="736">
        <v>7</v>
      </c>
      <c r="B628" s="737" t="s">
        <v>271</v>
      </c>
      <c r="C628" s="738"/>
      <c r="D628" s="738"/>
      <c r="E628" s="738"/>
      <c r="F628" s="738"/>
      <c r="G628" s="739"/>
      <c r="H628" s="740" t="s">
        <v>35</v>
      </c>
      <c r="I628" s="741">
        <f t="shared" ref="I628:J628" ca="1" si="262">I651</f>
        <v>205</v>
      </c>
      <c r="J628" s="741">
        <f t="shared" ca="1" si="262"/>
        <v>209</v>
      </c>
      <c r="K628" s="742">
        <f ca="1">IF(I628&gt;0,J628*100/I628,0)</f>
        <v>101.95121951219512</v>
      </c>
      <c r="L628" s="743"/>
      <c r="M628" s="743"/>
      <c r="N628" s="743"/>
      <c r="O628" s="743"/>
      <c r="P628" s="743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</row>
    <row r="629" spans="1:26" ht="19.5">
      <c r="A629" s="597"/>
      <c r="B629" s="763"/>
      <c r="C629" s="763" t="s">
        <v>16</v>
      </c>
      <c r="D629" s="863" t="s">
        <v>17</v>
      </c>
      <c r="E629" s="857"/>
      <c r="F629" s="857"/>
      <c r="G629" s="189"/>
      <c r="H629" s="598" t="s">
        <v>12</v>
      </c>
      <c r="I629" s="270"/>
      <c r="J629" s="270"/>
      <c r="K629" s="498"/>
      <c r="L629" s="195">
        <f t="shared" ref="L629:N629" ca="1" si="263">L630+L631</f>
        <v>419495</v>
      </c>
      <c r="M629" s="195">
        <f t="shared" ca="1" si="263"/>
        <v>416895</v>
      </c>
      <c r="N629" s="195">
        <f t="shared" si="263"/>
        <v>416895</v>
      </c>
      <c r="O629" s="195">
        <f t="shared" ref="O629:O634" ca="1" si="264">IF(L629&gt;0,N629*100/L629,0)</f>
        <v>99.380207153839734</v>
      </c>
      <c r="P629" s="195">
        <f t="shared" ref="P629:P634" ca="1" si="265">IF(M629&gt;0,N629*100/M629,0)</f>
        <v>100</v>
      </c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</row>
    <row r="630" spans="1:26" ht="18.75" hidden="1">
      <c r="A630" s="599"/>
      <c r="B630" s="759"/>
      <c r="C630" s="759"/>
      <c r="D630" s="720"/>
      <c r="E630" s="759" t="s">
        <v>185</v>
      </c>
      <c r="F630" s="759"/>
      <c r="G630" s="603"/>
      <c r="H630" s="165" t="s">
        <v>12</v>
      </c>
      <c r="I630" s="617"/>
      <c r="J630" s="617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4"/>
      <c r="R630" s="604"/>
      <c r="S630" s="604"/>
      <c r="T630" s="604"/>
      <c r="U630" s="604"/>
      <c r="V630" s="604"/>
      <c r="W630" s="604"/>
      <c r="X630" s="604"/>
      <c r="Y630" s="604"/>
      <c r="Z630" s="604"/>
    </row>
    <row r="631" spans="1:26" ht="18.75" hidden="1">
      <c r="A631" s="599"/>
      <c r="B631" s="607"/>
      <c r="C631" s="759"/>
      <c r="D631" s="720"/>
      <c r="E631" s="759" t="s">
        <v>186</v>
      </c>
      <c r="F631" s="759"/>
      <c r="G631" s="603"/>
      <c r="H631" s="165" t="s">
        <v>12</v>
      </c>
      <c r="I631" s="617"/>
      <c r="J631" s="617"/>
      <c r="K631" s="93"/>
      <c r="L631" s="93">
        <f t="shared" ca="1" si="266"/>
        <v>419495</v>
      </c>
      <c r="M631" s="93">
        <f t="shared" ca="1" si="266"/>
        <v>416895</v>
      </c>
      <c r="N631" s="93">
        <f t="shared" si="266"/>
        <v>416895</v>
      </c>
      <c r="O631" s="93">
        <f t="shared" ca="1" si="264"/>
        <v>99.380207153839734</v>
      </c>
      <c r="P631" s="93">
        <f t="shared" ca="1" si="265"/>
        <v>100</v>
      </c>
      <c r="Q631" s="604"/>
      <c r="R631" s="604"/>
      <c r="S631" s="604"/>
      <c r="T631" s="604"/>
      <c r="U631" s="604"/>
      <c r="V631" s="604"/>
      <c r="W631" s="604"/>
      <c r="X631" s="604"/>
      <c r="Y631" s="604"/>
      <c r="Z631" s="604"/>
    </row>
    <row r="632" spans="1:26" ht="18.75">
      <c r="A632" s="597"/>
      <c r="B632" s="575"/>
      <c r="C632" s="763"/>
      <c r="D632" s="606" t="s">
        <v>20</v>
      </c>
      <c r="E632" s="763"/>
      <c r="F632" s="763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419495</v>
      </c>
      <c r="M632" s="498">
        <f t="shared" ca="1" si="267"/>
        <v>416895</v>
      </c>
      <c r="N632" s="498">
        <f t="shared" si="267"/>
        <v>416895</v>
      </c>
      <c r="O632" s="498">
        <f t="shared" ca="1" si="264"/>
        <v>99.380207153839734</v>
      </c>
      <c r="P632" s="498">
        <f t="shared" ca="1" si="265"/>
        <v>100</v>
      </c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</row>
    <row r="633" spans="1:26" ht="18.75" hidden="1">
      <c r="A633" s="599"/>
      <c r="B633" s="607"/>
      <c r="C633" s="759"/>
      <c r="D633" s="720"/>
      <c r="E633" s="759" t="s">
        <v>185</v>
      </c>
      <c r="F633" s="759"/>
      <c r="G633" s="603"/>
      <c r="H633" s="165" t="s">
        <v>12</v>
      </c>
      <c r="I633" s="617"/>
      <c r="J633" s="617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4"/>
      <c r="R633" s="604"/>
      <c r="S633" s="604"/>
      <c r="T633" s="604"/>
      <c r="U633" s="604"/>
      <c r="V633" s="604"/>
      <c r="W633" s="604"/>
      <c r="X633" s="604"/>
      <c r="Y633" s="604"/>
      <c r="Z633" s="604"/>
    </row>
    <row r="634" spans="1:26" ht="18.75" hidden="1">
      <c r="A634" s="599"/>
      <c r="B634" s="607"/>
      <c r="C634" s="759"/>
      <c r="D634" s="720"/>
      <c r="E634" s="759" t="s">
        <v>186</v>
      </c>
      <c r="F634" s="759"/>
      <c r="G634" s="603"/>
      <c r="H634" s="165" t="s">
        <v>12</v>
      </c>
      <c r="I634" s="617"/>
      <c r="J634" s="617"/>
      <c r="K634" s="93"/>
      <c r="L634" s="93">
        <f ca="1">IFERROR(__xludf.DUMMYFUNCTION("IMPORTRANGE(""https://docs.google.com/spreadsheets/d/1QqKyyYR6Q21VydFLVH3TRQUabQu_ym0Zz7PgGX0-kHA/edit?usp=sharing"",""แผน!HN41"")"),419495)</f>
        <v>419495</v>
      </c>
      <c r="M634" s="93">
        <f ca="1">L634-2600</f>
        <v>416895</v>
      </c>
      <c r="N634" s="93">
        <f>N635+N636+N637+N638</f>
        <v>416895</v>
      </c>
      <c r="O634" s="93">
        <f t="shared" ca="1" si="264"/>
        <v>99.380207153839734</v>
      </c>
      <c r="P634" s="93">
        <f t="shared" ca="1" si="265"/>
        <v>100</v>
      </c>
      <c r="Q634" s="604"/>
      <c r="R634" s="604"/>
      <c r="S634" s="604"/>
      <c r="T634" s="604"/>
      <c r="U634" s="604"/>
      <c r="V634" s="604"/>
      <c r="W634" s="604"/>
      <c r="X634" s="604"/>
      <c r="Y634" s="604"/>
      <c r="Z634" s="604"/>
    </row>
    <row r="635" spans="1:26" ht="18.75">
      <c r="A635" s="574"/>
      <c r="B635" s="575"/>
      <c r="C635" s="763"/>
      <c r="D635" s="763"/>
      <c r="E635" s="763"/>
      <c r="F635" s="763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40">
        <v>0</v>
      </c>
      <c r="O635" s="498"/>
      <c r="P635" s="49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</row>
    <row r="636" spans="1:26" ht="18.75">
      <c r="A636" s="574"/>
      <c r="B636" s="575"/>
      <c r="C636" s="763"/>
      <c r="D636" s="763"/>
      <c r="E636" s="763"/>
      <c r="F636" s="763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40">
        <v>0</v>
      </c>
      <c r="O636" s="498"/>
      <c r="P636" s="49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</row>
    <row r="637" spans="1:26" ht="18.75">
      <c r="A637" s="574"/>
      <c r="B637" s="575"/>
      <c r="C637" s="763"/>
      <c r="D637" s="763"/>
      <c r="E637" s="763"/>
      <c r="F637" s="763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40">
        <f>63700+11700+13000+13000+13000+13000+13000</f>
        <v>140400</v>
      </c>
      <c r="O637" s="498"/>
      <c r="P637" s="498"/>
      <c r="Q637" s="578"/>
      <c r="R637" s="578"/>
      <c r="S637" s="578"/>
      <c r="T637" s="578"/>
      <c r="U637" s="578"/>
      <c r="V637" s="578"/>
      <c r="W637" s="578"/>
      <c r="X637" s="578"/>
      <c r="Y637" s="578"/>
      <c r="Z637" s="578"/>
    </row>
    <row r="638" spans="1:26" ht="18.75">
      <c r="A638" s="574"/>
      <c r="B638" s="575"/>
      <c r="C638" s="763"/>
      <c r="D638" s="763"/>
      <c r="E638" s="763"/>
      <c r="F638" s="763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40">
        <f>9400+18000+11160+14938+14540+16200+26420+37525+11390+14000+44401+12840+36300+1225+8156</f>
        <v>276495</v>
      </c>
      <c r="O638" s="498"/>
      <c r="P638" s="49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</row>
    <row r="639" spans="1:26" ht="18.75">
      <c r="A639" s="597"/>
      <c r="B639" s="575"/>
      <c r="C639" s="763"/>
      <c r="D639" s="606" t="s">
        <v>21</v>
      </c>
      <c r="E639" s="763"/>
      <c r="F639" s="763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</row>
    <row r="640" spans="1:26" ht="18.75" hidden="1">
      <c r="A640" s="599"/>
      <c r="B640" s="607"/>
      <c r="C640" s="759"/>
      <c r="D640" s="759"/>
      <c r="E640" s="759" t="s">
        <v>18</v>
      </c>
      <c r="F640" s="759"/>
      <c r="G640" s="603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4"/>
      <c r="R640" s="604"/>
      <c r="S640" s="604"/>
      <c r="T640" s="604"/>
      <c r="U640" s="604"/>
      <c r="V640" s="604"/>
      <c r="W640" s="604"/>
      <c r="X640" s="604"/>
      <c r="Y640" s="604"/>
      <c r="Z640" s="604"/>
    </row>
    <row r="641" spans="1:26" ht="18.75" hidden="1">
      <c r="A641" s="599"/>
      <c r="B641" s="607"/>
      <c r="C641" s="759"/>
      <c r="D641" s="759"/>
      <c r="E641" s="759" t="s">
        <v>19</v>
      </c>
      <c r="F641" s="759"/>
      <c r="G641" s="603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4"/>
      <c r="R641" s="604"/>
      <c r="S641" s="604"/>
      <c r="T641" s="604"/>
      <c r="U641" s="604"/>
      <c r="V641" s="604"/>
      <c r="W641" s="604"/>
      <c r="X641" s="604"/>
      <c r="Y641" s="604"/>
      <c r="Z641" s="604"/>
    </row>
    <row r="642" spans="1:26" ht="19.5">
      <c r="A642" s="608"/>
      <c r="B642" s="618"/>
      <c r="C642" s="763" t="s">
        <v>16</v>
      </c>
      <c r="D642" s="896" t="s">
        <v>38</v>
      </c>
      <c r="E642" s="761"/>
      <c r="F642" s="761"/>
      <c r="G642" s="613"/>
      <c r="H642" s="762"/>
      <c r="I642" s="184"/>
      <c r="J642" s="184"/>
      <c r="K642" s="163"/>
      <c r="L642" s="163"/>
      <c r="M642" s="163"/>
      <c r="N642" s="163"/>
      <c r="O642" s="163"/>
      <c r="P642" s="163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</row>
    <row r="643" spans="1:26" ht="18.75">
      <c r="A643" s="744"/>
      <c r="B643" s="575"/>
      <c r="C643" s="763"/>
      <c r="D643" s="626"/>
      <c r="E643" s="746" t="s">
        <v>272</v>
      </c>
      <c r="F643" s="626"/>
      <c r="G643" s="762"/>
      <c r="H643" s="764" t="s">
        <v>273</v>
      </c>
      <c r="I643" s="270">
        <f ca="1">IFERROR(__xludf.DUMMYFUNCTION("IMPORTRANGE(""https://docs.google.com/spreadsheets/d/1QqKyyYR6Q21VydFLVH3TRQUabQu_ym0Zz7PgGX0-kHA/edit?usp=sharing"",""แผน!HR41"")"),0)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</row>
    <row r="644" spans="1:26" ht="18.75">
      <c r="A644" s="744"/>
      <c r="B644" s="575"/>
      <c r="C644" s="763"/>
      <c r="D644" s="626"/>
      <c r="E644" s="746" t="s">
        <v>274</v>
      </c>
      <c r="F644" s="626"/>
      <c r="G644" s="762"/>
      <c r="H644" s="764" t="s">
        <v>275</v>
      </c>
      <c r="I644" s="270">
        <f ca="1">IFERROR(__xludf.DUMMYFUNCTION("IMPORTRANGE(""https://docs.google.com/spreadsheets/d/1QqKyyYR6Q21VydFLVH3TRQUabQu_ym0Zz7PgGX0-kHA/edit?usp=sharing"",""แผน!HR41"")"),0)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</row>
    <row r="645" spans="1:26" ht="18.75">
      <c r="A645" s="744"/>
      <c r="B645" s="575"/>
      <c r="C645" s="763"/>
      <c r="D645" s="626"/>
      <c r="E645" s="746" t="s">
        <v>276</v>
      </c>
      <c r="F645" s="626"/>
      <c r="G645" s="762"/>
      <c r="H645" s="76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IFERROR(__xludf.DUMMYFUNCTION("IMPORTRANGE(""https://docs.google.com/spreadsheets/d/1XWAQStnk-4SwqDmLtmXYiTMKHgktTP8We1SCoS47DrQ/edit?usp=sharing"",""จัดที่ดิน!AS41"")"),204)</f>
        <v>204</v>
      </c>
      <c r="K645" s="163">
        <f t="shared" si="271"/>
        <v>0</v>
      </c>
      <c r="L645" s="163"/>
      <c r="M645" s="163"/>
      <c r="N645" s="498"/>
      <c r="O645" s="163"/>
      <c r="P645" s="163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</row>
    <row r="646" spans="1:26" ht="18.75">
      <c r="A646" s="744"/>
      <c r="B646" s="575"/>
      <c r="C646" s="763"/>
      <c r="D646" s="626"/>
      <c r="E646" s="626"/>
      <c r="F646" s="626"/>
      <c r="G646" s="762"/>
      <c r="H646" s="76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IFERROR(__xludf.DUMMYFUNCTION("IMPORTRANGE(""https://docs.google.com/spreadsheets/d/1XWAQStnk-4SwqDmLtmXYiTMKHgktTP8We1SCoS47DrQ/edit?usp=sharing"",""จัดที่ดิน!AT41"")"),94.83)</f>
        <v>94.83</v>
      </c>
      <c r="K646" s="498">
        <f t="shared" si="271"/>
        <v>0</v>
      </c>
      <c r="L646" s="163"/>
      <c r="M646" s="163"/>
      <c r="N646" s="498"/>
      <c r="O646" s="163"/>
      <c r="P646" s="163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</row>
    <row r="647" spans="1:26" ht="18.75">
      <c r="A647" s="744"/>
      <c r="B647" s="575"/>
      <c r="C647" s="763"/>
      <c r="D647" s="626"/>
      <c r="E647" s="746" t="s">
        <v>162</v>
      </c>
      <c r="F647" s="626"/>
      <c r="G647" s="762"/>
      <c r="H647" s="764" t="s">
        <v>35</v>
      </c>
      <c r="I647" s="270">
        <f ca="1">IFERROR(__xludf.DUMMYFUNCTION("IMPORTRANGE(""https://docs.google.com/spreadsheets/d/1QqKyyYR6Q21VydFLVH3TRQUabQu_ym0Zz7PgGX0-kHA/edit?usp=sharing"",""แผน!HS41"")"),205)</f>
        <v>205</v>
      </c>
      <c r="J647" s="270">
        <f ca="1">IFERROR(__xludf.DUMMYFUNCTION("IMPORTRANGE(""https://docs.google.com/spreadsheets/d/1XWAQStnk-4SwqDmLtmXYiTMKHgktTP8We1SCoS47DrQ/edit?usp=sharing"",""จัดที่ดิน!AU41"")"),200)</f>
        <v>200</v>
      </c>
      <c r="K647" s="163">
        <f t="shared" ca="1" si="271"/>
        <v>97.560975609756099</v>
      </c>
      <c r="L647" s="163"/>
      <c r="M647" s="163"/>
      <c r="N647" s="163"/>
      <c r="O647" s="163"/>
      <c r="P647" s="163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</row>
    <row r="648" spans="1:26" ht="18.75">
      <c r="A648" s="744"/>
      <c r="B648" s="575"/>
      <c r="C648" s="763"/>
      <c r="D648" s="626"/>
      <c r="E648" s="626"/>
      <c r="F648" s="626"/>
      <c r="G648" s="762"/>
      <c r="H648" s="76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IFERROR(__xludf.DUMMYFUNCTION("IMPORTRANGE(""https://docs.google.com/spreadsheets/d/1XWAQStnk-4SwqDmLtmXYiTMKHgktTP8We1SCoS47DrQ/edit?usp=sharing"",""จัดที่ดิน!AV41"")"),87.55)</f>
        <v>87.55</v>
      </c>
      <c r="K648" s="498">
        <f t="shared" si="271"/>
        <v>0</v>
      </c>
      <c r="L648" s="163"/>
      <c r="M648" s="163"/>
      <c r="N648" s="163"/>
      <c r="O648" s="163"/>
      <c r="P648" s="163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</row>
    <row r="649" spans="1:26" ht="18.75">
      <c r="A649" s="744"/>
      <c r="B649" s="575"/>
      <c r="C649" s="763"/>
      <c r="D649" s="626"/>
      <c r="E649" s="746" t="s">
        <v>277</v>
      </c>
      <c r="F649" s="626"/>
      <c r="G649" s="762"/>
      <c r="H649" s="764" t="s">
        <v>35</v>
      </c>
      <c r="I649" s="270">
        <f ca="1">IFERROR(__xludf.DUMMYFUNCTION("IMPORTRANGE(""https://docs.google.com/spreadsheets/d/1QqKyyYR6Q21VydFLVH3TRQUabQu_ym0Zz7PgGX0-kHA/edit?usp=sharing"",""แผน!HS41"")"),205)</f>
        <v>205</v>
      </c>
      <c r="J649" s="270">
        <f ca="1">IFERROR(__xludf.DUMMYFUNCTION("IMPORTRANGE(""https://docs.google.com/spreadsheets/d/1XWAQStnk-4SwqDmLtmXYiTMKHgktTP8We1SCoS47DrQ/edit?usp=sharing"",""จัดที่ดิน!AW41"")"),213)</f>
        <v>213</v>
      </c>
      <c r="K649" s="163">
        <f t="shared" ca="1" si="271"/>
        <v>103.90243902439025</v>
      </c>
      <c r="L649" s="163"/>
      <c r="M649" s="163"/>
      <c r="N649" s="163"/>
      <c r="O649" s="163"/>
      <c r="P649" s="163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</row>
    <row r="650" spans="1:26" ht="18.75">
      <c r="A650" s="744"/>
      <c r="B650" s="575"/>
      <c r="C650" s="763"/>
      <c r="D650" s="626"/>
      <c r="E650" s="626"/>
      <c r="F650" s="626"/>
      <c r="G650" s="762"/>
      <c r="H650" s="76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IFERROR(__xludf.DUMMYFUNCTION("IMPORTRANGE(""https://docs.google.com/spreadsheets/d/1XWAQStnk-4SwqDmLtmXYiTMKHgktTP8We1SCoS47DrQ/edit?usp=sharing"",""จัดที่ดิน!AX41"")"),92.34)</f>
        <v>92.34</v>
      </c>
      <c r="K650" s="498">
        <f t="shared" si="271"/>
        <v>0</v>
      </c>
      <c r="L650" s="163"/>
      <c r="M650" s="163"/>
      <c r="N650" s="163"/>
      <c r="O650" s="163"/>
      <c r="P650" s="163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</row>
    <row r="651" spans="1:26" ht="18.75">
      <c r="A651" s="744"/>
      <c r="B651" s="575"/>
      <c r="C651" s="763"/>
      <c r="D651" s="626"/>
      <c r="E651" s="746" t="s">
        <v>278</v>
      </c>
      <c r="F651" s="626"/>
      <c r="G651" s="762"/>
      <c r="H651" s="764" t="s">
        <v>35</v>
      </c>
      <c r="I651" s="270">
        <f ca="1">IFERROR(__xludf.DUMMYFUNCTION("IMPORTRANGE(""https://docs.google.com/spreadsheets/d/1QqKyyYR6Q21VydFLVH3TRQUabQu_ym0Zz7PgGX0-kHA/edit?usp=sharing"",""แผน!HS41"")"),205)</f>
        <v>205</v>
      </c>
      <c r="J651" s="270">
        <f ca="1">IFERROR(__xludf.DUMMYFUNCTION("IMPORTRANGE(""https://docs.google.com/spreadsheets/d/1XWAQStnk-4SwqDmLtmXYiTMKHgktTP8We1SCoS47DrQ/edit?usp=sharing"",""จัดที่ดิน!AY41"")"),209)</f>
        <v>209</v>
      </c>
      <c r="K651" s="163">
        <f t="shared" ca="1" si="271"/>
        <v>101.95121951219512</v>
      </c>
      <c r="L651" s="163"/>
      <c r="M651" s="163"/>
      <c r="N651" s="163"/>
      <c r="O651" s="163"/>
      <c r="P651" s="163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</row>
    <row r="652" spans="1:26" ht="18.75">
      <c r="A652" s="74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8"/>
      <c r="C652" s="749"/>
      <c r="D652" s="734"/>
      <c r="E652" s="734"/>
      <c r="F652" s="734"/>
      <c r="G652" s="735"/>
      <c r="H652" s="505" t="s">
        <v>46</v>
      </c>
      <c r="I652" s="506">
        <v>0</v>
      </c>
      <c r="J652" s="506">
        <f ca="1">IFERROR(__xludf.DUMMYFUNCTION("IMPORTRANGE(""https://docs.google.com/spreadsheets/d/1XWAQStnk-4SwqDmLtmXYiTMKHgktTP8We1SCoS47DrQ/edit?usp=sharing"",""จัดที่ดิน!AZ41"")"),81.9075)</f>
        <v>81.907499999999999</v>
      </c>
      <c r="K652" s="507">
        <f t="shared" si="271"/>
        <v>0</v>
      </c>
      <c r="L652" s="385"/>
      <c r="M652" s="385"/>
      <c r="N652" s="385"/>
      <c r="O652" s="385"/>
      <c r="P652" s="385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</row>
    <row r="653" spans="1:26" ht="19.5" hidden="1">
      <c r="A653" s="750">
        <v>8</v>
      </c>
      <c r="B653" s="737" t="s">
        <v>279</v>
      </c>
      <c r="C653" s="738"/>
      <c r="D653" s="738"/>
      <c r="E653" s="738"/>
      <c r="F653" s="738"/>
      <c r="G653" s="739"/>
      <c r="H653" s="739"/>
      <c r="I653" s="751"/>
      <c r="J653" s="751"/>
      <c r="K653" s="743"/>
      <c r="L653" s="743"/>
      <c r="M653" s="743"/>
      <c r="N653" s="743"/>
      <c r="O653" s="743"/>
      <c r="P653" s="743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</row>
    <row r="654" spans="1:26" ht="19.5" hidden="1">
      <c r="A654" s="673"/>
      <c r="B654" s="672" t="s">
        <v>280</v>
      </c>
      <c r="C654" s="673"/>
      <c r="D654" s="673"/>
      <c r="E654" s="673"/>
      <c r="F654" s="673"/>
      <c r="G654" s="674"/>
      <c r="H654" s="707" t="s">
        <v>46</v>
      </c>
      <c r="I654" s="708">
        <f t="shared" ref="I654:J654" ca="1" si="272">I669</f>
        <v>0</v>
      </c>
      <c r="J654" s="708">
        <f t="shared" si="272"/>
        <v>0</v>
      </c>
      <c r="K654" s="677">
        <f ca="1">IF(I654&gt;0,J654*100/I654,0)</f>
        <v>0</v>
      </c>
      <c r="L654" s="678"/>
      <c r="M654" s="678"/>
      <c r="N654" s="678"/>
      <c r="O654" s="678"/>
      <c r="P654" s="6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</row>
    <row r="655" spans="1:26" ht="19.5" hidden="1">
      <c r="A655" s="597"/>
      <c r="B655" s="763"/>
      <c r="C655" s="763" t="s">
        <v>16</v>
      </c>
      <c r="D655" s="863" t="s">
        <v>17</v>
      </c>
      <c r="E655" s="857"/>
      <c r="F655" s="857"/>
      <c r="G655" s="189"/>
      <c r="H655" s="598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</row>
    <row r="656" spans="1:26" ht="18.75" hidden="1">
      <c r="A656" s="599"/>
      <c r="B656" s="759"/>
      <c r="C656" s="759"/>
      <c r="D656" s="720"/>
      <c r="E656" s="759" t="s">
        <v>185</v>
      </c>
      <c r="F656" s="759"/>
      <c r="G656" s="603"/>
      <c r="H656" s="165" t="s">
        <v>12</v>
      </c>
      <c r="I656" s="617"/>
      <c r="J656" s="617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4"/>
      <c r="R656" s="604"/>
      <c r="S656" s="604"/>
      <c r="T656" s="604"/>
      <c r="U656" s="604"/>
      <c r="V656" s="604"/>
      <c r="W656" s="604"/>
      <c r="X656" s="604"/>
      <c r="Y656" s="604"/>
      <c r="Z656" s="604"/>
    </row>
    <row r="657" spans="1:26" ht="18.75" hidden="1">
      <c r="A657" s="599"/>
      <c r="B657" s="607"/>
      <c r="C657" s="759"/>
      <c r="D657" s="720"/>
      <c r="E657" s="759" t="s">
        <v>186</v>
      </c>
      <c r="F657" s="759"/>
      <c r="G657" s="603"/>
      <c r="H657" s="165" t="s">
        <v>12</v>
      </c>
      <c r="I657" s="617"/>
      <c r="J657" s="617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4"/>
      <c r="R657" s="604"/>
      <c r="S657" s="604"/>
      <c r="T657" s="604"/>
      <c r="U657" s="604"/>
      <c r="V657" s="604"/>
      <c r="W657" s="604"/>
      <c r="X657" s="604"/>
      <c r="Y657" s="604"/>
      <c r="Z657" s="604"/>
    </row>
    <row r="658" spans="1:26" ht="18.75" hidden="1">
      <c r="A658" s="597"/>
      <c r="B658" s="575"/>
      <c r="C658" s="763"/>
      <c r="D658" s="606" t="s">
        <v>20</v>
      </c>
      <c r="E658" s="763"/>
      <c r="F658" s="763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</row>
    <row r="659" spans="1:26" ht="18.75" hidden="1">
      <c r="A659" s="599"/>
      <c r="B659" s="607"/>
      <c r="C659" s="759"/>
      <c r="D659" s="720"/>
      <c r="E659" s="759" t="s">
        <v>185</v>
      </c>
      <c r="F659" s="759"/>
      <c r="G659" s="603"/>
      <c r="H659" s="165" t="s">
        <v>12</v>
      </c>
      <c r="I659" s="617"/>
      <c r="J659" s="617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4"/>
      <c r="R659" s="604"/>
      <c r="S659" s="604"/>
      <c r="T659" s="604"/>
      <c r="U659" s="604"/>
      <c r="V659" s="604"/>
      <c r="W659" s="604"/>
      <c r="X659" s="604"/>
      <c r="Y659" s="604"/>
      <c r="Z659" s="604"/>
    </row>
    <row r="660" spans="1:26" ht="18.75" hidden="1">
      <c r="A660" s="599"/>
      <c r="B660" s="607"/>
      <c r="C660" s="759"/>
      <c r="D660" s="720"/>
      <c r="E660" s="759" t="s">
        <v>186</v>
      </c>
      <c r="F660" s="759"/>
      <c r="G660" s="603"/>
      <c r="H660" s="165" t="s">
        <v>12</v>
      </c>
      <c r="I660" s="617"/>
      <c r="J660" s="617"/>
      <c r="K660" s="93"/>
      <c r="L660" s="93">
        <f ca="1">IFERROR(__xludf.DUMMYFUNCTION("IMPORTRANGE(""https://docs.google.com/spreadsheets/d/1QqKyyYR6Q21VydFLVH3TRQUabQu_ym0Zz7PgGX0-kHA/edit?usp=sharing"",""แผน!HV41"")"),0)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4"/>
      <c r="R660" s="604"/>
      <c r="S660" s="604"/>
      <c r="T660" s="604"/>
      <c r="U660" s="604"/>
      <c r="V660" s="604"/>
      <c r="W660" s="604"/>
      <c r="X660" s="604"/>
      <c r="Y660" s="604"/>
      <c r="Z660" s="604"/>
    </row>
    <row r="661" spans="1:26" ht="18.75" hidden="1">
      <c r="A661" s="574"/>
      <c r="B661" s="575"/>
      <c r="C661" s="763"/>
      <c r="D661" s="763"/>
      <c r="E661" s="763"/>
      <c r="F661" s="763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40">
        <v>0</v>
      </c>
      <c r="O661" s="498"/>
      <c r="P661" s="49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</row>
    <row r="662" spans="1:26" ht="18.75" hidden="1">
      <c r="A662" s="574"/>
      <c r="B662" s="575"/>
      <c r="C662" s="763"/>
      <c r="D662" s="763"/>
      <c r="E662" s="763"/>
      <c r="F662" s="763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40">
        <v>0</v>
      </c>
      <c r="O662" s="498"/>
      <c r="P662" s="49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</row>
    <row r="663" spans="1:26" ht="18.75" hidden="1">
      <c r="A663" s="574"/>
      <c r="B663" s="575"/>
      <c r="C663" s="575"/>
      <c r="D663" s="763"/>
      <c r="E663" s="763"/>
      <c r="F663" s="763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40">
        <v>0</v>
      </c>
      <c r="O663" s="498"/>
      <c r="P663" s="49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</row>
    <row r="664" spans="1:26" ht="18.75" hidden="1">
      <c r="A664" s="574"/>
      <c r="B664" s="575"/>
      <c r="C664" s="575"/>
      <c r="D664" s="575"/>
      <c r="E664" s="763"/>
      <c r="F664" s="763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40">
        <v>0</v>
      </c>
      <c r="O664" s="498"/>
      <c r="P664" s="49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</row>
    <row r="665" spans="1:26" ht="18.75" hidden="1">
      <c r="A665" s="597"/>
      <c r="B665" s="575"/>
      <c r="C665" s="575"/>
      <c r="D665" s="606" t="s">
        <v>21</v>
      </c>
      <c r="E665" s="763"/>
      <c r="F665" s="763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</row>
    <row r="666" spans="1:26" ht="18.75" hidden="1">
      <c r="A666" s="599"/>
      <c r="B666" s="607"/>
      <c r="C666" s="607"/>
      <c r="D666" s="607"/>
      <c r="E666" s="759" t="s">
        <v>18</v>
      </c>
      <c r="F666" s="759"/>
      <c r="G666" s="603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4"/>
      <c r="R666" s="604"/>
      <c r="S666" s="604"/>
      <c r="T666" s="604"/>
      <c r="U666" s="604"/>
      <c r="V666" s="604"/>
      <c r="W666" s="604"/>
      <c r="X666" s="604"/>
      <c r="Y666" s="604"/>
      <c r="Z666" s="604"/>
    </row>
    <row r="667" spans="1:26" ht="18.75" hidden="1">
      <c r="A667" s="599"/>
      <c r="B667" s="607"/>
      <c r="C667" s="607"/>
      <c r="D667" s="607"/>
      <c r="E667" s="759" t="s">
        <v>19</v>
      </c>
      <c r="F667" s="759"/>
      <c r="G667" s="603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4"/>
      <c r="R667" s="604"/>
      <c r="S667" s="604"/>
      <c r="T667" s="604"/>
      <c r="U667" s="604"/>
      <c r="V667" s="604"/>
      <c r="W667" s="604"/>
      <c r="X667" s="604"/>
      <c r="Y667" s="604"/>
      <c r="Z667" s="604"/>
    </row>
    <row r="668" spans="1:26" ht="19.5" hidden="1">
      <c r="A668" s="608"/>
      <c r="B668" s="618"/>
      <c r="C668" s="575" t="s">
        <v>16</v>
      </c>
      <c r="D668" s="893" t="s">
        <v>38</v>
      </c>
      <c r="E668" s="761"/>
      <c r="F668" s="761"/>
      <c r="G668" s="613"/>
      <c r="H668" s="762"/>
      <c r="I668" s="184"/>
      <c r="J668" s="184"/>
      <c r="K668" s="163"/>
      <c r="L668" s="163"/>
      <c r="M668" s="163"/>
      <c r="N668" s="163"/>
      <c r="O668" s="163"/>
      <c r="P668" s="163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</row>
    <row r="669" spans="1:26" ht="19.5" hidden="1">
      <c r="A669" s="608"/>
      <c r="B669" s="618"/>
      <c r="C669" s="618"/>
      <c r="D669" s="618" t="s">
        <v>281</v>
      </c>
      <c r="E669" s="626"/>
      <c r="F669" s="626"/>
      <c r="G669" s="762"/>
      <c r="H669" s="767" t="s">
        <v>46</v>
      </c>
      <c r="I669" s="681">
        <f ca="1">IFERROR(__xludf.DUMMYFUNCTION("IMPORTRANGE(""https://docs.google.com/spreadsheets/d/1QqKyyYR6Q21VydFLVH3TRQUabQu_ym0Zz7PgGX0-kHA/edit?usp=sharing"",""แผน!IA41"")"),0)</f>
        <v>0</v>
      </c>
      <c r="J669" s="681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</row>
    <row r="670" spans="1:26" ht="18.75" hidden="1">
      <c r="A670" s="608"/>
      <c r="B670" s="618"/>
      <c r="C670" s="618"/>
      <c r="D670" s="618"/>
      <c r="E670" s="626" t="s">
        <v>282</v>
      </c>
      <c r="F670" s="626"/>
      <c r="G670" s="762"/>
      <c r="H670" s="764" t="s">
        <v>66</v>
      </c>
      <c r="I670" s="270">
        <f ca="1">IFERROR(__xludf.DUMMYFUNCTION("IMPORTRANGE(""https://docs.google.com/spreadsheets/d/1QqKyyYR6Q21VydFLVH3TRQUabQu_ym0Zz7PgGX0-kHA/edit?usp=sharing"",""แผน!HZ41"")"),0)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</row>
    <row r="671" spans="1:26" ht="18.75" hidden="1">
      <c r="A671" s="608"/>
      <c r="B671" s="618"/>
      <c r="C671" s="618"/>
      <c r="D671" s="618"/>
      <c r="E671" s="626" t="s">
        <v>283</v>
      </c>
      <c r="F671" s="626"/>
      <c r="G671" s="762"/>
      <c r="H671" s="764" t="s">
        <v>66</v>
      </c>
      <c r="I671" s="270">
        <f ca="1">IFERROR(__xludf.DUMMYFUNCTION("IMPORTRANGE(""https://docs.google.com/spreadsheets/d/1QqKyyYR6Q21VydFLVH3TRQUabQu_ym0Zz7PgGX0-kHA/edit?usp=sharing"",""แผน!HZ41"")"),0)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</row>
    <row r="672" spans="1:26" ht="18.75" hidden="1">
      <c r="A672" s="608"/>
      <c r="B672" s="618"/>
      <c r="C672" s="618"/>
      <c r="D672" s="618"/>
      <c r="E672" s="626" t="s">
        <v>284</v>
      </c>
      <c r="F672" s="626"/>
      <c r="G672" s="762"/>
      <c r="H672" s="764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</row>
    <row r="673" spans="1:26" ht="18.75" hidden="1">
      <c r="A673" s="608"/>
      <c r="B673" s="618"/>
      <c r="C673" s="618"/>
      <c r="D673" s="618"/>
      <c r="E673" s="626" t="s">
        <v>285</v>
      </c>
      <c r="F673" s="626"/>
      <c r="G673" s="762"/>
      <c r="H673" s="764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</row>
    <row r="674" spans="1:26" ht="18.75" hidden="1">
      <c r="A674" s="608"/>
      <c r="B674" s="618"/>
      <c r="C674" s="618"/>
      <c r="D674" s="618"/>
      <c r="E674" s="626" t="s">
        <v>286</v>
      </c>
      <c r="F674" s="626"/>
      <c r="G674" s="762"/>
      <c r="H674" s="764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</row>
    <row r="675" spans="1:26" ht="19.5" hidden="1">
      <c r="A675" s="608"/>
      <c r="B675" s="618"/>
      <c r="C675" s="618"/>
      <c r="D675" s="618"/>
      <c r="E675" s="626" t="s">
        <v>287</v>
      </c>
      <c r="F675" s="626"/>
      <c r="G675" s="762"/>
      <c r="H675" s="764" t="s">
        <v>46</v>
      </c>
      <c r="I675" s="270"/>
      <c r="J675" s="681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</row>
    <row r="676" spans="1:26" ht="18.75" hidden="1">
      <c r="A676" s="608"/>
      <c r="B676" s="618"/>
      <c r="C676" s="618"/>
      <c r="D676" s="618"/>
      <c r="E676" s="626"/>
      <c r="F676" s="626" t="s">
        <v>288</v>
      </c>
      <c r="G676" s="762"/>
      <c r="H676" s="764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</row>
    <row r="677" spans="1:26" ht="18.75" hidden="1">
      <c r="A677" s="608"/>
      <c r="B677" s="618"/>
      <c r="C677" s="618"/>
      <c r="D677" s="618"/>
      <c r="E677" s="626"/>
      <c r="F677" s="626" t="s">
        <v>289</v>
      </c>
      <c r="G677" s="762"/>
      <c r="H677" s="764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</row>
    <row r="678" spans="1:26" ht="19.5" hidden="1">
      <c r="A678" s="608"/>
      <c r="B678" s="618"/>
      <c r="C678" s="618"/>
      <c r="D678" s="618" t="s">
        <v>290</v>
      </c>
      <c r="E678" s="626"/>
      <c r="F678" s="626"/>
      <c r="G678" s="762"/>
      <c r="H678" s="764" t="s">
        <v>46</v>
      </c>
      <c r="I678" s="681">
        <f ca="1">IFERROR(__xludf.DUMMYFUNCTION("IMPORTRANGE(""https://docs.google.com/spreadsheets/d/1QqKyyYR6Q21VydFLVH3TRQUabQu_ym0Zz7PgGX0-kHA/edit?usp=sharing"",""แผน!IB41"")"),0)</f>
        <v>0</v>
      </c>
      <c r="J678" s="681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</row>
    <row r="679" spans="1:26" ht="18.75" hidden="1">
      <c r="A679" s="608"/>
      <c r="B679" s="618"/>
      <c r="C679" s="618"/>
      <c r="D679" s="618"/>
      <c r="E679" s="626" t="s">
        <v>291</v>
      </c>
      <c r="F679" s="626"/>
      <c r="G679" s="762"/>
      <c r="H679" s="764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</row>
    <row r="680" spans="1:26" ht="18.75" hidden="1">
      <c r="A680" s="608"/>
      <c r="B680" s="618"/>
      <c r="C680" s="618"/>
      <c r="D680" s="618"/>
      <c r="E680" s="626"/>
      <c r="F680" s="626" t="s">
        <v>288</v>
      </c>
      <c r="G680" s="762"/>
      <c r="H680" s="764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</row>
    <row r="681" spans="1:26" ht="18.75" hidden="1">
      <c r="A681" s="608"/>
      <c r="B681" s="618"/>
      <c r="C681" s="618"/>
      <c r="D681" s="618"/>
      <c r="E681" s="626"/>
      <c r="F681" s="626" t="s">
        <v>289</v>
      </c>
      <c r="G681" s="762"/>
      <c r="H681" s="764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</row>
    <row r="682" spans="1:26" ht="18.75" hidden="1">
      <c r="A682" s="608"/>
      <c r="B682" s="618"/>
      <c r="C682" s="618"/>
      <c r="D682" s="618"/>
      <c r="E682" s="626" t="s">
        <v>292</v>
      </c>
      <c r="F682" s="626"/>
      <c r="G682" s="762"/>
      <c r="H682" s="764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</row>
    <row r="683" spans="1:26" ht="18.75" hidden="1">
      <c r="A683" s="608"/>
      <c r="B683" s="618"/>
      <c r="C683" s="618"/>
      <c r="D683" s="618"/>
      <c r="E683" s="626"/>
      <c r="F683" s="626" t="s">
        <v>293</v>
      </c>
      <c r="G683" s="762"/>
      <c r="H683" s="764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</row>
    <row r="684" spans="1:26" ht="19.5" hidden="1">
      <c r="A684" s="753"/>
      <c r="B684" s="754" t="s">
        <v>294</v>
      </c>
      <c r="C684" s="753"/>
      <c r="D684" s="753"/>
      <c r="E684" s="753"/>
      <c r="F684" s="753"/>
      <c r="G684" s="755"/>
      <c r="H684" s="755"/>
      <c r="I684" s="756"/>
      <c r="J684" s="756"/>
      <c r="K684" s="757"/>
      <c r="L684" s="757"/>
      <c r="M684" s="757"/>
      <c r="N684" s="757"/>
      <c r="O684" s="757"/>
      <c r="P684" s="757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</row>
    <row r="685" spans="1:26" ht="19.5" hidden="1">
      <c r="A685" s="597"/>
      <c r="B685" s="763"/>
      <c r="C685" s="763" t="s">
        <v>16</v>
      </c>
      <c r="D685" s="863" t="s">
        <v>17</v>
      </c>
      <c r="E685" s="857"/>
      <c r="F685" s="857"/>
      <c r="G685" s="189"/>
      <c r="H685" s="598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</row>
    <row r="686" spans="1:26" ht="18.75" hidden="1">
      <c r="A686" s="599"/>
      <c r="B686" s="759"/>
      <c r="C686" s="759"/>
      <c r="D686" s="720"/>
      <c r="E686" s="759" t="s">
        <v>185</v>
      </c>
      <c r="F686" s="759"/>
      <c r="G686" s="603"/>
      <c r="H686" s="165" t="s">
        <v>12</v>
      </c>
      <c r="I686" s="617"/>
      <c r="J686" s="617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4"/>
      <c r="R686" s="604"/>
      <c r="S686" s="604"/>
      <c r="T686" s="604"/>
      <c r="U686" s="604"/>
      <c r="V686" s="604"/>
      <c r="W686" s="604"/>
      <c r="X686" s="604"/>
      <c r="Y686" s="604"/>
      <c r="Z686" s="604"/>
    </row>
    <row r="687" spans="1:26" ht="18.75" hidden="1">
      <c r="A687" s="599"/>
      <c r="B687" s="607"/>
      <c r="C687" s="759"/>
      <c r="D687" s="720"/>
      <c r="E687" s="759" t="s">
        <v>186</v>
      </c>
      <c r="F687" s="759"/>
      <c r="G687" s="603"/>
      <c r="H687" s="165" t="s">
        <v>12</v>
      </c>
      <c r="I687" s="617"/>
      <c r="J687" s="617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4"/>
      <c r="R687" s="604"/>
      <c r="S687" s="604"/>
      <c r="T687" s="604"/>
      <c r="U687" s="604"/>
      <c r="V687" s="604"/>
      <c r="W687" s="604"/>
      <c r="X687" s="604"/>
      <c r="Y687" s="604"/>
      <c r="Z687" s="604"/>
    </row>
    <row r="688" spans="1:26" ht="18.75" hidden="1">
      <c r="A688" s="597"/>
      <c r="B688" s="575"/>
      <c r="C688" s="763"/>
      <c r="D688" s="606" t="s">
        <v>20</v>
      </c>
      <c r="E688" s="763"/>
      <c r="F688" s="763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8"/>
      <c r="R688" s="578"/>
      <c r="S688" s="578"/>
      <c r="T688" s="578"/>
      <c r="U688" s="578"/>
      <c r="V688" s="578"/>
      <c r="W688" s="578"/>
      <c r="X688" s="578"/>
      <c r="Y688" s="578"/>
      <c r="Z688" s="578"/>
    </row>
    <row r="689" spans="1:26" ht="18.75" hidden="1">
      <c r="A689" s="599"/>
      <c r="B689" s="607"/>
      <c r="C689" s="759"/>
      <c r="D689" s="720"/>
      <c r="E689" s="759" t="s">
        <v>185</v>
      </c>
      <c r="F689" s="759"/>
      <c r="G689" s="603"/>
      <c r="H689" s="165" t="s">
        <v>12</v>
      </c>
      <c r="I689" s="617"/>
      <c r="J689" s="617"/>
      <c r="K689" s="93"/>
      <c r="L689" s="93">
        <v>0</v>
      </c>
      <c r="M689" s="93">
        <v>0</v>
      </c>
      <c r="N689" s="93">
        <v>0</v>
      </c>
      <c r="O689" s="93"/>
      <c r="P689" s="93"/>
      <c r="Q689" s="604"/>
      <c r="R689" s="604"/>
      <c r="S689" s="604"/>
      <c r="T689" s="604"/>
      <c r="U689" s="604"/>
      <c r="V689" s="604"/>
      <c r="W689" s="604"/>
      <c r="X689" s="604"/>
      <c r="Y689" s="604"/>
      <c r="Z689" s="604"/>
    </row>
    <row r="690" spans="1:26" ht="18.75" hidden="1">
      <c r="A690" s="599"/>
      <c r="B690" s="607"/>
      <c r="C690" s="759"/>
      <c r="D690" s="720"/>
      <c r="E690" s="759" t="s">
        <v>186</v>
      </c>
      <c r="F690" s="759"/>
      <c r="G690" s="603"/>
      <c r="H690" s="165" t="s">
        <v>12</v>
      </c>
      <c r="I690" s="617"/>
      <c r="J690" s="617"/>
      <c r="K690" s="93"/>
      <c r="L690" s="93">
        <f ca="1">IFERROR(__xludf.DUMMYFUNCTION("IMPORTRANGE(""https://docs.google.com/spreadsheets/d/1QqKyyYR6Q21VydFLVH3TRQUabQu_ym0Zz7PgGX0-kHA/edit?usp=sharing"",""แผน!HW41"")"),0)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4"/>
      <c r="R690" s="604"/>
      <c r="S690" s="604"/>
      <c r="T690" s="604"/>
      <c r="U690" s="604"/>
      <c r="V690" s="604"/>
      <c r="W690" s="604"/>
      <c r="X690" s="604"/>
      <c r="Y690" s="604"/>
      <c r="Z690" s="604"/>
    </row>
    <row r="691" spans="1:26" ht="18.75" hidden="1">
      <c r="A691" s="574"/>
      <c r="B691" s="575"/>
      <c r="C691" s="763"/>
      <c r="D691" s="763"/>
      <c r="E691" s="763"/>
      <c r="F691" s="763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40">
        <v>0</v>
      </c>
      <c r="O691" s="498"/>
      <c r="P691" s="49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</row>
    <row r="692" spans="1:26" ht="18.75" hidden="1">
      <c r="A692" s="574"/>
      <c r="B692" s="575"/>
      <c r="C692" s="763"/>
      <c r="D692" s="763"/>
      <c r="E692" s="763"/>
      <c r="F692" s="763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40">
        <v>0</v>
      </c>
      <c r="O692" s="498"/>
      <c r="P692" s="49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</row>
    <row r="693" spans="1:26" ht="18.75" hidden="1">
      <c r="A693" s="574"/>
      <c r="B693" s="575"/>
      <c r="C693" s="763"/>
      <c r="D693" s="763"/>
      <c r="E693" s="763"/>
      <c r="F693" s="763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40">
        <v>0</v>
      </c>
      <c r="O693" s="498"/>
      <c r="P693" s="49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</row>
    <row r="694" spans="1:26" ht="18.75" hidden="1">
      <c r="A694" s="574"/>
      <c r="B694" s="575"/>
      <c r="C694" s="763"/>
      <c r="D694" s="763"/>
      <c r="E694" s="763"/>
      <c r="F694" s="763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40">
        <v>0</v>
      </c>
      <c r="O694" s="498"/>
      <c r="P694" s="49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</row>
    <row r="695" spans="1:26" ht="18.75" hidden="1">
      <c r="A695" s="597"/>
      <c r="B695" s="575"/>
      <c r="C695" s="763"/>
      <c r="D695" s="606" t="s">
        <v>21</v>
      </c>
      <c r="E695" s="763"/>
      <c r="F695" s="763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</row>
    <row r="696" spans="1:26" ht="18.75" hidden="1">
      <c r="A696" s="599"/>
      <c r="B696" s="607"/>
      <c r="C696" s="759"/>
      <c r="D696" s="759"/>
      <c r="E696" s="759" t="s">
        <v>18</v>
      </c>
      <c r="F696" s="759"/>
      <c r="G696" s="603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4"/>
      <c r="R696" s="604"/>
      <c r="S696" s="604"/>
      <c r="T696" s="604"/>
      <c r="U696" s="604"/>
      <c r="V696" s="604"/>
      <c r="W696" s="604"/>
      <c r="X696" s="604"/>
      <c r="Y696" s="604"/>
      <c r="Z696" s="604"/>
    </row>
    <row r="697" spans="1:26" ht="18.75" hidden="1">
      <c r="A697" s="599"/>
      <c r="B697" s="607"/>
      <c r="C697" s="759"/>
      <c r="D697" s="759"/>
      <c r="E697" s="759" t="s">
        <v>19</v>
      </c>
      <c r="F697" s="759"/>
      <c r="G697" s="603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4"/>
      <c r="R697" s="604"/>
      <c r="S697" s="604"/>
      <c r="T697" s="604"/>
      <c r="U697" s="604"/>
      <c r="V697" s="604"/>
      <c r="W697" s="604"/>
      <c r="X697" s="604"/>
      <c r="Y697" s="604"/>
      <c r="Z697" s="604"/>
    </row>
    <row r="698" spans="1:26" ht="19.5" hidden="1">
      <c r="A698" s="608"/>
      <c r="B698" s="618"/>
      <c r="C698" s="763" t="s">
        <v>16</v>
      </c>
      <c r="D698" s="898" t="s">
        <v>38</v>
      </c>
      <c r="E698" s="761"/>
      <c r="F698" s="761"/>
      <c r="G698" s="613"/>
      <c r="H698" s="762"/>
      <c r="I698" s="184"/>
      <c r="J698" s="184"/>
      <c r="K698" s="163"/>
      <c r="L698" s="163"/>
      <c r="M698" s="163"/>
      <c r="N698" s="163"/>
      <c r="O698" s="163"/>
      <c r="P698" s="163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</row>
    <row r="699" spans="1:26" ht="18.75" hidden="1">
      <c r="A699" s="744"/>
      <c r="B699" s="763"/>
      <c r="C699" s="763"/>
      <c r="D699" s="763" t="s">
        <v>295</v>
      </c>
      <c r="E699" s="763"/>
      <c r="F699" s="763"/>
      <c r="G699" s="189"/>
      <c r="H699" s="764" t="s">
        <v>46</v>
      </c>
      <c r="I699" s="765">
        <f ca="1">IFERROR(__xludf.DUMMYFUNCTION("IMPORTRANGE(""https://docs.google.com/spreadsheets/d/1QqKyyYR6Q21VydFLVH3TRQUabQu_ym0Zz7PgGX0-kHA/edit?usp=sharing"",""แผน!IC41"")"),0)</f>
        <v>0</v>
      </c>
      <c r="J699" s="270">
        <f ca="1">IFERROR(__xludf.DUMMYFUNCTION("IMPORTRANGE(""https://docs.google.com/spreadsheets/d/1XWAQStnk-4SwqDmLtmXYiTMKHgktTP8We1SCoS47DrQ/edit?usp=sharing"",""จัดที่ดิน!BB41"")"),0)</f>
        <v>0</v>
      </c>
      <c r="K699" s="498">
        <f t="shared" ref="K699:K701" ca="1" si="290">IF(I699&gt;0,J699*100/I699,0)</f>
        <v>0</v>
      </c>
      <c r="L699" s="498"/>
      <c r="M699" s="189"/>
      <c r="N699" s="766"/>
      <c r="O699" s="498"/>
      <c r="P699" s="49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</row>
    <row r="700" spans="1:26" ht="18.75" hidden="1">
      <c r="A700" s="744"/>
      <c r="B700" s="763"/>
      <c r="C700" s="763"/>
      <c r="D700" s="763" t="s">
        <v>296</v>
      </c>
      <c r="E700" s="763"/>
      <c r="F700" s="763"/>
      <c r="G700" s="189"/>
      <c r="H700" s="764" t="s">
        <v>35</v>
      </c>
      <c r="I700" s="765">
        <f ca="1">IFERROR(__xludf.DUMMYFUNCTION("IMPORTRANGE(""https://docs.google.com/spreadsheets/d/1QqKyyYR6Q21VydFLVH3TRQUabQu_ym0Zz7PgGX0-kHA/edit?usp=sharing"",""แผน!ID41"")"),0)</f>
        <v>0</v>
      </c>
      <c r="J700" s="270">
        <f ca="1">IFERROR(__xludf.DUMMYFUNCTION("IMPORTRANGE(""https://docs.google.com/spreadsheets/d/1XWAQStnk-4SwqDmLtmXYiTMKHgktTP8We1SCoS47DrQ/edit?usp=sharing"",""จัดที่ดิน!BD41"")"),0)</f>
        <v>0</v>
      </c>
      <c r="K700" s="498">
        <f t="shared" ca="1" si="290"/>
        <v>0</v>
      </c>
      <c r="L700" s="498"/>
      <c r="M700" s="189"/>
      <c r="N700" s="766"/>
      <c r="O700" s="498"/>
      <c r="P700" s="49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</row>
    <row r="701" spans="1:26" ht="19.5" hidden="1">
      <c r="A701" s="744"/>
      <c r="B701" s="763"/>
      <c r="C701" s="763"/>
      <c r="D701" s="763" t="s">
        <v>297</v>
      </c>
      <c r="E701" s="763"/>
      <c r="F701" s="763"/>
      <c r="G701" s="189"/>
      <c r="H701" s="767" t="s">
        <v>46</v>
      </c>
      <c r="I701" s="768">
        <f ca="1">IFERROR(__xludf.DUMMYFUNCTION("IMPORTRANGE(""https://docs.google.com/spreadsheets/d/1QqKyyYR6Q21VydFLVH3TRQUabQu_ym0Zz7PgGX0-kHA/edit?usp=sharing"",""แผน!IE41"")"),0)</f>
        <v>0</v>
      </c>
      <c r="J701" s="681">
        <f>J704+J707</f>
        <v>0</v>
      </c>
      <c r="K701" s="195">
        <f t="shared" ca="1" si="290"/>
        <v>0</v>
      </c>
      <c r="L701" s="498"/>
      <c r="M701" s="189"/>
      <c r="N701" s="766"/>
      <c r="O701" s="498"/>
      <c r="P701" s="49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</row>
    <row r="702" spans="1:26" ht="18.75" hidden="1">
      <c r="A702" s="744"/>
      <c r="B702" s="763"/>
      <c r="C702" s="763"/>
      <c r="D702" s="763"/>
      <c r="E702" s="763" t="s">
        <v>298</v>
      </c>
      <c r="F702" s="763"/>
      <c r="G702" s="189"/>
      <c r="H702" s="764" t="s">
        <v>35</v>
      </c>
      <c r="I702" s="765"/>
      <c r="J702" s="215">
        <v>0</v>
      </c>
      <c r="K702" s="498"/>
      <c r="L702" s="498"/>
      <c r="M702" s="189"/>
      <c r="N702" s="766"/>
      <c r="O702" s="498"/>
      <c r="P702" s="49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</row>
    <row r="703" spans="1:26" ht="18.75" hidden="1">
      <c r="A703" s="744"/>
      <c r="B703" s="763"/>
      <c r="C703" s="763"/>
      <c r="D703" s="763"/>
      <c r="E703" s="763"/>
      <c r="F703" s="763"/>
      <c r="G703" s="189"/>
      <c r="H703" s="764" t="s">
        <v>34</v>
      </c>
      <c r="I703" s="765"/>
      <c r="J703" s="215">
        <v>0</v>
      </c>
      <c r="K703" s="498"/>
      <c r="L703" s="498"/>
      <c r="M703" s="189"/>
      <c r="N703" s="766"/>
      <c r="O703" s="498"/>
      <c r="P703" s="49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</row>
    <row r="704" spans="1:26" ht="18.75" hidden="1">
      <c r="A704" s="744"/>
      <c r="B704" s="763"/>
      <c r="C704" s="763"/>
      <c r="D704" s="763"/>
      <c r="E704" s="763"/>
      <c r="F704" s="763"/>
      <c r="G704" s="189"/>
      <c r="H704" s="764" t="s">
        <v>46</v>
      </c>
      <c r="I704" s="765">
        <f ca="1">IFERROR(__xludf.DUMMYFUNCTION("IMPORTRANGE(""https://docs.google.com/spreadsheets/d/1QqKyyYR6Q21VydFLVH3TRQUabQu_ym0Zz7PgGX0-kHA/edit?usp=sharing"",""แผน!IF41"")"),0)</f>
        <v>0</v>
      </c>
      <c r="J704" s="215">
        <v>0</v>
      </c>
      <c r="K704" s="498"/>
      <c r="L704" s="498"/>
      <c r="M704" s="189"/>
      <c r="N704" s="766"/>
      <c r="O704" s="498"/>
      <c r="P704" s="49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</row>
    <row r="705" spans="1:26" ht="18.75" hidden="1">
      <c r="A705" s="744"/>
      <c r="B705" s="763"/>
      <c r="C705" s="763"/>
      <c r="D705" s="763"/>
      <c r="E705" s="763" t="s">
        <v>299</v>
      </c>
      <c r="F705" s="763"/>
      <c r="G705" s="189"/>
      <c r="H705" s="764" t="s">
        <v>35</v>
      </c>
      <c r="I705" s="765"/>
      <c r="J705" s="215">
        <v>0</v>
      </c>
      <c r="K705" s="498"/>
      <c r="L705" s="498"/>
      <c r="M705" s="189"/>
      <c r="N705" s="766"/>
      <c r="O705" s="498"/>
      <c r="P705" s="49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</row>
    <row r="706" spans="1:26" ht="18.75" hidden="1">
      <c r="A706" s="744"/>
      <c r="B706" s="763"/>
      <c r="C706" s="763"/>
      <c r="D706" s="763"/>
      <c r="E706" s="763"/>
      <c r="F706" s="763"/>
      <c r="G706" s="189"/>
      <c r="H706" s="764" t="s">
        <v>34</v>
      </c>
      <c r="I706" s="765"/>
      <c r="J706" s="215">
        <v>0</v>
      </c>
      <c r="K706" s="498"/>
      <c r="L706" s="498"/>
      <c r="M706" s="189"/>
      <c r="N706" s="766"/>
      <c r="O706" s="498"/>
      <c r="P706" s="49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</row>
    <row r="707" spans="1:26" ht="18.75" hidden="1">
      <c r="A707" s="744"/>
      <c r="B707" s="763"/>
      <c r="C707" s="763"/>
      <c r="D707" s="763"/>
      <c r="E707" s="763"/>
      <c r="F707" s="763"/>
      <c r="G707" s="189"/>
      <c r="H707" s="764" t="s">
        <v>46</v>
      </c>
      <c r="I707" s="765">
        <f ca="1">IFERROR(__xludf.DUMMYFUNCTION("IMPORTRANGE(""https://docs.google.com/spreadsheets/d/1QqKyyYR6Q21VydFLVH3TRQUabQu_ym0Zz7PgGX0-kHA/edit?usp=sharing"",""แผน!IG41"")"),0)</f>
        <v>0</v>
      </c>
      <c r="J707" s="215">
        <v>0</v>
      </c>
      <c r="K707" s="498"/>
      <c r="L707" s="498"/>
      <c r="M707" s="189"/>
      <c r="N707" s="766"/>
      <c r="O707" s="498"/>
      <c r="P707" s="49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</row>
    <row r="708" spans="1:26" ht="19.5" hidden="1">
      <c r="A708" s="744"/>
      <c r="B708" s="763"/>
      <c r="C708" s="763"/>
      <c r="D708" s="769" t="s">
        <v>300</v>
      </c>
      <c r="E708" s="763"/>
      <c r="F708" s="763"/>
      <c r="G708" s="189"/>
      <c r="H708" s="767" t="s">
        <v>46</v>
      </c>
      <c r="I708" s="768">
        <f ca="1">IFERROR(__xludf.DUMMYFUNCTION("IMPORTRANGE(""https://docs.google.com/spreadsheets/d/1QqKyyYR6Q21VydFLVH3TRQUabQu_ym0Zz7PgGX0-kHA/edit?usp=sharing"",""แผน!IH41"")"),0)</f>
        <v>0</v>
      </c>
      <c r="J708" s="681">
        <f>J714+J717</f>
        <v>0</v>
      </c>
      <c r="K708" s="195">
        <f ca="1">IF(I708&gt;0,J708*100/I708,0)</f>
        <v>0</v>
      </c>
      <c r="L708" s="498"/>
      <c r="M708" s="189"/>
      <c r="N708" s="766"/>
      <c r="O708" s="498"/>
      <c r="P708" s="49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</row>
    <row r="709" spans="1:26" ht="18.75" hidden="1">
      <c r="A709" s="744"/>
      <c r="B709" s="763"/>
      <c r="C709" s="763"/>
      <c r="D709" s="763"/>
      <c r="E709" s="763" t="s">
        <v>301</v>
      </c>
      <c r="F709" s="763"/>
      <c r="G709" s="189"/>
      <c r="H709" s="764" t="s">
        <v>34</v>
      </c>
      <c r="I709" s="765"/>
      <c r="J709" s="215">
        <v>0</v>
      </c>
      <c r="K709" s="498"/>
      <c r="L709" s="766"/>
      <c r="M709" s="189"/>
      <c r="N709" s="766"/>
      <c r="O709" s="498"/>
      <c r="P709" s="49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</row>
    <row r="710" spans="1:26" ht="18.75" hidden="1">
      <c r="A710" s="744"/>
      <c r="B710" s="763"/>
      <c r="C710" s="763"/>
      <c r="D710" s="763"/>
      <c r="E710" s="763"/>
      <c r="F710" s="763"/>
      <c r="G710" s="189"/>
      <c r="H710" s="764" t="s">
        <v>46</v>
      </c>
      <c r="I710" s="765"/>
      <c r="J710" s="215">
        <v>0</v>
      </c>
      <c r="K710" s="498"/>
      <c r="L710" s="766"/>
      <c r="M710" s="189"/>
      <c r="N710" s="766"/>
      <c r="O710" s="498"/>
      <c r="P710" s="49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</row>
    <row r="711" spans="1:26" ht="18.75" hidden="1">
      <c r="A711" s="744"/>
      <c r="B711" s="763"/>
      <c r="C711" s="763"/>
      <c r="D711" s="763"/>
      <c r="E711" s="763" t="s">
        <v>302</v>
      </c>
      <c r="F711" s="763"/>
      <c r="G711" s="189"/>
      <c r="H711" s="762"/>
      <c r="I711" s="765"/>
      <c r="J711" s="270"/>
      <c r="K711" s="498"/>
      <c r="L711" s="766"/>
      <c r="M711" s="189"/>
      <c r="N711" s="766"/>
      <c r="O711" s="498"/>
      <c r="P711" s="49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</row>
    <row r="712" spans="1:26" ht="18.75" hidden="1">
      <c r="A712" s="744"/>
      <c r="B712" s="763"/>
      <c r="C712" s="763"/>
      <c r="D712" s="763"/>
      <c r="E712" s="763"/>
      <c r="F712" s="763" t="s">
        <v>303</v>
      </c>
      <c r="G712" s="189"/>
      <c r="H712" s="764" t="s">
        <v>35</v>
      </c>
      <c r="I712" s="765"/>
      <c r="J712" s="215">
        <v>0</v>
      </c>
      <c r="K712" s="498"/>
      <c r="L712" s="766"/>
      <c r="M712" s="189"/>
      <c r="N712" s="766"/>
      <c r="O712" s="498"/>
      <c r="P712" s="49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</row>
    <row r="713" spans="1:26" ht="18.75" hidden="1">
      <c r="A713" s="744"/>
      <c r="B713" s="763"/>
      <c r="C713" s="763"/>
      <c r="D713" s="763"/>
      <c r="E713" s="763"/>
      <c r="F713" s="763"/>
      <c r="G713" s="189"/>
      <c r="H713" s="764" t="s">
        <v>34</v>
      </c>
      <c r="I713" s="765"/>
      <c r="J713" s="215">
        <v>0</v>
      </c>
      <c r="K713" s="498"/>
      <c r="L713" s="766"/>
      <c r="M713" s="189"/>
      <c r="N713" s="766"/>
      <c r="O713" s="498"/>
      <c r="P713" s="49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</row>
    <row r="714" spans="1:26" ht="18.75" hidden="1">
      <c r="A714" s="744"/>
      <c r="B714" s="763"/>
      <c r="C714" s="763"/>
      <c r="D714" s="763"/>
      <c r="E714" s="763"/>
      <c r="F714" s="763"/>
      <c r="G714" s="189"/>
      <c r="H714" s="764" t="s">
        <v>46</v>
      </c>
      <c r="I714" s="765"/>
      <c r="J714" s="215">
        <v>0</v>
      </c>
      <c r="K714" s="498"/>
      <c r="L714" s="766"/>
      <c r="M714" s="189"/>
      <c r="N714" s="766"/>
      <c r="O714" s="498"/>
      <c r="P714" s="49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</row>
    <row r="715" spans="1:26" ht="18.75" hidden="1">
      <c r="A715" s="744"/>
      <c r="B715" s="763"/>
      <c r="C715" s="763"/>
      <c r="D715" s="763"/>
      <c r="E715" s="763"/>
      <c r="F715" s="763" t="s">
        <v>304</v>
      </c>
      <c r="G715" s="189"/>
      <c r="H715" s="764" t="s">
        <v>35</v>
      </c>
      <c r="I715" s="765"/>
      <c r="J715" s="215">
        <v>0</v>
      </c>
      <c r="K715" s="498"/>
      <c r="L715" s="766"/>
      <c r="M715" s="189"/>
      <c r="N715" s="766"/>
      <c r="O715" s="498"/>
      <c r="P715" s="49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</row>
    <row r="716" spans="1:26" ht="18.75" hidden="1">
      <c r="A716" s="744"/>
      <c r="B716" s="763"/>
      <c r="C716" s="763"/>
      <c r="D716" s="763"/>
      <c r="E716" s="763"/>
      <c r="F716" s="763"/>
      <c r="G716" s="189"/>
      <c r="H716" s="764" t="s">
        <v>34</v>
      </c>
      <c r="I716" s="765"/>
      <c r="J716" s="215">
        <v>0</v>
      </c>
      <c r="K716" s="498"/>
      <c r="L716" s="766"/>
      <c r="M716" s="189"/>
      <c r="N716" s="766"/>
      <c r="O716" s="498"/>
      <c r="P716" s="49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</row>
    <row r="717" spans="1:26" ht="18.75" hidden="1">
      <c r="A717" s="744"/>
      <c r="B717" s="763"/>
      <c r="C717" s="763"/>
      <c r="D717" s="763"/>
      <c r="E717" s="763"/>
      <c r="F717" s="763"/>
      <c r="G717" s="189"/>
      <c r="H717" s="764" t="s">
        <v>46</v>
      </c>
      <c r="I717" s="765"/>
      <c r="J717" s="215">
        <v>0</v>
      </c>
      <c r="K717" s="498"/>
      <c r="L717" s="766"/>
      <c r="M717" s="189"/>
      <c r="N717" s="766"/>
      <c r="O717" s="498"/>
      <c r="P717" s="49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</row>
    <row r="718" spans="1:26" ht="18.75" hidden="1">
      <c r="A718" s="744"/>
      <c r="B718" s="763"/>
      <c r="C718" s="763"/>
      <c r="D718" s="763" t="s">
        <v>305</v>
      </c>
      <c r="E718" s="763"/>
      <c r="F718" s="763"/>
      <c r="G718" s="189"/>
      <c r="H718" s="764" t="s">
        <v>35</v>
      </c>
      <c r="I718" s="765"/>
      <c r="J718" s="270">
        <f ca="1">IFERROR(__xludf.DUMMYFUNCTION("IMPORTRANGE(""https://docs.google.com/spreadsheets/d/1XWAQStnk-4SwqDmLtmXYiTMKHgktTP8We1SCoS47DrQ/edit?usp=sharing"",""จัดที่ดิน!BF41"")"),0)</f>
        <v>0</v>
      </c>
      <c r="K718" s="498"/>
      <c r="L718" s="498"/>
      <c r="M718" s="189"/>
      <c r="N718" s="766"/>
      <c r="O718" s="498"/>
      <c r="P718" s="49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</row>
    <row r="719" spans="1:26" ht="18.75" hidden="1">
      <c r="A719" s="744"/>
      <c r="B719" s="763"/>
      <c r="C719" s="763"/>
      <c r="D719" s="763"/>
      <c r="E719" s="763"/>
      <c r="F719" s="763"/>
      <c r="G719" s="189"/>
      <c r="H719" s="764" t="s">
        <v>34</v>
      </c>
      <c r="I719" s="765"/>
      <c r="J719" s="270">
        <f ca="1">IFERROR(__xludf.DUMMYFUNCTION("IMPORTRANGE(""https://docs.google.com/spreadsheets/d/1XWAQStnk-4SwqDmLtmXYiTMKHgktTP8We1SCoS47DrQ/edit?usp=sharing"",""จัดที่ดิน!BG41"")"),0)</f>
        <v>0</v>
      </c>
      <c r="K719" s="498"/>
      <c r="L719" s="766"/>
      <c r="M719" s="189"/>
      <c r="N719" s="766"/>
      <c r="O719" s="498"/>
      <c r="P719" s="49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</row>
    <row r="720" spans="1:26" ht="18.75" hidden="1">
      <c r="A720" s="744"/>
      <c r="B720" s="763"/>
      <c r="C720" s="763"/>
      <c r="D720" s="763"/>
      <c r="E720" s="763"/>
      <c r="F720" s="763"/>
      <c r="G720" s="189"/>
      <c r="H720" s="764" t="s">
        <v>46</v>
      </c>
      <c r="I720" s="765">
        <f ca="1">IFERROR(__xludf.DUMMYFUNCTION("IMPORTRANGE(""https://docs.google.com/spreadsheets/d/1QqKyyYR6Q21VydFLVH3TRQUabQu_ym0Zz7PgGX0-kHA/edit?usp=sharing"",""แผน!II41"")"),0)</f>
        <v>0</v>
      </c>
      <c r="J720" s="270">
        <f ca="1">IFERROR(__xludf.DUMMYFUNCTION("IMPORTRANGE(""https://docs.google.com/spreadsheets/d/1XWAQStnk-4SwqDmLtmXYiTMKHgktTP8We1SCoS47DrQ/edit?usp=sharing"",""จัดที่ดิน!BH41"")"),0)</f>
        <v>0</v>
      </c>
      <c r="K720" s="498">
        <f t="shared" ref="K720:K723" ca="1" si="291">IF(I720&gt;0,J720*100/I720,0)</f>
        <v>0</v>
      </c>
      <c r="L720" s="766"/>
      <c r="M720" s="189"/>
      <c r="N720" s="766"/>
      <c r="O720" s="498"/>
      <c r="P720" s="49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</row>
    <row r="721" spans="1:26" ht="19.5" hidden="1">
      <c r="A721" s="744"/>
      <c r="B721" s="763"/>
      <c r="C721" s="763"/>
      <c r="D721" s="763" t="s">
        <v>306</v>
      </c>
      <c r="E721" s="763"/>
      <c r="F721" s="763"/>
      <c r="G721" s="189"/>
      <c r="H721" s="767" t="s">
        <v>35</v>
      </c>
      <c r="I721" s="768">
        <f ca="1">IFERROR(__xludf.DUMMYFUNCTION("IMPORTRANGE(""https://docs.google.com/spreadsheets/d/1QqKyyYR6Q21VydFLVH3TRQUabQu_ym0Zz7PgGX0-kHA/edit?usp=sharing"",""แผน!IJ41"")"),0)</f>
        <v>0</v>
      </c>
      <c r="J721" s="681">
        <f ca="1">J723+J726</f>
        <v>0</v>
      </c>
      <c r="K721" s="195">
        <f t="shared" ca="1" si="291"/>
        <v>0</v>
      </c>
      <c r="L721" s="766"/>
      <c r="M721" s="189"/>
      <c r="N721" s="766"/>
      <c r="O721" s="498"/>
      <c r="P721" s="49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</row>
    <row r="722" spans="1:26" ht="19.5" hidden="1">
      <c r="A722" s="744"/>
      <c r="B722" s="763"/>
      <c r="C722" s="763"/>
      <c r="D722" s="763"/>
      <c r="E722" s="763"/>
      <c r="F722" s="763"/>
      <c r="G722" s="189"/>
      <c r="H722" s="767" t="s">
        <v>46</v>
      </c>
      <c r="I722" s="768">
        <f ca="1">IFERROR(__xludf.DUMMYFUNCTION("IMPORTRANGE(""https://docs.google.com/spreadsheets/d/1QqKyyYR6Q21VydFLVH3TRQUabQu_ym0Zz7PgGX0-kHA/edit?usp=sharing"",""แผน!IK41"")"),0)</f>
        <v>0</v>
      </c>
      <c r="J722" s="681">
        <f ca="1">J725+J728</f>
        <v>0</v>
      </c>
      <c r="K722" s="195">
        <f t="shared" ca="1" si="291"/>
        <v>0</v>
      </c>
      <c r="L722" s="498"/>
      <c r="M722" s="189"/>
      <c r="N722" s="766"/>
      <c r="O722" s="498"/>
      <c r="P722" s="49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</row>
    <row r="723" spans="1:26" ht="18.75" hidden="1">
      <c r="A723" s="744"/>
      <c r="B723" s="763"/>
      <c r="C723" s="763"/>
      <c r="D723" s="763"/>
      <c r="E723" s="763" t="s">
        <v>307</v>
      </c>
      <c r="F723" s="763"/>
      <c r="G723" s="189"/>
      <c r="H723" s="764" t="s">
        <v>35</v>
      </c>
      <c r="I723" s="765">
        <f ca="1">IFERROR(__xludf.DUMMYFUNCTION("IMPORTRANGE(""https://docs.google.com/spreadsheets/d/1QqKyyYR6Q21VydFLVH3TRQUabQu_ym0Zz7PgGX0-kHA/edit?usp=sharing"",""แผน!IL41"")"),0)</f>
        <v>0</v>
      </c>
      <c r="J723" s="270">
        <f ca="1">IFERROR(__xludf.DUMMYFUNCTION("IMPORTRANGE(""https://docs.google.com/spreadsheets/d/1XWAQStnk-4SwqDmLtmXYiTMKHgktTP8We1SCoS47DrQ/edit?usp=sharing"",""จัดที่ดิน!BM41"")"),0)</f>
        <v>0</v>
      </c>
      <c r="K723" s="498">
        <f t="shared" ca="1" si="291"/>
        <v>0</v>
      </c>
      <c r="L723" s="498"/>
      <c r="M723" s="189"/>
      <c r="N723" s="766"/>
      <c r="O723" s="498"/>
      <c r="P723" s="49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</row>
    <row r="724" spans="1:26" ht="18.75" hidden="1">
      <c r="A724" s="744"/>
      <c r="B724" s="763"/>
      <c r="C724" s="763"/>
      <c r="D724" s="763"/>
      <c r="E724" s="763"/>
      <c r="F724" s="763"/>
      <c r="G724" s="189"/>
      <c r="H724" s="764" t="s">
        <v>34</v>
      </c>
      <c r="I724" s="765"/>
      <c r="J724" s="270">
        <f ca="1">IFERROR(__xludf.DUMMYFUNCTION("IMPORTRANGE(""https://docs.google.com/spreadsheets/d/1XWAQStnk-4SwqDmLtmXYiTMKHgktTP8We1SCoS47DrQ/edit?usp=sharing"",""จัดที่ดิน!BN41"")"),0)</f>
        <v>0</v>
      </c>
      <c r="K724" s="498"/>
      <c r="L724" s="766"/>
      <c r="M724" s="189"/>
      <c r="N724" s="766"/>
      <c r="O724" s="498"/>
      <c r="P724" s="49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</row>
    <row r="725" spans="1:26" ht="18.75" hidden="1">
      <c r="A725" s="744"/>
      <c r="B725" s="763"/>
      <c r="C725" s="763"/>
      <c r="D725" s="763"/>
      <c r="E725" s="763"/>
      <c r="F725" s="763"/>
      <c r="G725" s="189"/>
      <c r="H725" s="764" t="s">
        <v>46</v>
      </c>
      <c r="I725" s="765">
        <f ca="1">IFERROR(__xludf.DUMMYFUNCTION("IMPORTRANGE(""https://docs.google.com/spreadsheets/d/1QqKyyYR6Q21VydFLVH3TRQUabQu_ym0Zz7PgGX0-kHA/edit?usp=sharing"",""แผน!IM41"")"),0)</f>
        <v>0</v>
      </c>
      <c r="J725" s="270">
        <f ca="1">IFERROR(__xludf.DUMMYFUNCTION("IMPORTRANGE(""https://docs.google.com/spreadsheets/d/1XWAQStnk-4SwqDmLtmXYiTMKHgktTP8We1SCoS47DrQ/edit?usp=sharing"",""จัดที่ดิน!BO41"")"),0)</f>
        <v>0</v>
      </c>
      <c r="K725" s="498">
        <f t="shared" ref="K725:K726" ca="1" si="292">IF(I725&gt;0,J725*100/I725,0)</f>
        <v>0</v>
      </c>
      <c r="L725" s="766"/>
      <c r="M725" s="189"/>
      <c r="N725" s="766"/>
      <c r="O725" s="498"/>
      <c r="P725" s="49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</row>
    <row r="726" spans="1:26" ht="18.75" hidden="1">
      <c r="A726" s="744"/>
      <c r="B726" s="763"/>
      <c r="C726" s="763"/>
      <c r="D726" s="763"/>
      <c r="E726" s="763" t="s">
        <v>308</v>
      </c>
      <c r="F726" s="763"/>
      <c r="G726" s="189"/>
      <c r="H726" s="764" t="s">
        <v>35</v>
      </c>
      <c r="I726" s="765">
        <f ca="1">IFERROR(__xludf.DUMMYFUNCTION("IMPORTRANGE(""https://docs.google.com/spreadsheets/d/1QqKyyYR6Q21VydFLVH3TRQUabQu_ym0Zz7PgGX0-kHA/edit?usp=sharing"",""แผน!IN41"")"),0)</f>
        <v>0</v>
      </c>
      <c r="J726" s="270">
        <f ca="1">IFERROR(__xludf.DUMMYFUNCTION("IMPORTRANGE(""https://docs.google.com/spreadsheets/d/1XWAQStnk-4SwqDmLtmXYiTMKHgktTP8We1SCoS47DrQ/edit?usp=sharing"",""จัดที่ดิน!BR41"")"),0)</f>
        <v>0</v>
      </c>
      <c r="K726" s="498">
        <f t="shared" ca="1" si="292"/>
        <v>0</v>
      </c>
      <c r="L726" s="498"/>
      <c r="M726" s="189"/>
      <c r="N726" s="766"/>
      <c r="O726" s="498"/>
      <c r="P726" s="49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</row>
    <row r="727" spans="1:26" ht="18.75" hidden="1">
      <c r="A727" s="744"/>
      <c r="B727" s="763"/>
      <c r="C727" s="763"/>
      <c r="D727" s="763"/>
      <c r="E727" s="763"/>
      <c r="F727" s="763"/>
      <c r="G727" s="189"/>
      <c r="H727" s="764" t="s">
        <v>34</v>
      </c>
      <c r="I727" s="765"/>
      <c r="J727" s="270">
        <f ca="1">IFERROR(__xludf.DUMMYFUNCTION("IMPORTRANGE(""https://docs.google.com/spreadsheets/d/1XWAQStnk-4SwqDmLtmXYiTMKHgktTP8We1SCoS47DrQ/edit?usp=sharing"",""จัดที่ดิน!BS41"")"),0)</f>
        <v>0</v>
      </c>
      <c r="K727" s="498"/>
      <c r="L727" s="766"/>
      <c r="M727" s="189"/>
      <c r="N727" s="766"/>
      <c r="O727" s="498"/>
      <c r="P727" s="49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</row>
    <row r="728" spans="1:26" ht="18.75" hidden="1">
      <c r="A728" s="744"/>
      <c r="B728" s="763"/>
      <c r="C728" s="763"/>
      <c r="D728" s="763"/>
      <c r="E728" s="763"/>
      <c r="F728" s="763"/>
      <c r="G728" s="189"/>
      <c r="H728" s="764" t="s">
        <v>46</v>
      </c>
      <c r="I728" s="765">
        <f ca="1">IFERROR(__xludf.DUMMYFUNCTION("IMPORTRANGE(""https://docs.google.com/spreadsheets/d/1QqKyyYR6Q21VydFLVH3TRQUabQu_ym0Zz7PgGX0-kHA/edit?usp=sharing"",""แผน!IO41"")"),0)</f>
        <v>0</v>
      </c>
      <c r="J728" s="270">
        <f ca="1">IFERROR(__xludf.DUMMYFUNCTION("IMPORTRANGE(""https://docs.google.com/spreadsheets/d/1XWAQStnk-4SwqDmLtmXYiTMKHgktTP8We1SCoS47DrQ/edit?usp=sharing"",""จัดที่ดิน!BT41"")"),0)</f>
        <v>0</v>
      </c>
      <c r="K728" s="498">
        <f t="shared" ref="K728:K729" ca="1" si="293">IF(I728&gt;0,J728*100/I728,0)</f>
        <v>0</v>
      </c>
      <c r="L728" s="766"/>
      <c r="M728" s="189"/>
      <c r="N728" s="766"/>
      <c r="O728" s="498"/>
      <c r="P728" s="49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</row>
    <row r="729" spans="1:26" ht="19.5" hidden="1">
      <c r="A729" s="744"/>
      <c r="B729" s="763"/>
      <c r="C729" s="763"/>
      <c r="D729" s="763" t="s">
        <v>309</v>
      </c>
      <c r="E729" s="763"/>
      <c r="F729" s="763"/>
      <c r="G729" s="189"/>
      <c r="H729" s="767" t="s">
        <v>46</v>
      </c>
      <c r="I729" s="768">
        <f ca="1">IFERROR(__xludf.DUMMYFUNCTION("IMPORTRANGE(""https://docs.google.com/spreadsheets/d/1QqKyyYR6Q21VydFLVH3TRQUabQu_ym0Zz7PgGX0-kHA/edit?usp=sharing"",""แผน!IP41"")"),0)</f>
        <v>0</v>
      </c>
      <c r="J729" s="681">
        <f>J732+J735</f>
        <v>0</v>
      </c>
      <c r="K729" s="195">
        <f t="shared" ca="1" si="293"/>
        <v>0</v>
      </c>
      <c r="L729" s="498"/>
      <c r="M729" s="189"/>
      <c r="N729" s="766"/>
      <c r="O729" s="498"/>
      <c r="P729" s="49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</row>
    <row r="730" spans="1:26" ht="18.75" hidden="1">
      <c r="A730" s="744"/>
      <c r="B730" s="763"/>
      <c r="C730" s="763"/>
      <c r="D730" s="763"/>
      <c r="E730" s="763" t="s">
        <v>310</v>
      </c>
      <c r="F730" s="763"/>
      <c r="G730" s="189"/>
      <c r="H730" s="764" t="s">
        <v>35</v>
      </c>
      <c r="I730" s="765"/>
      <c r="J730" s="215">
        <v>0</v>
      </c>
      <c r="K730" s="498"/>
      <c r="L730" s="766"/>
      <c r="M730" s="498"/>
      <c r="N730" s="766"/>
      <c r="O730" s="498"/>
      <c r="P730" s="49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</row>
    <row r="731" spans="1:26" ht="18.75" hidden="1">
      <c r="A731" s="744"/>
      <c r="B731" s="763"/>
      <c r="C731" s="763"/>
      <c r="D731" s="763"/>
      <c r="E731" s="763"/>
      <c r="F731" s="763"/>
      <c r="G731" s="189"/>
      <c r="H731" s="764" t="s">
        <v>34</v>
      </c>
      <c r="I731" s="765"/>
      <c r="J731" s="215">
        <v>0</v>
      </c>
      <c r="K731" s="498"/>
      <c r="L731" s="766"/>
      <c r="M731" s="498"/>
      <c r="N731" s="766"/>
      <c r="O731" s="498"/>
      <c r="P731" s="49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</row>
    <row r="732" spans="1:26" ht="18.75" hidden="1">
      <c r="A732" s="744"/>
      <c r="B732" s="763"/>
      <c r="C732" s="763"/>
      <c r="D732" s="763"/>
      <c r="E732" s="763"/>
      <c r="F732" s="763"/>
      <c r="G732" s="189"/>
      <c r="H732" s="764" t="s">
        <v>46</v>
      </c>
      <c r="I732" s="765"/>
      <c r="J732" s="215">
        <v>0</v>
      </c>
      <c r="K732" s="498"/>
      <c r="L732" s="766"/>
      <c r="M732" s="498"/>
      <c r="N732" s="766"/>
      <c r="O732" s="498"/>
      <c r="P732" s="49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</row>
    <row r="733" spans="1:26" ht="18.75" hidden="1">
      <c r="A733" s="744"/>
      <c r="B733" s="763"/>
      <c r="C733" s="763"/>
      <c r="D733" s="763"/>
      <c r="E733" s="763" t="s">
        <v>311</v>
      </c>
      <c r="F733" s="763"/>
      <c r="G733" s="189"/>
      <c r="H733" s="764" t="s">
        <v>35</v>
      </c>
      <c r="I733" s="765"/>
      <c r="J733" s="215">
        <v>0</v>
      </c>
      <c r="K733" s="498"/>
      <c r="L733" s="766"/>
      <c r="M733" s="498"/>
      <c r="N733" s="766"/>
      <c r="O733" s="498"/>
      <c r="P733" s="49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</row>
    <row r="734" spans="1:26" ht="18.75" hidden="1">
      <c r="A734" s="744"/>
      <c r="B734" s="763"/>
      <c r="C734" s="763"/>
      <c r="D734" s="763"/>
      <c r="E734" s="763"/>
      <c r="F734" s="763"/>
      <c r="G734" s="189"/>
      <c r="H734" s="764" t="s">
        <v>34</v>
      </c>
      <c r="I734" s="765"/>
      <c r="J734" s="215">
        <v>0</v>
      </c>
      <c r="K734" s="498"/>
      <c r="L734" s="766"/>
      <c r="M734" s="498"/>
      <c r="N734" s="766"/>
      <c r="O734" s="498"/>
      <c r="P734" s="49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</row>
    <row r="735" spans="1:26" ht="19.5" hidden="1">
      <c r="A735" s="770"/>
      <c r="B735" s="771" t="s">
        <v>312</v>
      </c>
      <c r="C735" s="734"/>
      <c r="D735" s="734"/>
      <c r="E735" s="734"/>
      <c r="F735" s="734"/>
      <c r="G735" s="735"/>
      <c r="H735" s="422" t="s">
        <v>46</v>
      </c>
      <c r="I735" s="772"/>
      <c r="J735" s="424">
        <v>0</v>
      </c>
      <c r="K735" s="507"/>
      <c r="L735" s="773"/>
      <c r="M735" s="507"/>
      <c r="N735" s="773"/>
      <c r="O735" s="507"/>
      <c r="P735" s="507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</row>
    <row r="736" spans="1:26" ht="19.5" hidden="1">
      <c r="A736" s="774">
        <v>9</v>
      </c>
      <c r="B736" s="775" t="s">
        <v>313</v>
      </c>
      <c r="C736" s="776"/>
      <c r="D736" s="776"/>
      <c r="E736" s="776"/>
      <c r="F736" s="776"/>
      <c r="G736" s="777"/>
      <c r="H736" s="778" t="s">
        <v>46</v>
      </c>
      <c r="I736" s="779"/>
      <c r="J736" s="779">
        <f>J751</f>
        <v>0</v>
      </c>
      <c r="K736" s="780">
        <f>IF(I736&gt;0,J736*100/I736,0)</f>
        <v>0</v>
      </c>
      <c r="L736" s="781"/>
      <c r="M736" s="781"/>
      <c r="N736" s="781"/>
      <c r="O736" s="781"/>
      <c r="P736" s="781"/>
      <c r="Q736" s="604"/>
      <c r="R736" s="604"/>
      <c r="S736" s="604"/>
      <c r="T736" s="604"/>
      <c r="U736" s="604"/>
      <c r="V736" s="604"/>
      <c r="W736" s="604"/>
      <c r="X736" s="604"/>
      <c r="Y736" s="604"/>
      <c r="Z736" s="604"/>
    </row>
    <row r="737" spans="1:26" ht="19.5" hidden="1">
      <c r="A737" s="599"/>
      <c r="B737" s="759"/>
      <c r="C737" s="759" t="s">
        <v>16</v>
      </c>
      <c r="D737" s="864" t="s">
        <v>17</v>
      </c>
      <c r="E737" s="857"/>
      <c r="F737" s="857"/>
      <c r="G737" s="603"/>
      <c r="H737" s="646" t="s">
        <v>12</v>
      </c>
      <c r="I737" s="617"/>
      <c r="J737" s="617"/>
      <c r="K737" s="93"/>
      <c r="L737" s="647">
        <f t="shared" ref="L737:N737" si="294">L738+L739</f>
        <v>0</v>
      </c>
      <c r="M737" s="647">
        <f t="shared" si="294"/>
        <v>0</v>
      </c>
      <c r="N737" s="647">
        <f t="shared" si="294"/>
        <v>0</v>
      </c>
      <c r="O737" s="647">
        <f t="shared" ref="O737:O742" si="295">IF(L737&gt;0,N737*100/L737,0)</f>
        <v>0</v>
      </c>
      <c r="P737" s="647">
        <f t="shared" ref="P737:P742" si="296">IF(M737&gt;0,N737*100/M737,0)</f>
        <v>0</v>
      </c>
      <c r="Q737" s="604"/>
      <c r="R737" s="604"/>
      <c r="S737" s="604"/>
      <c r="T737" s="604"/>
      <c r="U737" s="604"/>
      <c r="V737" s="604"/>
      <c r="W737" s="604"/>
      <c r="X737" s="604"/>
      <c r="Y737" s="604"/>
      <c r="Z737" s="604"/>
    </row>
    <row r="738" spans="1:26" ht="18.75" hidden="1">
      <c r="A738" s="599"/>
      <c r="B738" s="759"/>
      <c r="C738" s="759"/>
      <c r="D738" s="720"/>
      <c r="E738" s="759" t="s">
        <v>185</v>
      </c>
      <c r="F738" s="759"/>
      <c r="G738" s="603"/>
      <c r="H738" s="165" t="s">
        <v>12</v>
      </c>
      <c r="I738" s="617"/>
      <c r="J738" s="617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4"/>
      <c r="R738" s="604"/>
      <c r="S738" s="604"/>
      <c r="T738" s="604"/>
      <c r="U738" s="604"/>
      <c r="V738" s="604"/>
      <c r="W738" s="604"/>
      <c r="X738" s="604"/>
      <c r="Y738" s="604"/>
      <c r="Z738" s="604"/>
    </row>
    <row r="739" spans="1:26" ht="18.75" hidden="1">
      <c r="A739" s="599"/>
      <c r="B739" s="607"/>
      <c r="C739" s="759"/>
      <c r="D739" s="720"/>
      <c r="E739" s="759" t="s">
        <v>186</v>
      </c>
      <c r="F739" s="759"/>
      <c r="G739" s="603"/>
      <c r="H739" s="165" t="s">
        <v>12</v>
      </c>
      <c r="I739" s="617"/>
      <c r="J739" s="617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4"/>
      <c r="R739" s="604"/>
      <c r="S739" s="604"/>
      <c r="T739" s="604"/>
      <c r="U739" s="604"/>
      <c r="V739" s="604"/>
      <c r="W739" s="604"/>
      <c r="X739" s="604"/>
      <c r="Y739" s="604"/>
      <c r="Z739" s="604"/>
    </row>
    <row r="740" spans="1:26" ht="19.5" hidden="1">
      <c r="A740" s="599"/>
      <c r="B740" s="607"/>
      <c r="C740" s="759"/>
      <c r="D740" s="645" t="s">
        <v>20</v>
      </c>
      <c r="E740" s="759"/>
      <c r="F740" s="759"/>
      <c r="G740" s="603"/>
      <c r="H740" s="646" t="s">
        <v>12</v>
      </c>
      <c r="I740" s="166"/>
      <c r="J740" s="166"/>
      <c r="K740" s="167"/>
      <c r="L740" s="647">
        <f t="shared" ref="L740:N740" si="298">L741+L742</f>
        <v>0</v>
      </c>
      <c r="M740" s="647">
        <f t="shared" si="298"/>
        <v>0</v>
      </c>
      <c r="N740" s="647">
        <f t="shared" si="298"/>
        <v>0</v>
      </c>
      <c r="O740" s="647">
        <f t="shared" si="295"/>
        <v>0</v>
      </c>
      <c r="P740" s="647">
        <f t="shared" si="296"/>
        <v>0</v>
      </c>
      <c r="Q740" s="604"/>
      <c r="R740" s="604"/>
      <c r="S740" s="604"/>
      <c r="T740" s="604"/>
      <c r="U740" s="604"/>
      <c r="V740" s="604"/>
      <c r="W740" s="604"/>
      <c r="X740" s="604"/>
      <c r="Y740" s="604"/>
      <c r="Z740" s="604"/>
    </row>
    <row r="741" spans="1:26" ht="18.75" hidden="1">
      <c r="A741" s="599"/>
      <c r="B741" s="607"/>
      <c r="C741" s="759"/>
      <c r="D741" s="720"/>
      <c r="E741" s="759" t="s">
        <v>185</v>
      </c>
      <c r="F741" s="759"/>
      <c r="G741" s="603"/>
      <c r="H741" s="165" t="s">
        <v>12</v>
      </c>
      <c r="I741" s="617"/>
      <c r="J741" s="617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4"/>
      <c r="R741" s="604"/>
      <c r="S741" s="604"/>
      <c r="T741" s="604"/>
      <c r="U741" s="604"/>
      <c r="V741" s="604"/>
      <c r="W741" s="604"/>
      <c r="X741" s="604"/>
      <c r="Y741" s="604"/>
      <c r="Z741" s="604"/>
    </row>
    <row r="742" spans="1:26" ht="18.75" hidden="1">
      <c r="A742" s="599"/>
      <c r="B742" s="607"/>
      <c r="C742" s="759"/>
      <c r="D742" s="720"/>
      <c r="E742" s="759" t="s">
        <v>186</v>
      </c>
      <c r="F742" s="759"/>
      <c r="G742" s="603"/>
      <c r="H742" s="165" t="s">
        <v>12</v>
      </c>
      <c r="I742" s="617"/>
      <c r="J742" s="617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4"/>
      <c r="R742" s="604"/>
      <c r="S742" s="604"/>
      <c r="T742" s="604"/>
      <c r="U742" s="604"/>
      <c r="V742" s="604"/>
      <c r="W742" s="604"/>
      <c r="X742" s="604"/>
      <c r="Y742" s="604"/>
      <c r="Z742" s="604"/>
    </row>
    <row r="743" spans="1:26" ht="18.75" hidden="1">
      <c r="A743" s="649"/>
      <c r="B743" s="607"/>
      <c r="C743" s="759"/>
      <c r="D743" s="759"/>
      <c r="E743" s="759"/>
      <c r="F743" s="759" t="s">
        <v>187</v>
      </c>
      <c r="G743" s="603"/>
      <c r="H743" s="165" t="s">
        <v>12</v>
      </c>
      <c r="I743" s="617"/>
      <c r="J743" s="617"/>
      <c r="K743" s="93"/>
      <c r="L743" s="93"/>
      <c r="M743" s="93"/>
      <c r="N743" s="93"/>
      <c r="O743" s="93"/>
      <c r="P743" s="93"/>
      <c r="Q743" s="604"/>
      <c r="R743" s="604"/>
      <c r="S743" s="604"/>
      <c r="T743" s="604"/>
      <c r="U743" s="604"/>
      <c r="V743" s="604"/>
      <c r="W743" s="604"/>
      <c r="X743" s="604"/>
      <c r="Y743" s="604"/>
      <c r="Z743" s="604"/>
    </row>
    <row r="744" spans="1:26" ht="18.75" hidden="1">
      <c r="A744" s="649"/>
      <c r="B744" s="607"/>
      <c r="C744" s="759"/>
      <c r="D744" s="759"/>
      <c r="E744" s="759"/>
      <c r="F744" s="759" t="s">
        <v>188</v>
      </c>
      <c r="G744" s="603"/>
      <c r="H744" s="165" t="s">
        <v>12</v>
      </c>
      <c r="I744" s="617"/>
      <c r="J744" s="617"/>
      <c r="K744" s="93"/>
      <c r="L744" s="93"/>
      <c r="M744" s="93"/>
      <c r="N744" s="93"/>
      <c r="O744" s="93"/>
      <c r="P744" s="93"/>
      <c r="Q744" s="604"/>
      <c r="R744" s="604"/>
      <c r="S744" s="604"/>
      <c r="T744" s="604"/>
      <c r="U744" s="604"/>
      <c r="V744" s="604"/>
      <c r="W744" s="604"/>
      <c r="X744" s="604"/>
      <c r="Y744" s="604"/>
      <c r="Z744" s="604"/>
    </row>
    <row r="745" spans="1:26" ht="18.75" hidden="1">
      <c r="A745" s="649"/>
      <c r="B745" s="607"/>
      <c r="C745" s="759"/>
      <c r="D745" s="759"/>
      <c r="E745" s="759"/>
      <c r="F745" s="759" t="s">
        <v>189</v>
      </c>
      <c r="G745" s="603"/>
      <c r="H745" s="165" t="s">
        <v>12</v>
      </c>
      <c r="I745" s="617"/>
      <c r="J745" s="617"/>
      <c r="K745" s="93"/>
      <c r="L745" s="93"/>
      <c r="M745" s="93"/>
      <c r="N745" s="93"/>
      <c r="O745" s="93"/>
      <c r="P745" s="93"/>
      <c r="Q745" s="604"/>
      <c r="R745" s="604"/>
      <c r="S745" s="604"/>
      <c r="T745" s="604"/>
      <c r="U745" s="604"/>
      <c r="V745" s="604"/>
      <c r="W745" s="604"/>
      <c r="X745" s="604"/>
      <c r="Y745" s="604"/>
      <c r="Z745" s="604"/>
    </row>
    <row r="746" spans="1:26" ht="18.75" hidden="1">
      <c r="A746" s="649"/>
      <c r="B746" s="607"/>
      <c r="C746" s="759"/>
      <c r="D746" s="759"/>
      <c r="E746" s="759"/>
      <c r="F746" s="759" t="s">
        <v>190</v>
      </c>
      <c r="G746" s="603"/>
      <c r="H746" s="165" t="s">
        <v>12</v>
      </c>
      <c r="I746" s="617"/>
      <c r="J746" s="617"/>
      <c r="K746" s="93"/>
      <c r="L746" s="93"/>
      <c r="M746" s="93"/>
      <c r="N746" s="93"/>
      <c r="O746" s="93"/>
      <c r="P746" s="93"/>
      <c r="Q746" s="604"/>
      <c r="R746" s="604"/>
      <c r="S746" s="604"/>
      <c r="T746" s="604"/>
      <c r="U746" s="604"/>
      <c r="V746" s="604"/>
      <c r="W746" s="604"/>
      <c r="X746" s="604"/>
      <c r="Y746" s="604"/>
      <c r="Z746" s="604"/>
    </row>
    <row r="747" spans="1:26" ht="19.5" hidden="1">
      <c r="A747" s="599"/>
      <c r="B747" s="607"/>
      <c r="C747" s="759"/>
      <c r="D747" s="645" t="s">
        <v>21</v>
      </c>
      <c r="E747" s="759"/>
      <c r="F747" s="759"/>
      <c r="G747" s="603"/>
      <c r="H747" s="783" t="s">
        <v>12</v>
      </c>
      <c r="I747" s="166"/>
      <c r="J747" s="166"/>
      <c r="K747" s="167"/>
      <c r="L747" s="647">
        <f t="shared" ref="L747:N747" si="299">L748+L749</f>
        <v>0</v>
      </c>
      <c r="M747" s="647">
        <f t="shared" si="299"/>
        <v>0</v>
      </c>
      <c r="N747" s="647">
        <f t="shared" si="299"/>
        <v>0</v>
      </c>
      <c r="O747" s="647">
        <f t="shared" ref="O747:O749" si="300">IF(L747&gt;0,N747*100/L747,0)</f>
        <v>0</v>
      </c>
      <c r="P747" s="647">
        <f t="shared" ref="P747:P749" si="301">IF(M747&gt;0,N747*100/M747,0)</f>
        <v>0</v>
      </c>
      <c r="Q747" s="604"/>
      <c r="R747" s="604"/>
      <c r="S747" s="604"/>
      <c r="T747" s="604"/>
      <c r="U747" s="604"/>
      <c r="V747" s="604"/>
      <c r="W747" s="604"/>
      <c r="X747" s="604"/>
      <c r="Y747" s="604"/>
      <c r="Z747" s="604"/>
    </row>
    <row r="748" spans="1:26" ht="18.75" hidden="1">
      <c r="A748" s="599"/>
      <c r="B748" s="607"/>
      <c r="C748" s="759"/>
      <c r="D748" s="759"/>
      <c r="E748" s="759" t="s">
        <v>18</v>
      </c>
      <c r="F748" s="759"/>
      <c r="G748" s="603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4"/>
      <c r="R748" s="604"/>
      <c r="S748" s="604"/>
      <c r="T748" s="604"/>
      <c r="U748" s="604"/>
      <c r="V748" s="604"/>
      <c r="W748" s="604"/>
      <c r="X748" s="604"/>
      <c r="Y748" s="604"/>
      <c r="Z748" s="604"/>
    </row>
    <row r="749" spans="1:26" ht="18.75" hidden="1">
      <c r="A749" s="599"/>
      <c r="B749" s="607"/>
      <c r="C749" s="759"/>
      <c r="D749" s="759"/>
      <c r="E749" s="759" t="s">
        <v>19</v>
      </c>
      <c r="F749" s="759"/>
      <c r="G749" s="603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4"/>
      <c r="R749" s="604"/>
      <c r="S749" s="604"/>
      <c r="T749" s="604"/>
      <c r="U749" s="604"/>
      <c r="V749" s="604"/>
      <c r="W749" s="604"/>
      <c r="X749" s="604"/>
      <c r="Y749" s="604"/>
      <c r="Z749" s="604"/>
    </row>
    <row r="750" spans="1:26" ht="19.5" hidden="1">
      <c r="A750" s="614"/>
      <c r="B750" s="616"/>
      <c r="C750" s="759" t="s">
        <v>16</v>
      </c>
      <c r="D750" s="899" t="s">
        <v>38</v>
      </c>
      <c r="E750" s="651"/>
      <c r="F750" s="651"/>
      <c r="G750" s="652"/>
      <c r="H750" s="366"/>
      <c r="I750" s="166"/>
      <c r="J750" s="166"/>
      <c r="K750" s="167"/>
      <c r="L750" s="167"/>
      <c r="M750" s="167"/>
      <c r="N750" s="167"/>
      <c r="O750" s="167"/>
      <c r="P750" s="167"/>
      <c r="Q750" s="604"/>
      <c r="R750" s="604"/>
      <c r="S750" s="604"/>
      <c r="T750" s="604"/>
      <c r="U750" s="604"/>
      <c r="V750" s="604"/>
      <c r="W750" s="604"/>
      <c r="X750" s="604"/>
      <c r="Y750" s="604"/>
      <c r="Z750" s="604"/>
    </row>
    <row r="751" spans="1:26" ht="18.75" hidden="1">
      <c r="A751" s="649"/>
      <c r="B751" s="607"/>
      <c r="C751" s="759"/>
      <c r="D751" s="759"/>
      <c r="E751" s="759" t="s">
        <v>314</v>
      </c>
      <c r="F751" s="759"/>
      <c r="G751" s="603"/>
      <c r="H751" s="165" t="s">
        <v>46</v>
      </c>
      <c r="I751" s="617"/>
      <c r="J751" s="617"/>
      <c r="K751" s="93"/>
      <c r="L751" s="93"/>
      <c r="M751" s="93"/>
      <c r="N751" s="93"/>
      <c r="O751" s="93"/>
      <c r="P751" s="93"/>
      <c r="Q751" s="604"/>
      <c r="R751" s="604"/>
      <c r="S751" s="604"/>
      <c r="T751" s="604"/>
      <c r="U751" s="604"/>
      <c r="V751" s="604"/>
      <c r="W751" s="604"/>
      <c r="X751" s="604"/>
      <c r="Y751" s="604"/>
      <c r="Z751" s="604"/>
    </row>
    <row r="752" spans="1:26" ht="18.75" hidden="1">
      <c r="A752" s="649"/>
      <c r="B752" s="607"/>
      <c r="C752" s="759"/>
      <c r="D752" s="759"/>
      <c r="E752" s="759"/>
      <c r="F752" s="759"/>
      <c r="G752" s="603"/>
      <c r="H752" s="165" t="s">
        <v>315</v>
      </c>
      <c r="I752" s="617"/>
      <c r="J752" s="617"/>
      <c r="K752" s="93"/>
      <c r="L752" s="93"/>
      <c r="M752" s="93"/>
      <c r="N752" s="93"/>
      <c r="O752" s="93"/>
      <c r="P752" s="93"/>
      <c r="Q752" s="604"/>
      <c r="R752" s="604"/>
      <c r="S752" s="604"/>
      <c r="T752" s="604"/>
      <c r="U752" s="604"/>
      <c r="V752" s="604"/>
      <c r="W752" s="604"/>
      <c r="X752" s="604"/>
      <c r="Y752" s="604"/>
      <c r="Z752" s="604"/>
    </row>
    <row r="753" spans="1:26" ht="19.5" hidden="1">
      <c r="A753" s="785">
        <v>10</v>
      </c>
      <c r="B753" s="786" t="s">
        <v>316</v>
      </c>
      <c r="C753" s="787"/>
      <c r="D753" s="787"/>
      <c r="E753" s="787"/>
      <c r="F753" s="787"/>
      <c r="G753" s="788"/>
      <c r="H753" s="789" t="s">
        <v>46</v>
      </c>
      <c r="I753" s="790"/>
      <c r="J753" s="790">
        <f>J768</f>
        <v>0</v>
      </c>
      <c r="K753" s="791">
        <f>IF(I753&gt;0,J753*100/I753,0)</f>
        <v>0</v>
      </c>
      <c r="L753" s="792"/>
      <c r="M753" s="792"/>
      <c r="N753" s="792"/>
      <c r="O753" s="792"/>
      <c r="P753" s="792"/>
      <c r="Q753" s="604"/>
      <c r="R753" s="604"/>
      <c r="S753" s="604"/>
      <c r="T753" s="604"/>
      <c r="U753" s="604"/>
      <c r="V753" s="604"/>
      <c r="W753" s="604"/>
      <c r="X753" s="604"/>
      <c r="Y753" s="604"/>
      <c r="Z753" s="604"/>
    </row>
    <row r="754" spans="1:26" ht="19.5" hidden="1">
      <c r="A754" s="599"/>
      <c r="B754" s="759"/>
      <c r="C754" s="759" t="s">
        <v>16</v>
      </c>
      <c r="D754" s="864" t="s">
        <v>17</v>
      </c>
      <c r="E754" s="857"/>
      <c r="F754" s="857"/>
      <c r="G754" s="603"/>
      <c r="H754" s="646" t="s">
        <v>12</v>
      </c>
      <c r="I754" s="617"/>
      <c r="J754" s="617"/>
      <c r="K754" s="93"/>
      <c r="L754" s="647">
        <f t="shared" ref="L754:N754" si="302">L755+L756</f>
        <v>0</v>
      </c>
      <c r="M754" s="647">
        <f t="shared" si="302"/>
        <v>0</v>
      </c>
      <c r="N754" s="647">
        <f t="shared" si="302"/>
        <v>0</v>
      </c>
      <c r="O754" s="647">
        <f t="shared" ref="O754:O759" si="303">IF(L754&gt;0,N754*100/L754,0)</f>
        <v>0</v>
      </c>
      <c r="P754" s="647">
        <f t="shared" ref="P754:P759" si="304">IF(M754&gt;0,N754*100/M754,0)</f>
        <v>0</v>
      </c>
      <c r="Q754" s="604"/>
      <c r="R754" s="604"/>
      <c r="S754" s="604"/>
      <c r="T754" s="604"/>
      <c r="U754" s="604"/>
      <c r="V754" s="604"/>
      <c r="W754" s="604"/>
      <c r="X754" s="604"/>
      <c r="Y754" s="604"/>
      <c r="Z754" s="604"/>
    </row>
    <row r="755" spans="1:26" ht="18.75" hidden="1">
      <c r="A755" s="599"/>
      <c r="B755" s="759"/>
      <c r="C755" s="759"/>
      <c r="D755" s="720"/>
      <c r="E755" s="759" t="s">
        <v>185</v>
      </c>
      <c r="F755" s="759"/>
      <c r="G755" s="603"/>
      <c r="H755" s="165" t="s">
        <v>12</v>
      </c>
      <c r="I755" s="617"/>
      <c r="J755" s="617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4"/>
      <c r="R755" s="604"/>
      <c r="S755" s="604"/>
      <c r="T755" s="604"/>
      <c r="U755" s="604"/>
      <c r="V755" s="604"/>
      <c r="W755" s="604"/>
      <c r="X755" s="604"/>
      <c r="Y755" s="604"/>
      <c r="Z755" s="604"/>
    </row>
    <row r="756" spans="1:26" ht="18.75" hidden="1">
      <c r="A756" s="599"/>
      <c r="B756" s="607"/>
      <c r="C756" s="759"/>
      <c r="D756" s="720"/>
      <c r="E756" s="759" t="s">
        <v>186</v>
      </c>
      <c r="F756" s="759"/>
      <c r="G756" s="603"/>
      <c r="H756" s="165" t="s">
        <v>12</v>
      </c>
      <c r="I756" s="617"/>
      <c r="J756" s="617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4"/>
      <c r="R756" s="604"/>
      <c r="S756" s="604"/>
      <c r="T756" s="604"/>
      <c r="U756" s="604"/>
      <c r="V756" s="604"/>
      <c r="W756" s="604"/>
      <c r="X756" s="604"/>
      <c r="Y756" s="604"/>
      <c r="Z756" s="604"/>
    </row>
    <row r="757" spans="1:26" ht="19.5" hidden="1">
      <c r="A757" s="599"/>
      <c r="B757" s="607"/>
      <c r="C757" s="759"/>
      <c r="D757" s="645" t="s">
        <v>20</v>
      </c>
      <c r="E757" s="759"/>
      <c r="F757" s="759"/>
      <c r="G757" s="603"/>
      <c r="H757" s="646" t="s">
        <v>12</v>
      </c>
      <c r="I757" s="166"/>
      <c r="J757" s="166"/>
      <c r="K757" s="167"/>
      <c r="L757" s="647">
        <f t="shared" ref="L757:N757" si="306">L758+L759</f>
        <v>0</v>
      </c>
      <c r="M757" s="647">
        <f t="shared" si="306"/>
        <v>0</v>
      </c>
      <c r="N757" s="647">
        <f t="shared" si="306"/>
        <v>0</v>
      </c>
      <c r="O757" s="647">
        <f t="shared" si="303"/>
        <v>0</v>
      </c>
      <c r="P757" s="647">
        <f t="shared" si="304"/>
        <v>0</v>
      </c>
      <c r="Q757" s="604"/>
      <c r="R757" s="604"/>
      <c r="S757" s="604"/>
      <c r="T757" s="604"/>
      <c r="U757" s="604"/>
      <c r="V757" s="604"/>
      <c r="W757" s="604"/>
      <c r="X757" s="604"/>
      <c r="Y757" s="604"/>
      <c r="Z757" s="604"/>
    </row>
    <row r="758" spans="1:26" ht="18.75" hidden="1">
      <c r="A758" s="599"/>
      <c r="B758" s="607"/>
      <c r="C758" s="759"/>
      <c r="D758" s="720"/>
      <c r="E758" s="759" t="s">
        <v>185</v>
      </c>
      <c r="F758" s="759"/>
      <c r="G758" s="603"/>
      <c r="H758" s="165" t="s">
        <v>12</v>
      </c>
      <c r="I758" s="617"/>
      <c r="J758" s="617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4"/>
      <c r="R758" s="604"/>
      <c r="S758" s="604"/>
      <c r="T758" s="604"/>
      <c r="U758" s="604"/>
      <c r="V758" s="604"/>
      <c r="W758" s="604"/>
      <c r="X758" s="604"/>
      <c r="Y758" s="604"/>
      <c r="Z758" s="604"/>
    </row>
    <row r="759" spans="1:26" ht="18.75" hidden="1">
      <c r="A759" s="599"/>
      <c r="B759" s="607"/>
      <c r="C759" s="759"/>
      <c r="D759" s="720"/>
      <c r="E759" s="759" t="s">
        <v>186</v>
      </c>
      <c r="F759" s="759"/>
      <c r="G759" s="603"/>
      <c r="H759" s="165" t="s">
        <v>12</v>
      </c>
      <c r="I759" s="617"/>
      <c r="J759" s="617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4"/>
      <c r="R759" s="604"/>
      <c r="S759" s="604"/>
      <c r="T759" s="604"/>
      <c r="U759" s="604"/>
      <c r="V759" s="604"/>
      <c r="W759" s="604"/>
      <c r="X759" s="604"/>
      <c r="Y759" s="604"/>
      <c r="Z759" s="604"/>
    </row>
    <row r="760" spans="1:26" ht="18.75" hidden="1">
      <c r="A760" s="649"/>
      <c r="B760" s="607"/>
      <c r="C760" s="759"/>
      <c r="D760" s="759"/>
      <c r="E760" s="759"/>
      <c r="F760" s="759" t="s">
        <v>187</v>
      </c>
      <c r="G760" s="603"/>
      <c r="H760" s="165" t="s">
        <v>12</v>
      </c>
      <c r="I760" s="617"/>
      <c r="J760" s="617"/>
      <c r="K760" s="93"/>
      <c r="L760" s="93"/>
      <c r="M760" s="93"/>
      <c r="N760" s="93"/>
      <c r="O760" s="93"/>
      <c r="P760" s="93"/>
      <c r="Q760" s="604"/>
      <c r="R760" s="604"/>
      <c r="S760" s="604"/>
      <c r="T760" s="604"/>
      <c r="U760" s="604"/>
      <c r="V760" s="604"/>
      <c r="W760" s="604"/>
      <c r="X760" s="604"/>
      <c r="Y760" s="604"/>
      <c r="Z760" s="604"/>
    </row>
    <row r="761" spans="1:26" ht="18.75" hidden="1">
      <c r="A761" s="649"/>
      <c r="B761" s="607"/>
      <c r="C761" s="759"/>
      <c r="D761" s="759"/>
      <c r="E761" s="759"/>
      <c r="F761" s="759" t="s">
        <v>188</v>
      </c>
      <c r="G761" s="603"/>
      <c r="H761" s="165" t="s">
        <v>12</v>
      </c>
      <c r="I761" s="617"/>
      <c r="J761" s="617"/>
      <c r="K761" s="93"/>
      <c r="L761" s="93"/>
      <c r="M761" s="93"/>
      <c r="N761" s="93"/>
      <c r="O761" s="93"/>
      <c r="P761" s="93"/>
      <c r="Q761" s="604"/>
      <c r="R761" s="604"/>
      <c r="S761" s="604"/>
      <c r="T761" s="604"/>
      <c r="U761" s="604"/>
      <c r="V761" s="604"/>
      <c r="W761" s="604"/>
      <c r="X761" s="604"/>
      <c r="Y761" s="604"/>
      <c r="Z761" s="604"/>
    </row>
    <row r="762" spans="1:26" ht="18.75" hidden="1">
      <c r="A762" s="649"/>
      <c r="B762" s="607"/>
      <c r="C762" s="759"/>
      <c r="D762" s="759"/>
      <c r="E762" s="759"/>
      <c r="F762" s="759" t="s">
        <v>189</v>
      </c>
      <c r="G762" s="603"/>
      <c r="H762" s="165" t="s">
        <v>12</v>
      </c>
      <c r="I762" s="617"/>
      <c r="J762" s="617"/>
      <c r="K762" s="93"/>
      <c r="L762" s="93"/>
      <c r="M762" s="93"/>
      <c r="N762" s="93"/>
      <c r="O762" s="93"/>
      <c r="P762" s="93"/>
      <c r="Q762" s="604"/>
      <c r="R762" s="604"/>
      <c r="S762" s="604"/>
      <c r="T762" s="604"/>
      <c r="U762" s="604"/>
      <c r="V762" s="604"/>
      <c r="W762" s="604"/>
      <c r="X762" s="604"/>
      <c r="Y762" s="604"/>
      <c r="Z762" s="604"/>
    </row>
    <row r="763" spans="1:26" ht="18.75" hidden="1">
      <c r="A763" s="649"/>
      <c r="B763" s="607"/>
      <c r="C763" s="759"/>
      <c r="D763" s="759"/>
      <c r="E763" s="759"/>
      <c r="F763" s="759" t="s">
        <v>190</v>
      </c>
      <c r="G763" s="603"/>
      <c r="H763" s="165" t="s">
        <v>12</v>
      </c>
      <c r="I763" s="617"/>
      <c r="J763" s="617"/>
      <c r="K763" s="93"/>
      <c r="L763" s="93"/>
      <c r="M763" s="93"/>
      <c r="N763" s="93"/>
      <c r="O763" s="93"/>
      <c r="P763" s="93"/>
      <c r="Q763" s="604"/>
      <c r="R763" s="604"/>
      <c r="S763" s="604"/>
      <c r="T763" s="604"/>
      <c r="U763" s="604"/>
      <c r="V763" s="604"/>
      <c r="W763" s="604"/>
      <c r="X763" s="604"/>
      <c r="Y763" s="604"/>
      <c r="Z763" s="604"/>
    </row>
    <row r="764" spans="1:26" ht="19.5" hidden="1">
      <c r="A764" s="599"/>
      <c r="B764" s="607"/>
      <c r="C764" s="759"/>
      <c r="D764" s="645" t="s">
        <v>21</v>
      </c>
      <c r="E764" s="759"/>
      <c r="F764" s="759"/>
      <c r="G764" s="603"/>
      <c r="H764" s="783" t="s">
        <v>12</v>
      </c>
      <c r="I764" s="166"/>
      <c r="J764" s="166"/>
      <c r="K764" s="167"/>
      <c r="L764" s="647">
        <f t="shared" ref="L764:N764" si="307">L765+L766</f>
        <v>0</v>
      </c>
      <c r="M764" s="647">
        <f t="shared" si="307"/>
        <v>0</v>
      </c>
      <c r="N764" s="647">
        <f t="shared" si="307"/>
        <v>0</v>
      </c>
      <c r="O764" s="647">
        <f t="shared" ref="O764:O766" si="308">IF(L764&gt;0,N764*100/L764,0)</f>
        <v>0</v>
      </c>
      <c r="P764" s="647">
        <f t="shared" ref="P764:P766" si="309">IF(M764&gt;0,N764*100/M764,0)</f>
        <v>0</v>
      </c>
      <c r="Q764" s="604"/>
      <c r="R764" s="604"/>
      <c r="S764" s="604"/>
      <c r="T764" s="604"/>
      <c r="U764" s="604"/>
      <c r="V764" s="604"/>
      <c r="W764" s="604"/>
      <c r="X764" s="604"/>
      <c r="Y764" s="604"/>
      <c r="Z764" s="604"/>
    </row>
    <row r="765" spans="1:26" ht="18.75" hidden="1">
      <c r="A765" s="599"/>
      <c r="B765" s="607"/>
      <c r="C765" s="759"/>
      <c r="D765" s="759"/>
      <c r="E765" s="759" t="s">
        <v>18</v>
      </c>
      <c r="F765" s="759"/>
      <c r="G765" s="603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4"/>
      <c r="R765" s="604"/>
      <c r="S765" s="604"/>
      <c r="T765" s="604"/>
      <c r="U765" s="604"/>
      <c r="V765" s="604"/>
      <c r="W765" s="604"/>
      <c r="X765" s="604"/>
      <c r="Y765" s="604"/>
      <c r="Z765" s="604"/>
    </row>
    <row r="766" spans="1:26" ht="18.75" hidden="1">
      <c r="A766" s="599"/>
      <c r="B766" s="607"/>
      <c r="C766" s="759"/>
      <c r="D766" s="759"/>
      <c r="E766" s="759" t="s">
        <v>19</v>
      </c>
      <c r="F766" s="759"/>
      <c r="G766" s="603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4"/>
      <c r="R766" s="604"/>
      <c r="S766" s="604"/>
      <c r="T766" s="604"/>
      <c r="U766" s="604"/>
      <c r="V766" s="604"/>
      <c r="W766" s="604"/>
      <c r="X766" s="604"/>
      <c r="Y766" s="604"/>
      <c r="Z766" s="604"/>
    </row>
    <row r="767" spans="1:26" ht="19.5" hidden="1">
      <c r="A767" s="614"/>
      <c r="B767" s="616"/>
      <c r="C767" s="759" t="s">
        <v>16</v>
      </c>
      <c r="D767" s="899" t="s">
        <v>38</v>
      </c>
      <c r="E767" s="651"/>
      <c r="F767" s="651"/>
      <c r="G767" s="652"/>
      <c r="H767" s="366"/>
      <c r="I767" s="166"/>
      <c r="J767" s="166"/>
      <c r="K767" s="167"/>
      <c r="L767" s="167"/>
      <c r="M767" s="167"/>
      <c r="N767" s="167"/>
      <c r="O767" s="167"/>
      <c r="P767" s="167"/>
      <c r="Q767" s="604"/>
      <c r="R767" s="604"/>
      <c r="S767" s="604"/>
      <c r="T767" s="604"/>
      <c r="U767" s="604"/>
      <c r="V767" s="604"/>
      <c r="W767" s="604"/>
      <c r="X767" s="604"/>
      <c r="Y767" s="604"/>
      <c r="Z767" s="604"/>
    </row>
    <row r="768" spans="1:26" ht="18.75" hidden="1">
      <c r="A768" s="649"/>
      <c r="B768" s="607"/>
      <c r="C768" s="759"/>
      <c r="D768" s="759"/>
      <c r="E768" s="759" t="s">
        <v>317</v>
      </c>
      <c r="F768" s="759"/>
      <c r="G768" s="603"/>
      <c r="H768" s="165" t="s">
        <v>46</v>
      </c>
      <c r="I768" s="617"/>
      <c r="J768" s="617"/>
      <c r="K768" s="93"/>
      <c r="L768" s="93"/>
      <c r="M768" s="93"/>
      <c r="N768" s="93"/>
      <c r="O768" s="93"/>
      <c r="P768" s="93"/>
      <c r="Q768" s="604"/>
      <c r="R768" s="604"/>
      <c r="S768" s="604"/>
      <c r="T768" s="604"/>
      <c r="U768" s="604"/>
      <c r="V768" s="604"/>
      <c r="W768" s="604"/>
      <c r="X768" s="604"/>
      <c r="Y768" s="604"/>
      <c r="Z768" s="604"/>
    </row>
    <row r="769" spans="1:26" ht="19.5" hidden="1">
      <c r="A769" s="793">
        <v>11</v>
      </c>
      <c r="B769" s="794" t="s">
        <v>318</v>
      </c>
      <c r="C769" s="795"/>
      <c r="D769" s="795"/>
      <c r="E769" s="795"/>
      <c r="F769" s="795"/>
      <c r="G769" s="796"/>
      <c r="H769" s="797" t="s">
        <v>46</v>
      </c>
      <c r="I769" s="798"/>
      <c r="J769" s="798">
        <f>J784</f>
        <v>0</v>
      </c>
      <c r="K769" s="799">
        <f>IF(I769&gt;0,J769*100/I769,0)</f>
        <v>0</v>
      </c>
      <c r="L769" s="800"/>
      <c r="M769" s="800"/>
      <c r="N769" s="800"/>
      <c r="O769" s="800"/>
      <c r="P769" s="800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</row>
    <row r="770" spans="1:26" ht="19.5" hidden="1">
      <c r="A770" s="599"/>
      <c r="B770" s="759"/>
      <c r="C770" s="759" t="s">
        <v>16</v>
      </c>
      <c r="D770" s="864" t="s">
        <v>17</v>
      </c>
      <c r="E770" s="857"/>
      <c r="F770" s="857"/>
      <c r="G770" s="603"/>
      <c r="H770" s="646" t="s">
        <v>12</v>
      </c>
      <c r="I770" s="617"/>
      <c r="J770" s="617"/>
      <c r="K770" s="93"/>
      <c r="L770" s="647">
        <f t="shared" ref="L770:N770" si="310">L771+L772</f>
        <v>0</v>
      </c>
      <c r="M770" s="647">
        <f t="shared" si="310"/>
        <v>0</v>
      </c>
      <c r="N770" s="647">
        <f t="shared" si="310"/>
        <v>0</v>
      </c>
      <c r="O770" s="647">
        <f t="shared" ref="O770:O775" si="311">IF(L770&gt;0,N770*100/L770,0)</f>
        <v>0</v>
      </c>
      <c r="P770" s="647">
        <f t="shared" ref="P770:P775" si="312">IF(M770&gt;0,N770*100/M770,0)</f>
        <v>0</v>
      </c>
      <c r="Q770" s="604"/>
      <c r="R770" s="604"/>
      <c r="S770" s="604"/>
      <c r="T770" s="604"/>
      <c r="U770" s="604"/>
      <c r="V770" s="604"/>
      <c r="W770" s="604"/>
      <c r="X770" s="604"/>
      <c r="Y770" s="604"/>
      <c r="Z770" s="604"/>
    </row>
    <row r="771" spans="1:26" ht="18.75" hidden="1">
      <c r="A771" s="599"/>
      <c r="B771" s="759"/>
      <c r="C771" s="759"/>
      <c r="D771" s="720"/>
      <c r="E771" s="759" t="s">
        <v>185</v>
      </c>
      <c r="F771" s="759"/>
      <c r="G771" s="603"/>
      <c r="H771" s="165" t="s">
        <v>12</v>
      </c>
      <c r="I771" s="617"/>
      <c r="J771" s="617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4"/>
      <c r="R771" s="604"/>
      <c r="S771" s="604"/>
      <c r="T771" s="604"/>
      <c r="U771" s="604"/>
      <c r="V771" s="604"/>
      <c r="W771" s="604"/>
      <c r="X771" s="604"/>
      <c r="Y771" s="604"/>
      <c r="Z771" s="604"/>
    </row>
    <row r="772" spans="1:26" ht="18.75" hidden="1">
      <c r="A772" s="599"/>
      <c r="B772" s="607"/>
      <c r="C772" s="759"/>
      <c r="D772" s="720"/>
      <c r="E772" s="759" t="s">
        <v>186</v>
      </c>
      <c r="F772" s="759"/>
      <c r="G772" s="603"/>
      <c r="H772" s="165" t="s">
        <v>12</v>
      </c>
      <c r="I772" s="617"/>
      <c r="J772" s="617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4"/>
      <c r="R772" s="604"/>
      <c r="S772" s="604"/>
      <c r="T772" s="604"/>
      <c r="U772" s="604"/>
      <c r="V772" s="604"/>
      <c r="W772" s="604"/>
      <c r="X772" s="604"/>
      <c r="Y772" s="604"/>
      <c r="Z772" s="604"/>
    </row>
    <row r="773" spans="1:26" ht="19.5" hidden="1">
      <c r="A773" s="599"/>
      <c r="B773" s="607"/>
      <c r="C773" s="759"/>
      <c r="D773" s="645" t="s">
        <v>20</v>
      </c>
      <c r="E773" s="759"/>
      <c r="F773" s="759"/>
      <c r="G773" s="603"/>
      <c r="H773" s="646" t="s">
        <v>12</v>
      </c>
      <c r="I773" s="166"/>
      <c r="J773" s="166"/>
      <c r="K773" s="167"/>
      <c r="L773" s="647">
        <f t="shared" ref="L773:N773" si="314">L774+L775</f>
        <v>0</v>
      </c>
      <c r="M773" s="647">
        <f t="shared" si="314"/>
        <v>0</v>
      </c>
      <c r="N773" s="647">
        <f t="shared" si="314"/>
        <v>0</v>
      </c>
      <c r="O773" s="647">
        <f t="shared" si="311"/>
        <v>0</v>
      </c>
      <c r="P773" s="647">
        <f t="shared" si="312"/>
        <v>0</v>
      </c>
      <c r="Q773" s="604"/>
      <c r="R773" s="604"/>
      <c r="S773" s="604"/>
      <c r="T773" s="604"/>
      <c r="U773" s="604"/>
      <c r="V773" s="604"/>
      <c r="W773" s="604"/>
      <c r="X773" s="604"/>
      <c r="Y773" s="604"/>
      <c r="Z773" s="604"/>
    </row>
    <row r="774" spans="1:26" ht="18.75" hidden="1">
      <c r="A774" s="599"/>
      <c r="B774" s="607"/>
      <c r="C774" s="759"/>
      <c r="D774" s="720"/>
      <c r="E774" s="759" t="s">
        <v>185</v>
      </c>
      <c r="F774" s="759"/>
      <c r="G774" s="603"/>
      <c r="H774" s="165" t="s">
        <v>12</v>
      </c>
      <c r="I774" s="617"/>
      <c r="J774" s="617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4"/>
      <c r="R774" s="604"/>
      <c r="S774" s="604"/>
      <c r="T774" s="604"/>
      <c r="U774" s="604"/>
      <c r="V774" s="604"/>
      <c r="W774" s="604"/>
      <c r="X774" s="604"/>
      <c r="Y774" s="604"/>
      <c r="Z774" s="604"/>
    </row>
    <row r="775" spans="1:26" ht="18.75" hidden="1">
      <c r="A775" s="599"/>
      <c r="B775" s="607"/>
      <c r="C775" s="759"/>
      <c r="D775" s="720"/>
      <c r="E775" s="759" t="s">
        <v>186</v>
      </c>
      <c r="F775" s="759"/>
      <c r="G775" s="603"/>
      <c r="H775" s="165" t="s">
        <v>12</v>
      </c>
      <c r="I775" s="617"/>
      <c r="J775" s="617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4"/>
      <c r="R775" s="604"/>
      <c r="S775" s="604"/>
      <c r="T775" s="604"/>
      <c r="U775" s="604"/>
      <c r="V775" s="604"/>
      <c r="W775" s="604"/>
      <c r="X775" s="604"/>
      <c r="Y775" s="604"/>
      <c r="Z775" s="604"/>
    </row>
    <row r="776" spans="1:26" ht="18.75" hidden="1">
      <c r="A776" s="649"/>
      <c r="B776" s="607"/>
      <c r="C776" s="759"/>
      <c r="D776" s="759"/>
      <c r="E776" s="759"/>
      <c r="F776" s="759" t="s">
        <v>187</v>
      </c>
      <c r="G776" s="603"/>
      <c r="H776" s="165" t="s">
        <v>12</v>
      </c>
      <c r="I776" s="617"/>
      <c r="J776" s="617"/>
      <c r="K776" s="93"/>
      <c r="L776" s="93"/>
      <c r="M776" s="93"/>
      <c r="N776" s="93"/>
      <c r="O776" s="93"/>
      <c r="P776" s="93"/>
      <c r="Q776" s="604"/>
      <c r="R776" s="604"/>
      <c r="S776" s="604"/>
      <c r="T776" s="604"/>
      <c r="U776" s="604"/>
      <c r="V776" s="604"/>
      <c r="W776" s="604"/>
      <c r="X776" s="604"/>
      <c r="Y776" s="604"/>
      <c r="Z776" s="604"/>
    </row>
    <row r="777" spans="1:26" ht="18.75" hidden="1">
      <c r="A777" s="649"/>
      <c r="B777" s="607"/>
      <c r="C777" s="759"/>
      <c r="D777" s="759"/>
      <c r="E777" s="759"/>
      <c r="F777" s="759" t="s">
        <v>188</v>
      </c>
      <c r="G777" s="603"/>
      <c r="H777" s="165" t="s">
        <v>12</v>
      </c>
      <c r="I777" s="617"/>
      <c r="J777" s="617"/>
      <c r="K777" s="93"/>
      <c r="L777" s="93"/>
      <c r="M777" s="93"/>
      <c r="N777" s="93"/>
      <c r="O777" s="93"/>
      <c r="P777" s="93"/>
      <c r="Q777" s="604"/>
      <c r="R777" s="604"/>
      <c r="S777" s="604"/>
      <c r="T777" s="604"/>
      <c r="U777" s="604"/>
      <c r="V777" s="604"/>
      <c r="W777" s="604"/>
      <c r="X777" s="604"/>
      <c r="Y777" s="604"/>
      <c r="Z777" s="604"/>
    </row>
    <row r="778" spans="1:26" ht="18.75" hidden="1">
      <c r="A778" s="649"/>
      <c r="B778" s="607"/>
      <c r="C778" s="759"/>
      <c r="D778" s="759"/>
      <c r="E778" s="759"/>
      <c r="F778" s="759" t="s">
        <v>189</v>
      </c>
      <c r="G778" s="603"/>
      <c r="H778" s="165" t="s">
        <v>12</v>
      </c>
      <c r="I778" s="617"/>
      <c r="J778" s="617"/>
      <c r="K778" s="93"/>
      <c r="L778" s="93"/>
      <c r="M778" s="93"/>
      <c r="N778" s="93"/>
      <c r="O778" s="93"/>
      <c r="P778" s="93"/>
      <c r="Q778" s="604"/>
      <c r="R778" s="604"/>
      <c r="S778" s="604"/>
      <c r="T778" s="604"/>
      <c r="U778" s="604"/>
      <c r="V778" s="604"/>
      <c r="W778" s="604"/>
      <c r="X778" s="604"/>
      <c r="Y778" s="604"/>
      <c r="Z778" s="604"/>
    </row>
    <row r="779" spans="1:26" ht="18.75" hidden="1">
      <c r="A779" s="649"/>
      <c r="B779" s="607"/>
      <c r="C779" s="759"/>
      <c r="D779" s="759"/>
      <c r="E779" s="759"/>
      <c r="F779" s="759" t="s">
        <v>190</v>
      </c>
      <c r="G779" s="603"/>
      <c r="H779" s="165" t="s">
        <v>12</v>
      </c>
      <c r="I779" s="617"/>
      <c r="J779" s="617"/>
      <c r="K779" s="93"/>
      <c r="L779" s="93"/>
      <c r="M779" s="93"/>
      <c r="N779" s="93"/>
      <c r="O779" s="93"/>
      <c r="P779" s="93"/>
      <c r="Q779" s="604"/>
      <c r="R779" s="604"/>
      <c r="S779" s="604"/>
      <c r="T779" s="604"/>
      <c r="U779" s="604"/>
      <c r="V779" s="604"/>
      <c r="W779" s="604"/>
      <c r="X779" s="604"/>
      <c r="Y779" s="604"/>
      <c r="Z779" s="604"/>
    </row>
    <row r="780" spans="1:26" ht="19.5" hidden="1">
      <c r="A780" s="599"/>
      <c r="B780" s="607"/>
      <c r="C780" s="759"/>
      <c r="D780" s="645" t="s">
        <v>21</v>
      </c>
      <c r="E780" s="759"/>
      <c r="F780" s="759"/>
      <c r="G780" s="603"/>
      <c r="H780" s="783" t="s">
        <v>12</v>
      </c>
      <c r="I780" s="166"/>
      <c r="J780" s="166"/>
      <c r="K780" s="167"/>
      <c r="L780" s="647">
        <f t="shared" ref="L780:N780" si="315">L781+L782</f>
        <v>0</v>
      </c>
      <c r="M780" s="647">
        <f t="shared" si="315"/>
        <v>0</v>
      </c>
      <c r="N780" s="647">
        <f t="shared" si="315"/>
        <v>0</v>
      </c>
      <c r="O780" s="647">
        <f t="shared" ref="O780:O782" si="316">IF(L780&gt;0,N780*100/L780,0)</f>
        <v>0</v>
      </c>
      <c r="P780" s="647">
        <f t="shared" ref="P780:P782" si="317">IF(M780&gt;0,N780*100/M780,0)</f>
        <v>0</v>
      </c>
      <c r="Q780" s="604"/>
      <c r="R780" s="604"/>
      <c r="S780" s="604"/>
      <c r="T780" s="604"/>
      <c r="U780" s="604"/>
      <c r="V780" s="604"/>
      <c r="W780" s="604"/>
      <c r="X780" s="604"/>
      <c r="Y780" s="604"/>
      <c r="Z780" s="604"/>
    </row>
    <row r="781" spans="1:26" ht="18.75" hidden="1">
      <c r="A781" s="599"/>
      <c r="B781" s="607"/>
      <c r="C781" s="759"/>
      <c r="D781" s="759"/>
      <c r="E781" s="759" t="s">
        <v>18</v>
      </c>
      <c r="F781" s="759"/>
      <c r="G781" s="603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4"/>
      <c r="R781" s="604"/>
      <c r="S781" s="604"/>
      <c r="T781" s="604"/>
      <c r="U781" s="604"/>
      <c r="V781" s="604"/>
      <c r="W781" s="604"/>
      <c r="X781" s="604"/>
      <c r="Y781" s="604"/>
      <c r="Z781" s="604"/>
    </row>
    <row r="782" spans="1:26" ht="18.75" hidden="1">
      <c r="A782" s="599"/>
      <c r="B782" s="607"/>
      <c r="C782" s="759"/>
      <c r="D782" s="759"/>
      <c r="E782" s="759" t="s">
        <v>19</v>
      </c>
      <c r="F782" s="759"/>
      <c r="G782" s="603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4"/>
      <c r="R782" s="604"/>
      <c r="S782" s="604"/>
      <c r="T782" s="604"/>
      <c r="U782" s="604"/>
      <c r="V782" s="604"/>
      <c r="W782" s="604"/>
      <c r="X782" s="604"/>
      <c r="Y782" s="604"/>
      <c r="Z782" s="604"/>
    </row>
    <row r="783" spans="1:26" ht="19.5" hidden="1">
      <c r="A783" s="614"/>
      <c r="B783" s="616"/>
      <c r="C783" s="759" t="s">
        <v>16</v>
      </c>
      <c r="D783" s="899" t="s">
        <v>38</v>
      </c>
      <c r="E783" s="651"/>
      <c r="F783" s="651"/>
      <c r="G783" s="652"/>
      <c r="H783" s="801"/>
      <c r="I783" s="166"/>
      <c r="J783" s="166"/>
      <c r="K783" s="167"/>
      <c r="L783" s="167"/>
      <c r="M783" s="167"/>
      <c r="N783" s="167"/>
      <c r="O783" s="167"/>
      <c r="P783" s="167"/>
      <c r="Q783" s="604"/>
      <c r="R783" s="604"/>
      <c r="S783" s="604"/>
      <c r="T783" s="604"/>
      <c r="U783" s="604"/>
      <c r="V783" s="604"/>
      <c r="W783" s="604"/>
      <c r="X783" s="604"/>
      <c r="Y783" s="604"/>
      <c r="Z783" s="604"/>
    </row>
    <row r="784" spans="1:26" ht="18.75" hidden="1">
      <c r="A784" s="649"/>
      <c r="B784" s="607"/>
      <c r="C784" s="759"/>
      <c r="D784" s="759"/>
      <c r="E784" s="759" t="s">
        <v>319</v>
      </c>
      <c r="F784" s="759"/>
      <c r="G784" s="603"/>
      <c r="H784" s="165" t="s">
        <v>46</v>
      </c>
      <c r="I784" s="617"/>
      <c r="J784" s="617"/>
      <c r="K784" s="93"/>
      <c r="L784" s="93"/>
      <c r="M784" s="93"/>
      <c r="N784" s="93"/>
      <c r="O784" s="93"/>
      <c r="P784" s="93"/>
      <c r="Q784" s="604"/>
      <c r="R784" s="604"/>
      <c r="S784" s="604"/>
      <c r="T784" s="604"/>
      <c r="U784" s="604"/>
      <c r="V784" s="604"/>
      <c r="W784" s="604"/>
      <c r="X784" s="604"/>
      <c r="Y784" s="604"/>
      <c r="Z784" s="604"/>
    </row>
    <row r="785" spans="1:26" ht="19.5" hidden="1">
      <c r="A785" s="802">
        <v>12</v>
      </c>
      <c r="B785" s="803" t="s">
        <v>320</v>
      </c>
      <c r="C785" s="804"/>
      <c r="D785" s="804"/>
      <c r="E785" s="804"/>
      <c r="F785" s="804"/>
      <c r="G785" s="805"/>
      <c r="H785" s="900" t="s">
        <v>46</v>
      </c>
      <c r="I785" s="901">
        <f t="shared" ref="I785:J785" ca="1" si="318">I800</f>
        <v>0</v>
      </c>
      <c r="J785" s="902">
        <f t="shared" ca="1" si="318"/>
        <v>0</v>
      </c>
      <c r="K785" s="903">
        <f ca="1">IF(I785&gt;0,J785*100/I785,0)</f>
        <v>0</v>
      </c>
      <c r="L785" s="809"/>
      <c r="M785" s="809"/>
      <c r="N785" s="809"/>
      <c r="O785" s="809"/>
      <c r="P785" s="809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</row>
    <row r="786" spans="1:26" ht="19.5" hidden="1">
      <c r="A786" s="597"/>
      <c r="B786" s="575"/>
      <c r="C786" s="763" t="s">
        <v>16</v>
      </c>
      <c r="D786" s="863" t="s">
        <v>17</v>
      </c>
      <c r="E786" s="857"/>
      <c r="F786" s="857"/>
      <c r="G786" s="189"/>
      <c r="H786" s="598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</row>
    <row r="787" spans="1:26" ht="18.75" hidden="1">
      <c r="A787" s="599"/>
      <c r="B787" s="607"/>
      <c r="C787" s="759"/>
      <c r="D787" s="720"/>
      <c r="E787" s="759" t="s">
        <v>185</v>
      </c>
      <c r="F787" s="759"/>
      <c r="G787" s="603"/>
      <c r="H787" s="165" t="s">
        <v>12</v>
      </c>
      <c r="I787" s="617"/>
      <c r="J787" s="617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4"/>
      <c r="R787" s="604"/>
      <c r="S787" s="604"/>
      <c r="T787" s="604"/>
      <c r="U787" s="604"/>
      <c r="V787" s="604"/>
      <c r="W787" s="604"/>
      <c r="X787" s="604"/>
      <c r="Y787" s="604"/>
      <c r="Z787" s="604"/>
    </row>
    <row r="788" spans="1:26" ht="18.75" hidden="1">
      <c r="A788" s="599"/>
      <c r="B788" s="607"/>
      <c r="C788" s="607"/>
      <c r="D788" s="616"/>
      <c r="E788" s="759" t="s">
        <v>186</v>
      </c>
      <c r="F788" s="759"/>
      <c r="G788" s="603"/>
      <c r="H788" s="165" t="s">
        <v>12</v>
      </c>
      <c r="I788" s="617"/>
      <c r="J788" s="617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4"/>
      <c r="R788" s="604"/>
      <c r="S788" s="604"/>
      <c r="T788" s="604"/>
      <c r="U788" s="604"/>
      <c r="V788" s="604"/>
      <c r="W788" s="604"/>
      <c r="X788" s="604"/>
      <c r="Y788" s="604"/>
      <c r="Z788" s="604"/>
    </row>
    <row r="789" spans="1:26" ht="18.75" hidden="1">
      <c r="A789" s="597"/>
      <c r="B789" s="575"/>
      <c r="C789" s="575"/>
      <c r="D789" s="606" t="s">
        <v>20</v>
      </c>
      <c r="E789" s="763"/>
      <c r="F789" s="763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</row>
    <row r="790" spans="1:26" ht="18.75" hidden="1">
      <c r="A790" s="599"/>
      <c r="B790" s="607"/>
      <c r="C790" s="607"/>
      <c r="D790" s="616"/>
      <c r="E790" s="759" t="s">
        <v>185</v>
      </c>
      <c r="F790" s="759"/>
      <c r="G790" s="603"/>
      <c r="H790" s="165" t="s">
        <v>12</v>
      </c>
      <c r="I790" s="617"/>
      <c r="J790" s="617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4"/>
      <c r="R790" s="604"/>
      <c r="S790" s="604"/>
      <c r="T790" s="604"/>
      <c r="U790" s="604"/>
      <c r="V790" s="604"/>
      <c r="W790" s="604"/>
      <c r="X790" s="604"/>
      <c r="Y790" s="604"/>
      <c r="Z790" s="604"/>
    </row>
    <row r="791" spans="1:26" ht="18.75" hidden="1">
      <c r="A791" s="599"/>
      <c r="B791" s="607"/>
      <c r="C791" s="607"/>
      <c r="D791" s="616"/>
      <c r="E791" s="759" t="s">
        <v>186</v>
      </c>
      <c r="F791" s="759"/>
      <c r="G791" s="603"/>
      <c r="H791" s="165" t="s">
        <v>12</v>
      </c>
      <c r="I791" s="617"/>
      <c r="J791" s="617"/>
      <c r="K791" s="93"/>
      <c r="L791" s="93">
        <f ca="1">IFERROR(__xludf.DUMMYFUNCTION("IMPORTRANGE(""https://docs.google.com/spreadsheets/d/1QqKyyYR6Q21VydFLVH3TRQUabQu_ym0Zz7PgGX0-kHA/edit?usp=sharing"",""แผน!JJ41"")"),0)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4"/>
      <c r="R791" s="604"/>
      <c r="S791" s="604"/>
      <c r="T791" s="604"/>
      <c r="U791" s="604"/>
      <c r="V791" s="604"/>
      <c r="W791" s="604"/>
      <c r="X791" s="604"/>
      <c r="Y791" s="604"/>
      <c r="Z791" s="604"/>
    </row>
    <row r="792" spans="1:26" ht="18.75" hidden="1">
      <c r="A792" s="574"/>
      <c r="B792" s="575"/>
      <c r="C792" s="763"/>
      <c r="D792" s="763"/>
      <c r="E792" s="763"/>
      <c r="F792" s="763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40">
        <v>0</v>
      </c>
      <c r="O792" s="498"/>
      <c r="P792" s="49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</row>
    <row r="793" spans="1:26" ht="18.75" hidden="1">
      <c r="A793" s="574"/>
      <c r="B793" s="575"/>
      <c r="C793" s="763"/>
      <c r="D793" s="763"/>
      <c r="E793" s="763"/>
      <c r="F793" s="763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40">
        <v>0</v>
      </c>
      <c r="O793" s="498"/>
      <c r="P793" s="49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</row>
    <row r="794" spans="1:26" ht="18.75" hidden="1">
      <c r="A794" s="574"/>
      <c r="B794" s="575"/>
      <c r="C794" s="763"/>
      <c r="D794" s="763"/>
      <c r="E794" s="763"/>
      <c r="F794" s="763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40">
        <v>0</v>
      </c>
      <c r="O794" s="498"/>
      <c r="P794" s="49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</row>
    <row r="795" spans="1:26" ht="18.75" hidden="1">
      <c r="A795" s="574"/>
      <c r="B795" s="575"/>
      <c r="C795" s="763"/>
      <c r="D795" s="763"/>
      <c r="E795" s="763"/>
      <c r="F795" s="763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40">
        <v>0</v>
      </c>
      <c r="O795" s="498"/>
      <c r="P795" s="49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</row>
    <row r="796" spans="1:26" ht="18.75" hidden="1">
      <c r="A796" s="597"/>
      <c r="B796" s="575"/>
      <c r="C796" s="763"/>
      <c r="D796" s="606" t="s">
        <v>21</v>
      </c>
      <c r="E796" s="763"/>
      <c r="F796" s="763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</row>
    <row r="797" spans="1:26" ht="18.75" hidden="1">
      <c r="A797" s="599"/>
      <c r="B797" s="607"/>
      <c r="C797" s="759"/>
      <c r="D797" s="759"/>
      <c r="E797" s="759" t="s">
        <v>18</v>
      </c>
      <c r="F797" s="759"/>
      <c r="G797" s="603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4"/>
      <c r="R797" s="604"/>
      <c r="S797" s="604"/>
      <c r="T797" s="604"/>
      <c r="U797" s="604"/>
      <c r="V797" s="604"/>
      <c r="W797" s="604"/>
      <c r="X797" s="604"/>
      <c r="Y797" s="604"/>
      <c r="Z797" s="604"/>
    </row>
    <row r="798" spans="1:26" ht="18.75" hidden="1">
      <c r="A798" s="599"/>
      <c r="B798" s="607"/>
      <c r="C798" s="759"/>
      <c r="D798" s="759"/>
      <c r="E798" s="759" t="s">
        <v>19</v>
      </c>
      <c r="F798" s="759"/>
      <c r="G798" s="603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4"/>
      <c r="R798" s="604"/>
      <c r="S798" s="604"/>
      <c r="T798" s="604"/>
      <c r="U798" s="604"/>
      <c r="V798" s="604"/>
      <c r="W798" s="604"/>
      <c r="X798" s="604"/>
      <c r="Y798" s="604"/>
      <c r="Z798" s="604"/>
    </row>
    <row r="799" spans="1:26" ht="19.5" hidden="1">
      <c r="A799" s="608"/>
      <c r="B799" s="618"/>
      <c r="C799" s="763" t="s">
        <v>16</v>
      </c>
      <c r="D799" s="898" t="s">
        <v>38</v>
      </c>
      <c r="E799" s="761"/>
      <c r="F799" s="761"/>
      <c r="G799" s="613"/>
      <c r="H799" s="904"/>
      <c r="I799" s="184"/>
      <c r="J799" s="184"/>
      <c r="K799" s="163"/>
      <c r="L799" s="163"/>
      <c r="M799" s="163"/>
      <c r="N799" s="163"/>
      <c r="O799" s="163"/>
      <c r="P799" s="163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</row>
    <row r="800" spans="1:26" ht="18.75" hidden="1">
      <c r="A800" s="608"/>
      <c r="B800" s="618"/>
      <c r="C800" s="618"/>
      <c r="D800" s="618"/>
      <c r="E800" s="626"/>
      <c r="F800" s="626" t="s">
        <v>321</v>
      </c>
      <c r="G800" s="762"/>
      <c r="H800" s="185" t="s">
        <v>46</v>
      </c>
      <c r="I800" s="184">
        <f ca="1">IFERROR(__xludf.DUMMYFUNCTION("IMPORTRANGE(""https://docs.google.com/spreadsheets/d/1QqKyyYR6Q21VydFLVH3TRQUabQu_ym0Zz7PgGX0-kHA/edit?usp=sharing"",""แผน!JN41"")"),0)</f>
        <v>0</v>
      </c>
      <c r="J800" s="184">
        <f ca="1">IFERROR(__xludf.DUMMYFUNCTION("IMPORTRANGE(""https://docs.google.com/spreadsheets/d/1MaWodYyGHDf7siQLGxnXhG4mBNTNIuy296niS2xXulU/edit?usp=sharing"",""RTK!H41"")"),0)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</row>
    <row r="801" spans="1:26" ht="18.75" hidden="1">
      <c r="A801" s="608"/>
      <c r="B801" s="618"/>
      <c r="C801" s="618"/>
      <c r="D801" s="618"/>
      <c r="E801" s="626"/>
      <c r="F801" s="626"/>
      <c r="G801" s="762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IFERROR(__xludf.DUMMYFUNCTION("IMPORTRANGE(""https://docs.google.com/spreadsheets/d/1MaWodYyGHDf7siQLGxnXhG4mBNTNIuy296niS2xXulU/edit?usp=sharing"",""RTK!I41"")"),0)</f>
        <v>0</v>
      </c>
      <c r="K801" s="498"/>
      <c r="L801" s="498"/>
      <c r="M801" s="498"/>
      <c r="N801" s="498"/>
      <c r="O801" s="163"/>
      <c r="P801" s="163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</row>
    <row r="802" spans="1:26" ht="18.75" hidden="1">
      <c r="A802" s="614"/>
      <c r="B802" s="616"/>
      <c r="C802" s="616"/>
      <c r="D802" s="616"/>
      <c r="E802" s="720"/>
      <c r="F802" s="720" t="s">
        <v>322</v>
      </c>
      <c r="G802" s="366"/>
      <c r="H802" s="653" t="s">
        <v>46</v>
      </c>
      <c r="I802" s="166"/>
      <c r="J802" s="617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4"/>
      <c r="R802" s="604"/>
      <c r="S802" s="604"/>
      <c r="T802" s="604"/>
      <c r="U802" s="604"/>
      <c r="V802" s="604"/>
      <c r="W802" s="604"/>
      <c r="X802" s="604"/>
      <c r="Y802" s="604"/>
      <c r="Z802" s="604"/>
    </row>
    <row r="803" spans="1:26" ht="18.75" hidden="1">
      <c r="A803" s="614"/>
      <c r="B803" s="616"/>
      <c r="C803" s="616"/>
      <c r="D803" s="616"/>
      <c r="E803" s="720"/>
      <c r="F803" s="720"/>
      <c r="G803" s="366"/>
      <c r="H803" s="653" t="s">
        <v>34</v>
      </c>
      <c r="I803" s="166"/>
      <c r="J803" s="617">
        <v>0</v>
      </c>
      <c r="K803" s="167"/>
      <c r="L803" s="167"/>
      <c r="M803" s="167"/>
      <c r="N803" s="167"/>
      <c r="O803" s="167"/>
      <c r="P803" s="167"/>
      <c r="Q803" s="604"/>
      <c r="R803" s="604"/>
      <c r="S803" s="604"/>
      <c r="T803" s="604"/>
      <c r="U803" s="604"/>
      <c r="V803" s="604"/>
      <c r="W803" s="604"/>
      <c r="X803" s="604"/>
      <c r="Y803" s="604"/>
      <c r="Z803" s="604"/>
    </row>
    <row r="804" spans="1:26" ht="19.5" hidden="1">
      <c r="A804" s="793">
        <v>13</v>
      </c>
      <c r="B804" s="794" t="s">
        <v>323</v>
      </c>
      <c r="C804" s="795"/>
      <c r="D804" s="825"/>
      <c r="E804" s="795"/>
      <c r="F804" s="795"/>
      <c r="G804" s="796"/>
      <c r="H804" s="797" t="s">
        <v>46</v>
      </c>
      <c r="I804" s="798"/>
      <c r="J804" s="798">
        <f>J819</f>
        <v>0</v>
      </c>
      <c r="K804" s="799">
        <f>IF(I804&gt;0,J804*100/I804,0)</f>
        <v>0</v>
      </c>
      <c r="L804" s="800"/>
      <c r="M804" s="800"/>
      <c r="N804" s="800"/>
      <c r="O804" s="800"/>
      <c r="P804" s="800"/>
      <c r="Q804" s="604"/>
      <c r="R804" s="604"/>
      <c r="S804" s="604"/>
      <c r="T804" s="604"/>
      <c r="U804" s="604"/>
      <c r="V804" s="604"/>
      <c r="W804" s="604"/>
      <c r="X804" s="604"/>
      <c r="Y804" s="604"/>
      <c r="Z804" s="604"/>
    </row>
    <row r="805" spans="1:26" ht="19.5" hidden="1">
      <c r="A805" s="599"/>
      <c r="B805" s="759"/>
      <c r="C805" s="759" t="s">
        <v>16</v>
      </c>
      <c r="D805" s="864" t="s">
        <v>17</v>
      </c>
      <c r="E805" s="857"/>
      <c r="F805" s="857"/>
      <c r="G805" s="603"/>
      <c r="H805" s="646" t="s">
        <v>12</v>
      </c>
      <c r="I805" s="617"/>
      <c r="J805" s="617"/>
      <c r="K805" s="93"/>
      <c r="L805" s="647">
        <f t="shared" ref="L805:N805" si="327">L806+L807</f>
        <v>0</v>
      </c>
      <c r="M805" s="647">
        <f t="shared" si="327"/>
        <v>0</v>
      </c>
      <c r="N805" s="647">
        <f t="shared" si="327"/>
        <v>0</v>
      </c>
      <c r="O805" s="647">
        <f t="shared" ref="O805:O810" si="328">IF(L805&gt;0,N805*100/L805,0)</f>
        <v>0</v>
      </c>
      <c r="P805" s="647">
        <f t="shared" ref="P805:P810" si="329">IF(M805&gt;0,N805*100/M805,0)</f>
        <v>0</v>
      </c>
      <c r="Q805" s="604"/>
      <c r="R805" s="604"/>
      <c r="S805" s="604"/>
      <c r="T805" s="604"/>
      <c r="U805" s="604"/>
      <c r="V805" s="604"/>
      <c r="W805" s="604"/>
      <c r="X805" s="604"/>
      <c r="Y805" s="604"/>
      <c r="Z805" s="604"/>
    </row>
    <row r="806" spans="1:26" ht="18.75" hidden="1">
      <c r="A806" s="599"/>
      <c r="B806" s="759"/>
      <c r="C806" s="759"/>
      <c r="D806" s="616"/>
      <c r="E806" s="759" t="s">
        <v>185</v>
      </c>
      <c r="F806" s="759"/>
      <c r="G806" s="603"/>
      <c r="H806" s="165" t="s">
        <v>12</v>
      </c>
      <c r="I806" s="617"/>
      <c r="J806" s="617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4"/>
      <c r="R806" s="604"/>
      <c r="S806" s="604"/>
      <c r="T806" s="604"/>
      <c r="U806" s="604"/>
      <c r="V806" s="604"/>
      <c r="W806" s="604"/>
      <c r="X806" s="604"/>
      <c r="Y806" s="604"/>
      <c r="Z806" s="604"/>
    </row>
    <row r="807" spans="1:26" ht="18.75" hidden="1">
      <c r="A807" s="599"/>
      <c r="B807" s="759"/>
      <c r="C807" s="759"/>
      <c r="D807" s="616"/>
      <c r="E807" s="759" t="s">
        <v>186</v>
      </c>
      <c r="F807" s="759"/>
      <c r="G807" s="603"/>
      <c r="H807" s="165" t="s">
        <v>12</v>
      </c>
      <c r="I807" s="617"/>
      <c r="J807" s="617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4"/>
      <c r="R807" s="604"/>
      <c r="S807" s="604"/>
      <c r="T807" s="604"/>
      <c r="U807" s="604"/>
      <c r="V807" s="604"/>
      <c r="W807" s="604"/>
      <c r="X807" s="604"/>
      <c r="Y807" s="604"/>
      <c r="Z807" s="604"/>
    </row>
    <row r="808" spans="1:26" ht="19.5" hidden="1">
      <c r="A808" s="599"/>
      <c r="B808" s="607"/>
      <c r="C808" s="759"/>
      <c r="D808" s="905" t="s">
        <v>20</v>
      </c>
      <c r="E808" s="857"/>
      <c r="F808" s="857"/>
      <c r="G808" s="603"/>
      <c r="H808" s="646" t="s">
        <v>12</v>
      </c>
      <c r="I808" s="166"/>
      <c r="J808" s="166"/>
      <c r="K808" s="167"/>
      <c r="L808" s="647">
        <f t="shared" ref="L808:N808" si="331">L809+L810</f>
        <v>0</v>
      </c>
      <c r="M808" s="647">
        <f t="shared" si="331"/>
        <v>0</v>
      </c>
      <c r="N808" s="647">
        <f t="shared" si="331"/>
        <v>0</v>
      </c>
      <c r="O808" s="647">
        <f t="shared" si="328"/>
        <v>0</v>
      </c>
      <c r="P808" s="647">
        <f t="shared" si="329"/>
        <v>0</v>
      </c>
      <c r="Q808" s="604"/>
      <c r="R808" s="604"/>
      <c r="S808" s="604"/>
      <c r="T808" s="604"/>
      <c r="U808" s="604"/>
      <c r="V808" s="604"/>
      <c r="W808" s="604"/>
      <c r="X808" s="604"/>
      <c r="Y808" s="604"/>
      <c r="Z808" s="604"/>
    </row>
    <row r="809" spans="1:26" ht="18.75" hidden="1">
      <c r="A809" s="599"/>
      <c r="B809" s="759"/>
      <c r="C809" s="759"/>
      <c r="D809" s="616"/>
      <c r="E809" s="759" t="s">
        <v>185</v>
      </c>
      <c r="F809" s="759"/>
      <c r="G809" s="603"/>
      <c r="H809" s="165" t="s">
        <v>12</v>
      </c>
      <c r="I809" s="617"/>
      <c r="J809" s="617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4"/>
      <c r="R809" s="604"/>
      <c r="S809" s="604"/>
      <c r="T809" s="604"/>
      <c r="U809" s="604"/>
      <c r="V809" s="604"/>
      <c r="W809" s="604"/>
      <c r="X809" s="604"/>
      <c r="Y809" s="604"/>
      <c r="Z809" s="604"/>
    </row>
    <row r="810" spans="1:26" ht="18.75" hidden="1">
      <c r="A810" s="599"/>
      <c r="B810" s="759"/>
      <c r="C810" s="759"/>
      <c r="D810" s="616"/>
      <c r="E810" s="759" t="s">
        <v>186</v>
      </c>
      <c r="F810" s="759"/>
      <c r="G810" s="603"/>
      <c r="H810" s="165" t="s">
        <v>12</v>
      </c>
      <c r="I810" s="617"/>
      <c r="J810" s="617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4"/>
      <c r="R810" s="604"/>
      <c r="S810" s="604"/>
      <c r="T810" s="604"/>
      <c r="U810" s="604"/>
      <c r="V810" s="604"/>
      <c r="W810" s="604"/>
      <c r="X810" s="604"/>
      <c r="Y810" s="604"/>
      <c r="Z810" s="604"/>
    </row>
    <row r="811" spans="1:26" ht="18.75" hidden="1">
      <c r="A811" s="649"/>
      <c r="B811" s="607"/>
      <c r="C811" s="759"/>
      <c r="D811" s="607"/>
      <c r="E811" s="759"/>
      <c r="F811" s="759" t="s">
        <v>187</v>
      </c>
      <c r="G811" s="603"/>
      <c r="H811" s="165" t="s">
        <v>12</v>
      </c>
      <c r="I811" s="617"/>
      <c r="J811" s="617"/>
      <c r="K811" s="93"/>
      <c r="L811" s="93"/>
      <c r="M811" s="93"/>
      <c r="N811" s="93"/>
      <c r="O811" s="93"/>
      <c r="P811" s="93"/>
      <c r="Q811" s="604"/>
      <c r="R811" s="604"/>
      <c r="S811" s="604"/>
      <c r="T811" s="604"/>
      <c r="U811" s="604"/>
      <c r="V811" s="604"/>
      <c r="W811" s="604"/>
      <c r="X811" s="604"/>
      <c r="Y811" s="604"/>
      <c r="Z811" s="604"/>
    </row>
    <row r="812" spans="1:26" ht="18.75" hidden="1">
      <c r="A812" s="649"/>
      <c r="B812" s="607"/>
      <c r="C812" s="759"/>
      <c r="D812" s="607"/>
      <c r="E812" s="759"/>
      <c r="F812" s="759" t="s">
        <v>188</v>
      </c>
      <c r="G812" s="603"/>
      <c r="H812" s="165" t="s">
        <v>12</v>
      </c>
      <c r="I812" s="617"/>
      <c r="J812" s="617"/>
      <c r="K812" s="93"/>
      <c r="L812" s="93"/>
      <c r="M812" s="93"/>
      <c r="N812" s="93"/>
      <c r="O812" s="93"/>
      <c r="P812" s="93"/>
      <c r="Q812" s="604"/>
      <c r="R812" s="604"/>
      <c r="S812" s="604"/>
      <c r="T812" s="604"/>
      <c r="U812" s="604"/>
      <c r="V812" s="604"/>
      <c r="W812" s="604"/>
      <c r="X812" s="604"/>
      <c r="Y812" s="604"/>
      <c r="Z812" s="604"/>
    </row>
    <row r="813" spans="1:26" ht="18.75" hidden="1">
      <c r="A813" s="649"/>
      <c r="B813" s="607"/>
      <c r="C813" s="759"/>
      <c r="D813" s="607"/>
      <c r="E813" s="759"/>
      <c r="F813" s="759" t="s">
        <v>189</v>
      </c>
      <c r="G813" s="603"/>
      <c r="H813" s="165" t="s">
        <v>12</v>
      </c>
      <c r="I813" s="617"/>
      <c r="J813" s="617"/>
      <c r="K813" s="93"/>
      <c r="L813" s="93"/>
      <c r="M813" s="93"/>
      <c r="N813" s="93"/>
      <c r="O813" s="93"/>
      <c r="P813" s="93"/>
      <c r="Q813" s="604"/>
      <c r="R813" s="604"/>
      <c r="S813" s="604"/>
      <c r="T813" s="604"/>
      <c r="U813" s="604"/>
      <c r="V813" s="604"/>
      <c r="W813" s="604"/>
      <c r="X813" s="604"/>
      <c r="Y813" s="604"/>
      <c r="Z813" s="604"/>
    </row>
    <row r="814" spans="1:26" ht="18.75" hidden="1">
      <c r="A814" s="649"/>
      <c r="B814" s="607"/>
      <c r="C814" s="759"/>
      <c r="D814" s="607"/>
      <c r="E814" s="759"/>
      <c r="F814" s="759" t="s">
        <v>190</v>
      </c>
      <c r="G814" s="603"/>
      <c r="H814" s="165" t="s">
        <v>12</v>
      </c>
      <c r="I814" s="617"/>
      <c r="J814" s="617"/>
      <c r="K814" s="93"/>
      <c r="L814" s="93"/>
      <c r="M814" s="93"/>
      <c r="N814" s="93"/>
      <c r="O814" s="93"/>
      <c r="P814" s="93"/>
      <c r="Q814" s="604"/>
      <c r="R814" s="604"/>
      <c r="S814" s="604"/>
      <c r="T814" s="604"/>
      <c r="U814" s="604"/>
      <c r="V814" s="604"/>
      <c r="W814" s="604"/>
      <c r="X814" s="604"/>
      <c r="Y814" s="604"/>
      <c r="Z814" s="604"/>
    </row>
    <row r="815" spans="1:26" ht="19.5" hidden="1">
      <c r="A815" s="599"/>
      <c r="B815" s="607"/>
      <c r="C815" s="759"/>
      <c r="D815" s="905" t="s">
        <v>21</v>
      </c>
      <c r="E815" s="857"/>
      <c r="F815" s="857"/>
      <c r="G815" s="603"/>
      <c r="H815" s="783" t="s">
        <v>12</v>
      </c>
      <c r="I815" s="166"/>
      <c r="J815" s="166"/>
      <c r="K815" s="167"/>
      <c r="L815" s="647">
        <f t="shared" ref="L815:N815" si="332">L816+L817</f>
        <v>0</v>
      </c>
      <c r="M815" s="647">
        <f t="shared" si="332"/>
        <v>0</v>
      </c>
      <c r="N815" s="647">
        <f t="shared" si="332"/>
        <v>0</v>
      </c>
      <c r="O815" s="647">
        <f t="shared" ref="O815:O817" si="333">IF(L815&gt;0,N815*100/L815,0)</f>
        <v>0</v>
      </c>
      <c r="P815" s="647">
        <f t="shared" ref="P815:P817" si="334">IF(M815&gt;0,N815*100/M815,0)</f>
        <v>0</v>
      </c>
      <c r="Q815" s="604"/>
      <c r="R815" s="604"/>
      <c r="S815" s="604"/>
      <c r="T815" s="604"/>
      <c r="U815" s="604"/>
      <c r="V815" s="604"/>
      <c r="W815" s="604"/>
      <c r="X815" s="604"/>
      <c r="Y815" s="604"/>
      <c r="Z815" s="604"/>
    </row>
    <row r="816" spans="1:26" ht="18.75" hidden="1">
      <c r="A816" s="599"/>
      <c r="B816" s="607"/>
      <c r="C816" s="759"/>
      <c r="D816" s="607"/>
      <c r="E816" s="759" t="s">
        <v>18</v>
      </c>
      <c r="F816" s="759"/>
      <c r="G816" s="603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4"/>
      <c r="R816" s="604"/>
      <c r="S816" s="604"/>
      <c r="T816" s="604"/>
      <c r="U816" s="604"/>
      <c r="V816" s="604"/>
      <c r="W816" s="604"/>
      <c r="X816" s="604"/>
      <c r="Y816" s="604"/>
      <c r="Z816" s="604"/>
    </row>
    <row r="817" spans="1:26" ht="18.75" hidden="1">
      <c r="A817" s="599"/>
      <c r="B817" s="607"/>
      <c r="C817" s="759"/>
      <c r="D817" s="607"/>
      <c r="E817" s="759" t="s">
        <v>19</v>
      </c>
      <c r="F817" s="759"/>
      <c r="G817" s="603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4"/>
      <c r="R817" s="604"/>
      <c r="S817" s="604"/>
      <c r="T817" s="604"/>
      <c r="U817" s="604"/>
      <c r="V817" s="604"/>
      <c r="W817" s="604"/>
      <c r="X817" s="604"/>
      <c r="Y817" s="604"/>
      <c r="Z817" s="604"/>
    </row>
    <row r="818" spans="1:26" ht="19.5" hidden="1">
      <c r="A818" s="614"/>
      <c r="B818" s="616"/>
      <c r="C818" s="759" t="s">
        <v>16</v>
      </c>
      <c r="D818" s="906" t="s">
        <v>38</v>
      </c>
      <c r="E818" s="651"/>
      <c r="F818" s="651"/>
      <c r="G818" s="652"/>
      <c r="H818" s="366"/>
      <c r="I818" s="166"/>
      <c r="J818" s="166"/>
      <c r="K818" s="167"/>
      <c r="L818" s="167"/>
      <c r="M818" s="167"/>
      <c r="N818" s="167"/>
      <c r="O818" s="167"/>
      <c r="P818" s="167"/>
      <c r="Q818" s="604"/>
      <c r="R818" s="604"/>
      <c r="S818" s="604"/>
      <c r="T818" s="604"/>
      <c r="U818" s="604"/>
      <c r="V818" s="604"/>
      <c r="W818" s="604"/>
      <c r="X818" s="604"/>
      <c r="Y818" s="604"/>
      <c r="Z818" s="604"/>
    </row>
    <row r="819" spans="1:26" ht="19.5" hidden="1" thickBot="1">
      <c r="A819" s="827"/>
      <c r="B819" s="828"/>
      <c r="C819" s="830"/>
      <c r="D819" s="828"/>
      <c r="E819" s="830" t="s">
        <v>324</v>
      </c>
      <c r="F819" s="830"/>
      <c r="G819" s="831"/>
      <c r="H819" s="832" t="s">
        <v>46</v>
      </c>
      <c r="I819" s="833"/>
      <c r="J819" s="833"/>
      <c r="K819" s="834"/>
      <c r="L819" s="834"/>
      <c r="M819" s="834"/>
      <c r="N819" s="834"/>
      <c r="O819" s="834"/>
      <c r="P819" s="834"/>
      <c r="Q819" s="604"/>
      <c r="R819" s="604"/>
      <c r="S819" s="604"/>
      <c r="T819" s="604"/>
      <c r="U819" s="604"/>
      <c r="V819" s="604"/>
      <c r="W819" s="604"/>
      <c r="X819" s="604"/>
      <c r="Y819" s="604"/>
      <c r="Z819" s="604"/>
    </row>
    <row r="820" spans="1:26" ht="19.5">
      <c r="A820" s="907" t="s">
        <v>337</v>
      </c>
      <c r="B820" s="908"/>
      <c r="C820" s="908"/>
      <c r="D820" s="909"/>
      <c r="E820" s="908"/>
      <c r="F820" s="908"/>
      <c r="G820" s="910"/>
      <c r="H820" s="91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912"/>
      <c r="J820" s="912"/>
      <c r="K820" s="913"/>
      <c r="L820" s="913"/>
      <c r="M820" s="913"/>
      <c r="N820" s="913"/>
      <c r="O820" s="913"/>
      <c r="P820" s="913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</row>
    <row r="821" spans="1:26" ht="18.75">
      <c r="A821" s="744"/>
      <c r="B821" s="763" t="s">
        <v>326</v>
      </c>
      <c r="C821" s="763"/>
      <c r="D821" s="575"/>
      <c r="E821" s="763"/>
      <c r="F821" s="763"/>
      <c r="G821" s="189"/>
      <c r="H821" s="623" t="s">
        <v>12</v>
      </c>
      <c r="I821" s="270">
        <f ca="1">IFERROR(__xludf.DUMMYFUNCTION("IMPORTRANGE(""https://docs.google.com/spreadsheets/d/19vJNZY_5yjcGF2XGBMNZRCAIB0Kwfpjp8YEOfu-bneM/edit?usp=sharing"",""งานกองทุน!D41"")"),7022764.41)</f>
        <v>7022764.4100000001</v>
      </c>
      <c r="J821" s="270">
        <f ca="1">IFERROR(__xludf.DUMMYFUNCTION("IMPORTRANGE(""https://docs.google.com/spreadsheets/d/19vJNZY_5yjcGF2XGBMNZRCAIB0Kwfpjp8YEOfu-bneM/edit?usp=sharing"",""งานกองทุน!F41"")"),5784242.38)</f>
        <v>5784242.3799999999</v>
      </c>
      <c r="K821" s="498">
        <f t="shared" ref="K821:K828" ca="1" si="335">IF(I821&gt;0,J821*100/I821,0)</f>
        <v>82.364180859656656</v>
      </c>
      <c r="L821" s="498"/>
      <c r="M821" s="498"/>
      <c r="N821" s="498"/>
      <c r="O821" s="498"/>
      <c r="P821" s="49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</row>
    <row r="822" spans="1:26" ht="18.75">
      <c r="A822" s="744"/>
      <c r="B822" s="763"/>
      <c r="C822" s="763"/>
      <c r="D822" s="575"/>
      <c r="E822" s="763"/>
      <c r="F822" s="763"/>
      <c r="G822" s="189"/>
      <c r="H822" s="623" t="s">
        <v>35</v>
      </c>
      <c r="I822" s="270">
        <f ca="1">IFERROR(__xludf.DUMMYFUNCTION("IMPORTRANGE(""https://docs.google.com/spreadsheets/d/19vJNZY_5yjcGF2XGBMNZRCAIB0Kwfpjp8YEOfu-bneM/edit?usp=sharing"",""งานกองทุน!C41"")"),650)</f>
        <v>650</v>
      </c>
      <c r="J822" s="270">
        <f ca="1">IFERROR(__xludf.DUMMYFUNCTION("IMPORTRANGE(""https://docs.google.com/spreadsheets/d/19vJNZY_5yjcGF2XGBMNZRCAIB0Kwfpjp8YEOfu-bneM/edit?usp=sharing"",""งานกองทุน!E41"")"),539)</f>
        <v>539</v>
      </c>
      <c r="K822" s="498">
        <f t="shared" ca="1" si="335"/>
        <v>82.92307692307692</v>
      </c>
      <c r="L822" s="498"/>
      <c r="M822" s="498"/>
      <c r="N822" s="498"/>
      <c r="O822" s="498"/>
      <c r="P822" s="49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</row>
    <row r="823" spans="1:26" ht="18.75">
      <c r="A823" s="744"/>
      <c r="B823" s="763" t="s">
        <v>327</v>
      </c>
      <c r="C823" s="763"/>
      <c r="D823" s="575"/>
      <c r="E823" s="763"/>
      <c r="F823" s="763"/>
      <c r="G823" s="189"/>
      <c r="H823" s="623" t="s">
        <v>12</v>
      </c>
      <c r="I823" s="270">
        <f ca="1">IFERROR(__xludf.DUMMYFUNCTION("IMPORTRANGE(""https://docs.google.com/spreadsheets/d/19vJNZY_5yjcGF2XGBMNZRCAIB0Kwfpjp8YEOfu-bneM/edit?usp=sharing"",""งานกองทุน!I41"")"),4295208.6)</f>
        <v>4295208.5999999996</v>
      </c>
      <c r="J823" s="270">
        <f ca="1">IFERROR(__xludf.DUMMYFUNCTION("IMPORTRANGE(""https://docs.google.com/spreadsheets/d/19vJNZY_5yjcGF2XGBMNZRCAIB0Kwfpjp8YEOfu-bneM/edit?usp=sharing"",""งานกองทุน!K41"")"),1143160.95)</f>
        <v>1143160.95</v>
      </c>
      <c r="K823" s="498">
        <f t="shared" ca="1" si="335"/>
        <v>26.614794680751945</v>
      </c>
      <c r="L823" s="498"/>
      <c r="M823" s="498"/>
      <c r="N823" s="498"/>
      <c r="O823" s="498"/>
      <c r="P823" s="49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</row>
    <row r="824" spans="1:26" ht="18.75">
      <c r="A824" s="744"/>
      <c r="B824" s="763"/>
      <c r="C824" s="763"/>
      <c r="D824" s="575"/>
      <c r="E824" s="763"/>
      <c r="F824" s="763"/>
      <c r="G824" s="189"/>
      <c r="H824" s="623" t="s">
        <v>35</v>
      </c>
      <c r="I824" s="270">
        <f ca="1">IFERROR(__xludf.DUMMYFUNCTION("IMPORTRANGE(""https://docs.google.com/spreadsheets/d/19vJNZY_5yjcGF2XGBMNZRCAIB0Kwfpjp8YEOfu-bneM/edit?usp=sharing"",""งานกองทุน!H41"")"),251)</f>
        <v>251</v>
      </c>
      <c r="J824" s="270">
        <f ca="1">IFERROR(__xludf.DUMMYFUNCTION("IMPORTRANGE(""https://docs.google.com/spreadsheets/d/19vJNZY_5yjcGF2XGBMNZRCAIB0Kwfpjp8YEOfu-bneM/edit?usp=sharing"",""งานกองทุน!J41"")"),139)</f>
        <v>139</v>
      </c>
      <c r="K824" s="498">
        <f t="shared" ca="1" si="335"/>
        <v>55.378486055776889</v>
      </c>
      <c r="L824" s="498"/>
      <c r="M824" s="498"/>
      <c r="N824" s="498"/>
      <c r="O824" s="498"/>
      <c r="P824" s="49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</row>
    <row r="825" spans="1:26" ht="18.75">
      <c r="A825" s="744"/>
      <c r="B825" s="763" t="s">
        <v>328</v>
      </c>
      <c r="C825" s="763"/>
      <c r="D825" s="575"/>
      <c r="E825" s="763"/>
      <c r="F825" s="763"/>
      <c r="G825" s="189"/>
      <c r="H825" s="623" t="s">
        <v>12</v>
      </c>
      <c r="I825" s="270">
        <f ca="1">IFERROR(__xludf.DUMMYFUNCTION("IMPORTRANGE(""https://docs.google.com/spreadsheets/d/19vJNZY_5yjcGF2XGBMNZRCAIB0Kwfpjp8YEOfu-bneM/edit?usp=sharing"",""งานกองทุน!N41"")"),0)</f>
        <v>0</v>
      </c>
      <c r="J825" s="270">
        <f ca="1">IFERROR(__xludf.DUMMYFUNCTION("IMPORTRANGE(""https://docs.google.com/spreadsheets/d/19vJNZY_5yjcGF2XGBMNZRCAIB0Kwfpjp8YEOfu-bneM/edit?usp=sharing"",""งานกองทุน!P41"")"),0)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</row>
    <row r="826" spans="1:26" ht="18.75">
      <c r="A826" s="744"/>
      <c r="B826" s="763"/>
      <c r="C826" s="763"/>
      <c r="D826" s="575"/>
      <c r="E826" s="763"/>
      <c r="F826" s="763"/>
      <c r="G826" s="189"/>
      <c r="H826" s="623" t="s">
        <v>35</v>
      </c>
      <c r="I826" s="270">
        <f ca="1">IFERROR(__xludf.DUMMYFUNCTION("IMPORTRANGE(""https://docs.google.com/spreadsheets/d/19vJNZY_5yjcGF2XGBMNZRCAIB0Kwfpjp8YEOfu-bneM/edit?usp=sharing"",""งานกองทุน!M41"")"),0)</f>
        <v>0</v>
      </c>
      <c r="J826" s="270">
        <f ca="1">IFERROR(__xludf.DUMMYFUNCTION("IMPORTRANGE(""https://docs.google.com/spreadsheets/d/19vJNZY_5yjcGF2XGBMNZRCAIB0Kwfpjp8YEOfu-bneM/edit?usp=sharing"",""งานกองทุน!O41"")"),0)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</row>
    <row r="827" spans="1:26" ht="18.75">
      <c r="A827" s="744"/>
      <c r="B827" s="763" t="s">
        <v>329</v>
      </c>
      <c r="C827" s="763"/>
      <c r="D827" s="575"/>
      <c r="E827" s="763"/>
      <c r="F827" s="763"/>
      <c r="G827" s="189"/>
      <c r="H827" s="623" t="s">
        <v>12</v>
      </c>
      <c r="I827" s="270">
        <f ca="1">IFERROR(__xludf.DUMMYFUNCTION("IMPORTRANGE(""https://docs.google.com/spreadsheets/d/19vJNZY_5yjcGF2XGBMNZRCAIB0Kwfpjp8YEOfu-bneM/edit?usp=sharing"",""งานกองทุน!S41"")"),8000000)</f>
        <v>8000000</v>
      </c>
      <c r="J827" s="270">
        <f ca="1">IFERROR(__xludf.DUMMYFUNCTION("IMPORTRANGE(""https://docs.google.com/spreadsheets/d/19vJNZY_5yjcGF2XGBMNZRCAIB0Kwfpjp8YEOfu-bneM/edit?usp=sharing"",""งานกองทุน!U41"")"),8665000)</f>
        <v>8665000</v>
      </c>
      <c r="K827" s="498">
        <f t="shared" ca="1" si="335"/>
        <v>108.3125</v>
      </c>
      <c r="L827" s="498"/>
      <c r="M827" s="498"/>
      <c r="N827" s="498"/>
      <c r="O827" s="498"/>
      <c r="P827" s="49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</row>
    <row r="828" spans="1:26" ht="18.75">
      <c r="A828" s="841"/>
      <c r="B828" s="749"/>
      <c r="C828" s="749"/>
      <c r="D828" s="748"/>
      <c r="E828" s="749"/>
      <c r="F828" s="749"/>
      <c r="G828" s="842"/>
      <c r="H828" s="843" t="s">
        <v>35</v>
      </c>
      <c r="I828" s="506">
        <f ca="1">IFERROR(__xludf.DUMMYFUNCTION("IMPORTRANGE(""https://docs.google.com/spreadsheets/d/19vJNZY_5yjcGF2XGBMNZRCAIB0Kwfpjp8YEOfu-bneM/edit?usp=sharing"",""งานกองทุน!R41"")"),258)</f>
        <v>258</v>
      </c>
      <c r="J828" s="506">
        <f ca="1">IFERROR(__xludf.DUMMYFUNCTION("IMPORTRANGE(""https://docs.google.com/spreadsheets/d/19vJNZY_5yjcGF2XGBMNZRCAIB0Kwfpjp8YEOfu-bneM/edit?usp=sharing"",""งานกองทุน!T41"")"),264)</f>
        <v>264</v>
      </c>
      <c r="K828" s="507">
        <f t="shared" ca="1" si="335"/>
        <v>102.32558139534883</v>
      </c>
      <c r="L828" s="507"/>
      <c r="M828" s="507"/>
      <c r="N828" s="507"/>
      <c r="O828" s="507"/>
      <c r="P828" s="507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7252E-E7F2-46B4-87B2-D74713A689B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350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364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7552779</v>
      </c>
      <c r="M8" s="22">
        <f t="shared" ca="1" si="0"/>
        <v>8079750.8200000003</v>
      </c>
      <c r="N8" s="22">
        <f t="shared" ca="1" si="0"/>
        <v>8079750.8200000003</v>
      </c>
      <c r="O8" s="22">
        <f t="shared" ref="O8:O16" ca="1" si="1">IF(L8&gt;0,N8*100/L8,0)</f>
        <v>106.97719104451487</v>
      </c>
      <c r="P8" s="22">
        <f t="shared" ref="P8:P16" ca="1" si="2">IF(M8&gt;0,N8*100/M8,0)</f>
        <v>100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7552779</v>
      </c>
      <c r="M10" s="30">
        <f t="shared" ca="1" si="3"/>
        <v>8079750.8200000003</v>
      </c>
      <c r="N10" s="30">
        <f t="shared" ca="1" si="3"/>
        <v>8079750.8200000003</v>
      </c>
      <c r="O10" s="30">
        <f t="shared" ca="1" si="1"/>
        <v>106.97719104451487</v>
      </c>
      <c r="P10" s="30">
        <f t="shared" ca="1" si="2"/>
        <v>100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3" t="s">
        <v>12</v>
      </c>
      <c r="I11" s="270"/>
      <c r="J11" s="270"/>
      <c r="K11" s="498"/>
      <c r="L11" s="498">
        <f t="shared" ref="L11:N11" ca="1" si="4">L12+L13</f>
        <v>7228079</v>
      </c>
      <c r="M11" s="498">
        <f t="shared" ca="1" si="4"/>
        <v>7755050.8200000003</v>
      </c>
      <c r="N11" s="498">
        <f t="shared" ca="1" si="4"/>
        <v>7755050.8200000003</v>
      </c>
      <c r="O11" s="498">
        <f t="shared" ca="1" si="1"/>
        <v>107.29062064761605</v>
      </c>
      <c r="P11" s="498">
        <f t="shared" ca="1" si="2"/>
        <v>100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7"/>
      <c r="J12" s="617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7"/>
      <c r="J13" s="617"/>
      <c r="K13" s="93"/>
      <c r="L13" s="93">
        <f t="shared" ca="1" si="5"/>
        <v>7228079</v>
      </c>
      <c r="M13" s="93">
        <f t="shared" ca="1" si="5"/>
        <v>7755050.8200000003</v>
      </c>
      <c r="N13" s="93">
        <f t="shared" ca="1" si="5"/>
        <v>7755050.8200000003</v>
      </c>
      <c r="O13" s="93">
        <f t="shared" ca="1" si="1"/>
        <v>107.29062064761605</v>
      </c>
      <c r="P13" s="93">
        <f t="shared" ca="1" si="2"/>
        <v>100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3" t="s">
        <v>12</v>
      </c>
      <c r="I14" s="270"/>
      <c r="J14" s="270"/>
      <c r="K14" s="498"/>
      <c r="L14" s="498">
        <f t="shared" ref="L14:N14" ca="1" si="6">L15+L16</f>
        <v>324700</v>
      </c>
      <c r="M14" s="498">
        <f t="shared" ca="1" si="6"/>
        <v>324700</v>
      </c>
      <c r="N14" s="498">
        <f t="shared" ca="1" si="6"/>
        <v>324700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7"/>
      <c r="J15" s="617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324700</v>
      </c>
      <c r="M16" s="52">
        <f t="shared" ca="1" si="7"/>
        <v>324700</v>
      </c>
      <c r="N16" s="52">
        <f t="shared" ca="1" si="7"/>
        <v>324700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5055232</v>
      </c>
      <c r="M18" s="22">
        <f t="shared" ca="1" si="8"/>
        <v>5471596</v>
      </c>
      <c r="N18" s="22">
        <f t="shared" ca="1" si="8"/>
        <v>5471596</v>
      </c>
      <c r="O18" s="22">
        <f t="shared" ref="O18:O26" ca="1" si="9">IF(L18&gt;0,N18*100/L18,0)</f>
        <v>108.23629855167873</v>
      </c>
      <c r="P18" s="22">
        <f t="shared" ref="P18:P26" ca="1" si="10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5055232</v>
      </c>
      <c r="M20" s="30">
        <f t="shared" ca="1" si="11"/>
        <v>5471596</v>
      </c>
      <c r="N20" s="30">
        <f t="shared" ca="1" si="11"/>
        <v>5471596</v>
      </c>
      <c r="O20" s="30">
        <f t="shared" ca="1" si="9"/>
        <v>108.23629855167873</v>
      </c>
      <c r="P20" s="30">
        <f t="shared" ca="1" si="10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3" t="s">
        <v>12</v>
      </c>
      <c r="I21" s="270"/>
      <c r="J21" s="270"/>
      <c r="K21" s="498"/>
      <c r="L21" s="498">
        <f t="shared" ref="L21:N21" ca="1" si="12">L22+L23</f>
        <v>4730532</v>
      </c>
      <c r="M21" s="498">
        <f t="shared" ca="1" si="12"/>
        <v>5146896</v>
      </c>
      <c r="N21" s="498">
        <f t="shared" ca="1" si="12"/>
        <v>5146896</v>
      </c>
      <c r="O21" s="498">
        <f t="shared" ca="1" si="9"/>
        <v>108.80163161352677</v>
      </c>
      <c r="P21" s="498">
        <f t="shared" ca="1" si="10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7"/>
      <c r="J22" s="617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7"/>
      <c r="J23" s="617"/>
      <c r="K23" s="93"/>
      <c r="L23" s="93">
        <f t="shared" ca="1" si="13"/>
        <v>4730532</v>
      </c>
      <c r="M23" s="93">
        <f t="shared" ca="1" si="13"/>
        <v>5146896</v>
      </c>
      <c r="N23" s="93">
        <f t="shared" ca="1" si="13"/>
        <v>5146896</v>
      </c>
      <c r="O23" s="93">
        <f t="shared" ca="1" si="9"/>
        <v>108.80163161352677</v>
      </c>
      <c r="P23" s="93">
        <f t="shared" ca="1" si="10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3" t="s">
        <v>12</v>
      </c>
      <c r="I24" s="270"/>
      <c r="J24" s="270"/>
      <c r="K24" s="498"/>
      <c r="L24" s="498">
        <f t="shared" ref="L24:N24" ca="1" si="14">L25+L26</f>
        <v>324700</v>
      </c>
      <c r="M24" s="498">
        <f t="shared" ca="1" si="14"/>
        <v>324700</v>
      </c>
      <c r="N24" s="498">
        <f t="shared" ca="1" si="14"/>
        <v>324700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7"/>
      <c r="J25" s="617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324700</v>
      </c>
      <c r="M26" s="52">
        <f t="shared" ca="1" si="15"/>
        <v>324700</v>
      </c>
      <c r="N26" s="52">
        <f t="shared" ca="1" si="15"/>
        <v>324700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2497547</v>
      </c>
      <c r="M28" s="22">
        <f t="shared" ca="1" si="16"/>
        <v>2608154.8199999998</v>
      </c>
      <c r="N28" s="22">
        <f t="shared" si="16"/>
        <v>2608154.8199999998</v>
      </c>
      <c r="O28" s="22">
        <f t="shared" ref="O28:O37" ca="1" si="17">IF(L28&gt;0,N28*100/L28,0)</f>
        <v>104.42865819942526</v>
      </c>
      <c r="P28" s="22">
        <f t="shared" ref="P28:P37" ca="1" si="18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2497547</v>
      </c>
      <c r="M30" s="30">
        <f t="shared" ca="1" si="19"/>
        <v>2608154.8199999998</v>
      </c>
      <c r="N30" s="30">
        <f t="shared" si="19"/>
        <v>2608154.8199999998</v>
      </c>
      <c r="O30" s="30">
        <f t="shared" ca="1" si="17"/>
        <v>104.42865819942526</v>
      </c>
      <c r="P30" s="30">
        <f t="shared" ca="1" si="18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3" t="s">
        <v>12</v>
      </c>
      <c r="I31" s="270"/>
      <c r="J31" s="270"/>
      <c r="K31" s="498"/>
      <c r="L31" s="498">
        <f t="shared" ref="L31:N31" ca="1" si="20">L32+L33</f>
        <v>2497547</v>
      </c>
      <c r="M31" s="498">
        <f t="shared" ca="1" si="20"/>
        <v>2608154.8199999998</v>
      </c>
      <c r="N31" s="498">
        <f t="shared" si="20"/>
        <v>2608154.8199999998</v>
      </c>
      <c r="O31" s="498">
        <f t="shared" ca="1" si="17"/>
        <v>104.42865819942526</v>
      </c>
      <c r="P31" s="498">
        <f t="shared" ca="1" si="18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7"/>
      <c r="J32" s="617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7"/>
      <c r="J33" s="617"/>
      <c r="K33" s="93"/>
      <c r="L33" s="93">
        <f t="shared" ca="1" si="21"/>
        <v>2497547</v>
      </c>
      <c r="M33" s="93">
        <f t="shared" ca="1" si="21"/>
        <v>2608154.8199999998</v>
      </c>
      <c r="N33" s="93">
        <f t="shared" si="21"/>
        <v>2608154.8199999998</v>
      </c>
      <c r="O33" s="93">
        <f t="shared" ca="1" si="17"/>
        <v>104.42865819942526</v>
      </c>
      <c r="P33" s="93">
        <f t="shared" ca="1" si="18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3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7"/>
      <c r="J35" s="617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7" t="s">
        <v>24</v>
      </c>
      <c r="B37" s="868"/>
      <c r="C37" s="868"/>
      <c r="D37" s="868"/>
      <c r="E37" s="868"/>
      <c r="F37" s="868"/>
      <c r="G37" s="869"/>
      <c r="H37" s="870"/>
      <c r="I37" s="871"/>
      <c r="J37" s="871"/>
      <c r="K37" s="872"/>
      <c r="L37" s="873">
        <f t="shared" ref="L37:N37" ca="1" si="24">L41+L53+L66+L88+L119+L132+L149+L165+L181+L261+L277+L298+L315+L328+L345+L389+L402</f>
        <v>5055232</v>
      </c>
      <c r="M37" s="873">
        <f t="shared" ca="1" si="24"/>
        <v>5471596</v>
      </c>
      <c r="N37" s="873">
        <f t="shared" ca="1" si="24"/>
        <v>5471596</v>
      </c>
      <c r="O37" s="873">
        <f t="shared" ca="1" si="17"/>
        <v>108.23629855167873</v>
      </c>
      <c r="P37" s="873">
        <f t="shared" ca="1" si="18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930492</v>
      </c>
      <c r="M41" s="85">
        <f t="shared" ca="1" si="25"/>
        <v>1002106</v>
      </c>
      <c r="N41" s="85">
        <f t="shared" ca="1" si="25"/>
        <v>1002106</v>
      </c>
      <c r="O41" s="85">
        <f t="shared" ref="O41:O49" ca="1" si="26">IF(L41&gt;0,N41*100/L41,0)</f>
        <v>107.69635848561836</v>
      </c>
      <c r="P41" s="85">
        <f t="shared" ref="P41:P49" ca="1" si="27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930492</v>
      </c>
      <c r="M43" s="92">
        <f t="shared" ca="1" si="28"/>
        <v>1002106</v>
      </c>
      <c r="N43" s="92">
        <f t="shared" ca="1" si="28"/>
        <v>1002106</v>
      </c>
      <c r="O43" s="92">
        <f t="shared" ca="1" si="26"/>
        <v>107.69635848561836</v>
      </c>
      <c r="P43" s="92">
        <f t="shared" ca="1" si="27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3" t="s">
        <v>12</v>
      </c>
      <c r="I44" s="270"/>
      <c r="J44" s="270"/>
      <c r="K44" s="498"/>
      <c r="L44" s="498">
        <f t="shared" ref="L44:N44" ca="1" si="29">L45+L46</f>
        <v>930492</v>
      </c>
      <c r="M44" s="498">
        <f t="shared" ca="1" si="29"/>
        <v>1002106</v>
      </c>
      <c r="N44" s="498">
        <f t="shared" ca="1" si="29"/>
        <v>1002106</v>
      </c>
      <c r="O44" s="498">
        <f t="shared" ca="1" si="26"/>
        <v>107.69635848561836</v>
      </c>
      <c r="P44" s="498">
        <f t="shared" ca="1" si="27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7"/>
      <c r="J45" s="617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7"/>
      <c r="J46" s="617"/>
      <c r="K46" s="93"/>
      <c r="L46" s="93">
        <f ca="1">IFERROR(__xludf.DUMMYFUNCTION("IMPORTRANGE(""https://docs.google.com/spreadsheets/d/1MeEWN-I1oV_STSDYn1IFDPWt_1FKiwhDph83XaGc0o0/edit?usp=sharing"",""งบพรบ!M42"")"),930492)</f>
        <v>930492</v>
      </c>
      <c r="M46" s="93">
        <f ca="1">IFERROR(__xludf.DUMMYFUNCTION("IMPORTRANGE(""https://docs.google.com/spreadsheets/d/1MeEWN-I1oV_STSDYn1IFDPWt_1FKiwhDph83XaGc0o0/edit?usp=sharing"",""งบพรบ!R42"")"),1002106)</f>
        <v>1002106</v>
      </c>
      <c r="N46" s="93">
        <f ca="1">IFERROR(__xludf.DUMMYFUNCTION("IMPORTRANGE(""https://docs.google.com/spreadsheets/d/1MeEWN-I1oV_STSDYn1IFDPWt_1FKiwhDph83XaGc0o0/edit?usp=sharing"",""งบพรบ!T42"")"),1002106)</f>
        <v>1002106</v>
      </c>
      <c r="O46" s="93">
        <f t="shared" ca="1" si="26"/>
        <v>107.69635848561836</v>
      </c>
      <c r="P46" s="93">
        <f t="shared" ca="1" si="27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3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7"/>
      <c r="J48" s="617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IFERROR(__xludf.DUMMYFUNCTION("IMPORTRANGE(""https://docs.google.com/spreadsheets/d/1MeEWN-I1oV_STSDYn1IFDPWt_1FKiwhDph83XaGc0o0/edit?usp=sharing"",""งบพรบ!P42"")"),0)</f>
        <v>0</v>
      </c>
      <c r="M49" s="52">
        <f ca="1">IFERROR(__xludf.DUMMYFUNCTION("IMPORTRANGE(""https://docs.google.com/spreadsheets/d/1MeEWN-I1oV_STSDYn1IFDPWt_1FKiwhDph83XaGc0o0/edit?usp=sharing"",""งบพรบ!S42"")"),0)</f>
        <v>0</v>
      </c>
      <c r="N49" s="52">
        <f ca="1">IFERROR(__xludf.DUMMYFUNCTION("IMPORTRANGE(""https://docs.google.com/spreadsheets/d/1MeEWN-I1oV_STSDYn1IFDPWt_1FKiwhDph83XaGc0o0/edit?usp=sharing"",""งบพรบ!U42"")"),0)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1012100</v>
      </c>
      <c r="M53" s="116">
        <f t="shared" ca="1" si="31"/>
        <v>1144480</v>
      </c>
      <c r="N53" s="116">
        <f t="shared" ca="1" si="31"/>
        <v>1144480</v>
      </c>
      <c r="O53" s="116">
        <f t="shared" ref="O53:O61" ca="1" si="32">IF(L53&gt;0,N53*100/L53,0)</f>
        <v>113.07973520403122</v>
      </c>
      <c r="P53" s="116">
        <f t="shared" ref="P53:P61" ca="1" si="33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1012100</v>
      </c>
      <c r="M55" s="123">
        <f t="shared" ca="1" si="34"/>
        <v>1144480</v>
      </c>
      <c r="N55" s="123">
        <f t="shared" ca="1" si="34"/>
        <v>1144480</v>
      </c>
      <c r="O55" s="123">
        <f t="shared" ca="1" si="32"/>
        <v>113.07973520403122</v>
      </c>
      <c r="P55" s="123">
        <f t="shared" ca="1" si="33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3" t="s">
        <v>12</v>
      </c>
      <c r="I56" s="270"/>
      <c r="J56" s="270"/>
      <c r="K56" s="498"/>
      <c r="L56" s="498">
        <f t="shared" ref="L56:N56" ca="1" si="35">L57+L58</f>
        <v>904900</v>
      </c>
      <c r="M56" s="498">
        <f t="shared" ca="1" si="35"/>
        <v>1037280</v>
      </c>
      <c r="N56" s="498">
        <f t="shared" ca="1" si="35"/>
        <v>1037280</v>
      </c>
      <c r="O56" s="498">
        <f t="shared" ca="1" si="32"/>
        <v>114.62924080008841</v>
      </c>
      <c r="P56" s="498">
        <f t="shared" ca="1" si="33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7"/>
      <c r="J57" s="617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7"/>
      <c r="J58" s="617"/>
      <c r="K58" s="93"/>
      <c r="L58" s="93">
        <f ca="1">IFERROR(__xludf.DUMMYFUNCTION("IMPORTRANGE(""https://docs.google.com/spreadsheets/d/1MeEWN-I1oV_STSDYn1IFDPWt_1FKiwhDph83XaGc0o0/edit?usp=sharing"",""งบพรบ!W42"")"),904900)</f>
        <v>904900</v>
      </c>
      <c r="M58" s="93">
        <f ca="1">IFERROR(__xludf.DUMMYFUNCTION("IMPORTRANGE(""https://docs.google.com/spreadsheets/d/1MeEWN-I1oV_STSDYn1IFDPWt_1FKiwhDph83XaGc0o0/edit?usp=sharing"",""งบพรบ!AB42"")"),1037280)</f>
        <v>1037280</v>
      </c>
      <c r="N58" s="93">
        <f ca="1">IFERROR(__xludf.DUMMYFUNCTION("IMPORTRANGE(""https://docs.google.com/spreadsheets/d/1MeEWN-I1oV_STSDYn1IFDPWt_1FKiwhDph83XaGc0o0/edit?usp=sharing"",""งบพรบ!AD42"")"),1037280)</f>
        <v>1037280</v>
      </c>
      <c r="O58" s="93">
        <f t="shared" ca="1" si="32"/>
        <v>114.62924080008841</v>
      </c>
      <c r="P58" s="93">
        <f t="shared" ca="1" si="33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3" t="s">
        <v>12</v>
      </c>
      <c r="I59" s="270"/>
      <c r="J59" s="270"/>
      <c r="K59" s="498"/>
      <c r="L59" s="498">
        <f t="shared" ref="L59:N59" ca="1" si="36">L60+L61</f>
        <v>107200</v>
      </c>
      <c r="M59" s="498">
        <f t="shared" ca="1" si="36"/>
        <v>107200</v>
      </c>
      <c r="N59" s="498">
        <f t="shared" ca="1" si="36"/>
        <v>107200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7"/>
      <c r="J60" s="617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IFERROR(__xludf.DUMMYFUNCTION("IMPORTRANGE(""https://docs.google.com/spreadsheets/d/1MeEWN-I1oV_STSDYn1IFDPWt_1FKiwhDph83XaGc0o0/edit?usp=sharing"",""งบพรบ!Z42"")"),107200)</f>
        <v>107200</v>
      </c>
      <c r="M61" s="52">
        <f ca="1">IFERROR(__xludf.DUMMYFUNCTION("IMPORTRANGE(""https://docs.google.com/spreadsheets/d/1MeEWN-I1oV_STSDYn1IFDPWt_1FKiwhDph83XaGc0o0/edit?usp=sharing"",""งบพรบ!AC42"")"),107200)</f>
        <v>107200</v>
      </c>
      <c r="N61" s="52">
        <f ca="1">IFERROR(__xludf.DUMMYFUNCTION("IMPORTRANGE(""https://docs.google.com/spreadsheets/d/1MeEWN-I1oV_STSDYn1IFDPWt_1FKiwhDph83XaGc0o0/edit?usp=sharing"",""งบพรบ!AE42"")"),107200)</f>
        <v>107200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954000</v>
      </c>
      <c r="M66" s="155">
        <f t="shared" ca="1" si="39"/>
        <v>969190</v>
      </c>
      <c r="N66" s="155">
        <f t="shared" ca="1" si="39"/>
        <v>969190</v>
      </c>
      <c r="O66" s="155">
        <f t="shared" ref="O66:O74" ca="1" si="40">IF(L66&gt;0,N66*100/L66,0)</f>
        <v>101.59224318658281</v>
      </c>
      <c r="P66" s="155">
        <f t="shared" ref="P66:P74" ca="1" si="41">IF(M66&gt;0,N66*100/M66,0)</f>
        <v>100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7"/>
      <c r="J67" s="617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7"/>
      <c r="J68" s="617"/>
      <c r="K68" s="93"/>
      <c r="L68" s="93">
        <f t="shared" ca="1" si="42"/>
        <v>954000</v>
      </c>
      <c r="M68" s="93">
        <f t="shared" ca="1" si="42"/>
        <v>969190</v>
      </c>
      <c r="N68" s="93">
        <f t="shared" ca="1" si="42"/>
        <v>969190</v>
      </c>
      <c r="O68" s="93">
        <f t="shared" ca="1" si="40"/>
        <v>101.59224318658281</v>
      </c>
      <c r="P68" s="93">
        <f t="shared" ca="1" si="41"/>
        <v>100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954000</v>
      </c>
      <c r="M69" s="498">
        <f t="shared" ca="1" si="43"/>
        <v>969190</v>
      </c>
      <c r="N69" s="498">
        <f t="shared" ca="1" si="43"/>
        <v>969190</v>
      </c>
      <c r="O69" s="498">
        <f t="shared" ca="1" si="40"/>
        <v>101.59224318658281</v>
      </c>
      <c r="P69" s="498">
        <f t="shared" ca="1" si="41"/>
        <v>100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IFERROR(__xludf.DUMMYFUNCTION("IMPORTRANGE(""https://docs.google.com/spreadsheets/d/1MeEWN-I1oV_STSDYn1IFDPWt_1FKiwhDph83XaGc0o0/edit?usp=sharing"",""งบพรบ!AG42"")"),954000)</f>
        <v>954000</v>
      </c>
      <c r="M71" s="93">
        <f ca="1">IFERROR(__xludf.DUMMYFUNCTION("IMPORTRANGE(""https://docs.google.com/spreadsheets/d/1MeEWN-I1oV_STSDYn1IFDPWt_1FKiwhDph83XaGc0o0/edit?usp=sharing"",""งบพรบ!AL42"")"),969190)</f>
        <v>969190</v>
      </c>
      <c r="N71" s="93">
        <f ca="1">IFERROR(__xludf.DUMMYFUNCTION("IMPORTRANGE(""https://docs.google.com/spreadsheets/d/1MeEWN-I1oV_STSDYn1IFDPWt_1FKiwhDph83XaGc0o0/edit?usp=sharing"",""งบพรบ!AN42"")"),969190)</f>
        <v>969190</v>
      </c>
      <c r="O71" s="93">
        <f t="shared" ca="1" si="40"/>
        <v>101.59224318658281</v>
      </c>
      <c r="P71" s="93">
        <f t="shared" ca="1" si="41"/>
        <v>100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IFERROR(__xludf.DUMMYFUNCTION("IMPORTRANGE(""https://docs.google.com/spreadsheets/d/1MeEWN-I1oV_STSDYn1IFDPWt_1FKiwhDph83XaGc0o0/edit?usp=sharing"",""งบพรบ!AJ42"")"),0)</f>
        <v>0</v>
      </c>
      <c r="M74" s="93">
        <f ca="1">IFERROR(__xludf.DUMMYFUNCTION("IMPORTRANGE(""https://docs.google.com/spreadsheets/d/1MeEWN-I1oV_STSDYn1IFDPWt_1FKiwhDph83XaGc0o0/edit?usp=sharing"",""งบพรบ!AM42"")"),0)</f>
        <v>0</v>
      </c>
      <c r="N74" s="93">
        <f ca="1">IFERROR(__xludf.DUMMYFUNCTION("IMPORTRANGE(""https://docs.google.com/spreadsheets/d/1MeEWN-I1oV_STSDYn1IFDPWt_1FKiwhDph83XaGc0o0/edit?usp=sharing"",""งบพรบ!AO42"")"),0)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7" t="s">
        <v>38</v>
      </c>
      <c r="E75" s="173"/>
      <c r="F75" s="173"/>
      <c r="G75" s="174"/>
      <c r="H75" s="76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4" t="s">
        <v>34</v>
      </c>
      <c r="I78" s="184">
        <f ca="1">IFERROR(__xludf.DUMMYFUNCTION("IMPORTRANGE(""https://docs.google.com/spreadsheets/d/1QqKyyYR6Q21VydFLVH3TRQUabQu_ym0Zz7PgGX0-kHA/edit?usp=sharing"",""แผน!H42"")"),0)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4" t="s">
        <v>35</v>
      </c>
      <c r="I79" s="184">
        <f ca="1">IFERROR(__xludf.DUMMYFUNCTION("IMPORTRANGE(""https://docs.google.com/spreadsheets/d/1QqKyyYR6Q21VydFLVH3TRQUabQu_ym0Zz7PgGX0-kHA/edit?usp=sharing"",""แผน!I42"")"),0)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4" t="s">
        <v>34</v>
      </c>
      <c r="I80" s="184">
        <f ca="1">IFERROR(__xludf.DUMMYFUNCTION("IMPORTRANGE(""https://docs.google.com/spreadsheets/d/1QqKyyYR6Q21VydFLVH3TRQUabQu_ym0Zz7PgGX0-kHA/edit?usp=sharing"",""แผน!F42"")"),0)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4" t="s">
        <v>35</v>
      </c>
      <c r="I81" s="184">
        <f ca="1">IFERROR(__xludf.DUMMYFUNCTION("IMPORTRANGE(""https://docs.google.com/spreadsheets/d/1QqKyyYR6Q21VydFLVH3TRQUabQu_ym0Zz7PgGX0-kHA/edit?usp=sharing"",""แผน!G42"")"),0)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4" t="s">
        <v>34</v>
      </c>
      <c r="I82" s="184">
        <f ca="1">IFERROR(__xludf.DUMMYFUNCTION("IMPORTRANGE(""https://docs.google.com/spreadsheets/d/1QqKyyYR6Q21VydFLVH3TRQUabQu_ym0Zz7PgGX0-kHA/edit?usp=sharing"",""แผน!D42"")"),1)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4" t="s">
        <v>35</v>
      </c>
      <c r="I83" s="184">
        <f ca="1">IFERROR(__xludf.DUMMYFUNCTION("IMPORTRANGE(""https://docs.google.com/spreadsheets/d/1QqKyyYR6Q21VydFLVH3TRQUabQu_ym0Zz7PgGX0-kHA/edit?usp=sharing"",""แผน!E42"")"),40)</f>
        <v>40</v>
      </c>
      <c r="J83" s="215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IFERROR(__xludf.DUMMYFUNCTION("IMPORTRANGE(""https://docs.google.com/spreadsheets/d/1QqKyyYR6Q21VydFLVH3TRQUabQu_ym0Zz7PgGX0-kHA/edit?usp=sharing"",""แผน!J42"")"),1)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269660</v>
      </c>
      <c r="M88" s="155">
        <f t="shared" ca="1" si="49"/>
        <v>281860</v>
      </c>
      <c r="N88" s="155">
        <f t="shared" ca="1" si="49"/>
        <v>281860</v>
      </c>
      <c r="O88" s="155">
        <f t="shared" ref="O88:O96" ca="1" si="50">IF(L88&gt;0,N88*100/L88,0)</f>
        <v>104.52421567900319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7"/>
      <c r="J89" s="617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7"/>
      <c r="J90" s="617"/>
      <c r="K90" s="93"/>
      <c r="L90" s="93">
        <f t="shared" ca="1" si="52"/>
        <v>269660</v>
      </c>
      <c r="M90" s="93">
        <f t="shared" ca="1" si="52"/>
        <v>281860</v>
      </c>
      <c r="N90" s="93">
        <f t="shared" ca="1" si="52"/>
        <v>281860</v>
      </c>
      <c r="O90" s="93">
        <f t="shared" ca="1" si="50"/>
        <v>104.52421567900319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269660</v>
      </c>
      <c r="M91" s="498">
        <f t="shared" ca="1" si="53"/>
        <v>281860</v>
      </c>
      <c r="N91" s="498">
        <f t="shared" ca="1" si="53"/>
        <v>281860</v>
      </c>
      <c r="O91" s="498">
        <f t="shared" ca="1" si="50"/>
        <v>104.52421567900319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IFERROR(__xludf.DUMMYFUNCTION("IMPORTRANGE(""https://docs.google.com/spreadsheets/d/1MeEWN-I1oV_STSDYn1IFDPWt_1FKiwhDph83XaGc0o0/edit?usp=sharing"",""งบพรบ!AQ42"")"),269660)</f>
        <v>269660</v>
      </c>
      <c r="M93" s="93">
        <f ca="1">IFERROR(__xludf.DUMMYFUNCTION("IMPORTRANGE(""https://docs.google.com/spreadsheets/d/1MeEWN-I1oV_STSDYn1IFDPWt_1FKiwhDph83XaGc0o0/edit?usp=sharing"",""งบพรบ!AV42"")"),281860)</f>
        <v>281860</v>
      </c>
      <c r="N93" s="93">
        <f ca="1">IFERROR(__xludf.DUMMYFUNCTION("IMPORTRANGE(""https://docs.google.com/spreadsheets/d/1MeEWN-I1oV_STSDYn1IFDPWt_1FKiwhDph83XaGc0o0/edit?usp=sharing"",""งบพรบ!AX42"")"),281860)</f>
        <v>281860</v>
      </c>
      <c r="O93" s="93">
        <f t="shared" ca="1" si="50"/>
        <v>104.52421567900319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IFERROR(__xludf.DUMMYFUNCTION("IMPORTRANGE(""https://docs.google.com/spreadsheets/d/1MeEWN-I1oV_STSDYn1IFDPWt_1FKiwhDph83XaGc0o0/edit?usp=sharing"",""งบพรบ!AT42"")"),0)</f>
        <v>0</v>
      </c>
      <c r="M96" s="93">
        <f ca="1">IFERROR(__xludf.DUMMYFUNCTION("IMPORTRANGE(""https://docs.google.com/spreadsheets/d/1MeEWN-I1oV_STSDYn1IFDPWt_1FKiwhDph83XaGc0o0/edit?usp=sharing"",""งบพรบ!AW42"")"),0)</f>
        <v>0</v>
      </c>
      <c r="N96" s="93">
        <f ca="1">IFERROR(__xludf.DUMMYFUNCTION("IMPORTRANGE(""https://docs.google.com/spreadsheets/d/1MeEWN-I1oV_STSDYn1IFDPWt_1FKiwhDph83XaGc0o0/edit?usp=sharing"",""งบพรบ!AY42"")"),0)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7" t="s">
        <v>38</v>
      </c>
      <c r="E97" s="173"/>
      <c r="F97" s="173"/>
      <c r="G97" s="174"/>
      <c r="H97" s="762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3" t="s">
        <v>46</v>
      </c>
      <c r="I98" s="270">
        <f ca="1">IFERROR(__xludf.DUMMYFUNCTION("IMPORTRANGE(""https://docs.google.com/spreadsheets/d/1QqKyyYR6Q21VydFLVH3TRQUabQu_ym0Zz7PgGX0-kHA/edit?usp=sharing"",""แผน!K42"")"),45)</f>
        <v>45</v>
      </c>
      <c r="J98" s="270">
        <f>J102</f>
        <v>45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3" t="s">
        <v>35</v>
      </c>
      <c r="I99" s="270">
        <f ca="1">IFERROR(__xludf.DUMMYFUNCTION("IMPORTRANGE(""https://docs.google.com/spreadsheets/d/1QqKyyYR6Q21VydFLVH3TRQUabQu_ym0Zz7PgGX0-kHA/edit?usp=sharing"",""แผน!L42"")"),15)</f>
        <v>15</v>
      </c>
      <c r="J99" s="270">
        <f>J104</f>
        <v>15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3" t="s">
        <v>49</v>
      </c>
      <c r="I100" s="270">
        <f ca="1">IFERROR(__xludf.DUMMYFUNCTION("IMPORTRANGE(""https://docs.google.com/spreadsheets/d/1QqKyyYR6Q21VydFLVH3TRQUabQu_ym0Zz7PgGX0-kHA/edit?usp=sharing"",""แผน!M42"")"),2)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3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6" t="s">
        <v>47</v>
      </c>
      <c r="F102" s="178"/>
      <c r="G102" s="179"/>
      <c r="H102" s="623" t="s">
        <v>46</v>
      </c>
      <c r="I102" s="270">
        <f ca="1">IFERROR(__xludf.DUMMYFUNCTION("IMPORTRANGE(""https://docs.google.com/spreadsheets/d/1QqKyyYR6Q21VydFLVH3TRQUabQu_ym0Zz7PgGX0-kHA/edit?usp=sharing"",""แผน!N42"")"),45)</f>
        <v>45</v>
      </c>
      <c r="J102" s="215">
        <v>45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3" t="s">
        <v>35</v>
      </c>
      <c r="I103" s="270">
        <f ca="1">IFERROR(__xludf.DUMMYFUNCTION("IMPORTRANGE(""https://docs.google.com/spreadsheets/d/1QqKyyYR6Q21VydFLVH3TRQUabQu_ym0Zz7PgGX0-kHA/edit?usp=sharing"",""แผน!O42"")"),15)</f>
        <v>15</v>
      </c>
      <c r="J103" s="215">
        <v>15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3" t="s">
        <v>35</v>
      </c>
      <c r="I104" s="270">
        <f ca="1">IFERROR(__xludf.DUMMYFUNCTION("IMPORTRANGE(""https://docs.google.com/spreadsheets/d/1QqKyyYR6Q21VydFLVH3TRQUabQu_ym0Zz7PgGX0-kHA/edit?usp=sharing"",""แผน!O42"")"),15)</f>
        <v>15</v>
      </c>
      <c r="J104" s="215">
        <v>15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3" t="s">
        <v>49</v>
      </c>
      <c r="I106" s="270">
        <f ca="1">IFERROR(__xludf.DUMMYFUNCTION("IMPORTRANGE(""https://docs.google.com/spreadsheets/d/1QqKyyYR6Q21VydFLVH3TRQUabQu_ym0Zz7PgGX0-kHA/edit?usp=sharing"",""แผน!P42"")"),1)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3" t="s">
        <v>49</v>
      </c>
      <c r="I107" s="270">
        <f ca="1">IFERROR(__xludf.DUMMYFUNCTION("IMPORTRANGE(""https://docs.google.com/spreadsheets/d/1QqKyyYR6Q21VydFLVH3TRQUabQu_ym0Zz7PgGX0-kHA/edit?usp=sharing"",""แผน!P42"")"),1)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3" t="s">
        <v>49</v>
      </c>
      <c r="I109" s="270">
        <f ca="1">IFERROR(__xludf.DUMMYFUNCTION("IMPORTRANGE(""https://docs.google.com/spreadsheets/d/1QqKyyYR6Q21VydFLVH3TRQUabQu_ym0Zz7PgGX0-kHA/edit?usp=sharing"",""แผน!Q42"")"),1)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3" t="s">
        <v>49</v>
      </c>
      <c r="I110" s="270">
        <f ca="1">IFERROR(__xludf.DUMMYFUNCTION("IMPORTRANGE(""https://docs.google.com/spreadsheets/d/1QqKyyYR6Q21VydFLVH3TRQUabQu_ym0Zz7PgGX0-kHA/edit?usp=sharing"",""แผน!Q42"")"),1)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7" t="s">
        <v>35</v>
      </c>
      <c r="I111" s="193">
        <f ca="1">IFERROR(__xludf.DUMMYFUNCTION("IMPORTRANGE(""https://docs.google.com/spreadsheets/d/1QqKyyYR6Q21VydFLVH3TRQUabQu_ym0Zz7PgGX0-kHA/edit?usp=sharing"",""แผน!R42"")"),15)</f>
        <v>15</v>
      </c>
      <c r="J111" s="681">
        <f>J114</f>
        <v>15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1">
        <f t="shared" si="59"/>
        <v>2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2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IFERROR(__xludf.DUMMYFUNCTION("IMPORTRANGE(""https://docs.google.com/spreadsheets/d/1QqKyyYR6Q21VydFLVH3TRQUabQu_ym0Zz7PgGX0-kHA/edit?usp=sharing"",""แผน!R42"")"),15)</f>
        <v>15</v>
      </c>
      <c r="J113" s="215">
        <v>15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IFERROR(__xludf.DUMMYFUNCTION("IMPORTRANGE(""https://docs.google.com/spreadsheets/d/1QqKyyYR6Q21VydFLVH3TRQUabQu_ym0Zz7PgGX0-kHA/edit?usp=sharing"",""แผน!R42"")"),15)</f>
        <v>15</v>
      </c>
      <c r="J114" s="215">
        <v>15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IFERROR(__xludf.DUMMYFUNCTION("IMPORTRANGE(""https://docs.google.com/spreadsheets/d/1QqKyyYR6Q21VydFLVH3TRQUabQu_ym0Zz7PgGX0-kHA/edit?usp=sharing"",""แผน!S42"")"),1)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IFERROR(__xludf.DUMMYFUNCTION("IMPORTRANGE(""https://docs.google.com/spreadsheets/d/1QqKyyYR6Q21VydFLVH3TRQUabQu_ym0Zz7PgGX0-kHA/edit?usp=sharing"",""แผน!T42"")"),1)</f>
        <v>1</v>
      </c>
      <c r="J116" s="215">
        <v>1</v>
      </c>
      <c r="K116" s="498">
        <f t="shared" ca="1" si="5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7"/>
      <c r="J120" s="617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7"/>
      <c r="J121" s="617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IFERROR(__xludf.DUMMYFUNCTION("IMPORTRANGE(""https://docs.google.com/spreadsheets/d/1MeEWN-I1oV_STSDYn1IFDPWt_1FKiwhDph83XaGc0o0/edit?usp=sharing"",""งบพรบ!BA42"")"),0)</f>
        <v>0</v>
      </c>
      <c r="M124" s="93">
        <f ca="1">IFERROR(__xludf.DUMMYFUNCTION("IMPORTRANGE(""https://docs.google.com/spreadsheets/d/1MeEWN-I1oV_STSDYn1IFDPWt_1FKiwhDph83XaGc0o0/edit?usp=sharing"",""งบพรบ!BF42"")"),0)</f>
        <v>0</v>
      </c>
      <c r="N124" s="93">
        <f ca="1">IFERROR(__xludf.DUMMYFUNCTION("IMPORTRANGE(""https://docs.google.com/spreadsheets/d/1MeEWN-I1oV_STSDYn1IFDPWt_1FKiwhDph83XaGc0o0/edit?usp=sharing"",""งบพรบ!BH42"")"),0)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IFERROR(__xludf.DUMMYFUNCTION("IMPORTRANGE(""https://docs.google.com/spreadsheets/d/1MeEWN-I1oV_STSDYn1IFDPWt_1FKiwhDph83XaGc0o0/edit?usp=sharing"",""งบพรบ!BD42"")"),0)</f>
        <v>0</v>
      </c>
      <c r="M127" s="93">
        <f ca="1">IFERROR(__xludf.DUMMYFUNCTION("IMPORTRANGE(""https://docs.google.com/spreadsheets/d/1MeEWN-I1oV_STSDYn1IFDPWt_1FKiwhDph83XaGc0o0/edit?usp=sharing"",""งบพรบ!BG42"")"),0)</f>
        <v>0</v>
      </c>
      <c r="N127" s="93">
        <f ca="1">IFERROR(__xludf.DUMMYFUNCTION("IMPORTRANGE(""https://docs.google.com/spreadsheets/d/1MeEWN-I1oV_STSDYn1IFDPWt_1FKiwhDph83XaGc0o0/edit?usp=sharing"",""งบพรบ!BI42"")"),0)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7"/>
      <c r="J133" s="617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7"/>
      <c r="J134" s="617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IFERROR(__xludf.DUMMYFUNCTION("IMPORTRANGE(""https://docs.google.com/spreadsheets/d/1MeEWN-I1oV_STSDYn1IFDPWt_1FKiwhDph83XaGc0o0/edit?usp=sharing"",""งบพรบ!BK42"")"),0)</f>
        <v>0</v>
      </c>
      <c r="M137" s="93">
        <f ca="1">IFERROR(__xludf.DUMMYFUNCTION("IMPORTRANGE(""https://docs.google.com/spreadsheets/d/1MeEWN-I1oV_STSDYn1IFDPWt_1FKiwhDph83XaGc0o0/edit?usp=sharing"",""งบพรบ!BP42"")"),0)</f>
        <v>0</v>
      </c>
      <c r="N137" s="93">
        <f ca="1">IFERROR(__xludf.DUMMYFUNCTION("IMPORTRANGE(""https://docs.google.com/spreadsheets/d/1MeEWN-I1oV_STSDYn1IFDPWt_1FKiwhDph83XaGc0o0/edit?usp=sharing"",""งบพรบ!BR42"")"),0)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IFERROR(__xludf.DUMMYFUNCTION("IMPORTRANGE(""https://docs.google.com/spreadsheets/d/1MeEWN-I1oV_STSDYn1IFDPWt_1FKiwhDph83XaGc0o0/edit?usp=sharing"",""งบพรบ!BN42"")"),0)</f>
        <v>0</v>
      </c>
      <c r="M140" s="93">
        <f ca="1">IFERROR(__xludf.DUMMYFUNCTION("IMPORTRANGE(""https://docs.google.com/spreadsheets/d/1MeEWN-I1oV_STSDYn1IFDPWt_1FKiwhDph83XaGc0o0/edit?usp=sharing"",""งบพรบ!BQ42"")"),0)</f>
        <v>0</v>
      </c>
      <c r="N140" s="93">
        <f ca="1">IFERROR(__xludf.DUMMYFUNCTION("IMPORTRANGE(""https://docs.google.com/spreadsheets/d/1MeEWN-I1oV_STSDYn1IFDPWt_1FKiwhDph83XaGc0o0/edit?usp=sharing"",""งบพรบ!BS42"")"),0)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IFERROR(__xludf.DUMMYFUNCTION("IMPORTRANGE(""https://docs.google.com/spreadsheets/d/1QqKyyYR6Q21VydFLVH3TRQUabQu_ym0Zz7PgGX0-kHA/edit?usp=sharing"",""แผน!U42"")"),0)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IFERROR(__xludf.DUMMYFUNCTION("IMPORTRANGE(""https://docs.google.com/spreadsheets/d/1QqKyyYR6Q21VydFLVH3TRQUabQu_ym0Zz7PgGX0-kHA/edit?usp=sharing"",""แผน!V42"")"),0)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IFERROR(__xludf.DUMMYFUNCTION("IMPORTRANGE(""https://docs.google.com/spreadsheets/d/1QqKyyYR6Q21VydFLVH3TRQUabQu_ym0Zz7PgGX0-kHA/edit?usp=sharing"",""แผน!W42"")"),0)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8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83300</v>
      </c>
      <c r="N149" s="155">
        <f t="shared" ca="1" si="77"/>
        <v>83300</v>
      </c>
      <c r="O149" s="155">
        <f t="shared" ref="O149:O157" ca="1" si="78">IF(L149&gt;0,N149*100/L149,0)</f>
        <v>1666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7"/>
      <c r="J150" s="617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7"/>
      <c r="J151" s="617"/>
      <c r="K151" s="93"/>
      <c r="L151" s="93">
        <f t="shared" ca="1" si="80"/>
        <v>5000</v>
      </c>
      <c r="M151" s="93">
        <f t="shared" ca="1" si="80"/>
        <v>83300</v>
      </c>
      <c r="N151" s="93">
        <f t="shared" ca="1" si="80"/>
        <v>83300</v>
      </c>
      <c r="O151" s="93">
        <f t="shared" ca="1" si="78"/>
        <v>1666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5000</v>
      </c>
      <c r="M152" s="498">
        <f t="shared" ca="1" si="81"/>
        <v>83300</v>
      </c>
      <c r="N152" s="498">
        <f t="shared" ca="1" si="81"/>
        <v>83300</v>
      </c>
      <c r="O152" s="498">
        <f t="shared" ca="1" si="78"/>
        <v>1666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IFERROR(__xludf.DUMMYFUNCTION("IMPORTRANGE(""https://docs.google.com/spreadsheets/d/1MeEWN-I1oV_STSDYn1IFDPWt_1FKiwhDph83XaGc0o0/edit?usp=sharing"",""งบพรบ!BU42"")"),5000)</f>
        <v>5000</v>
      </c>
      <c r="M154" s="93">
        <f ca="1">IFERROR(__xludf.DUMMYFUNCTION("IMPORTRANGE(""https://docs.google.com/spreadsheets/d/1MeEWN-I1oV_STSDYn1IFDPWt_1FKiwhDph83XaGc0o0/edit?usp=sharing"",""งบพรบ!BZ42"")"),83300)</f>
        <v>83300</v>
      </c>
      <c r="N154" s="93">
        <f ca="1">IFERROR(__xludf.DUMMYFUNCTION("IMPORTRANGE(""https://docs.google.com/spreadsheets/d/1MeEWN-I1oV_STSDYn1IFDPWt_1FKiwhDph83XaGc0o0/edit?usp=sharing"",""งบพรบ!CB42"")"),83300)</f>
        <v>83300</v>
      </c>
      <c r="O154" s="93">
        <f t="shared" ca="1" si="78"/>
        <v>1666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IFERROR(__xludf.DUMMYFUNCTION("IMPORTRANGE(""https://docs.google.com/spreadsheets/d/1MeEWN-I1oV_STSDYn1IFDPWt_1FKiwhDph83XaGc0o0/edit?usp=sharing"",""งบพรบ!BX42"")"),0)</f>
        <v>0</v>
      </c>
      <c r="M157" s="93">
        <f ca="1">IFERROR(__xludf.DUMMYFUNCTION("IMPORTRANGE(""https://docs.google.com/spreadsheets/d/1MeEWN-I1oV_STSDYn1IFDPWt_1FKiwhDph83XaGc0o0/edit?usp=sharing"",""งบพรบ!CA42"")"),0)</f>
        <v>0</v>
      </c>
      <c r="N157" s="93">
        <f ca="1">IFERROR(__xludf.DUMMYFUNCTION("IMPORTRANGE(""https://docs.google.com/spreadsheets/d/1MeEWN-I1oV_STSDYn1IFDPWt_1FKiwhDph83XaGc0o0/edit?usp=sharing"",""งบพรบ!CC42"")"),0)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IFERROR(__xludf.DUMMYFUNCTION("IMPORTRANGE(""https://docs.google.com/spreadsheets/d/1QqKyyYR6Q21VydFLVH3TRQUabQu_ym0Zz7PgGX0-kHA/edit?usp=sharing"",""แผน!X42"")"),10)</f>
        <v>10</v>
      </c>
      <c r="J159" s="215">
        <v>10</v>
      </c>
      <c r="K159" s="498">
        <f ca="1">IF(I159&gt;0,J159*100/I159,0)</f>
        <v>100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7"/>
      <c r="J160" s="617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38560</v>
      </c>
      <c r="N165" s="155">
        <f t="shared" ca="1" si="84"/>
        <v>38560</v>
      </c>
      <c r="O165" s="155">
        <f t="shared" ref="O165:O173" ca="1" si="85">IF(L165&gt;0,N165*100/L165,0)</f>
        <v>167.21595836947094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7"/>
      <c r="J166" s="617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7"/>
      <c r="J167" s="617"/>
      <c r="K167" s="93"/>
      <c r="L167" s="93">
        <f t="shared" ca="1" si="87"/>
        <v>23060</v>
      </c>
      <c r="M167" s="93">
        <f t="shared" ca="1" si="87"/>
        <v>38560</v>
      </c>
      <c r="N167" s="93">
        <f t="shared" ca="1" si="87"/>
        <v>38560</v>
      </c>
      <c r="O167" s="93">
        <f t="shared" ca="1" si="85"/>
        <v>167.21595836947094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23060</v>
      </c>
      <c r="M168" s="498">
        <f t="shared" ca="1" si="88"/>
        <v>38560</v>
      </c>
      <c r="N168" s="498">
        <f t="shared" ca="1" si="88"/>
        <v>38560</v>
      </c>
      <c r="O168" s="498">
        <f t="shared" ca="1" si="85"/>
        <v>167.21595836947094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IFERROR(__xludf.DUMMYFUNCTION("IMPORTRANGE(""https://docs.google.com/spreadsheets/d/1MeEWN-I1oV_STSDYn1IFDPWt_1FKiwhDph83XaGc0o0/edit?usp=sharing"",""งบพรบ!CE42"")"),23060)</f>
        <v>23060</v>
      </c>
      <c r="M170" s="93">
        <f ca="1">IFERROR(__xludf.DUMMYFUNCTION("IMPORTRANGE(""https://docs.google.com/spreadsheets/d/1MeEWN-I1oV_STSDYn1IFDPWt_1FKiwhDph83XaGc0o0/edit?usp=sharing"",""งบพรบ!CJ42"")"),38560)</f>
        <v>38560</v>
      </c>
      <c r="N170" s="93">
        <f ca="1">IFERROR(__xludf.DUMMYFUNCTION("IMPORTRANGE(""https://docs.google.com/spreadsheets/d/1MeEWN-I1oV_STSDYn1IFDPWt_1FKiwhDph83XaGc0o0/edit?usp=sharing"",""งบพรบ!CL42"")"),38560)</f>
        <v>38560</v>
      </c>
      <c r="O170" s="93">
        <f t="shared" ca="1" si="85"/>
        <v>167.21595836947094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IFERROR(__xludf.DUMMYFUNCTION("IMPORTRANGE(""https://docs.google.com/spreadsheets/d/1MeEWN-I1oV_STSDYn1IFDPWt_1FKiwhDph83XaGc0o0/edit?usp=sharing"",""งบพรบ!CH42"")"),0)</f>
        <v>0</v>
      </c>
      <c r="M173" s="93">
        <f ca="1">IFERROR(__xludf.DUMMYFUNCTION("IMPORTRANGE(""https://docs.google.com/spreadsheets/d/1MeEWN-I1oV_STSDYn1IFDPWt_1FKiwhDph83XaGc0o0/edit?usp=sharing"",""งบพรบ!CK42"")"),0)</f>
        <v>0</v>
      </c>
      <c r="N173" s="93">
        <f ca="1">IFERROR(__xludf.DUMMYFUNCTION("IMPORTRANGE(""https://docs.google.com/spreadsheets/d/1MeEWN-I1oV_STSDYn1IFDPWt_1FKiwhDph83XaGc0o0/edit?usp=sharing"",""งบพรบ!CM42"")"),0)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7" t="s">
        <v>38</v>
      </c>
      <c r="E175" s="173"/>
      <c r="F175" s="173"/>
      <c r="G175" s="174"/>
      <c r="H175" s="76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6" t="s">
        <v>85</v>
      </c>
      <c r="E176" s="178"/>
      <c r="F176" s="178"/>
      <c r="G176" s="179"/>
      <c r="H176" s="623" t="s">
        <v>35</v>
      </c>
      <c r="I176" s="270">
        <f ca="1">IFERROR(__xludf.DUMMYFUNCTION("IMPORTRANGE(""https://docs.google.com/spreadsheets/d/1QqKyyYR6Q21VydFLVH3TRQUabQu_ym0Zz7PgGX0-kHA/edit?usp=sharing"",""แผน!Y42"")"),12)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67600</v>
      </c>
      <c r="M181" s="155">
        <f t="shared" ca="1" si="92"/>
        <v>67600</v>
      </c>
      <c r="N181" s="155">
        <f t="shared" ca="1" si="92"/>
        <v>67600</v>
      </c>
      <c r="O181" s="155">
        <f t="shared" ref="O181:O189" ca="1" si="93">IF(L181&gt;0,N181*100/L181,0)</f>
        <v>100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7"/>
      <c r="J182" s="617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7"/>
      <c r="J183" s="617"/>
      <c r="K183" s="93"/>
      <c r="L183" s="93">
        <f t="shared" ca="1" si="95"/>
        <v>67600</v>
      </c>
      <c r="M183" s="93">
        <f t="shared" ca="1" si="95"/>
        <v>67600</v>
      </c>
      <c r="N183" s="93">
        <f t="shared" ca="1" si="95"/>
        <v>67600</v>
      </c>
      <c r="O183" s="93">
        <f t="shared" ca="1" si="93"/>
        <v>100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67600</v>
      </c>
      <c r="M184" s="498">
        <f t="shared" ca="1" si="96"/>
        <v>67600</v>
      </c>
      <c r="N184" s="498">
        <f t="shared" ca="1" si="96"/>
        <v>67600</v>
      </c>
      <c r="O184" s="498">
        <f t="shared" ca="1" si="93"/>
        <v>100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IFERROR(__xludf.DUMMYFUNCTION("IMPORTRANGE(""https://docs.google.com/spreadsheets/d/1MeEWN-I1oV_STSDYn1IFDPWt_1FKiwhDph83XaGc0o0/edit?usp=sharing"",""งบพรบ!CO42"")"),67600)</f>
        <v>67600</v>
      </c>
      <c r="M186" s="93">
        <f ca="1">IFERROR(__xludf.DUMMYFUNCTION("IMPORTRANGE(""https://docs.google.com/spreadsheets/d/1MeEWN-I1oV_STSDYn1IFDPWt_1FKiwhDph83XaGc0o0/edit?usp=sharing"",""งบพรบ!CT42"")"),67600)</f>
        <v>67600</v>
      </c>
      <c r="N186" s="93">
        <f ca="1">IFERROR(__xludf.DUMMYFUNCTION("IMPORTRANGE(""https://docs.google.com/spreadsheets/d/1MeEWN-I1oV_STSDYn1IFDPWt_1FKiwhDph83XaGc0o0/edit?usp=sharing"",""งบพรบ!CV42"")"),67600)</f>
        <v>67600</v>
      </c>
      <c r="O186" s="93">
        <f t="shared" ca="1" si="93"/>
        <v>100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IFERROR(__xludf.DUMMYFUNCTION("IMPORTRANGE(""https://docs.google.com/spreadsheets/d/1MeEWN-I1oV_STSDYn1IFDPWt_1FKiwhDph83XaGc0o0/edit?usp=sharing"",""งบพรบ!CR42"")"),0)</f>
        <v>0</v>
      </c>
      <c r="M189" s="93">
        <f ca="1">IFERROR(__xludf.DUMMYFUNCTION("IMPORTRANGE(""https://docs.google.com/spreadsheets/d/1MeEWN-I1oV_STSDYn1IFDPWt_1FKiwhDph83XaGc0o0/edit?usp=sharing"",""งบพรบ!CU42"")"),0)</f>
        <v>0</v>
      </c>
      <c r="N189" s="93">
        <f ca="1">IFERROR(__xludf.DUMMYFUNCTION("IMPORTRANGE(""https://docs.google.com/spreadsheets/d/1MeEWN-I1oV_STSDYn1IFDPWt_1FKiwhDph83XaGc0o0/edit?usp=sharing"",""งบพรบ!CW42"")"),0)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8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IFERROR(__xludf.DUMMYFUNCTION("IMPORTRANGE(""https://docs.google.com/spreadsheets/d/1QqKyyYR6Q21VydFLVH3TRQUabQu_ym0Zz7PgGX0-kHA/edit?usp=sharing"",""แผน!Z42"")"),6000)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7" t="s">
        <v>38</v>
      </c>
      <c r="E192" s="173"/>
      <c r="F192" s="173"/>
      <c r="G192" s="174"/>
      <c r="H192" s="762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4" t="s">
        <v>90</v>
      </c>
      <c r="I193" s="270">
        <f ca="1">IFERROR(__xludf.DUMMYFUNCTION("IMPORTRANGE(""https://docs.google.com/spreadsheets/d/1QqKyyYR6Q21VydFLVH3TRQUabQu_ym0Zz7PgGX0-kHA/edit?usp=sharing"",""แผน!AC42"")"),4)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65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65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8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IFERROR(__xludf.DUMMYFUNCTION("IMPORTRANGE(""https://docs.google.com/spreadsheets/d/1QqKyyYR6Q21VydFLVH3TRQUabQu_ym0Zz7PgGX0-kHA/edit?usp=sharing"",""แผน!AE42"")"),3000)</f>
        <v>3000</v>
      </c>
      <c r="M199" s="498"/>
      <c r="N199" s="840">
        <v>3000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3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IFERROR(__xludf.DUMMYFUNCTION("IMPORTRANGE(""https://docs.google.com/spreadsheets/d/1QqKyyYR6Q21VydFLVH3TRQUabQu_ym0Zz7PgGX0-kHA/edit?usp=sharing"",""แผน!AF42"")"),24000)</f>
        <v>24000</v>
      </c>
      <c r="M200" s="498"/>
      <c r="N200" s="840">
        <v>24000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3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IFERROR(__xludf.DUMMYFUNCTION("IMPORTRANGE(""https://docs.google.com/spreadsheets/d/1QqKyyYR6Q21VydFLVH3TRQUabQu_ym0Zz7PgGX0-kHA/edit?usp=sharing"",""แผน!AG42"")"),12000)</f>
        <v>12000</v>
      </c>
      <c r="M201" s="498"/>
      <c r="N201" s="840">
        <v>12000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3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IFERROR(__xludf.DUMMYFUNCTION("IMPORTRANGE(""https://docs.google.com/spreadsheets/d/1QqKyyYR6Q21VydFLVH3TRQUabQu_ym0Zz7PgGX0-kHA/edit?usp=sharing"",""แผน!AH42"")"),0)</f>
        <v>0</v>
      </c>
      <c r="M202" s="498"/>
      <c r="N202" s="840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7" t="s">
        <v>38</v>
      </c>
      <c r="E203" s="173"/>
      <c r="F203" s="173"/>
      <c r="G203" s="174"/>
      <c r="H203" s="76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2" t="s">
        <v>96</v>
      </c>
      <c r="I204" s="270">
        <f ca="1">IFERROR(__xludf.DUMMYFUNCTION("IMPORTRANGE(""https://docs.google.com/spreadsheets/d/1QqKyyYR6Q21VydFLVH3TRQUabQu_ym0Zz7PgGX0-kHA/edit?usp=sharing"",""แผน!AI42"")"),3)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2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2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8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IFERROR(__xludf.DUMMYFUNCTION("IMPORTRANGE(""https://docs.google.com/spreadsheets/d/1QqKyyYR6Q21VydFLVH3TRQUabQu_ym0Zz7PgGX0-kHA/edit?usp=sharing"",""แผน!AK42"")"),0)</f>
        <v>0</v>
      </c>
      <c r="M210" s="498"/>
      <c r="N210" s="840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IFERROR(__xludf.DUMMYFUNCTION("IMPORTRANGE(""https://docs.google.com/spreadsheets/d/1QqKyyYR6Q21VydFLVH3TRQUabQu_ym0Zz7PgGX0-kHA/edit?usp=sharing"",""แผน!AL42"")"),0)</f>
        <v>0</v>
      </c>
      <c r="M211" s="498"/>
      <c r="N211" s="840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IFERROR(__xludf.DUMMYFUNCTION("IMPORTRANGE(""https://docs.google.com/spreadsheets/d/1QqKyyYR6Q21VydFLVH3TRQUabQu_ym0Zz7PgGX0-kHA/edit?usp=sharing"",""แผน!AM42"")"),0)</f>
        <v>0</v>
      </c>
      <c r="M212" s="498"/>
      <c r="N212" s="840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7" t="s">
        <v>38</v>
      </c>
      <c r="E213" s="173"/>
      <c r="F213" s="173"/>
      <c r="G213" s="174"/>
      <c r="H213" s="762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2" t="s">
        <v>96</v>
      </c>
      <c r="I214" s="270">
        <f ca="1">IFERROR(__xludf.DUMMYFUNCTION("IMPORTRANGE(""https://docs.google.com/spreadsheets/d/1QqKyyYR6Q21VydFLVH3TRQUabQu_ym0Zz7PgGX0-kHA/edit?usp=sharing"",""แผน!AN42"")"),0)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2" t="s">
        <v>96</v>
      </c>
      <c r="I215" s="270">
        <f ca="1">IFERROR(__xludf.DUMMYFUNCTION("IMPORTRANGE(""https://docs.google.com/spreadsheets/d/1QqKyyYR6Q21VydFLVH3TRQUabQu_ym0Zz7PgGX0-kHA/edit?usp=sharing"",""แผน!AN42"")"),0)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64000</v>
      </c>
      <c r="J216" s="272">
        <f t="shared" si="103"/>
        <v>64000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8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22600</v>
      </c>
      <c r="M217" s="155"/>
      <c r="N217" s="155">
        <f>N218+N219+N220</f>
        <v>22600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IFERROR(__xludf.DUMMYFUNCTION("IMPORTRANGE(""https://docs.google.com/spreadsheets/d/1QqKyyYR6Q21VydFLVH3TRQUabQu_ym0Zz7PgGX0-kHA/edit?usp=sharing"",""แผน!AP42"")"),5000)</f>
        <v>5000</v>
      </c>
      <c r="M218" s="498"/>
      <c r="N218" s="840">
        <v>5000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IFERROR(__xludf.DUMMYFUNCTION("IMPORTRANGE(""https://docs.google.com/spreadsheets/d/1QqKyyYR6Q21VydFLVH3TRQUabQu_ym0Zz7PgGX0-kHA/edit?usp=sharing"",""แผน!AQ42"")"),17600)</f>
        <v>17600</v>
      </c>
      <c r="M219" s="498"/>
      <c r="N219" s="840">
        <v>17600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IFERROR(__xludf.DUMMYFUNCTION("IMPORTRANGE(""https://docs.google.com/spreadsheets/d/1QqKyyYR6Q21VydFLVH3TRQUabQu_ym0Zz7PgGX0-kHA/edit?usp=sharing"",""แผน!AR42"")"),0)</f>
        <v>0</v>
      </c>
      <c r="M220" s="498"/>
      <c r="N220" s="840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7" t="s">
        <v>38</v>
      </c>
      <c r="E221" s="173"/>
      <c r="F221" s="173"/>
      <c r="G221" s="174"/>
      <c r="H221" s="76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4" t="s">
        <v>109</v>
      </c>
      <c r="I223" s="270">
        <f ca="1">IFERROR(__xludf.DUMMYFUNCTION("IMPORTRANGE(""https://docs.google.com/spreadsheets/d/1QqKyyYR6Q21VydFLVH3TRQUabQu_ym0Zz7PgGX0-kHA/edit?usp=sharing"",""แผน!AT42"")"),64000)</f>
        <v>64000</v>
      </c>
      <c r="J223" s="215">
        <v>64000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4" t="s">
        <v>109</v>
      </c>
      <c r="I224" s="270">
        <f ca="1">IFERROR(__xludf.DUMMYFUNCTION("IMPORTRANGE(""https://docs.google.com/spreadsheets/d/1QqKyyYR6Q21VydFLVH3TRQUabQu_ym0Zz7PgGX0-kHA/edit?usp=sharing"",""แผน!AT42"")"),64000)</f>
        <v>64000</v>
      </c>
      <c r="J224" s="215">
        <v>64000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4" t="s">
        <v>35</v>
      </c>
      <c r="I225" s="270">
        <f ca="1">IFERROR(__xludf.DUMMYFUNCTION("IMPORTRANGE(""https://docs.google.com/spreadsheets/d/1QqKyyYR6Q21VydFLVH3TRQUabQu_ym0Zz7PgGX0-kHA/edit?usp=sharing"",""แผน!AS42"")"),0)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8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2"/>
      <c r="P227" s="8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7"/>
      <c r="J229" s="617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7"/>
      <c r="J230" s="617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7"/>
      <c r="J231" s="617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7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7">
        <f t="shared" ref="I233:J233" ca="1" si="108">I244+I255</f>
        <v>0</v>
      </c>
      <c r="J233" s="617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7"/>
      <c r="J234" s="617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7">
        <f t="shared" ref="I235:J236" si="109">I246+I257</f>
        <v>0</v>
      </c>
      <c r="J235" s="617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7">
        <f t="shared" si="109"/>
        <v>0</v>
      </c>
      <c r="J236" s="617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IFERROR(__xludf.DUMMYFUNCTION("IMPORTRANGE(""https://docs.google.com/spreadsheets/d/1QqKyyYR6Q21VydFLVH3TRQUabQu_ym0Zz7PgGX0-kHA/edit?usp=sharing"",""แผน!AV42"")"),0)</f>
        <v>0</v>
      </c>
      <c r="M239" s="322"/>
      <c r="N239" s="88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IFERROR(__xludf.DUMMYFUNCTION("IMPORTRANGE(""https://docs.google.com/spreadsheets/d/1QqKyyYR6Q21VydFLVH3TRQUabQu_ym0Zz7PgGX0-kHA/edit?usp=sharing"",""แผน!AW42"")"),0)</f>
        <v>0</v>
      </c>
      <c r="M240" s="322"/>
      <c r="N240" s="88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IFERROR(__xludf.DUMMYFUNCTION("IMPORTRANGE(""https://docs.google.com/spreadsheets/d/1QqKyyYR6Q21VydFLVH3TRQUabQu_ym0Zz7PgGX0-kHA/edit?usp=sharing"",""แผน!AX42"")"),0)</f>
        <v>0</v>
      </c>
      <c r="M241" s="322"/>
      <c r="N241" s="88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IFERROR(__xludf.DUMMYFUNCTION("IMPORTRANGE(""https://docs.google.com/spreadsheets/d/1QqKyyYR6Q21VydFLVH3TRQUabQu_ym0Zz7PgGX0-kHA/edit?usp=sharing"",""แผน!AY42"")"),0)</f>
        <v>0</v>
      </c>
      <c r="M242" s="322"/>
      <c r="N242" s="88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7" t="s">
        <v>38</v>
      </c>
      <c r="E243" s="173"/>
      <c r="F243" s="173"/>
      <c r="G243" s="174"/>
      <c r="H243" s="762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4" t="s">
        <v>35</v>
      </c>
      <c r="I244" s="270">
        <f ca="1">IFERROR(__xludf.DUMMYFUNCTION("IMPORTRANGE(""https://docs.google.com/spreadsheets/d/1QqKyyYR6Q21VydFLVH3TRQUabQu_ym0Zz7PgGX0-kHA/edit?usp=sharing"",""แผน!BE42"")"),0)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4" t="s">
        <v>43</v>
      </c>
      <c r="E245" s="178"/>
      <c r="F245" s="178"/>
      <c r="G245" s="179"/>
      <c r="H245" s="764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4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4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8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IFERROR(__xludf.DUMMYFUNCTION("IMPORTRANGE(""https://docs.google.com/spreadsheets/d/1QqKyyYR6Q21VydFLVH3TRQUabQu_ym0Zz7PgGX0-kHA/edit?usp=sharing"",""แผน!AZ42"")"),0)</f>
        <v>0</v>
      </c>
      <c r="M250" s="322"/>
      <c r="N250" s="88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IFERROR(__xludf.DUMMYFUNCTION("IMPORTRANGE(""https://docs.google.com/spreadsheets/d/1QqKyyYR6Q21VydFLVH3TRQUabQu_ym0Zz7PgGX0-kHA/edit?usp=sharing"",""แผน!BA42"")"),0)</f>
        <v>0</v>
      </c>
      <c r="M251" s="322"/>
      <c r="N251" s="88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IFERROR(__xludf.DUMMYFUNCTION("IMPORTRANGE(""https://docs.google.com/spreadsheets/d/1QqKyyYR6Q21VydFLVH3TRQUabQu_ym0Zz7PgGX0-kHA/edit?usp=sharing"",""แผน!BB42"")"),0)</f>
        <v>0</v>
      </c>
      <c r="M252" s="322"/>
      <c r="N252" s="88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IFERROR(__xludf.DUMMYFUNCTION("IMPORTRANGE(""https://docs.google.com/spreadsheets/d/1QqKyyYR6Q21VydFLVH3TRQUabQu_ym0Zz7PgGX0-kHA/edit?usp=sharing"",""แผน!BC42"")"),0)</f>
        <v>0</v>
      </c>
      <c r="M253" s="322"/>
      <c r="N253" s="88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7" t="s">
        <v>38</v>
      </c>
      <c r="E254" s="173"/>
      <c r="F254" s="173"/>
      <c r="G254" s="174"/>
      <c r="H254" s="762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4" t="s">
        <v>35</v>
      </c>
      <c r="I255" s="270">
        <f ca="1">IFERROR(__xludf.DUMMYFUNCTION("IMPORTRANGE(""https://docs.google.com/spreadsheets/d/1QqKyyYR6Q21VydFLVH3TRQUabQu_ym0Zz7PgGX0-kHA/edit?usp=sharing"",""แผน!BF42"")"),0)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4" t="s">
        <v>43</v>
      </c>
      <c r="E256" s="178"/>
      <c r="F256" s="178"/>
      <c r="G256" s="179"/>
      <c r="H256" s="764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4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4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30700</v>
      </c>
      <c r="N261" s="155">
        <f t="shared" ca="1" si="116"/>
        <v>30700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7"/>
      <c r="J262" s="617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7"/>
      <c r="J263" s="617"/>
      <c r="K263" s="93"/>
      <c r="L263" s="93">
        <f t="shared" ca="1" si="119"/>
        <v>30700</v>
      </c>
      <c r="M263" s="93">
        <f t="shared" ca="1" si="119"/>
        <v>30700</v>
      </c>
      <c r="N263" s="93">
        <f t="shared" ca="1" si="119"/>
        <v>30700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30700</v>
      </c>
      <c r="M264" s="498">
        <f t="shared" ca="1" si="120"/>
        <v>30700</v>
      </c>
      <c r="N264" s="498">
        <f t="shared" ca="1" si="120"/>
        <v>30700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IFERROR(__xludf.DUMMYFUNCTION("IMPORTRANGE(""https://docs.google.com/spreadsheets/d/1MeEWN-I1oV_STSDYn1IFDPWt_1FKiwhDph83XaGc0o0/edit?usp=sharing"",""งบพรบ!CY42"")"),30700)</f>
        <v>30700</v>
      </c>
      <c r="M266" s="93">
        <f ca="1">IFERROR(__xludf.DUMMYFUNCTION("IMPORTRANGE(""https://docs.google.com/spreadsheets/d/1MeEWN-I1oV_STSDYn1IFDPWt_1FKiwhDph83XaGc0o0/edit?usp=sharing"",""งบพรบ!DD42"")"),30700)</f>
        <v>30700</v>
      </c>
      <c r="N266" s="93">
        <f ca="1">IFERROR(__xludf.DUMMYFUNCTION("IMPORTRANGE(""https://docs.google.com/spreadsheets/d/1MeEWN-I1oV_STSDYn1IFDPWt_1FKiwhDph83XaGc0o0/edit?usp=sharing"",""งบพรบ!DF42"")"),30700)</f>
        <v>30700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IFERROR(__xludf.DUMMYFUNCTION("IMPORTRANGE(""https://docs.google.com/spreadsheets/d/1MeEWN-I1oV_STSDYn1IFDPWt_1FKiwhDph83XaGc0o0/edit?usp=sharing"",""งบพรบ!DB42"")"),0)</f>
        <v>0</v>
      </c>
      <c r="M269" s="93">
        <f ca="1">IFERROR(__xludf.DUMMYFUNCTION("IMPORTRANGE(""https://docs.google.com/spreadsheets/d/1MeEWN-I1oV_STSDYn1IFDPWt_1FKiwhDph83XaGc0o0/edit?usp=sharing"",""งบพรบ!DE42"")"),0)</f>
        <v>0</v>
      </c>
      <c r="N269" s="93">
        <f ca="1">IFERROR(__xludf.DUMMYFUNCTION("IMPORTRANGE(""https://docs.google.com/spreadsheets/d/1MeEWN-I1oV_STSDYn1IFDPWt_1FKiwhDph83XaGc0o0/edit?usp=sharing"",""งบพรบ!DG42"")"),0)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7" t="s">
        <v>38</v>
      </c>
      <c r="E270" s="173"/>
      <c r="F270" s="173"/>
      <c r="G270" s="174"/>
      <c r="H270" s="76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IFERROR(__xludf.DUMMYFUNCTION("IMPORTRANGE(""https://docs.google.com/spreadsheets/d/1QqKyyYR6Q21VydFLVH3TRQUabQu_ym0Zz7PgGX0-kHA/edit?usp=sharing"",""แผน!EA42"")"),26)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6">
        <v>0</v>
      </c>
      <c r="J272" s="506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40</v>
      </c>
      <c r="J275" s="406">
        <f t="shared" ca="1" si="122"/>
        <v>40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400</v>
      </c>
      <c r="J276" s="406">
        <f t="shared" si="124"/>
        <v>400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147030</v>
      </c>
      <c r="M277" s="155">
        <f t="shared" ca="1" si="125"/>
        <v>147030</v>
      </c>
      <c r="N277" s="155">
        <f t="shared" ca="1" si="125"/>
        <v>147030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7"/>
      <c r="J278" s="617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7"/>
      <c r="J279" s="617"/>
      <c r="K279" s="93"/>
      <c r="L279" s="93">
        <f t="shared" ca="1" si="128"/>
        <v>147030</v>
      </c>
      <c r="M279" s="93">
        <f t="shared" ca="1" si="128"/>
        <v>147030</v>
      </c>
      <c r="N279" s="93">
        <f t="shared" ca="1" si="128"/>
        <v>147030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147030</v>
      </c>
      <c r="M280" s="498">
        <f t="shared" ca="1" si="129"/>
        <v>147030</v>
      </c>
      <c r="N280" s="498">
        <f t="shared" ca="1" si="129"/>
        <v>147030</v>
      </c>
      <c r="O280" s="498">
        <f t="shared" ca="1" si="126"/>
        <v>100</v>
      </c>
      <c r="P280" s="49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IFERROR(__xludf.DUMMYFUNCTION("IMPORTRANGE(""https://docs.google.com/spreadsheets/d/1MeEWN-I1oV_STSDYn1IFDPWt_1FKiwhDph83XaGc0o0/edit?usp=sharing"",""งบพรบ!DI42"")"),147030)</f>
        <v>147030</v>
      </c>
      <c r="M282" s="93">
        <f ca="1">IFERROR(__xludf.DUMMYFUNCTION("IMPORTRANGE(""https://docs.google.com/spreadsheets/d/1MeEWN-I1oV_STSDYn1IFDPWt_1FKiwhDph83XaGc0o0/edit?usp=sharing"",""งบพรบ!DN42"")"),147030)</f>
        <v>147030</v>
      </c>
      <c r="N282" s="93">
        <f ca="1">IFERROR(__xludf.DUMMYFUNCTION("IMPORTRANGE(""https://docs.google.com/spreadsheets/d/1MeEWN-I1oV_STSDYn1IFDPWt_1FKiwhDph83XaGc0o0/edit?usp=sharing"",""งบพรบ!DP42"")"),147030)</f>
        <v>147030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IFERROR(__xludf.DUMMYFUNCTION("IMPORTRANGE(""https://docs.google.com/spreadsheets/d/1MeEWN-I1oV_STSDYn1IFDPWt_1FKiwhDph83XaGc0o0/edit?usp=sharing"",""งบพรบ!DL42"")"),0)</f>
        <v>0</v>
      </c>
      <c r="M285" s="93">
        <f ca="1">IFERROR(__xludf.DUMMYFUNCTION("IMPORTRANGE(""https://docs.google.com/spreadsheets/d/1MeEWN-I1oV_STSDYn1IFDPWt_1FKiwhDph83XaGc0o0/edit?usp=sharing"",""งบพรบ!DO42"")"),0)</f>
        <v>0</v>
      </c>
      <c r="N285" s="93">
        <f ca="1">IFERROR(__xludf.DUMMYFUNCTION("IMPORTRANGE(""https://docs.google.com/spreadsheets/d/1MeEWN-I1oV_STSDYn1IFDPWt_1FKiwhDph83XaGc0o0/edit?usp=sharing"",""งบพรบ!DQ42"")"),0)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7" t="s">
        <v>38</v>
      </c>
      <c r="E286" s="173"/>
      <c r="F286" s="173"/>
      <c r="G286" s="174"/>
      <c r="H286" s="76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6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IFERROR(__xludf.DUMMYFUNCTION("IMPORTRANGE(""https://docs.google.com/spreadsheets/d/1QqKyyYR6Q21VydFLVH3TRQUabQu_ym0Zz7PgGX0-kHA/edit?usp=sharing"",""แผน!EC42"")"),400)</f>
        <v>400</v>
      </c>
      <c r="J287" s="215">
        <v>400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6" t="s">
        <v>130</v>
      </c>
      <c r="E288" s="171"/>
      <c r="F288" s="178"/>
      <c r="G288" s="179"/>
      <c r="H288" s="180" t="s">
        <v>35</v>
      </c>
      <c r="I288" s="681">
        <f ca="1">IFERROR(__xludf.DUMMYFUNCTION("IMPORTRANGE(""https://docs.google.com/spreadsheets/d/1QqKyyYR6Q21VydFLVH3TRQUabQu_ym0Zz7PgGX0-kHA/edit?usp=sharing"",""แผน!EB42"")"),40)</f>
        <v>40</v>
      </c>
      <c r="J288" s="681">
        <f ca="1">IF(AND(J291&gt;=I288,J294&gt;=I288),J294,0)</f>
        <v>40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6" t="s">
        <v>132</v>
      </c>
      <c r="F290" s="178"/>
      <c r="G290" s="179"/>
      <c r="H290" s="764" t="s">
        <v>35</v>
      </c>
      <c r="I290" s="184">
        <f ca="1">IFERROR(__xludf.DUMMYFUNCTION("IMPORTRANGE(""https://docs.google.com/spreadsheets/d/1QqKyyYR6Q21VydFLVH3TRQUabQu_ym0Zz7PgGX0-kHA/edit?usp=sharing"",""แผน!EB42"")"),40)</f>
        <v>40</v>
      </c>
      <c r="J290" s="215">
        <v>40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6" t="s">
        <v>133</v>
      </c>
      <c r="F291" s="178"/>
      <c r="G291" s="179"/>
      <c r="H291" s="764" t="s">
        <v>35</v>
      </c>
      <c r="I291" s="184">
        <f ca="1">IFERROR(__xludf.DUMMYFUNCTION("IMPORTRANGE(""https://docs.google.com/spreadsheets/d/1QqKyyYR6Q21VydFLVH3TRQUabQu_ym0Zz7PgGX0-kHA/edit?usp=sharing"",""แผน!EB42"")"),40)</f>
        <v>40</v>
      </c>
      <c r="J291" s="215">
        <v>40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6" t="s">
        <v>132</v>
      </c>
      <c r="F293" s="178"/>
      <c r="G293" s="179"/>
      <c r="H293" s="764" t="s">
        <v>35</v>
      </c>
      <c r="I293" s="184">
        <f ca="1">IFERROR(__xludf.DUMMYFUNCTION("IMPORTRANGE(""https://docs.google.com/spreadsheets/d/1QqKyyYR6Q21VydFLVH3TRQUabQu_ym0Zz7PgGX0-kHA/edit?usp=sharing"",""แผน!EB42"")"),40)</f>
        <v>40</v>
      </c>
      <c r="J293" s="215">
        <v>40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4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IFERROR(__xludf.DUMMYFUNCTION("IMPORTRANGE(""https://docs.google.com/spreadsheets/d/1QqKyyYR6Q21VydFLVH3TRQUabQu_ym0Zz7PgGX0-kHA/edit?usp=sharing"",""แผน!EB42"")"),40)</f>
        <v>40</v>
      </c>
      <c r="J294" s="424">
        <v>40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96000</v>
      </c>
      <c r="N298" s="155">
        <f t="shared" ca="1" si="135"/>
        <v>96000</v>
      </c>
      <c r="O298" s="155">
        <f t="shared" ref="O298:O306" ca="1" si="136">IF(L298&gt;0,N298*100/L298,0)</f>
        <v>116.50485436893204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7"/>
      <c r="J299" s="617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7"/>
      <c r="J300" s="617"/>
      <c r="K300" s="93"/>
      <c r="L300" s="93">
        <f t="shared" ca="1" si="138"/>
        <v>82400</v>
      </c>
      <c r="M300" s="93">
        <f t="shared" ca="1" si="138"/>
        <v>96000</v>
      </c>
      <c r="N300" s="93">
        <f t="shared" ca="1" si="138"/>
        <v>96000</v>
      </c>
      <c r="O300" s="93">
        <f t="shared" ca="1" si="136"/>
        <v>116.50485436893204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96000</v>
      </c>
      <c r="N301" s="498">
        <f t="shared" ca="1" si="139"/>
        <v>96000</v>
      </c>
      <c r="O301" s="498">
        <f t="shared" ca="1" si="136"/>
        <v>116.50485436893204</v>
      </c>
      <c r="P301" s="49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IFERROR(__xludf.DUMMYFUNCTION("IMPORTRANGE(""https://docs.google.com/spreadsheets/d/1MeEWN-I1oV_STSDYn1IFDPWt_1FKiwhDph83XaGc0o0/edit?usp=sharing"",""งบพรบ!DS42"")"),82400)</f>
        <v>82400</v>
      </c>
      <c r="M303" s="93">
        <f ca="1">IFERROR(__xludf.DUMMYFUNCTION("IMPORTRANGE(""https://docs.google.com/spreadsheets/d/1MeEWN-I1oV_STSDYn1IFDPWt_1FKiwhDph83XaGc0o0/edit?usp=sharing"",""งบพรบ!DX42"")"),96000)</f>
        <v>96000</v>
      </c>
      <c r="N303" s="93">
        <f ca="1">IFERROR(__xludf.DUMMYFUNCTION("IMPORTRANGE(""https://docs.google.com/spreadsheets/d/1MeEWN-I1oV_STSDYn1IFDPWt_1FKiwhDph83XaGc0o0/edit?usp=sharing"",""งบพรบ!DZ42"")"),96000)</f>
        <v>96000</v>
      </c>
      <c r="O303" s="93">
        <f t="shared" ca="1" si="136"/>
        <v>116.50485436893204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IFERROR(__xludf.DUMMYFUNCTION("IMPORTRANGE(""https://docs.google.com/spreadsheets/d/1MeEWN-I1oV_STSDYn1IFDPWt_1FKiwhDph83XaGc0o0/edit?usp=sharing"",""งบพรบ!DV42"")"),0)</f>
        <v>0</v>
      </c>
      <c r="M306" s="93">
        <f ca="1">IFERROR(__xludf.DUMMYFUNCTION("IMPORTRANGE(""https://docs.google.com/spreadsheets/d/1MeEWN-I1oV_STSDYn1IFDPWt_1FKiwhDph83XaGc0o0/edit?usp=sharing"",""งบพรบ!DY42"")"),0)</f>
        <v>0</v>
      </c>
      <c r="N306" s="93">
        <f ca="1">IFERROR(__xludf.DUMMYFUNCTION("IMPORTRANGE(""https://docs.google.com/spreadsheets/d/1MeEWN-I1oV_STSDYn1IFDPWt_1FKiwhDph83XaGc0o0/edit?usp=sharing"",""งบพรบ!EA42"")"),0)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7" t="s">
        <v>38</v>
      </c>
      <c r="E307" s="173"/>
      <c r="F307" s="173"/>
      <c r="G307" s="174"/>
      <c r="H307" s="762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4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4" t="s">
        <v>35</v>
      </c>
      <c r="I309" s="270">
        <f ca="1">IFERROR(__xludf.DUMMYFUNCTION("IMPORTRANGE(""https://docs.google.com/spreadsheets/d/1QqKyyYR6Q21VydFLVH3TRQUabQu_ym0Zz7PgGX0-kHA/edit?usp=sharing"",""แผน!ED42"")"),20)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4" t="s">
        <v>35</v>
      </c>
      <c r="I310" s="270">
        <f ca="1">IFERROR(__xludf.DUMMYFUNCTION("IMPORTRANGE(""https://docs.google.com/spreadsheets/d/1QqKyyYR6Q21VydFLVH3TRQUabQu_ym0Zz7PgGX0-kHA/edit?usp=sharing"",""แผน!ED42"")"),20)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4" t="s">
        <v>35</v>
      </c>
      <c r="I311" s="270">
        <f ca="1">IFERROR(__xludf.DUMMYFUNCTION("IMPORTRANGE(""https://docs.google.com/spreadsheets/d/1QqKyyYR6Q21VydFLVH3TRQUabQu_ym0Zz7PgGX0-kHA/edit?usp=sharing"",""แผน!ED42"")"),20)</f>
        <v>20</v>
      </c>
      <c r="J311" s="215">
        <v>20</v>
      </c>
      <c r="K311" s="498">
        <f t="shared" ca="1" si="141"/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4" t="s">
        <v>35</v>
      </c>
      <c r="I312" s="270">
        <f ca="1">IFERROR(__xludf.DUMMYFUNCTION("IMPORTRANGE(""https://docs.google.com/spreadsheets/d/1QqKyyYR6Q21VydFLVH3TRQUabQu_ym0Zz7PgGX0-kHA/edit?usp=sharing"",""แผน!EE42"")"),4)</f>
        <v>4</v>
      </c>
      <c r="J312" s="215">
        <v>5</v>
      </c>
      <c r="K312" s="498">
        <f t="shared" ca="1" si="141"/>
        <v>125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7"/>
      <c r="J316" s="617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7"/>
      <c r="J317" s="617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IFERROR(__xludf.DUMMYFUNCTION("IMPORTRANGE(""https://docs.google.com/spreadsheets/d/1MeEWN-I1oV_STSDYn1IFDPWt_1FKiwhDph83XaGc0o0/edit?usp=sharing"",""งบพรบ!EC42"")"),0)</f>
        <v>0</v>
      </c>
      <c r="M320" s="93">
        <f ca="1">IFERROR(__xludf.DUMMYFUNCTION("IMPORTRANGE(""https://docs.google.com/spreadsheets/d/1MeEWN-I1oV_STSDYn1IFDPWt_1FKiwhDph83XaGc0o0/edit?usp=sharing"",""งบพรบ!EH42"")"),0)</f>
        <v>0</v>
      </c>
      <c r="N320" s="93">
        <f ca="1">IFERROR(__xludf.DUMMYFUNCTION("IMPORTRANGE(""https://docs.google.com/spreadsheets/d/1MeEWN-I1oV_STSDYn1IFDPWt_1FKiwhDph83XaGc0o0/edit?usp=sharing"",""งบพรบ!EJ42"")"),0)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IFERROR(__xludf.DUMMYFUNCTION("IMPORTRANGE(""https://docs.google.com/spreadsheets/d/1MeEWN-I1oV_STSDYn1IFDPWt_1FKiwhDph83XaGc0o0/edit?usp=sharing"",""งบพรบ!EF42"")"),0)</f>
        <v>0</v>
      </c>
      <c r="M323" s="93">
        <f ca="1">IFERROR(__xludf.DUMMYFUNCTION("IMPORTRANGE(""https://docs.google.com/spreadsheets/d/1MeEWN-I1oV_STSDYn1IFDPWt_1FKiwhDph83XaGc0o0/edit?usp=sharing"",""งบพรบ!EI42"")"),0)</f>
        <v>0</v>
      </c>
      <c r="N323" s="93">
        <f ca="1">IFERROR(__xludf.DUMMYFUNCTION("IMPORTRANGE(""https://docs.google.com/spreadsheets/d/1MeEWN-I1oV_STSDYn1IFDPWt_1FKiwhDph83XaGc0o0/edit?usp=sharing"",""งบพรบ!EK42"")"),0)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7" t="s">
        <v>38</v>
      </c>
      <c r="E324" s="173"/>
      <c r="F324" s="173"/>
      <c r="G324" s="174"/>
      <c r="H324" s="762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3" t="s">
        <v>146</v>
      </c>
      <c r="I325" s="270">
        <f ca="1">IFERROR(__xludf.DUMMYFUNCTION("IMPORTRANGE(""https://docs.google.com/spreadsheets/d/1QqKyyYR6Q21VydFLVH3TRQUabQu_ym0Zz7PgGX0-kHA/edit?usp=sharing"",""แผน!EF42"")"),0)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IFERROR(__xludf.DUMMYFUNCTION("IMPORTRANGE(""https://docs.google.com/spreadsheets/d/1QqKyyYR6Q21VydFLVH3TRQUabQu_ym0Zz7PgGX0-kHA/edit?usp=sharing"",""แผน!EG42"")"),5600)</f>
        <v>5600</v>
      </c>
      <c r="J327" s="444">
        <f ca="1">J338+J341+J342+J343</f>
        <v>10144</v>
      </c>
      <c r="K327" s="445">
        <f ca="1">IF(I327&gt;0,J327*100/I327,0)</f>
        <v>181.14285714285714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271600</v>
      </c>
      <c r="M328" s="155">
        <f t="shared" ca="1" si="149"/>
        <v>274100</v>
      </c>
      <c r="N328" s="155">
        <f t="shared" ca="1" si="149"/>
        <v>274100</v>
      </c>
      <c r="O328" s="155">
        <f t="shared" ref="O328:O336" ca="1" si="150">IF(L328&gt;0,N328*100/L328,0)</f>
        <v>100.92047128129602</v>
      </c>
      <c r="P328" s="155">
        <f t="shared" ref="P328:P336" ca="1" si="151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7"/>
      <c r="J329" s="617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7"/>
      <c r="J330" s="617"/>
      <c r="K330" s="93"/>
      <c r="L330" s="93">
        <f t="shared" ca="1" si="152"/>
        <v>271600</v>
      </c>
      <c r="M330" s="93">
        <f t="shared" ca="1" si="152"/>
        <v>274100</v>
      </c>
      <c r="N330" s="93">
        <f t="shared" ca="1" si="152"/>
        <v>274100</v>
      </c>
      <c r="O330" s="93">
        <f t="shared" ca="1" si="150"/>
        <v>100.92047128129602</v>
      </c>
      <c r="P330" s="93">
        <f t="shared" ca="1" si="151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271600</v>
      </c>
      <c r="M331" s="498">
        <f t="shared" ca="1" si="153"/>
        <v>274100</v>
      </c>
      <c r="N331" s="498">
        <f t="shared" ca="1" si="153"/>
        <v>274100</v>
      </c>
      <c r="O331" s="498">
        <f t="shared" ca="1" si="150"/>
        <v>100.92047128129602</v>
      </c>
      <c r="P331" s="498">
        <f t="shared" ca="1" si="151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IFERROR(__xludf.DUMMYFUNCTION("IMPORTRANGE(""https://docs.google.com/spreadsheets/d/1MeEWN-I1oV_STSDYn1IFDPWt_1FKiwhDph83XaGc0o0/edit?usp=sharing"",""งบพรบ!EM42"")"),271600)</f>
        <v>271600</v>
      </c>
      <c r="M333" s="93">
        <f ca="1">IFERROR(__xludf.DUMMYFUNCTION("IMPORTRANGE(""https://docs.google.com/spreadsheets/d/1MeEWN-I1oV_STSDYn1IFDPWt_1FKiwhDph83XaGc0o0/edit?usp=sharing"",""งบพรบ!ER42"")"),274100)</f>
        <v>274100</v>
      </c>
      <c r="N333" s="93">
        <f ca="1">IFERROR(__xludf.DUMMYFUNCTION("IMPORTRANGE(""https://docs.google.com/spreadsheets/d/1MeEWN-I1oV_STSDYn1IFDPWt_1FKiwhDph83XaGc0o0/edit?usp=sharing"",""งบพรบ!ET42"")"),274100)</f>
        <v>274100</v>
      </c>
      <c r="O333" s="93">
        <f t="shared" ca="1" si="150"/>
        <v>100.92047128129602</v>
      </c>
      <c r="P333" s="93">
        <f t="shared" ca="1" si="151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IFERROR(__xludf.DUMMYFUNCTION("IMPORTRANGE(""https://docs.google.com/spreadsheets/d/1MeEWN-I1oV_STSDYn1IFDPWt_1FKiwhDph83XaGc0o0/edit?usp=sharing"",""งบพรบ!EP42"")"),0)</f>
        <v>0</v>
      </c>
      <c r="M336" s="93">
        <f ca="1">IFERROR(__xludf.DUMMYFUNCTION("IMPORTRANGE(""https://docs.google.com/spreadsheets/d/1MeEWN-I1oV_STSDYn1IFDPWt_1FKiwhDph83XaGc0o0/edit?usp=sharing"",""งบพรบ!ES42"")"),0)</f>
        <v>0</v>
      </c>
      <c r="N336" s="93">
        <f ca="1">IFERROR(__xludf.DUMMYFUNCTION("IMPORTRANGE(""https://docs.google.com/spreadsheets/d/1MeEWN-I1oV_STSDYn1IFDPWt_1FKiwhDph83XaGc0o0/edit?usp=sharing"",""งบพรบ!EU42"")"),0)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86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62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IFERROR(__xludf.DUMMYFUNCTION("IMPORTRANGE(""https://docs.google.com/spreadsheets/d/1QqKyyYR6Q21VydFLVH3TRQUabQu_ym0Zz7PgGX0-kHA/edit?usp=sharing"",""แผน!EG42"")"),5600)</f>
        <v>5600</v>
      </c>
      <c r="J338" s="270">
        <f ca="1">IFERROR(__xludf.DUMMYFUNCTION("IMPORTRANGE(""https://docs.google.com/spreadsheets/d/1kVcqe37tkHyjCSG3S0O1AXqVkqjo8mSIZil3BcpIysc/edit?usp=sharing"",""ศูนย์!D42"")"),9986)</f>
        <v>9986</v>
      </c>
      <c r="K338" s="498">
        <f ca="1">IF(I338&gt;0,J338*100/I338,0)</f>
        <v>178.32142857142858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IFERROR(__xludf.DUMMYFUNCTION("IMPORTRANGE(""https://docs.google.com/spreadsheets/d/1QqKyyYR6Q21VydFLVH3TRQUabQu_ym0Zz7PgGX0-kHA/edit?usp=sharing"",""แผน!EH42"")"),8)</f>
        <v>8</v>
      </c>
      <c r="J340" s="270">
        <f ca="1">IFERROR(__xludf.DUMMYFUNCTION("IMPORTRANGE(""https://docs.google.com/spreadsheets/d/1kVcqe37tkHyjCSG3S0O1AXqVkqjo8mSIZil3BcpIysc/edit?usp=sharing"",""ศูนย์!E42"")"),8)</f>
        <v>8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IFERROR(__xludf.DUMMYFUNCTION("IMPORTRANGE(""https://docs.google.com/spreadsheets/d/1kVcqe37tkHyjCSG3S0O1AXqVkqjo8mSIZil3BcpIysc/edit?usp=sharing"",""ศูนย์!F42"")"),155)</f>
        <v>155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IFERROR(__xludf.DUMMYFUNCTION("IMPORTRANGE(""https://docs.google.com/spreadsheets/d/1kVcqe37tkHyjCSG3S0O1AXqVkqjo8mSIZil3BcpIysc/edit?usp=sharing"",""ศูนย์!G42"")"),3)</f>
        <v>3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IFERROR(__xludf.DUMMYFUNCTION("IMPORTRANGE(""https://docs.google.com/spreadsheets/d/1kVcqe37tkHyjCSG3S0O1AXqVkqjo8mSIZil3BcpIysc/edit?usp=sharing"",""ศูนย์!H42"")"),0)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1261590</v>
      </c>
      <c r="M345" s="155">
        <f t="shared" ca="1" si="155"/>
        <v>1336670</v>
      </c>
      <c r="N345" s="155">
        <f t="shared" ca="1" si="155"/>
        <v>1336670</v>
      </c>
      <c r="O345" s="155">
        <f t="shared" ref="O345:O353" ca="1" si="156">IF(L345&gt;0,N345*100/L345,0)</f>
        <v>105.95122028551273</v>
      </c>
      <c r="P345" s="155">
        <f t="shared" ref="P345:P353" ca="1" si="157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7"/>
      <c r="J346" s="617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7"/>
      <c r="J347" s="617"/>
      <c r="K347" s="93"/>
      <c r="L347" s="93">
        <f t="shared" ca="1" si="158"/>
        <v>1261590</v>
      </c>
      <c r="M347" s="93">
        <f t="shared" ca="1" si="158"/>
        <v>1336670</v>
      </c>
      <c r="N347" s="93">
        <f t="shared" ca="1" si="158"/>
        <v>1336670</v>
      </c>
      <c r="O347" s="93">
        <f t="shared" ca="1" si="156"/>
        <v>105.95122028551273</v>
      </c>
      <c r="P347" s="93">
        <f t="shared" ca="1" si="157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1044090</v>
      </c>
      <c r="M348" s="498">
        <f t="shared" ca="1" si="159"/>
        <v>1119170</v>
      </c>
      <c r="N348" s="498">
        <f t="shared" ca="1" si="159"/>
        <v>1119170</v>
      </c>
      <c r="O348" s="498">
        <f t="shared" ca="1" si="156"/>
        <v>107.19095097165953</v>
      </c>
      <c r="P348" s="498">
        <f t="shared" ca="1" si="157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IFERROR(__xludf.DUMMYFUNCTION("IMPORTRANGE(""https://docs.google.com/spreadsheets/d/1MeEWN-I1oV_STSDYn1IFDPWt_1FKiwhDph83XaGc0o0/edit?usp=sharing"",""งบพรบ!EW42"")"),1044090)</f>
        <v>1044090</v>
      </c>
      <c r="M350" s="93">
        <f ca="1">IFERROR(__xludf.DUMMYFUNCTION("IMPORTRANGE(""https://docs.google.com/spreadsheets/d/1MeEWN-I1oV_STSDYn1IFDPWt_1FKiwhDph83XaGc0o0/edit?usp=sharing"",""งบพรบ!FB42"")"),1119170)</f>
        <v>1119170</v>
      </c>
      <c r="N350" s="93">
        <f ca="1">IFERROR(__xludf.DUMMYFUNCTION("IMPORTRANGE(""https://docs.google.com/spreadsheets/d/1MeEWN-I1oV_STSDYn1IFDPWt_1FKiwhDph83XaGc0o0/edit?usp=sharing"",""งบพรบ!FD42"")"),1119170)</f>
        <v>1119170</v>
      </c>
      <c r="O350" s="93">
        <f t="shared" ca="1" si="156"/>
        <v>107.19095097165953</v>
      </c>
      <c r="P350" s="93">
        <f t="shared" ca="1" si="157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217500</v>
      </c>
      <c r="M351" s="498">
        <f t="shared" ca="1" si="160"/>
        <v>217500</v>
      </c>
      <c r="N351" s="498">
        <f t="shared" ca="1" si="160"/>
        <v>217500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IFERROR(__xludf.DUMMYFUNCTION("IMPORTRANGE(""https://docs.google.com/spreadsheets/d/1MeEWN-I1oV_STSDYn1IFDPWt_1FKiwhDph83XaGc0o0/edit?usp=sharing"",""งบพรบ!EZ42"")"),217500)</f>
        <v>217500</v>
      </c>
      <c r="M353" s="93">
        <f ca="1">IFERROR(__xludf.DUMMYFUNCTION("IMPORTRANGE(""https://docs.google.com/spreadsheets/d/1MeEWN-I1oV_STSDYn1IFDPWt_1FKiwhDph83XaGc0o0/edit?usp=sharing"",""งบพรบ!FC42"")"),217500)</f>
        <v>217500</v>
      </c>
      <c r="N353" s="93">
        <f ca="1">IFERROR(__xludf.DUMMYFUNCTION("IMPORTRANGE(""https://docs.google.com/spreadsheets/d/1MeEWN-I1oV_STSDYn1IFDPWt_1FKiwhDph83XaGc0o0/edit?usp=sharing"",""งบพรบ!FE42"")"),217500)</f>
        <v>217500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88" t="s">
        <v>351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IFERROR(__xludf.DUMMYFUNCTION("IMPORTRANGE(""https://docs.google.com/spreadsheets/d/1QqKyyYR6Q21VydFLVH3TRQUabQu_ym0Zz7PgGX0-kHA/edit?usp=sharing"",""แผน!EP42"")"),670)</f>
        <v>670</v>
      </c>
      <c r="J355" s="465">
        <f ca="1">J362</f>
        <v>748</v>
      </c>
      <c r="K355" s="466">
        <f ca="1">IF(I355&gt;0,J355*100/I355,0)</f>
        <v>111.64179104477611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77" t="s">
        <v>38</v>
      </c>
      <c r="E357" s="173"/>
      <c r="F357" s="173"/>
      <c r="G357" s="174"/>
      <c r="H357" s="762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IFERROR(__xludf.DUMMYFUNCTION("IMPORTRANGE(""https://docs.google.com/spreadsheets/d/1XWAQStnk-4SwqDmLtmXYiTMKHgktTP8We1SCoS47DrQ/edit?usp=sharing"",""จัดที่ดิน!W42"")"),803)</f>
        <v>803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IFERROR(__xludf.DUMMYFUNCTION("IMPORTRANGE(""https://docs.google.com/spreadsheets/d/1QqKyyYR6Q21VydFLVH3TRQUabQu_ym0Zz7PgGX0-kHA/edit?usp=sharing"",""แผน!EO42"")"),6700)</f>
        <v>6700</v>
      </c>
      <c r="J359" s="270">
        <f ca="1">IFERROR(__xludf.DUMMYFUNCTION("IMPORTRANGE(""https://docs.google.com/spreadsheets/d/1XWAQStnk-4SwqDmLtmXYiTMKHgktTP8We1SCoS47DrQ/edit?usp=sharing"",""จัดที่ดิน!X42"")"),6080.66)</f>
        <v>6080.66</v>
      </c>
      <c r="K359" s="498">
        <f t="shared" ca="1" si="161"/>
        <v>90.756119402985078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4" t="s">
        <v>35</v>
      </c>
      <c r="I360" s="270">
        <f ca="1">IFERROR(__xludf.DUMMYFUNCTION("IMPORTRANGE(""https://docs.google.com/spreadsheets/d/1QqKyyYR6Q21VydFLVH3TRQUabQu_ym0Zz7PgGX0-kHA/edit?usp=sharing"",""แผน!EP42"")"),670)</f>
        <v>670</v>
      </c>
      <c r="J360" s="270">
        <f ca="1">IFERROR(__xludf.DUMMYFUNCTION("IMPORTRANGE(""https://docs.google.com/spreadsheets/d/1XWAQStnk-4SwqDmLtmXYiTMKHgktTP8We1SCoS47DrQ/edit?usp=sharing"",""จัดที่ดิน!Y42"")"),779)</f>
        <v>779</v>
      </c>
      <c r="K360" s="498">
        <f t="shared" ca="1" si="161"/>
        <v>116.26865671641791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IFERROR(__xludf.DUMMYFUNCTION("IMPORTRANGE(""https://docs.google.com/spreadsheets/d/1XWAQStnk-4SwqDmLtmXYiTMKHgktTP8We1SCoS47DrQ/edit?usp=sharing"",""จัดที่ดิน!Z42"")"),5914.79999999999)</f>
        <v>5914.7999999999902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4" t="s">
        <v>35</v>
      </c>
      <c r="I362" s="270">
        <f ca="1">IFERROR(__xludf.DUMMYFUNCTION("IMPORTRANGE(""https://docs.google.com/spreadsheets/d/1QqKyyYR6Q21VydFLVH3TRQUabQu_ym0Zz7PgGX0-kHA/edit?usp=sharing"",""แผน!EP42"")"),670)</f>
        <v>670</v>
      </c>
      <c r="J362" s="270">
        <f ca="1">IFERROR(__xludf.DUMMYFUNCTION("IMPORTRANGE(""https://docs.google.com/spreadsheets/d/1XWAQStnk-4SwqDmLtmXYiTMKHgktTP8We1SCoS47DrQ/edit?usp=sharing"",""จัดที่ดิน!AA42"")"),748)</f>
        <v>748</v>
      </c>
      <c r="K362" s="498">
        <f t="shared" ca="1" si="161"/>
        <v>111.64179104477611</v>
      </c>
      <c r="L362" s="163"/>
      <c r="M362" s="163"/>
      <c r="N362" s="163"/>
      <c r="O362" s="163"/>
      <c r="P362" s="163"/>
    </row>
    <row r="363" spans="1:26" ht="18.75" hidden="1">
      <c r="A363" s="499" t="s">
        <v>169</v>
      </c>
      <c r="B363" s="178"/>
      <c r="C363" s="171"/>
      <c r="D363" s="178"/>
      <c r="E363" s="447"/>
      <c r="F363" s="178"/>
      <c r="G363" s="179"/>
      <c r="H363" s="76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IFERROR(__xludf.DUMMYFUNCTION("IMPORTRANGE(""https://docs.google.com/spreadsheets/d/1XWAQStnk-4SwqDmLtmXYiTMKHgktTP8We1SCoS47DrQ/edit?usp=sharing"",""จัดที่ดิน!AB42"")"),5703.68)</f>
        <v>5703.68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t="shared" ref="I364:J364" ca="1" si="162">I365+I374</f>
        <v>1120</v>
      </c>
      <c r="J364" s="479">
        <f t="shared" ca="1" si="162"/>
        <v>1558</v>
      </c>
      <c r="K364" s="480">
        <f t="shared" ca="1" si="161"/>
        <v>139.10714285714286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IFERROR(__xludf.DUMMYFUNCTION("IMPORTRANGE(""https://docs.google.com/spreadsheets/d/1QqKyyYR6Q21VydFLVH3TRQUabQu_ym0Zz7PgGX0-kHA/edit?usp=sharing"",""แผน!EJ42"")"),120)</f>
        <v>120</v>
      </c>
      <c r="J365" s="491">
        <f ca="1">J372</f>
        <v>135</v>
      </c>
      <c r="K365" s="492">
        <f t="shared" ca="1" si="161"/>
        <v>112.5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77" t="s">
        <v>38</v>
      </c>
      <c r="E367" s="173"/>
      <c r="F367" s="173"/>
      <c r="G367" s="174"/>
      <c r="H367" s="762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IFERROR(__xludf.DUMMYFUNCTION("IMPORTRANGE(""https://docs.google.com/spreadsheets/d/1XWAQStnk-4SwqDmLtmXYiTMKHgktTP8We1SCoS47DrQ/edit?usp=sharing"",""จัดที่ดิน!E42"")"),167)</f>
        <v>167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IFERROR(__xludf.DUMMYFUNCTION("IMPORTRANGE(""https://docs.google.com/spreadsheets/d/1QqKyyYR6Q21VydFLVH3TRQUabQu_ym0Zz7PgGX0-kHA/edit?usp=sharing"",""แผน!EI42"")"),1200)</f>
        <v>1200</v>
      </c>
      <c r="J369" s="270">
        <f ca="1">IFERROR(__xludf.DUMMYFUNCTION("IMPORTRANGE(""https://docs.google.com/spreadsheets/d/1XWAQStnk-4SwqDmLtmXYiTMKHgktTP8We1SCoS47DrQ/edit?usp=sharing"",""จัดที่ดิน!F42"")"),1081.67)</f>
        <v>1081.67</v>
      </c>
      <c r="K369" s="498">
        <f t="shared" ca="1" si="163"/>
        <v>90.139166666666668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4" t="s">
        <v>35</v>
      </c>
      <c r="I370" s="270">
        <f ca="1">IFERROR(__xludf.DUMMYFUNCTION("IMPORTRANGE(""https://docs.google.com/spreadsheets/d/1QqKyyYR6Q21VydFLVH3TRQUabQu_ym0Zz7PgGX0-kHA/edit?usp=sharing"",""แผน!EJ42"")"),120)</f>
        <v>120</v>
      </c>
      <c r="J370" s="270">
        <f ca="1">IFERROR(__xludf.DUMMYFUNCTION("IMPORTRANGE(""https://docs.google.com/spreadsheets/d/1XWAQStnk-4SwqDmLtmXYiTMKHgktTP8We1SCoS47DrQ/edit?usp=sharing"",""จัดที่ดิน!G42"")"),143)</f>
        <v>143</v>
      </c>
      <c r="K370" s="498">
        <f t="shared" ca="1" si="163"/>
        <v>119.16666666666667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IFERROR(__xludf.DUMMYFUNCTION("IMPORTRANGE(""https://docs.google.com/spreadsheets/d/1XWAQStnk-4SwqDmLtmXYiTMKHgktTP8We1SCoS47DrQ/edit?usp=sharing"",""จัดที่ดิน!H42"")"),915.81)</f>
        <v>915.81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4" t="s">
        <v>35</v>
      </c>
      <c r="I372" s="270">
        <f ca="1">IFERROR(__xludf.DUMMYFUNCTION("IMPORTRANGE(""https://docs.google.com/spreadsheets/d/1QqKyyYR6Q21VydFLVH3TRQUabQu_ym0Zz7PgGX0-kHA/edit?usp=sharing"",""แผน!EJ42"")"),120)</f>
        <v>120</v>
      </c>
      <c r="J372" s="270">
        <f ca="1">IFERROR(__xludf.DUMMYFUNCTION("IMPORTRANGE(""https://docs.google.com/spreadsheets/d/1XWAQStnk-4SwqDmLtmXYiTMKHgktTP8We1SCoS47DrQ/edit?usp=sharing"",""จัดที่ดิน!I42"")"),135)</f>
        <v>135</v>
      </c>
      <c r="K372" s="498">
        <f t="shared" ca="1" si="163"/>
        <v>112.5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8"/>
      <c r="C373" s="171"/>
      <c r="D373" s="178"/>
      <c r="E373" s="447"/>
      <c r="F373" s="178"/>
      <c r="G373" s="179"/>
      <c r="H373" s="76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IFERROR(__xludf.DUMMYFUNCTION("IMPORTRANGE(""https://docs.google.com/spreadsheets/d/1XWAQStnk-4SwqDmLtmXYiTMKHgktTP8We1SCoS47DrQ/edit?usp=sharing"",""จัดที่ดิน!J42"")"),858.41)</f>
        <v>858.41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IFERROR(__xludf.DUMMYFUNCTION("IMPORTRANGE(""https://docs.google.com/spreadsheets/d/1QqKyyYR6Q21VydFLVH3TRQUabQu_ym0Zz7PgGX0-kHA/edit?usp=sharing"",""แผน!EU42"")"),1000)</f>
        <v>1000</v>
      </c>
      <c r="J374" s="491">
        <f ca="1">J381</f>
        <v>1423</v>
      </c>
      <c r="K374" s="492">
        <f t="shared" ca="1" si="163"/>
        <v>142.30000000000001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77" t="s">
        <v>38</v>
      </c>
      <c r="E376" s="173"/>
      <c r="F376" s="173"/>
      <c r="G376" s="174"/>
      <c r="H376" s="762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IFERROR(__xludf.DUMMYFUNCTION("IMPORTRANGE(""https://docs.google.com/spreadsheets/d/1XWAQStnk-4SwqDmLtmXYiTMKHgktTP8We1SCoS47DrQ/edit?usp=sharing"",""จัดที่ดิน!AH42"")"),636)</f>
        <v>636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IFERROR(__xludf.DUMMYFUNCTION("IMPORTRANGE(""https://docs.google.com/spreadsheets/d/1QqKyyYR6Q21VydFLVH3TRQUabQu_ym0Zz7PgGX0-kHA/edit?usp=sharing"",""แผน!ET42"")"),5500)</f>
        <v>5500</v>
      </c>
      <c r="J378" s="270">
        <f ca="1">IFERROR(__xludf.DUMMYFUNCTION("IMPORTRANGE(""https://docs.google.com/spreadsheets/d/1XWAQStnk-4SwqDmLtmXYiTMKHgktTP8We1SCoS47DrQ/edit?usp=sharing"",""จัดที่ดิน!AI42"")"),4998.99)</f>
        <v>4998.99</v>
      </c>
      <c r="K378" s="498">
        <f t="shared" ca="1" si="164"/>
        <v>90.890727272727275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4" t="s">
        <v>35</v>
      </c>
      <c r="I379" s="270">
        <f ca="1">IFERROR(__xludf.DUMMYFUNCTION("IMPORTRANGE(""https://docs.google.com/spreadsheets/d/1QqKyyYR6Q21VydFLVH3TRQUabQu_ym0Zz7PgGX0-kHA/edit?usp=sharing"",""แผน!EU42"")"),1000)</f>
        <v>1000</v>
      </c>
      <c r="J379" s="270">
        <f ca="1">IFERROR(__xludf.DUMMYFUNCTION("IMPORTRANGE(""https://docs.google.com/spreadsheets/d/1XWAQStnk-4SwqDmLtmXYiTMKHgktTP8We1SCoS47DrQ/edit?usp=sharing"",""จัดที่ดิน!AJ42"")"),1481)</f>
        <v>1481</v>
      </c>
      <c r="K379" s="498">
        <f t="shared" ca="1" si="164"/>
        <v>148.1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IFERROR(__xludf.DUMMYFUNCTION("IMPORTRANGE(""https://docs.google.com/spreadsheets/d/1XWAQStnk-4SwqDmLtmXYiTMKHgktTP8We1SCoS47DrQ/edit?usp=sharing"",""จัดที่ดิน!AK42"")"),14603.5399999999)</f>
        <v>14603.539999999901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4" t="s">
        <v>35</v>
      </c>
      <c r="I381" s="270">
        <f ca="1">IFERROR(__xludf.DUMMYFUNCTION("IMPORTRANGE(""https://docs.google.com/spreadsheets/d/1QqKyyYR6Q21VydFLVH3TRQUabQu_ym0Zz7PgGX0-kHA/edit?usp=sharing"",""แผน!EU42"")"),1000)</f>
        <v>1000</v>
      </c>
      <c r="J381" s="270">
        <f ca="1">IFERROR(__xludf.DUMMYFUNCTION("IMPORTRANGE(""https://docs.google.com/spreadsheets/d/1XWAQStnk-4SwqDmLtmXYiTMKHgktTP8We1SCoS47DrQ/edit?usp=sharing"",""จัดที่ดิน!AL42"")"),1423)</f>
        <v>1423</v>
      </c>
      <c r="K381" s="498">
        <f t="shared" ca="1" si="164"/>
        <v>142.30000000000001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8"/>
      <c r="C382" s="171"/>
      <c r="D382" s="178"/>
      <c r="E382" s="447"/>
      <c r="F382" s="178"/>
      <c r="G382" s="179"/>
      <c r="H382" s="76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IFERROR(__xludf.DUMMYFUNCTION("IMPORTRANGE(""https://docs.google.com/spreadsheets/d/1XWAQStnk-4SwqDmLtmXYiTMKHgktTP8We1SCoS47DrQ/edit?usp=sharing"",""จัดที่ดิน!AM42"")"),13959.58)</f>
        <v>13959.58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500"/>
      <c r="B383" s="501"/>
      <c r="C383" s="291"/>
      <c r="D383" s="889" t="s">
        <v>170</v>
      </c>
      <c r="E383" s="291"/>
      <c r="F383" s="291"/>
      <c r="G383" s="503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86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62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4" t="s">
        <v>171</v>
      </c>
      <c r="F385" s="381"/>
      <c r="G385" s="382"/>
      <c r="H385" s="505" t="s">
        <v>35</v>
      </c>
      <c r="I385" s="506">
        <f ca="1">IFERROR(__xludf.DUMMYFUNCTION("IMPORTRANGE(""https://docs.google.com/spreadsheets/d/1QqKyyYR6Q21VydFLVH3TRQUabQu_ym0Zz7PgGX0-kHA/edit?usp=sharing"",""แผน!EW42"")"),100)</f>
        <v>100</v>
      </c>
      <c r="J385" s="506">
        <f ca="1">IFERROR(__xludf.DUMMYFUNCTION("IMPORTRANGE(""https://docs.google.com/spreadsheets/d/1XWAQStnk-4SwqDmLtmXYiTMKHgktTP8We1SCoS47DrQ/edit?usp=sharing"",""จัดที่ดิน!AP42"")"),89)</f>
        <v>89</v>
      </c>
      <c r="K385" s="507">
        <f ca="1">IF(I385&gt;0,J385*100/I385,0)</f>
        <v>89</v>
      </c>
      <c r="L385" s="385"/>
      <c r="M385" s="385"/>
      <c r="N385" s="385"/>
      <c r="O385" s="385"/>
      <c r="P385" s="385"/>
    </row>
    <row r="386" spans="1:26" ht="19.5" hidden="1">
      <c r="A386" s="508" t="s">
        <v>172</v>
      </c>
      <c r="B386" s="509"/>
      <c r="C386" s="509"/>
      <c r="D386" s="509"/>
      <c r="E386" s="510"/>
      <c r="F386" s="510"/>
      <c r="G386" s="511"/>
      <c r="H386" s="512"/>
      <c r="I386" s="513"/>
      <c r="J386" s="513"/>
      <c r="K386" s="514"/>
      <c r="L386" s="514"/>
      <c r="M386" s="514"/>
      <c r="N386" s="514"/>
      <c r="O386" s="514"/>
      <c r="P386" s="514"/>
    </row>
    <row r="387" spans="1:26" ht="19.5" hidden="1">
      <c r="A387" s="515" t="s">
        <v>173</v>
      </c>
      <c r="B387" s="516"/>
      <c r="C387" s="516"/>
      <c r="D387" s="517"/>
      <c r="E387" s="516"/>
      <c r="F387" s="516"/>
      <c r="G387" s="516"/>
      <c r="H387" s="518"/>
      <c r="I387" s="519"/>
      <c r="J387" s="519"/>
      <c r="K387" s="520"/>
      <c r="L387" s="520"/>
      <c r="M387" s="520"/>
      <c r="N387" s="520"/>
      <c r="O387" s="520"/>
      <c r="P387" s="520"/>
    </row>
    <row r="388" spans="1:26" ht="19.5" hidden="1">
      <c r="A388" s="521"/>
      <c r="B388" s="522" t="s">
        <v>174</v>
      </c>
      <c r="C388" s="523"/>
      <c r="D388" s="524"/>
      <c r="E388" s="524"/>
      <c r="F388" s="524"/>
      <c r="G388" s="525"/>
      <c r="H388" s="526" t="s">
        <v>66</v>
      </c>
      <c r="I388" s="527">
        <f t="shared" ref="I388:J388" si="165">I400</f>
        <v>0</v>
      </c>
      <c r="J388" s="527">
        <f t="shared" si="165"/>
        <v>0</v>
      </c>
      <c r="K388" s="528">
        <f>IF(I388&gt;0,J388*100/I388,0)</f>
        <v>0</v>
      </c>
      <c r="L388" s="529"/>
      <c r="M388" s="529"/>
      <c r="N388" s="529"/>
      <c r="O388" s="529"/>
      <c r="P388" s="529"/>
    </row>
    <row r="389" spans="1:26" ht="19.5" hidden="1">
      <c r="A389" s="147"/>
      <c r="B389" s="148"/>
      <c r="C389" s="149" t="s">
        <v>16</v>
      </c>
      <c r="D389" s="87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7"/>
      <c r="J390" s="617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7"/>
      <c r="J391" s="617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IFERROR(__xludf.DUMMYFUNCTION("IMPORTRANGE(""https://docs.google.com/spreadsheets/d/1MeEWN-I1oV_STSDYn1IFDPWt_1FKiwhDph83XaGc0o0/edit?usp=sharing"",""งบพรบ!FG42"")"),0)</f>
        <v>0</v>
      </c>
      <c r="M394" s="93">
        <f ca="1">IFERROR(__xludf.DUMMYFUNCTION("IMPORTRANGE(""https://docs.google.com/spreadsheets/d/1MeEWN-I1oV_STSDYn1IFDPWt_1FKiwhDph83XaGc0o0/edit?usp=sharing"",""งบพรบ!FL42"")"),0)</f>
        <v>0</v>
      </c>
      <c r="N394" s="93">
        <f ca="1">IFERROR(__xludf.DUMMYFUNCTION("IMPORTRANGE(""https://docs.google.com/spreadsheets/d/1MeEWN-I1oV_STSDYn1IFDPWt_1FKiwhDph83XaGc0o0/edit?usp=sharing"",""งบพรบ!FN42"")"),0)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IFERROR(__xludf.DUMMYFUNCTION("IMPORTRANGE(""https://docs.google.com/spreadsheets/d/1MeEWN-I1oV_STSDYn1IFDPWt_1FKiwhDph83XaGc0o0/edit?usp=sharing"",""งบพรบ!FJ42"")"),0)</f>
        <v>0</v>
      </c>
      <c r="M397" s="93">
        <f ca="1">IFERROR(__xludf.DUMMYFUNCTION("IMPORTRANGE(""https://docs.google.com/spreadsheets/d/1MeEWN-I1oV_STSDYn1IFDPWt_1FKiwhDph83XaGc0o0/edit?usp=sharing"",""งบพรบ!FM42"")"),0)</f>
        <v>0</v>
      </c>
      <c r="N397" s="93">
        <f ca="1">IFERROR(__xludf.DUMMYFUNCTION("IMPORTRANGE(""https://docs.google.com/spreadsheets/d/1MeEWN-I1oV_STSDYn1IFDPWt_1FKiwhDph83XaGc0o0/edit?usp=sharing"",""งบพรบ!FO42"")"),0)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7" t="s">
        <v>38</v>
      </c>
      <c r="E398" s="173"/>
      <c r="F398" s="173"/>
      <c r="G398" s="174"/>
      <c r="H398" s="762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30"/>
      <c r="B399" s="148"/>
      <c r="C399" s="531"/>
      <c r="D399" s="532" t="s">
        <v>175</v>
      </c>
      <c r="E399" s="415"/>
      <c r="F399" s="148"/>
      <c r="G399" s="151"/>
      <c r="H399" s="533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4"/>
      <c r="M399" s="534"/>
      <c r="N399" s="534"/>
      <c r="O399" s="534"/>
      <c r="P399" s="534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1"/>
      <c r="B401" s="522" t="s">
        <v>177</v>
      </c>
      <c r="C401" s="523"/>
      <c r="D401" s="524"/>
      <c r="E401" s="524"/>
      <c r="F401" s="524"/>
      <c r="G401" s="525"/>
      <c r="H401" s="526" t="s">
        <v>66</v>
      </c>
      <c r="I401" s="527">
        <f t="shared" ref="I401:J401" si="173">I412</f>
        <v>0</v>
      </c>
      <c r="J401" s="527">
        <f t="shared" si="173"/>
        <v>0</v>
      </c>
      <c r="K401" s="528">
        <f t="shared" si="172"/>
        <v>0</v>
      </c>
      <c r="L401" s="529"/>
      <c r="M401" s="529"/>
      <c r="N401" s="529"/>
      <c r="O401" s="529"/>
      <c r="P401" s="529"/>
    </row>
    <row r="402" spans="1:26" ht="19.5" hidden="1">
      <c r="A402" s="147"/>
      <c r="B402" s="148"/>
      <c r="C402" s="149" t="s">
        <v>16</v>
      </c>
      <c r="D402" s="87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7"/>
      <c r="J403" s="617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7"/>
      <c r="J404" s="617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IFERROR(__xludf.DUMMYFUNCTION("IMPORTRANGE(""https://docs.google.com/spreadsheets/d/1MeEWN-I1oV_STSDYn1IFDPWt_1FKiwhDph83XaGc0o0/edit?usp=sharing"",""งบพรบ!FQ42"")"),0)</f>
        <v>0</v>
      </c>
      <c r="M407" s="93">
        <f ca="1">IFERROR(__xludf.DUMMYFUNCTION("IMPORTRANGE(""https://docs.google.com/spreadsheets/d/1MeEWN-I1oV_STSDYn1IFDPWt_1FKiwhDph83XaGc0o0/edit?usp=sharing"",""งบพรบ!FV42"")"),0)</f>
        <v>0</v>
      </c>
      <c r="N407" s="93">
        <f ca="1">IFERROR(__xludf.DUMMYFUNCTION("IMPORTRANGE(""https://docs.google.com/spreadsheets/d/1MeEWN-I1oV_STSDYn1IFDPWt_1FKiwhDph83XaGc0o0/edit?usp=sharing"",""งบพรบ!FX42"")"),0)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IFERROR(__xludf.DUMMYFUNCTION("IMPORTRANGE(""https://docs.google.com/spreadsheets/d/1MeEWN-I1oV_STSDYn1IFDPWt_1FKiwhDph83XaGc0o0/edit?usp=sharing"",""งบพรบ!FT42"")"),0)</f>
        <v>0</v>
      </c>
      <c r="M410" s="93">
        <f ca="1">IFERROR(__xludf.DUMMYFUNCTION("IMPORTRANGE(""https://docs.google.com/spreadsheets/d/1MeEWN-I1oV_STSDYn1IFDPWt_1FKiwhDph83XaGc0o0/edit?usp=sharing"",""งบพรบ!FW42"")"),0)</f>
        <v>0</v>
      </c>
      <c r="N410" s="93">
        <f ca="1">IFERROR(__xludf.DUMMYFUNCTION("IMPORTRANGE(""https://docs.google.com/spreadsheets/d/1MeEWN-I1oV_STSDYn1IFDPWt_1FKiwhDph83XaGc0o0/edit?usp=sharing"",""งบพรบ!FY42"")"),0)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90" t="s">
        <v>38</v>
      </c>
      <c r="E411" s="536"/>
      <c r="F411" s="536"/>
      <c r="G411" s="537"/>
      <c r="H411" s="762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8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9"/>
      <c r="B413" s="540"/>
      <c r="C413" s="540"/>
      <c r="D413" s="541" t="s">
        <v>179</v>
      </c>
      <c r="E413" s="540"/>
      <c r="F413" s="540"/>
      <c r="G413" s="542"/>
      <c r="H413" s="543" t="s">
        <v>180</v>
      </c>
      <c r="I413" s="544">
        <v>0</v>
      </c>
      <c r="J413" s="545">
        <v>0</v>
      </c>
      <c r="K413" s="546">
        <f t="shared" si="180"/>
        <v>0</v>
      </c>
      <c r="L413" s="547"/>
      <c r="M413" s="547"/>
      <c r="N413" s="547"/>
      <c r="O413" s="547"/>
      <c r="P413" s="547"/>
    </row>
    <row r="414" spans="1:26" ht="19.5">
      <c r="A414" s="548" t="s">
        <v>181</v>
      </c>
      <c r="B414" s="549"/>
      <c r="C414" s="549"/>
      <c r="D414" s="549"/>
      <c r="E414" s="549"/>
      <c r="F414" s="549"/>
      <c r="G414" s="550"/>
      <c r="H414" s="551"/>
      <c r="I414" s="552"/>
      <c r="J414" s="552"/>
      <c r="K414" s="553"/>
      <c r="L414" s="554">
        <f t="shared" ref="L414:N414" ca="1" si="181">L419+L444+L467+L502+L523+L544+L629+L655+L685+L737+L754+L770+L786+L805</f>
        <v>2497547</v>
      </c>
      <c r="M414" s="554">
        <f t="shared" ca="1" si="181"/>
        <v>2608154.8199999998</v>
      </c>
      <c r="N414" s="554">
        <f t="shared" si="181"/>
        <v>2608154.8199999998</v>
      </c>
      <c r="O414" s="554">
        <f ca="1">IF(L414&gt;0,N414*100/L414,0)</f>
        <v>104.42865819942526</v>
      </c>
      <c r="P414" s="554">
        <f ca="1">IF(M414&gt;0,N414*100/M414,0)</f>
        <v>100</v>
      </c>
    </row>
    <row r="415" spans="1:26" ht="19.5">
      <c r="A415" s="555" t="s">
        <v>182</v>
      </c>
      <c r="B415" s="556"/>
      <c r="C415" s="556"/>
      <c r="D415" s="556"/>
      <c r="E415" s="556"/>
      <c r="F415" s="556"/>
      <c r="G415" s="556"/>
      <c r="H415" s="557"/>
      <c r="I415" s="558"/>
      <c r="J415" s="558"/>
      <c r="K415" s="559"/>
      <c r="L415" s="560"/>
      <c r="M415" s="560"/>
      <c r="N415" s="560"/>
      <c r="O415" s="560"/>
      <c r="P415" s="560"/>
    </row>
    <row r="416" spans="1:26" ht="19.5">
      <c r="A416" s="555" t="s">
        <v>183</v>
      </c>
      <c r="B416" s="556"/>
      <c r="C416" s="556"/>
      <c r="D416" s="556"/>
      <c r="E416" s="556"/>
      <c r="F416" s="556"/>
      <c r="G416" s="561"/>
      <c r="H416" s="562"/>
      <c r="I416" s="563"/>
      <c r="J416" s="563"/>
      <c r="K416" s="560"/>
      <c r="L416" s="560"/>
      <c r="M416" s="560"/>
      <c r="N416" s="560"/>
      <c r="O416" s="560"/>
      <c r="P416" s="560"/>
    </row>
    <row r="417" spans="1:26" ht="39">
      <c r="A417" s="564">
        <v>1</v>
      </c>
      <c r="B417" s="566" t="s">
        <v>184</v>
      </c>
      <c r="C417" s="566"/>
      <c r="D417" s="567"/>
      <c r="E417" s="567"/>
      <c r="F417" s="567"/>
      <c r="G417" s="568"/>
      <c r="H417" s="569" t="s">
        <v>35</v>
      </c>
      <c r="I417" s="570">
        <f t="shared" ref="I417:J418" ca="1" si="182">I433</f>
        <v>20</v>
      </c>
      <c r="J417" s="570">
        <f t="shared" ca="1" si="182"/>
        <v>20</v>
      </c>
      <c r="K417" s="571">
        <f t="shared" ref="K417:K418" ca="1" si="183">IF(I417&gt;0,J417*100/I417,0)</f>
        <v>100</v>
      </c>
      <c r="L417" s="572"/>
      <c r="M417" s="572"/>
      <c r="N417" s="572"/>
      <c r="O417" s="572"/>
      <c r="P417" s="572"/>
    </row>
    <row r="418" spans="1:26" ht="19.5">
      <c r="A418" s="573"/>
      <c r="B418" s="564"/>
      <c r="C418" s="566"/>
      <c r="D418" s="567"/>
      <c r="E418" s="567"/>
      <c r="F418" s="567"/>
      <c r="G418" s="568"/>
      <c r="H418" s="569" t="s">
        <v>49</v>
      </c>
      <c r="I418" s="570">
        <f t="shared" ca="1" si="182"/>
        <v>1</v>
      </c>
      <c r="J418" s="570">
        <f t="shared" si="182"/>
        <v>1</v>
      </c>
      <c r="K418" s="571">
        <f t="shared" ca="1" si="183"/>
        <v>100</v>
      </c>
      <c r="L418" s="572"/>
      <c r="M418" s="572"/>
      <c r="N418" s="572"/>
      <c r="O418" s="572"/>
      <c r="P418" s="572"/>
    </row>
    <row r="419" spans="1:26" ht="19.5">
      <c r="A419" s="147"/>
      <c r="B419" s="148"/>
      <c r="C419" s="148" t="s">
        <v>16</v>
      </c>
      <c r="D419" s="891" t="s">
        <v>17</v>
      </c>
      <c r="E419" s="862"/>
      <c r="F419" s="86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83660</v>
      </c>
      <c r="N419" s="155">
        <f t="shared" si="184"/>
        <v>83660</v>
      </c>
      <c r="O419" s="155">
        <f t="shared" ref="O419:O424" ca="1" si="185">IF(L419&gt;0,N419*100/L419,0)</f>
        <v>106.35647088736333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7"/>
      <c r="J420" s="617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7"/>
      <c r="J421" s="617"/>
      <c r="K421" s="93"/>
      <c r="L421" s="93">
        <f t="shared" ca="1" si="187"/>
        <v>78660</v>
      </c>
      <c r="M421" s="93">
        <f t="shared" ca="1" si="187"/>
        <v>83660</v>
      </c>
      <c r="N421" s="93">
        <f t="shared" si="187"/>
        <v>83660</v>
      </c>
      <c r="O421" s="93">
        <f t="shared" ca="1" si="185"/>
        <v>106.35647088736333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83660</v>
      </c>
      <c r="N422" s="498">
        <f t="shared" si="188"/>
        <v>83660</v>
      </c>
      <c r="O422" s="498">
        <f t="shared" ca="1" si="185"/>
        <v>106.35647088736333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7"/>
      <c r="J423" s="617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7"/>
      <c r="J424" s="617"/>
      <c r="K424" s="93"/>
      <c r="L424" s="93">
        <f ca="1">IFERROR(__xludf.DUMMYFUNCTION("IMPORTRANGE(""https://docs.google.com/spreadsheets/d/1QqKyyYR6Q21VydFLVH3TRQUabQu_ym0Zz7PgGX0-kHA/edit?usp=sharing"",""แผน!EY42"")"),78660)</f>
        <v>78660</v>
      </c>
      <c r="M424" s="93">
        <f ca="1">L424+5000</f>
        <v>83660</v>
      </c>
      <c r="N424" s="93">
        <f>N425+N426+N427+N428</f>
        <v>83660</v>
      </c>
      <c r="O424" s="93">
        <f t="shared" ca="1" si="185"/>
        <v>106.35647088736333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4"/>
      <c r="B425" s="575"/>
      <c r="C425" s="763"/>
      <c r="D425" s="763"/>
      <c r="E425" s="763"/>
      <c r="F425" s="763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40">
        <v>0</v>
      </c>
      <c r="O425" s="498"/>
      <c r="P425" s="49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</row>
    <row r="426" spans="1:26" ht="18.75">
      <c r="A426" s="574"/>
      <c r="B426" s="575"/>
      <c r="C426" s="763"/>
      <c r="D426" s="763"/>
      <c r="E426" s="763"/>
      <c r="F426" s="763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40">
        <v>0</v>
      </c>
      <c r="O426" s="498"/>
      <c r="P426" s="49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</row>
    <row r="427" spans="1:26" ht="18.75">
      <c r="A427" s="574"/>
      <c r="B427" s="575"/>
      <c r="C427" s="763"/>
      <c r="D427" s="763"/>
      <c r="E427" s="763"/>
      <c r="F427" s="763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40">
        <v>0</v>
      </c>
      <c r="O427" s="498"/>
      <c r="P427" s="49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40">
        <v>83660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92" t="s">
        <v>38</v>
      </c>
      <c r="E432" s="580"/>
      <c r="F432" s="580"/>
      <c r="G432" s="581"/>
      <c r="H432" s="582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1">
        <f ca="1">I435</f>
        <v>20</v>
      </c>
      <c r="J433" s="681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1">
        <f t="shared" ref="I434:J434" ca="1" si="193">I438+I440</f>
        <v>1</v>
      </c>
      <c r="J434" s="681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3" t="s">
        <v>35</v>
      </c>
      <c r="I435" s="583">
        <f ca="1">IFERROR(__xludf.DUMMYFUNCTION("IMPORTRANGE(""https://docs.google.com/spreadsheets/d/1QqKyyYR6Q21VydFLVH3TRQUabQu_ym0Zz7PgGX0-kHA/edit?usp=sharing"",""แผน!FC42"")"),20)</f>
        <v>20</v>
      </c>
      <c r="J435" s="584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3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3" t="s">
        <v>35</v>
      </c>
      <c r="I437" s="583">
        <f ca="1">IFERROR(__xludf.DUMMYFUNCTION("IMPORTRANGE(""https://docs.google.com/spreadsheets/d/1QqKyyYR6Q21VydFLVH3TRQUabQu_ym0Zz7PgGX0-kHA/edit?usp=sharing"",""แผน!FD42"")"),0)</f>
        <v>0</v>
      </c>
      <c r="J437" s="584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3" t="s">
        <v>49</v>
      </c>
      <c r="I438" s="270">
        <f ca="1">IFERROR(__xludf.DUMMYFUNCTION("IMPORTRANGE(""https://docs.google.com/spreadsheets/d/1QqKyyYR6Q21VydFLVH3TRQUabQu_ym0Zz7PgGX0-kHA/edit?usp=sharing"",""แผน!FE42"")"),0)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3" t="s">
        <v>35</v>
      </c>
      <c r="I439" s="583">
        <f ca="1">IFERROR(__xludf.DUMMYFUNCTION("IMPORTRANGE(""https://docs.google.com/spreadsheets/d/1QqKyyYR6Q21VydFLVH3TRQUabQu_ym0Zz7PgGX0-kHA/edit?usp=sharing"",""แผน!FF42"")"),20)</f>
        <v>20</v>
      </c>
      <c r="J439" s="584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3" t="s">
        <v>49</v>
      </c>
      <c r="I440" s="270">
        <f ca="1">IFERROR(__xludf.DUMMYFUNCTION("IMPORTRANGE(""https://docs.google.com/spreadsheets/d/1QqKyyYR6Q21VydFLVH3TRQUabQu_ym0Zz7PgGX0-kHA/edit?usp=sharing"",""แผน!FG42"")"),1)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3" t="s">
        <v>35</v>
      </c>
      <c r="I441" s="270">
        <f ca="1">IFERROR(__xludf.DUMMYFUNCTION("IMPORTRANGE(""https://docs.google.com/spreadsheets/d/1QqKyyYR6Q21VydFLVH3TRQUabQu_ym0Zz7PgGX0-kHA/edit?usp=sharing"",""แผน!FH42"")"),0)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5">
        <v>2</v>
      </c>
      <c r="B442" s="586" t="s">
        <v>200</v>
      </c>
      <c r="C442" s="587"/>
      <c r="D442" s="587"/>
      <c r="E442" s="587"/>
      <c r="F442" s="587"/>
      <c r="G442" s="588"/>
      <c r="H442" s="589" t="s">
        <v>35</v>
      </c>
      <c r="I442" s="590">
        <f t="shared" ref="I442:J442" ca="1" si="195">I460</f>
        <v>100</v>
      </c>
      <c r="J442" s="590">
        <f t="shared" si="195"/>
        <v>100</v>
      </c>
      <c r="K442" s="591">
        <f t="shared" ca="1" si="194"/>
        <v>100</v>
      </c>
      <c r="L442" s="592"/>
      <c r="M442" s="592"/>
      <c r="N442" s="592"/>
      <c r="O442" s="592"/>
      <c r="P442" s="592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</row>
    <row r="443" spans="1:26" ht="19.5">
      <c r="A443" s="593"/>
      <c r="B443" s="594"/>
      <c r="C443" s="595"/>
      <c r="D443" s="595"/>
      <c r="E443" s="595"/>
      <c r="F443" s="595"/>
      <c r="G443" s="596"/>
      <c r="H443" s="569" t="s">
        <v>46</v>
      </c>
      <c r="I443" s="570">
        <f t="shared" ref="I443:J443" ca="1" si="196">I462</f>
        <v>400</v>
      </c>
      <c r="J443" s="570">
        <f t="shared" si="196"/>
        <v>400</v>
      </c>
      <c r="K443" s="571">
        <f t="shared" ca="1" si="194"/>
        <v>100</v>
      </c>
      <c r="L443" s="572"/>
      <c r="M443" s="572"/>
      <c r="N443" s="572"/>
      <c r="O443" s="572"/>
      <c r="P443" s="572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</row>
    <row r="444" spans="1:26" ht="19.5">
      <c r="A444" s="597"/>
      <c r="B444" s="763"/>
      <c r="C444" s="763" t="s">
        <v>16</v>
      </c>
      <c r="D444" s="863" t="s">
        <v>17</v>
      </c>
      <c r="E444" s="857"/>
      <c r="F444" s="857"/>
      <c r="G444" s="189"/>
      <c r="H444" s="598" t="s">
        <v>12</v>
      </c>
      <c r="I444" s="270"/>
      <c r="J444" s="270"/>
      <c r="K444" s="498"/>
      <c r="L444" s="195">
        <f t="shared" ref="L444:N444" ca="1" si="197">L445+L446</f>
        <v>688280</v>
      </c>
      <c r="M444" s="195">
        <f t="shared" ca="1" si="197"/>
        <v>700870</v>
      </c>
      <c r="N444" s="195">
        <f t="shared" si="197"/>
        <v>700870</v>
      </c>
      <c r="O444" s="195">
        <f t="shared" ref="O444:O449" ca="1" si="198">IF(L444&gt;0,N444*100/L444,0)</f>
        <v>101.82919741965479</v>
      </c>
      <c r="P444" s="195">
        <f t="shared" ref="P444:P449" ca="1" si="199">IF(M444&gt;0,N444*100/M444,0)</f>
        <v>100</v>
      </c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</row>
    <row r="445" spans="1:26" ht="18.75" hidden="1">
      <c r="A445" s="599"/>
      <c r="B445" s="759"/>
      <c r="C445" s="759"/>
      <c r="D445" s="720"/>
      <c r="E445" s="759" t="s">
        <v>185</v>
      </c>
      <c r="F445" s="759"/>
      <c r="G445" s="603"/>
      <c r="H445" s="165" t="s">
        <v>12</v>
      </c>
      <c r="I445" s="617"/>
      <c r="J445" s="617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4"/>
      <c r="R445" s="604"/>
      <c r="S445" s="604"/>
      <c r="T445" s="604"/>
      <c r="U445" s="604"/>
      <c r="V445" s="604"/>
      <c r="W445" s="604"/>
      <c r="X445" s="604"/>
      <c r="Y445" s="604"/>
      <c r="Z445" s="604"/>
    </row>
    <row r="446" spans="1:26" ht="18.75" hidden="1">
      <c r="A446" s="599"/>
      <c r="B446" s="607"/>
      <c r="C446" s="759"/>
      <c r="D446" s="720"/>
      <c r="E446" s="759" t="s">
        <v>186</v>
      </c>
      <c r="F446" s="759"/>
      <c r="G446" s="603"/>
      <c r="H446" s="165" t="s">
        <v>12</v>
      </c>
      <c r="I446" s="617"/>
      <c r="J446" s="617"/>
      <c r="K446" s="93"/>
      <c r="L446" s="93">
        <f t="shared" ca="1" si="200"/>
        <v>688280</v>
      </c>
      <c r="M446" s="93">
        <f t="shared" ca="1" si="200"/>
        <v>700870</v>
      </c>
      <c r="N446" s="93">
        <f t="shared" si="200"/>
        <v>700870</v>
      </c>
      <c r="O446" s="93">
        <f t="shared" ca="1" si="198"/>
        <v>101.82919741965479</v>
      </c>
      <c r="P446" s="93">
        <f t="shared" ca="1" si="199"/>
        <v>100</v>
      </c>
      <c r="Q446" s="604"/>
      <c r="R446" s="604"/>
      <c r="S446" s="604"/>
      <c r="T446" s="604"/>
      <c r="U446" s="604"/>
      <c r="V446" s="604"/>
      <c r="W446" s="604"/>
      <c r="X446" s="604"/>
      <c r="Y446" s="604"/>
      <c r="Z446" s="604"/>
    </row>
    <row r="447" spans="1:26" ht="18.75">
      <c r="A447" s="597"/>
      <c r="B447" s="575"/>
      <c r="C447" s="763"/>
      <c r="D447" s="606" t="s">
        <v>20</v>
      </c>
      <c r="E447" s="763"/>
      <c r="F447" s="763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688280</v>
      </c>
      <c r="M447" s="498">
        <f t="shared" ca="1" si="201"/>
        <v>700870</v>
      </c>
      <c r="N447" s="498">
        <f t="shared" si="201"/>
        <v>700870</v>
      </c>
      <c r="O447" s="498">
        <f t="shared" ca="1" si="198"/>
        <v>101.82919741965479</v>
      </c>
      <c r="P447" s="498">
        <f t="shared" ca="1" si="199"/>
        <v>100</v>
      </c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</row>
    <row r="448" spans="1:26" ht="18.75" hidden="1">
      <c r="A448" s="599"/>
      <c r="B448" s="607"/>
      <c r="C448" s="759"/>
      <c r="D448" s="720"/>
      <c r="E448" s="759" t="s">
        <v>185</v>
      </c>
      <c r="F448" s="759"/>
      <c r="G448" s="603"/>
      <c r="H448" s="165" t="s">
        <v>12</v>
      </c>
      <c r="I448" s="617"/>
      <c r="J448" s="617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</row>
    <row r="449" spans="1:26" ht="18.75" hidden="1">
      <c r="A449" s="599"/>
      <c r="B449" s="607"/>
      <c r="C449" s="759"/>
      <c r="D449" s="720"/>
      <c r="E449" s="759" t="s">
        <v>186</v>
      </c>
      <c r="F449" s="759"/>
      <c r="G449" s="603"/>
      <c r="H449" s="165" t="s">
        <v>12</v>
      </c>
      <c r="I449" s="617"/>
      <c r="J449" s="617"/>
      <c r="K449" s="93"/>
      <c r="L449" s="93">
        <f ca="1">IFERROR(__xludf.DUMMYFUNCTION("IMPORTRANGE(""https://docs.google.com/spreadsheets/d/1QqKyyYR6Q21VydFLVH3TRQUabQu_ym0Zz7PgGX0-kHA/edit?usp=sharing"",""แผน!FJ42"")"),688280)</f>
        <v>688280</v>
      </c>
      <c r="M449" s="93">
        <f ca="1">L449+12590</f>
        <v>700870</v>
      </c>
      <c r="N449" s="93">
        <f>N450+N451+N452+N453</f>
        <v>700870</v>
      </c>
      <c r="O449" s="93">
        <f t="shared" ca="1" si="198"/>
        <v>101.82919741965479</v>
      </c>
      <c r="P449" s="93">
        <f t="shared" ca="1" si="199"/>
        <v>100</v>
      </c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</row>
    <row r="450" spans="1:26" ht="18.75">
      <c r="A450" s="574"/>
      <c r="B450" s="575"/>
      <c r="C450" s="763"/>
      <c r="D450" s="763"/>
      <c r="E450" s="763"/>
      <c r="F450" s="763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40">
        <v>136677</v>
      </c>
      <c r="O450" s="498"/>
      <c r="P450" s="49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</row>
    <row r="451" spans="1:26" ht="18.75">
      <c r="A451" s="574"/>
      <c r="B451" s="575"/>
      <c r="C451" s="763"/>
      <c r="D451" s="763"/>
      <c r="E451" s="763"/>
      <c r="F451" s="763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40">
        <v>350000</v>
      </c>
      <c r="O451" s="498"/>
      <c r="P451" s="49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</row>
    <row r="452" spans="1:26" ht="18.75">
      <c r="A452" s="574"/>
      <c r="B452" s="575"/>
      <c r="C452" s="575"/>
      <c r="D452" s="575"/>
      <c r="E452" s="575"/>
      <c r="F452" s="763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40">
        <v>77566.67</v>
      </c>
      <c r="O452" s="498"/>
      <c r="P452" s="49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</row>
    <row r="453" spans="1:26" ht="18.75">
      <c r="A453" s="574"/>
      <c r="B453" s="575"/>
      <c r="C453" s="575"/>
      <c r="D453" s="575"/>
      <c r="E453" s="575"/>
      <c r="F453" s="763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40">
        <f>124036.33+12590</f>
        <v>136626.33000000002</v>
      </c>
      <c r="O453" s="498"/>
      <c r="P453" s="49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</row>
    <row r="454" spans="1:26" ht="18.75">
      <c r="A454" s="597"/>
      <c r="B454" s="575"/>
      <c r="C454" s="575"/>
      <c r="D454" s="606" t="s">
        <v>21</v>
      </c>
      <c r="E454" s="575"/>
      <c r="F454" s="763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</row>
    <row r="455" spans="1:26" ht="18.75" hidden="1">
      <c r="A455" s="599"/>
      <c r="B455" s="607"/>
      <c r="C455" s="607"/>
      <c r="D455" s="607"/>
      <c r="E455" s="607" t="s">
        <v>18</v>
      </c>
      <c r="F455" s="759"/>
      <c r="G455" s="603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4"/>
      <c r="R455" s="604"/>
      <c r="S455" s="604"/>
      <c r="T455" s="604"/>
      <c r="U455" s="604"/>
      <c r="V455" s="604"/>
      <c r="W455" s="604"/>
      <c r="X455" s="604"/>
      <c r="Y455" s="604"/>
      <c r="Z455" s="604"/>
    </row>
    <row r="456" spans="1:26" ht="18.75" hidden="1">
      <c r="A456" s="599"/>
      <c r="B456" s="607"/>
      <c r="C456" s="607"/>
      <c r="D456" s="607"/>
      <c r="E456" s="607" t="s">
        <v>19</v>
      </c>
      <c r="F456" s="759"/>
      <c r="G456" s="603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4"/>
      <c r="R456" s="604"/>
      <c r="S456" s="604"/>
      <c r="T456" s="604"/>
      <c r="U456" s="604"/>
      <c r="V456" s="604"/>
      <c r="W456" s="604"/>
      <c r="X456" s="604"/>
      <c r="Y456" s="604"/>
      <c r="Z456" s="604"/>
    </row>
    <row r="457" spans="1:26" ht="19.5">
      <c r="A457" s="608"/>
      <c r="B457" s="618"/>
      <c r="C457" s="575" t="s">
        <v>16</v>
      </c>
      <c r="D457" s="893" t="s">
        <v>38</v>
      </c>
      <c r="E457" s="611"/>
      <c r="F457" s="761"/>
      <c r="G457" s="613"/>
      <c r="H457" s="762"/>
      <c r="I457" s="270"/>
      <c r="J457" s="270"/>
      <c r="K457" s="498"/>
      <c r="L457" s="498"/>
      <c r="M457" s="498"/>
      <c r="N457" s="498"/>
      <c r="O457" s="498"/>
      <c r="P457" s="49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</row>
    <row r="458" spans="1:26" ht="18.75" hidden="1">
      <c r="A458" s="614"/>
      <c r="B458" s="616"/>
      <c r="C458" s="616"/>
      <c r="D458" s="616" t="s">
        <v>201</v>
      </c>
      <c r="E458" s="616"/>
      <c r="F458" s="720"/>
      <c r="G458" s="366"/>
      <c r="H458" s="370" t="s">
        <v>35</v>
      </c>
      <c r="I458" s="617">
        <v>0</v>
      </c>
      <c r="J458" s="617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4"/>
      <c r="R458" s="604"/>
      <c r="S458" s="604"/>
      <c r="T458" s="604"/>
      <c r="U458" s="604"/>
      <c r="V458" s="604"/>
      <c r="W458" s="604"/>
      <c r="X458" s="604"/>
      <c r="Y458" s="604"/>
      <c r="Z458" s="604"/>
    </row>
    <row r="459" spans="1:26" ht="18.75" hidden="1">
      <c r="A459" s="614"/>
      <c r="B459" s="616"/>
      <c r="C459" s="616"/>
      <c r="D459" s="616" t="s">
        <v>202</v>
      </c>
      <c r="E459" s="616"/>
      <c r="F459" s="720"/>
      <c r="G459" s="366"/>
      <c r="H459" s="370"/>
      <c r="I459" s="617"/>
      <c r="J459" s="617"/>
      <c r="K459" s="93"/>
      <c r="L459" s="93"/>
      <c r="M459" s="93"/>
      <c r="N459" s="93"/>
      <c r="O459" s="93"/>
      <c r="P459" s="93"/>
      <c r="Q459" s="604"/>
      <c r="R459" s="604"/>
      <c r="S459" s="604"/>
      <c r="T459" s="604"/>
      <c r="U459" s="604"/>
      <c r="V459" s="604"/>
      <c r="W459" s="604"/>
      <c r="X459" s="604"/>
      <c r="Y459" s="604"/>
      <c r="Z459" s="604"/>
    </row>
    <row r="460" spans="1:26" ht="18.75">
      <c r="A460" s="608"/>
      <c r="B460" s="618"/>
      <c r="C460" s="618"/>
      <c r="D460" s="618" t="s">
        <v>203</v>
      </c>
      <c r="E460" s="618"/>
      <c r="F460" s="626"/>
      <c r="G460" s="762"/>
      <c r="H460" s="764" t="s">
        <v>35</v>
      </c>
      <c r="I460" s="270">
        <f ca="1">IFERROR(__xludf.DUMMYFUNCTION("IMPORTRANGE(""https://docs.google.com/spreadsheets/d/1QqKyyYR6Q21VydFLVH3TRQUabQu_ym0Zz7PgGX0-kHA/edit?usp=sharing"",""แผน!FN42"")"),100)</f>
        <v>100</v>
      </c>
      <c r="J460" s="215">
        <v>100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</row>
    <row r="461" spans="1:26" ht="18.75">
      <c r="A461" s="608"/>
      <c r="B461" s="618"/>
      <c r="C461" s="618"/>
      <c r="D461" s="618" t="s">
        <v>204</v>
      </c>
      <c r="E461" s="626"/>
      <c r="F461" s="626"/>
      <c r="G461" s="762"/>
      <c r="H461" s="764"/>
      <c r="I461" s="270"/>
      <c r="J461" s="270"/>
      <c r="K461" s="498"/>
      <c r="L461" s="498"/>
      <c r="M461" s="498"/>
      <c r="N461" s="498"/>
      <c r="O461" s="498"/>
      <c r="P461" s="49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</row>
    <row r="462" spans="1:26" ht="18.75">
      <c r="A462" s="608"/>
      <c r="B462" s="618"/>
      <c r="C462" s="618"/>
      <c r="D462" s="618" t="s">
        <v>205</v>
      </c>
      <c r="E462" s="626"/>
      <c r="F462" s="626"/>
      <c r="G462" s="762"/>
      <c r="H462" s="764" t="s">
        <v>46</v>
      </c>
      <c r="I462" s="270">
        <f ca="1">IFERROR(__xludf.DUMMYFUNCTION("IMPORTRANGE(""https://docs.google.com/spreadsheets/d/1QqKyyYR6Q21VydFLVH3TRQUabQu_ym0Zz7PgGX0-kHA/edit?usp=sharing"",""แผน!FO42"")"),400)</f>
        <v>400</v>
      </c>
      <c r="J462" s="215">
        <v>400</v>
      </c>
      <c r="K462" s="498">
        <f t="shared" ref="K462:K466" ca="1" si="205">IF(I462&gt;0,J462*100/I462,0)</f>
        <v>100</v>
      </c>
      <c r="L462" s="498"/>
      <c r="M462" s="498"/>
      <c r="N462" s="498"/>
      <c r="O462" s="498"/>
      <c r="P462" s="49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</row>
    <row r="463" spans="1:26" ht="18.75">
      <c r="A463" s="608"/>
      <c r="B463" s="618"/>
      <c r="C463" s="618"/>
      <c r="D463" s="618" t="s">
        <v>59</v>
      </c>
      <c r="E463" s="626"/>
      <c r="F463" s="763"/>
      <c r="G463" s="189"/>
      <c r="H463" s="764" t="s">
        <v>46</v>
      </c>
      <c r="I463" s="270">
        <f ca="1">IFERROR(__xludf.DUMMYFUNCTION("IMPORTRANGE(""https://docs.google.com/spreadsheets/d/1QqKyyYR6Q21VydFLVH3TRQUabQu_ym0Zz7PgGX0-kHA/edit?usp=sharing"",""แผน!FO42"")"),400)</f>
        <v>400</v>
      </c>
      <c r="J463" s="215">
        <v>400</v>
      </c>
      <c r="K463" s="498">
        <f t="shared" ca="1" si="205"/>
        <v>100</v>
      </c>
      <c r="L463" s="498"/>
      <c r="M463" s="498"/>
      <c r="N463" s="498"/>
      <c r="O463" s="498"/>
      <c r="P463" s="49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</row>
    <row r="464" spans="1:26" ht="19.5">
      <c r="A464" s="608"/>
      <c r="B464" s="618"/>
      <c r="C464" s="618"/>
      <c r="D464" s="618"/>
      <c r="E464" s="626"/>
      <c r="F464" s="626"/>
      <c r="G464" s="620"/>
      <c r="H464" s="764" t="s">
        <v>35</v>
      </c>
      <c r="I464" s="270">
        <f ca="1">IFERROR(__xludf.DUMMYFUNCTION("IMPORTRANGE(""https://docs.google.com/spreadsheets/d/1QqKyyYR6Q21VydFLVH3TRQUabQu_ym0Zz7PgGX0-kHA/edit?usp=sharing"",""แผน!FN42"")"),100)</f>
        <v>100</v>
      </c>
      <c r="J464" s="215">
        <v>100</v>
      </c>
      <c r="K464" s="498">
        <f t="shared" ca="1" si="205"/>
        <v>100</v>
      </c>
      <c r="L464" s="498"/>
      <c r="M464" s="498"/>
      <c r="N464" s="498"/>
      <c r="O464" s="498"/>
      <c r="P464" s="49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</row>
    <row r="465" spans="1:26" ht="19.5">
      <c r="A465" s="585">
        <v>3</v>
      </c>
      <c r="B465" s="586" t="s">
        <v>206</v>
      </c>
      <c r="C465" s="587"/>
      <c r="D465" s="587"/>
      <c r="E465" s="587"/>
      <c r="F465" s="587"/>
      <c r="G465" s="588"/>
      <c r="H465" s="589" t="s">
        <v>35</v>
      </c>
      <c r="I465" s="590">
        <f ca="1">IFERROR(__xludf.DUMMYFUNCTION("IMPORTRANGE(""https://docs.google.com/spreadsheets/d/1QqKyyYR6Q21VydFLVH3TRQUabQu_ym0Zz7PgGX0-kHA/edit?usp=sharing"",""แผน!FX42"")"),61)</f>
        <v>61</v>
      </c>
      <c r="J465" s="590">
        <f>J485+J489+J492</f>
        <v>61</v>
      </c>
      <c r="K465" s="591">
        <f t="shared" ca="1" si="205"/>
        <v>100</v>
      </c>
      <c r="L465" s="592"/>
      <c r="M465" s="592"/>
      <c r="N465" s="592"/>
      <c r="O465" s="592"/>
      <c r="P465" s="592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</row>
    <row r="466" spans="1:26" ht="19.5">
      <c r="A466" s="593"/>
      <c r="B466" s="594"/>
      <c r="C466" s="595"/>
      <c r="D466" s="595"/>
      <c r="E466" s="595"/>
      <c r="F466" s="595"/>
      <c r="G466" s="596"/>
      <c r="H466" s="569" t="s">
        <v>46</v>
      </c>
      <c r="I466" s="570">
        <f ca="1">IFERROR(__xludf.DUMMYFUNCTION("IMPORTRANGE(""https://docs.google.com/spreadsheets/d/1QqKyyYR6Q21VydFLVH3TRQUabQu_ym0Zz7PgGX0-kHA/edit?usp=sharing"",""แผน!FW42"")"),600)</f>
        <v>600</v>
      </c>
      <c r="J466" s="570">
        <f>J495+J498</f>
        <v>600</v>
      </c>
      <c r="K466" s="571">
        <f t="shared" ca="1" si="205"/>
        <v>100</v>
      </c>
      <c r="L466" s="572"/>
      <c r="M466" s="572"/>
      <c r="N466" s="572"/>
      <c r="O466" s="572"/>
      <c r="P466" s="572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</row>
    <row r="467" spans="1:26" ht="19.5">
      <c r="A467" s="597"/>
      <c r="B467" s="763"/>
      <c r="C467" s="763" t="s">
        <v>16</v>
      </c>
      <c r="D467" s="863" t="s">
        <v>17</v>
      </c>
      <c r="E467" s="857"/>
      <c r="F467" s="857"/>
      <c r="G467" s="189"/>
      <c r="H467" s="598" t="s">
        <v>12</v>
      </c>
      <c r="I467" s="270"/>
      <c r="J467" s="270"/>
      <c r="K467" s="498"/>
      <c r="L467" s="195">
        <f t="shared" ref="L467:N467" ca="1" si="206">L468+L469</f>
        <v>481323</v>
      </c>
      <c r="M467" s="195">
        <f t="shared" ca="1" si="206"/>
        <v>492483</v>
      </c>
      <c r="N467" s="195">
        <f t="shared" si="206"/>
        <v>492483</v>
      </c>
      <c r="O467" s="195">
        <f t="shared" ref="O467:O472" ca="1" si="207">IF(L467&gt;0,N467*100/L467,0)</f>
        <v>102.31860933302585</v>
      </c>
      <c r="P467" s="195">
        <f t="shared" ref="P467:P472" ca="1" si="208">IF(M467&gt;0,N467*100/M467,0)</f>
        <v>100</v>
      </c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</row>
    <row r="468" spans="1:26" ht="18.75" hidden="1">
      <c r="A468" s="599"/>
      <c r="B468" s="759"/>
      <c r="C468" s="759"/>
      <c r="D468" s="720"/>
      <c r="E468" s="759" t="s">
        <v>185</v>
      </c>
      <c r="F468" s="759"/>
      <c r="G468" s="603"/>
      <c r="H468" s="165" t="s">
        <v>12</v>
      </c>
      <c r="I468" s="617"/>
      <c r="J468" s="617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4"/>
      <c r="R468" s="604"/>
      <c r="S468" s="604"/>
      <c r="T468" s="604"/>
      <c r="U468" s="604"/>
      <c r="V468" s="604"/>
      <c r="W468" s="604"/>
      <c r="X468" s="604"/>
      <c r="Y468" s="604"/>
      <c r="Z468" s="604"/>
    </row>
    <row r="469" spans="1:26" ht="18.75" hidden="1">
      <c r="A469" s="599"/>
      <c r="B469" s="607"/>
      <c r="C469" s="759"/>
      <c r="D469" s="720"/>
      <c r="E469" s="759" t="s">
        <v>186</v>
      </c>
      <c r="F469" s="759"/>
      <c r="G469" s="603"/>
      <c r="H469" s="165" t="s">
        <v>12</v>
      </c>
      <c r="I469" s="617"/>
      <c r="J469" s="617"/>
      <c r="K469" s="93"/>
      <c r="L469" s="93">
        <f t="shared" ca="1" si="209"/>
        <v>481323</v>
      </c>
      <c r="M469" s="93">
        <f t="shared" ca="1" si="209"/>
        <v>492483</v>
      </c>
      <c r="N469" s="93">
        <f t="shared" si="209"/>
        <v>492483</v>
      </c>
      <c r="O469" s="93">
        <f t="shared" ca="1" si="207"/>
        <v>102.31860933302585</v>
      </c>
      <c r="P469" s="93">
        <f t="shared" ca="1" si="208"/>
        <v>100</v>
      </c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</row>
    <row r="470" spans="1:26" ht="18.75">
      <c r="A470" s="597"/>
      <c r="B470" s="575"/>
      <c r="C470" s="763"/>
      <c r="D470" s="606" t="s">
        <v>20</v>
      </c>
      <c r="E470" s="763"/>
      <c r="F470" s="763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481323</v>
      </c>
      <c r="M470" s="498">
        <f t="shared" ca="1" si="210"/>
        <v>492483</v>
      </c>
      <c r="N470" s="498">
        <f t="shared" si="210"/>
        <v>492483</v>
      </c>
      <c r="O470" s="498">
        <f t="shared" ca="1" si="207"/>
        <v>102.31860933302585</v>
      </c>
      <c r="P470" s="498">
        <f t="shared" ca="1" si="208"/>
        <v>100</v>
      </c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</row>
    <row r="471" spans="1:26" ht="18.75" hidden="1">
      <c r="A471" s="599"/>
      <c r="B471" s="607"/>
      <c r="C471" s="759"/>
      <c r="D471" s="720"/>
      <c r="E471" s="759" t="s">
        <v>185</v>
      </c>
      <c r="F471" s="759"/>
      <c r="G471" s="603"/>
      <c r="H471" s="165" t="s">
        <v>12</v>
      </c>
      <c r="I471" s="617"/>
      <c r="J471" s="617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4"/>
      <c r="R471" s="604"/>
      <c r="S471" s="604"/>
      <c r="T471" s="604"/>
      <c r="U471" s="604"/>
      <c r="V471" s="604"/>
      <c r="W471" s="604"/>
      <c r="X471" s="604"/>
      <c r="Y471" s="604"/>
      <c r="Z471" s="604"/>
    </row>
    <row r="472" spans="1:26" ht="18.75" hidden="1">
      <c r="A472" s="599"/>
      <c r="B472" s="607"/>
      <c r="C472" s="759"/>
      <c r="D472" s="720"/>
      <c r="E472" s="759" t="s">
        <v>186</v>
      </c>
      <c r="F472" s="759"/>
      <c r="G472" s="603"/>
      <c r="H472" s="165" t="s">
        <v>12</v>
      </c>
      <c r="I472" s="617"/>
      <c r="J472" s="617"/>
      <c r="K472" s="93"/>
      <c r="L472" s="93">
        <f ca="1">IFERROR(__xludf.DUMMYFUNCTION("IMPORTRANGE(""https://docs.google.com/spreadsheets/d/1QqKyyYR6Q21VydFLVH3TRQUabQu_ym0Zz7PgGX0-kHA/edit?usp=sharing"",""แผน!FS42"")"),481323)</f>
        <v>481323</v>
      </c>
      <c r="M472" s="93">
        <f ca="1">L472+11160</f>
        <v>492483</v>
      </c>
      <c r="N472" s="93">
        <f>N473+N474+N475+N476</f>
        <v>492483</v>
      </c>
      <c r="O472" s="93">
        <f t="shared" ca="1" si="207"/>
        <v>102.31860933302585</v>
      </c>
      <c r="P472" s="93">
        <f t="shared" ca="1" si="208"/>
        <v>100</v>
      </c>
      <c r="Q472" s="604"/>
      <c r="R472" s="604"/>
      <c r="S472" s="604"/>
      <c r="T472" s="604"/>
      <c r="U472" s="604"/>
      <c r="V472" s="604"/>
      <c r="W472" s="604"/>
      <c r="X472" s="604"/>
      <c r="Y472" s="604"/>
      <c r="Z472" s="604"/>
    </row>
    <row r="473" spans="1:26" ht="18.75">
      <c r="A473" s="574"/>
      <c r="B473" s="575"/>
      <c r="C473" s="763"/>
      <c r="D473" s="763"/>
      <c r="E473" s="763"/>
      <c r="F473" s="763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40">
        <v>60723</v>
      </c>
      <c r="O473" s="498"/>
      <c r="P473" s="49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</row>
    <row r="474" spans="1:26" ht="18.75">
      <c r="A474" s="574"/>
      <c r="B474" s="575"/>
      <c r="C474" s="763"/>
      <c r="D474" s="763"/>
      <c r="E474" s="763"/>
      <c r="F474" s="763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40">
        <v>376000</v>
      </c>
      <c r="O474" s="498"/>
      <c r="P474" s="49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</row>
    <row r="475" spans="1:26" ht="18.75">
      <c r="A475" s="574"/>
      <c r="B475" s="575"/>
      <c r="C475" s="575"/>
      <c r="D475" s="575"/>
      <c r="E475" s="575"/>
      <c r="F475" s="763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40">
        <v>0</v>
      </c>
      <c r="O475" s="498"/>
      <c r="P475" s="49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</row>
    <row r="476" spans="1:26" ht="18.75">
      <c r="A476" s="574"/>
      <c r="B476" s="575"/>
      <c r="C476" s="575"/>
      <c r="D476" s="575"/>
      <c r="E476" s="575"/>
      <c r="F476" s="763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40">
        <v>55760</v>
      </c>
      <c r="O476" s="498"/>
      <c r="P476" s="49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</row>
    <row r="477" spans="1:26" ht="18.75">
      <c r="A477" s="597"/>
      <c r="B477" s="575"/>
      <c r="C477" s="575"/>
      <c r="D477" s="606" t="s">
        <v>21</v>
      </c>
      <c r="E477" s="575"/>
      <c r="F477" s="575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</row>
    <row r="478" spans="1:26" ht="18.75" hidden="1">
      <c r="A478" s="599"/>
      <c r="B478" s="607"/>
      <c r="C478" s="607"/>
      <c r="D478" s="607"/>
      <c r="E478" s="607" t="s">
        <v>18</v>
      </c>
      <c r="F478" s="607"/>
      <c r="G478" s="603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4"/>
      <c r="R478" s="604"/>
      <c r="S478" s="604"/>
      <c r="T478" s="604"/>
      <c r="U478" s="604"/>
      <c r="V478" s="604"/>
      <c r="W478" s="604"/>
      <c r="X478" s="604"/>
      <c r="Y478" s="604"/>
      <c r="Z478" s="604"/>
    </row>
    <row r="479" spans="1:26" ht="18.75" hidden="1">
      <c r="A479" s="599"/>
      <c r="B479" s="607"/>
      <c r="C479" s="607"/>
      <c r="D479" s="607"/>
      <c r="E479" s="607" t="s">
        <v>19</v>
      </c>
      <c r="F479" s="607"/>
      <c r="G479" s="603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4"/>
      <c r="R479" s="604"/>
      <c r="S479" s="604"/>
      <c r="T479" s="604"/>
      <c r="U479" s="604"/>
      <c r="V479" s="604"/>
      <c r="W479" s="604"/>
      <c r="X479" s="604"/>
      <c r="Y479" s="604"/>
      <c r="Z479" s="604"/>
    </row>
    <row r="480" spans="1:26" ht="19.5">
      <c r="A480" s="608"/>
      <c r="B480" s="618"/>
      <c r="C480" s="575" t="s">
        <v>16</v>
      </c>
      <c r="D480" s="894" t="s">
        <v>38</v>
      </c>
      <c r="E480" s="611"/>
      <c r="F480" s="761"/>
      <c r="G480" s="613"/>
      <c r="H480" s="762"/>
      <c r="I480" s="270"/>
      <c r="J480" s="270"/>
      <c r="K480" s="498"/>
      <c r="L480" s="498"/>
      <c r="M480" s="498"/>
      <c r="N480" s="498"/>
      <c r="O480" s="498"/>
      <c r="P480" s="49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</row>
    <row r="481" spans="1:26" ht="19.5">
      <c r="A481" s="608"/>
      <c r="B481" s="618"/>
      <c r="C481" s="618"/>
      <c r="D481" s="625" t="s">
        <v>207</v>
      </c>
      <c r="E481" s="618"/>
      <c r="F481" s="618"/>
      <c r="G481" s="762"/>
      <c r="H481" s="189"/>
      <c r="I481" s="270"/>
      <c r="J481" s="270"/>
      <c r="K481" s="498"/>
      <c r="L481" s="498"/>
      <c r="M481" s="498"/>
      <c r="N481" s="498"/>
      <c r="O481" s="498"/>
      <c r="P481" s="49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</row>
    <row r="482" spans="1:26" ht="18.75">
      <c r="A482" s="608"/>
      <c r="B482" s="618"/>
      <c r="C482" s="618"/>
      <c r="D482" s="618"/>
      <c r="E482" s="618" t="s">
        <v>208</v>
      </c>
      <c r="F482" s="618"/>
      <c r="G482" s="762"/>
      <c r="H482" s="189"/>
      <c r="I482" s="270"/>
      <c r="J482" s="270"/>
      <c r="K482" s="498"/>
      <c r="L482" s="498"/>
      <c r="M482" s="498"/>
      <c r="N482" s="498"/>
      <c r="O482" s="498"/>
      <c r="P482" s="49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</row>
    <row r="483" spans="1:26" ht="18.75">
      <c r="A483" s="608"/>
      <c r="B483" s="618"/>
      <c r="C483" s="618"/>
      <c r="D483" s="618"/>
      <c r="E483" s="618"/>
      <c r="F483" s="618" t="s">
        <v>209</v>
      </c>
      <c r="G483" s="762"/>
      <c r="H483" s="623" t="s">
        <v>46</v>
      </c>
      <c r="I483" s="270">
        <f ca="1">IFERROR(__xludf.DUMMYFUNCTION("IMPORTRANGE(""https://docs.google.com/spreadsheets/d/1QqKyyYR6Q21VydFLVH3TRQUabQu_ym0Zz7PgGX0-kHA/edit?usp=sharing"",""แผน!FY42"")"),540)</f>
        <v>540</v>
      </c>
      <c r="J483" s="215">
        <v>540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</row>
    <row r="484" spans="1:26" ht="18.75">
      <c r="A484" s="608"/>
      <c r="B484" s="618"/>
      <c r="C484" s="618"/>
      <c r="D484" s="618"/>
      <c r="E484" s="618"/>
      <c r="F484" s="618" t="s">
        <v>210</v>
      </c>
      <c r="G484" s="762"/>
      <c r="H484" s="623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</row>
    <row r="485" spans="1:26" ht="18.75">
      <c r="A485" s="608"/>
      <c r="B485" s="618"/>
      <c r="C485" s="618"/>
      <c r="D485" s="618"/>
      <c r="E485" s="618"/>
      <c r="F485" s="618" t="s">
        <v>211</v>
      </c>
      <c r="G485" s="762"/>
      <c r="H485" s="623" t="s">
        <v>35</v>
      </c>
      <c r="I485" s="270">
        <f ca="1">IFERROR(__xludf.DUMMYFUNCTION("IMPORTRANGE(""https://docs.google.com/spreadsheets/d/1QqKyyYR6Q21VydFLVH3TRQUabQu_ym0Zz7PgGX0-kHA/edit?usp=sharing"",""แผน!FZ42"")"),54)</f>
        <v>54</v>
      </c>
      <c r="J485" s="215">
        <v>54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</row>
    <row r="486" spans="1:26" ht="18.75">
      <c r="A486" s="608"/>
      <c r="B486" s="618"/>
      <c r="C486" s="618"/>
      <c r="D486" s="618"/>
      <c r="E486" s="618" t="s">
        <v>62</v>
      </c>
      <c r="F486" s="618"/>
      <c r="G486" s="762"/>
      <c r="H486" s="623"/>
      <c r="I486" s="270"/>
      <c r="J486" s="270"/>
      <c r="K486" s="498"/>
      <c r="L486" s="498"/>
      <c r="M486" s="498"/>
      <c r="N486" s="498"/>
      <c r="O486" s="498"/>
      <c r="P486" s="49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</row>
    <row r="487" spans="1:26" ht="18.75">
      <c r="A487" s="608"/>
      <c r="B487" s="618"/>
      <c r="C487" s="618"/>
      <c r="D487" s="618"/>
      <c r="E487" s="618"/>
      <c r="F487" s="618" t="s">
        <v>209</v>
      </c>
      <c r="G487" s="762"/>
      <c r="H487" s="623" t="s">
        <v>46</v>
      </c>
      <c r="I487" s="270">
        <f ca="1">IFERROR(__xludf.DUMMYFUNCTION("IMPORTRANGE(""https://docs.google.com/spreadsheets/d/1QqKyyYR6Q21VydFLVH3TRQUabQu_ym0Zz7PgGX0-kHA/edit?usp=sharing"",""แผน!GA42"")"),60)</f>
        <v>60</v>
      </c>
      <c r="J487" s="215">
        <v>60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</row>
    <row r="488" spans="1:26" ht="18.75">
      <c r="A488" s="608"/>
      <c r="B488" s="618"/>
      <c r="C488" s="618"/>
      <c r="D488" s="618"/>
      <c r="E488" s="618"/>
      <c r="F488" s="618" t="s">
        <v>212</v>
      </c>
      <c r="G488" s="762"/>
      <c r="H488" s="623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</row>
    <row r="489" spans="1:26" ht="18.75">
      <c r="A489" s="608"/>
      <c r="B489" s="618"/>
      <c r="C489" s="618"/>
      <c r="D489" s="618"/>
      <c r="E489" s="618"/>
      <c r="F489" s="618" t="s">
        <v>213</v>
      </c>
      <c r="G489" s="762"/>
      <c r="H489" s="623" t="s">
        <v>35</v>
      </c>
      <c r="I489" s="270">
        <f ca="1">IFERROR(__xludf.DUMMYFUNCTION("IMPORTRANGE(""https://docs.google.com/spreadsheets/d/1QqKyyYR6Q21VydFLVH3TRQUabQu_ym0Zz7PgGX0-kHA/edit?usp=sharing"",""แผน!GB42"")"),6)</f>
        <v>6</v>
      </c>
      <c r="J489" s="215">
        <v>6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</row>
    <row r="490" spans="1:26" ht="18.75">
      <c r="A490" s="608"/>
      <c r="B490" s="618"/>
      <c r="C490" s="618"/>
      <c r="D490" s="618"/>
      <c r="E490" s="618" t="s">
        <v>63</v>
      </c>
      <c r="F490" s="626"/>
      <c r="G490" s="762"/>
      <c r="H490" s="623"/>
      <c r="I490" s="270"/>
      <c r="J490" s="270"/>
      <c r="K490" s="498"/>
      <c r="L490" s="498"/>
      <c r="M490" s="498"/>
      <c r="N490" s="498"/>
      <c r="O490" s="498"/>
      <c r="P490" s="49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</row>
    <row r="491" spans="1:26" ht="18.75">
      <c r="A491" s="608"/>
      <c r="B491" s="618"/>
      <c r="C491" s="618"/>
      <c r="D491" s="618"/>
      <c r="E491" s="618"/>
      <c r="F491" s="618" t="s">
        <v>214</v>
      </c>
      <c r="G491" s="762"/>
      <c r="H491" s="623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</row>
    <row r="492" spans="1:26" ht="18.75">
      <c r="A492" s="608"/>
      <c r="B492" s="618"/>
      <c r="C492" s="618"/>
      <c r="D492" s="618"/>
      <c r="E492" s="618"/>
      <c r="F492" s="618" t="s">
        <v>215</v>
      </c>
      <c r="G492" s="762"/>
      <c r="H492" s="623" t="s">
        <v>35</v>
      </c>
      <c r="I492" s="270">
        <f ca="1">IFERROR(__xludf.DUMMYFUNCTION("IMPORTRANGE(""https://docs.google.com/spreadsheets/d/1QqKyyYR6Q21VydFLVH3TRQUabQu_ym0Zz7PgGX0-kHA/edit?usp=sharing"",""แผน!GC42"")"),1)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</row>
    <row r="493" spans="1:26" ht="19.5">
      <c r="A493" s="608"/>
      <c r="B493" s="618"/>
      <c r="C493" s="618"/>
      <c r="D493" s="625" t="s">
        <v>59</v>
      </c>
      <c r="E493" s="618"/>
      <c r="F493" s="626"/>
      <c r="G493" s="762"/>
      <c r="H493" s="189"/>
      <c r="I493" s="270"/>
      <c r="J493" s="270"/>
      <c r="K493" s="498"/>
      <c r="L493" s="498"/>
      <c r="M493" s="498"/>
      <c r="N493" s="498"/>
      <c r="O493" s="498"/>
      <c r="P493" s="49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</row>
    <row r="494" spans="1:26" ht="18.75">
      <c r="A494" s="608"/>
      <c r="B494" s="618"/>
      <c r="C494" s="618"/>
      <c r="D494" s="618"/>
      <c r="E494" s="618" t="s">
        <v>208</v>
      </c>
      <c r="F494" s="626"/>
      <c r="G494" s="762"/>
      <c r="H494" s="189"/>
      <c r="I494" s="270"/>
      <c r="J494" s="270"/>
      <c r="K494" s="498"/>
      <c r="L494" s="498"/>
      <c r="M494" s="498"/>
      <c r="N494" s="498"/>
      <c r="O494" s="498"/>
      <c r="P494" s="49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</row>
    <row r="495" spans="1:26" ht="18.75">
      <c r="A495" s="608"/>
      <c r="B495" s="618"/>
      <c r="C495" s="618"/>
      <c r="D495" s="618"/>
      <c r="E495" s="618"/>
      <c r="F495" s="626" t="s">
        <v>216</v>
      </c>
      <c r="G495" s="762"/>
      <c r="H495" s="623" t="s">
        <v>46</v>
      </c>
      <c r="I495" s="270">
        <f ca="1">IFERROR(__xludf.DUMMYFUNCTION("IMPORTRANGE(""https://docs.google.com/spreadsheets/d/1QqKyyYR6Q21VydFLVH3TRQUabQu_ym0Zz7PgGX0-kHA/edit?usp=sharing"",""แผน!FY42"")"),540)</f>
        <v>540</v>
      </c>
      <c r="J495" s="215">
        <v>540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</row>
    <row r="496" spans="1:26" ht="18.75">
      <c r="A496" s="608"/>
      <c r="B496" s="618"/>
      <c r="C496" s="618"/>
      <c r="D496" s="618"/>
      <c r="E496" s="618"/>
      <c r="F496" s="626" t="s">
        <v>217</v>
      </c>
      <c r="G496" s="762"/>
      <c r="H496" s="623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</row>
    <row r="497" spans="1:26" ht="18.75">
      <c r="A497" s="608"/>
      <c r="B497" s="618"/>
      <c r="C497" s="618"/>
      <c r="D497" s="618"/>
      <c r="E497" s="618" t="s">
        <v>62</v>
      </c>
      <c r="F497" s="626"/>
      <c r="G497" s="762"/>
      <c r="H497" s="189"/>
      <c r="I497" s="270"/>
      <c r="J497" s="270"/>
      <c r="K497" s="498"/>
      <c r="L497" s="498"/>
      <c r="M497" s="498"/>
      <c r="N497" s="498"/>
      <c r="O497" s="498"/>
      <c r="P497" s="49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</row>
    <row r="498" spans="1:26" ht="18.75">
      <c r="A498" s="608"/>
      <c r="B498" s="618"/>
      <c r="C498" s="618"/>
      <c r="D498" s="618"/>
      <c r="E498" s="626"/>
      <c r="F498" s="626" t="s">
        <v>218</v>
      </c>
      <c r="G498" s="762"/>
      <c r="H498" s="623" t="s">
        <v>46</v>
      </c>
      <c r="I498" s="270">
        <f ca="1">IFERROR(__xludf.DUMMYFUNCTION("IMPORTRANGE(""https://docs.google.com/spreadsheets/d/1QqKyyYR6Q21VydFLVH3TRQUabQu_ym0Zz7PgGX0-kHA/edit?usp=sharing"",""แผน!GA42"")"),60)</f>
        <v>60</v>
      </c>
      <c r="J498" s="215">
        <v>60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</row>
    <row r="499" spans="1:26" ht="18.75">
      <c r="A499" s="608"/>
      <c r="B499" s="618"/>
      <c r="C499" s="618"/>
      <c r="D499" s="618"/>
      <c r="E499" s="626"/>
      <c r="F499" s="626" t="s">
        <v>219</v>
      </c>
      <c r="G499" s="762"/>
      <c r="H499" s="623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</row>
    <row r="500" spans="1:26" ht="19.5" hidden="1">
      <c r="A500" s="627">
        <v>4</v>
      </c>
      <c r="B500" s="628" t="s">
        <v>220</v>
      </c>
      <c r="C500" s="629"/>
      <c r="D500" s="630"/>
      <c r="E500" s="630"/>
      <c r="F500" s="630"/>
      <c r="G500" s="631"/>
      <c r="H500" s="632" t="s">
        <v>109</v>
      </c>
      <c r="I500" s="633"/>
      <c r="J500" s="633">
        <f t="shared" ref="J500:J501" si="214">J516</f>
        <v>0</v>
      </c>
      <c r="K500" s="634">
        <f t="shared" ref="K500:K501" si="215">IF(I500&gt;0,J500*100/I500,0)</f>
        <v>0</v>
      </c>
      <c r="L500" s="635"/>
      <c r="M500" s="635"/>
      <c r="N500" s="635"/>
      <c r="O500" s="635"/>
      <c r="P500" s="635"/>
      <c r="Q500" s="604"/>
      <c r="R500" s="604"/>
      <c r="S500" s="604"/>
      <c r="T500" s="604"/>
      <c r="U500" s="604"/>
      <c r="V500" s="604"/>
      <c r="W500" s="604"/>
      <c r="X500" s="604"/>
      <c r="Y500" s="604"/>
      <c r="Z500" s="604"/>
    </row>
    <row r="501" spans="1:26" ht="19.5" hidden="1">
      <c r="A501" s="636"/>
      <c r="B501" s="638" t="s">
        <v>221</v>
      </c>
      <c r="C501" s="638"/>
      <c r="D501" s="639"/>
      <c r="E501" s="639"/>
      <c r="F501" s="639"/>
      <c r="G501" s="640"/>
      <c r="H501" s="641" t="s">
        <v>35</v>
      </c>
      <c r="I501" s="642"/>
      <c r="J501" s="642">
        <f t="shared" si="214"/>
        <v>0</v>
      </c>
      <c r="K501" s="643">
        <f t="shared" si="215"/>
        <v>0</v>
      </c>
      <c r="L501" s="644"/>
      <c r="M501" s="644"/>
      <c r="N501" s="644"/>
      <c r="O501" s="644"/>
      <c r="P501" s="64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</row>
    <row r="502" spans="1:26" ht="19.5" hidden="1">
      <c r="A502" s="599"/>
      <c r="B502" s="759"/>
      <c r="C502" s="759" t="s">
        <v>16</v>
      </c>
      <c r="D502" s="864" t="s">
        <v>17</v>
      </c>
      <c r="E502" s="857"/>
      <c r="F502" s="857"/>
      <c r="G502" s="603"/>
      <c r="H502" s="646" t="s">
        <v>12</v>
      </c>
      <c r="I502" s="617"/>
      <c r="J502" s="617"/>
      <c r="K502" s="93"/>
      <c r="L502" s="647">
        <f t="shared" ref="L502:N502" si="216">L503+L504</f>
        <v>0</v>
      </c>
      <c r="M502" s="647">
        <f t="shared" si="216"/>
        <v>0</v>
      </c>
      <c r="N502" s="647">
        <f t="shared" si="216"/>
        <v>0</v>
      </c>
      <c r="O502" s="647">
        <f t="shared" ref="O502:O507" si="217">IF(L502&gt;0,N502*100/L502,0)</f>
        <v>0</v>
      </c>
      <c r="P502" s="647">
        <f t="shared" ref="P502:P507" si="218">IF(M502&gt;0,N502*100/M502,0)</f>
        <v>0</v>
      </c>
      <c r="Q502" s="604"/>
      <c r="R502" s="604"/>
      <c r="S502" s="604"/>
      <c r="T502" s="604"/>
      <c r="U502" s="604"/>
      <c r="V502" s="604"/>
      <c r="W502" s="604"/>
      <c r="X502" s="604"/>
      <c r="Y502" s="604"/>
      <c r="Z502" s="604"/>
    </row>
    <row r="503" spans="1:26" ht="18.75" hidden="1">
      <c r="A503" s="599"/>
      <c r="B503" s="759"/>
      <c r="C503" s="759"/>
      <c r="D503" s="720"/>
      <c r="E503" s="759" t="s">
        <v>185</v>
      </c>
      <c r="F503" s="759"/>
      <c r="G503" s="603"/>
      <c r="H503" s="165" t="s">
        <v>12</v>
      </c>
      <c r="I503" s="617"/>
      <c r="J503" s="617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4"/>
      <c r="R503" s="604"/>
      <c r="S503" s="604"/>
      <c r="T503" s="604"/>
      <c r="U503" s="604"/>
      <c r="V503" s="604"/>
      <c r="W503" s="604"/>
      <c r="X503" s="604"/>
      <c r="Y503" s="604"/>
      <c r="Z503" s="604"/>
    </row>
    <row r="504" spans="1:26" ht="18.75" hidden="1">
      <c r="A504" s="599"/>
      <c r="B504" s="607"/>
      <c r="C504" s="759"/>
      <c r="D504" s="720"/>
      <c r="E504" s="759" t="s">
        <v>186</v>
      </c>
      <c r="F504" s="759"/>
      <c r="G504" s="603"/>
      <c r="H504" s="165" t="s">
        <v>12</v>
      </c>
      <c r="I504" s="617"/>
      <c r="J504" s="617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4"/>
      <c r="R504" s="604"/>
      <c r="S504" s="604"/>
      <c r="T504" s="604"/>
      <c r="U504" s="604"/>
      <c r="V504" s="604"/>
      <c r="W504" s="604"/>
      <c r="X504" s="604"/>
      <c r="Y504" s="604"/>
      <c r="Z504" s="604"/>
    </row>
    <row r="505" spans="1:26" ht="18.75" hidden="1">
      <c r="A505" s="599"/>
      <c r="B505" s="607"/>
      <c r="C505" s="759"/>
      <c r="D505" s="648" t="s">
        <v>20</v>
      </c>
      <c r="E505" s="759"/>
      <c r="F505" s="759"/>
      <c r="G505" s="603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4"/>
      <c r="R505" s="604"/>
      <c r="S505" s="604"/>
      <c r="T505" s="604"/>
      <c r="U505" s="604"/>
      <c r="V505" s="604"/>
      <c r="W505" s="604"/>
      <c r="X505" s="604"/>
      <c r="Y505" s="604"/>
      <c r="Z505" s="604"/>
    </row>
    <row r="506" spans="1:26" ht="18.75" hidden="1">
      <c r="A506" s="599"/>
      <c r="B506" s="607"/>
      <c r="C506" s="759"/>
      <c r="D506" s="720"/>
      <c r="E506" s="759" t="s">
        <v>185</v>
      </c>
      <c r="F506" s="759"/>
      <c r="G506" s="603"/>
      <c r="H506" s="165" t="s">
        <v>12</v>
      </c>
      <c r="I506" s="617"/>
      <c r="J506" s="617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4"/>
      <c r="R506" s="604"/>
      <c r="S506" s="604"/>
      <c r="T506" s="604"/>
      <c r="U506" s="604"/>
      <c r="V506" s="604"/>
      <c r="W506" s="604"/>
      <c r="X506" s="604"/>
      <c r="Y506" s="604"/>
      <c r="Z506" s="604"/>
    </row>
    <row r="507" spans="1:26" ht="18.75" hidden="1">
      <c r="A507" s="599"/>
      <c r="B507" s="607"/>
      <c r="C507" s="759"/>
      <c r="D507" s="720"/>
      <c r="E507" s="759" t="s">
        <v>186</v>
      </c>
      <c r="F507" s="759"/>
      <c r="G507" s="603"/>
      <c r="H507" s="165" t="s">
        <v>12</v>
      </c>
      <c r="I507" s="617"/>
      <c r="J507" s="617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4"/>
      <c r="R507" s="604"/>
      <c r="S507" s="604"/>
      <c r="T507" s="604"/>
      <c r="U507" s="604"/>
      <c r="V507" s="604"/>
      <c r="W507" s="604"/>
      <c r="X507" s="604"/>
      <c r="Y507" s="604"/>
      <c r="Z507" s="604"/>
    </row>
    <row r="508" spans="1:26" ht="18.75" hidden="1">
      <c r="A508" s="649"/>
      <c r="B508" s="607"/>
      <c r="C508" s="759"/>
      <c r="D508" s="759"/>
      <c r="E508" s="759"/>
      <c r="F508" s="759" t="s">
        <v>187</v>
      </c>
      <c r="G508" s="603"/>
      <c r="H508" s="165" t="s">
        <v>12</v>
      </c>
      <c r="I508" s="617"/>
      <c r="J508" s="617"/>
      <c r="K508" s="93"/>
      <c r="L508" s="93"/>
      <c r="M508" s="93"/>
      <c r="N508" s="93">
        <v>0</v>
      </c>
      <c r="O508" s="93"/>
      <c r="P508" s="93"/>
      <c r="Q508" s="604"/>
      <c r="R508" s="604"/>
      <c r="S508" s="604"/>
      <c r="T508" s="604"/>
      <c r="U508" s="604"/>
      <c r="V508" s="604"/>
      <c r="W508" s="604"/>
      <c r="X508" s="604"/>
      <c r="Y508" s="604"/>
      <c r="Z508" s="604"/>
    </row>
    <row r="509" spans="1:26" ht="18.75" hidden="1">
      <c r="A509" s="649"/>
      <c r="B509" s="607"/>
      <c r="C509" s="759"/>
      <c r="D509" s="759"/>
      <c r="E509" s="759"/>
      <c r="F509" s="759" t="s">
        <v>188</v>
      </c>
      <c r="G509" s="603"/>
      <c r="H509" s="165" t="s">
        <v>12</v>
      </c>
      <c r="I509" s="617"/>
      <c r="J509" s="617"/>
      <c r="K509" s="93"/>
      <c r="L509" s="93"/>
      <c r="M509" s="93"/>
      <c r="N509" s="93">
        <v>0</v>
      </c>
      <c r="O509" s="93"/>
      <c r="P509" s="93"/>
      <c r="Q509" s="604"/>
      <c r="R509" s="604"/>
      <c r="S509" s="604"/>
      <c r="T509" s="604"/>
      <c r="U509" s="604"/>
      <c r="V509" s="604"/>
      <c r="W509" s="604"/>
      <c r="X509" s="604"/>
      <c r="Y509" s="604"/>
      <c r="Z509" s="604"/>
    </row>
    <row r="510" spans="1:26" ht="18.75" hidden="1">
      <c r="A510" s="649"/>
      <c r="B510" s="607"/>
      <c r="C510" s="607"/>
      <c r="D510" s="607"/>
      <c r="E510" s="759"/>
      <c r="F510" s="759" t="s">
        <v>189</v>
      </c>
      <c r="G510" s="603"/>
      <c r="H510" s="165" t="s">
        <v>12</v>
      </c>
      <c r="I510" s="617"/>
      <c r="J510" s="617"/>
      <c r="K510" s="93"/>
      <c r="L510" s="93"/>
      <c r="M510" s="93"/>
      <c r="N510" s="93">
        <v>0</v>
      </c>
      <c r="O510" s="93"/>
      <c r="P510" s="93"/>
      <c r="Q510" s="604"/>
      <c r="R510" s="604"/>
      <c r="S510" s="604"/>
      <c r="T510" s="604"/>
      <c r="U510" s="604"/>
      <c r="V510" s="604"/>
      <c r="W510" s="604"/>
      <c r="X510" s="604"/>
      <c r="Y510" s="604"/>
      <c r="Z510" s="604"/>
    </row>
    <row r="511" spans="1:26" ht="18.75" hidden="1">
      <c r="A511" s="649"/>
      <c r="B511" s="607"/>
      <c r="C511" s="607"/>
      <c r="D511" s="607"/>
      <c r="E511" s="759"/>
      <c r="F511" s="759" t="s">
        <v>190</v>
      </c>
      <c r="G511" s="603"/>
      <c r="H511" s="165" t="s">
        <v>12</v>
      </c>
      <c r="I511" s="617"/>
      <c r="J511" s="617"/>
      <c r="K511" s="93"/>
      <c r="L511" s="93"/>
      <c r="M511" s="93"/>
      <c r="N511" s="93">
        <v>0</v>
      </c>
      <c r="O511" s="93"/>
      <c r="P511" s="93"/>
      <c r="Q511" s="604"/>
      <c r="R511" s="604"/>
      <c r="S511" s="604"/>
      <c r="T511" s="604"/>
      <c r="U511" s="604"/>
      <c r="V511" s="604"/>
      <c r="W511" s="604"/>
      <c r="X511" s="604"/>
      <c r="Y511" s="604"/>
      <c r="Z511" s="604"/>
    </row>
    <row r="512" spans="1:26" ht="18.75" hidden="1">
      <c r="A512" s="599"/>
      <c r="B512" s="607"/>
      <c r="C512" s="607"/>
      <c r="D512" s="648" t="s">
        <v>21</v>
      </c>
      <c r="E512" s="607"/>
      <c r="F512" s="759"/>
      <c r="G512" s="603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4"/>
      <c r="R512" s="604"/>
      <c r="S512" s="604"/>
      <c r="T512" s="604"/>
      <c r="U512" s="604"/>
      <c r="V512" s="604"/>
      <c r="W512" s="604"/>
      <c r="X512" s="604"/>
      <c r="Y512" s="604"/>
      <c r="Z512" s="604"/>
    </row>
    <row r="513" spans="1:26" ht="18.75" hidden="1">
      <c r="A513" s="599"/>
      <c r="B513" s="607"/>
      <c r="C513" s="607"/>
      <c r="D513" s="607"/>
      <c r="E513" s="607" t="s">
        <v>18</v>
      </c>
      <c r="F513" s="759"/>
      <c r="G513" s="603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4"/>
      <c r="R513" s="604"/>
      <c r="S513" s="604"/>
      <c r="T513" s="604"/>
      <c r="U513" s="604"/>
      <c r="V513" s="604"/>
      <c r="W513" s="604"/>
      <c r="X513" s="604"/>
      <c r="Y513" s="604"/>
      <c r="Z513" s="604"/>
    </row>
    <row r="514" spans="1:26" ht="18.75" hidden="1">
      <c r="A514" s="599"/>
      <c r="B514" s="607"/>
      <c r="C514" s="607"/>
      <c r="D514" s="759"/>
      <c r="E514" s="607" t="s">
        <v>19</v>
      </c>
      <c r="F514" s="759"/>
      <c r="G514" s="603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4"/>
      <c r="R514" s="604"/>
      <c r="S514" s="604"/>
      <c r="T514" s="604"/>
      <c r="U514" s="604"/>
      <c r="V514" s="604"/>
      <c r="W514" s="604"/>
      <c r="X514" s="604"/>
      <c r="Y514" s="604"/>
      <c r="Z514" s="604"/>
    </row>
    <row r="515" spans="1:26" ht="19.5" hidden="1">
      <c r="A515" s="614"/>
      <c r="B515" s="616"/>
      <c r="C515" s="607" t="s">
        <v>16</v>
      </c>
      <c r="D515" s="895" t="s">
        <v>38</v>
      </c>
      <c r="E515" s="651"/>
      <c r="F515" s="651"/>
      <c r="G515" s="652"/>
      <c r="H515" s="366"/>
      <c r="I515" s="166"/>
      <c r="J515" s="166"/>
      <c r="K515" s="167"/>
      <c r="L515" s="167"/>
      <c r="M515" s="167"/>
      <c r="N515" s="167"/>
      <c r="O515" s="167"/>
      <c r="P515" s="167"/>
      <c r="Q515" s="604"/>
      <c r="R515" s="604"/>
      <c r="S515" s="604"/>
      <c r="T515" s="604"/>
      <c r="U515" s="604"/>
      <c r="V515" s="604"/>
      <c r="W515" s="604"/>
      <c r="X515" s="604"/>
      <c r="Y515" s="604"/>
      <c r="Z515" s="604"/>
    </row>
    <row r="516" spans="1:26" ht="18.75" hidden="1">
      <c r="A516" s="614"/>
      <c r="B516" s="616"/>
      <c r="C516" s="616"/>
      <c r="D516" s="616" t="s">
        <v>222</v>
      </c>
      <c r="E516" s="720"/>
      <c r="F516" s="720"/>
      <c r="G516" s="366"/>
      <c r="H516" s="653" t="s">
        <v>109</v>
      </c>
      <c r="I516" s="617"/>
      <c r="J516" s="617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4"/>
      <c r="R516" s="604"/>
      <c r="S516" s="604"/>
      <c r="T516" s="604"/>
      <c r="U516" s="604"/>
      <c r="V516" s="604"/>
      <c r="W516" s="604"/>
      <c r="X516" s="604"/>
      <c r="Y516" s="604"/>
      <c r="Z516" s="604"/>
    </row>
    <row r="517" spans="1:26" ht="19.5" hidden="1">
      <c r="A517" s="614"/>
      <c r="B517" s="616"/>
      <c r="C517" s="616"/>
      <c r="D517" s="616" t="s">
        <v>223</v>
      </c>
      <c r="E517" s="720"/>
      <c r="F517" s="720"/>
      <c r="G517" s="366"/>
      <c r="H517" s="654" t="s">
        <v>35</v>
      </c>
      <c r="I517" s="655"/>
      <c r="J517" s="655">
        <f>J518+J519</f>
        <v>0</v>
      </c>
      <c r="K517" s="656">
        <f t="shared" si="224"/>
        <v>0</v>
      </c>
      <c r="L517" s="167"/>
      <c r="M517" s="167"/>
      <c r="N517" s="167"/>
      <c r="O517" s="167"/>
      <c r="P517" s="167"/>
      <c r="Q517" s="604"/>
      <c r="R517" s="604"/>
      <c r="S517" s="604"/>
      <c r="T517" s="604"/>
      <c r="U517" s="604"/>
      <c r="V517" s="604"/>
      <c r="W517" s="604"/>
      <c r="X517" s="604"/>
      <c r="Y517" s="604"/>
      <c r="Z517" s="604"/>
    </row>
    <row r="518" spans="1:26" ht="18.75" hidden="1">
      <c r="A518" s="614"/>
      <c r="B518" s="616"/>
      <c r="C518" s="616"/>
      <c r="D518" s="616"/>
      <c r="E518" s="616" t="s">
        <v>224</v>
      </c>
      <c r="F518" s="720"/>
      <c r="G518" s="366"/>
      <c r="H518" s="370" t="s">
        <v>35</v>
      </c>
      <c r="I518" s="617"/>
      <c r="J518" s="617"/>
      <c r="K518" s="167"/>
      <c r="L518" s="167"/>
      <c r="M518" s="167"/>
      <c r="N518" s="167"/>
      <c r="O518" s="167"/>
      <c r="P518" s="167"/>
      <c r="Q518" s="604"/>
      <c r="R518" s="604"/>
      <c r="S518" s="604"/>
      <c r="T518" s="604"/>
      <c r="U518" s="604"/>
      <c r="V518" s="604"/>
      <c r="W518" s="604"/>
      <c r="X518" s="604"/>
      <c r="Y518" s="604"/>
      <c r="Z518" s="604"/>
    </row>
    <row r="519" spans="1:26" ht="18.75" hidden="1">
      <c r="A519" s="614"/>
      <c r="B519" s="616"/>
      <c r="C519" s="616"/>
      <c r="D519" s="616"/>
      <c r="E519" s="616" t="s">
        <v>225</v>
      </c>
      <c r="F519" s="720"/>
      <c r="G519" s="366"/>
      <c r="H519" s="653" t="s">
        <v>35</v>
      </c>
      <c r="I519" s="617"/>
      <c r="J519" s="617"/>
      <c r="K519" s="167"/>
      <c r="L519" s="167"/>
      <c r="M519" s="167"/>
      <c r="N519" s="167"/>
      <c r="O519" s="167"/>
      <c r="P519" s="167"/>
      <c r="Q519" s="604"/>
      <c r="R519" s="604"/>
      <c r="S519" s="604"/>
      <c r="T519" s="604"/>
      <c r="U519" s="604"/>
      <c r="V519" s="604"/>
      <c r="W519" s="604"/>
      <c r="X519" s="604"/>
      <c r="Y519" s="604"/>
      <c r="Z519" s="604"/>
    </row>
    <row r="520" spans="1:26" ht="19.5">
      <c r="A520" s="657" t="s">
        <v>137</v>
      </c>
      <c r="B520" s="658"/>
      <c r="C520" s="658"/>
      <c r="D520" s="659"/>
      <c r="E520" s="659"/>
      <c r="F520" s="659"/>
      <c r="G520" s="660"/>
      <c r="H520" s="661"/>
      <c r="I520" s="662"/>
      <c r="J520" s="662"/>
      <c r="K520" s="663"/>
      <c r="L520" s="663"/>
      <c r="M520" s="663"/>
      <c r="N520" s="663"/>
      <c r="O520" s="663"/>
      <c r="P520" s="663"/>
    </row>
    <row r="521" spans="1:26" ht="19.5" hidden="1">
      <c r="A521" s="664">
        <v>5</v>
      </c>
      <c r="B521" s="665" t="s">
        <v>226</v>
      </c>
      <c r="C521" s="666"/>
      <c r="D521" s="667"/>
      <c r="E521" s="667"/>
      <c r="F521" s="667"/>
      <c r="G521" s="667"/>
      <c r="H521" s="668"/>
      <c r="I521" s="669"/>
      <c r="J521" s="669"/>
      <c r="K521" s="670"/>
      <c r="L521" s="670"/>
      <c r="M521" s="670"/>
      <c r="N521" s="670"/>
      <c r="O521" s="670"/>
      <c r="P521" s="670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</row>
    <row r="522" spans="1:26" ht="19.5" hidden="1">
      <c r="A522" s="671"/>
      <c r="B522" s="672" t="s">
        <v>227</v>
      </c>
      <c r="C522" s="673"/>
      <c r="D522" s="673"/>
      <c r="E522" s="673"/>
      <c r="F522" s="673"/>
      <c r="G522" s="674"/>
      <c r="H522" s="675" t="s">
        <v>35</v>
      </c>
      <c r="I522" s="708">
        <f t="shared" ref="I522:J522" ca="1" si="225">I537</f>
        <v>0</v>
      </c>
      <c r="J522" s="708">
        <f t="shared" ca="1" si="225"/>
        <v>0</v>
      </c>
      <c r="K522" s="677">
        <f ca="1">IF(I522&gt;0,J522*100/I522,0)</f>
        <v>0</v>
      </c>
      <c r="L522" s="678"/>
      <c r="M522" s="678"/>
      <c r="N522" s="678"/>
      <c r="O522" s="678"/>
      <c r="P522" s="6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</row>
    <row r="523" spans="1:26" ht="19.5" hidden="1">
      <c r="A523" s="597"/>
      <c r="B523" s="763"/>
      <c r="C523" s="763" t="s">
        <v>16</v>
      </c>
      <c r="D523" s="863" t="s">
        <v>17</v>
      </c>
      <c r="E523" s="857"/>
      <c r="F523" s="857"/>
      <c r="G523" s="189"/>
      <c r="H523" s="598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</row>
    <row r="524" spans="1:26" ht="18.75" hidden="1">
      <c r="A524" s="599"/>
      <c r="B524" s="759"/>
      <c r="C524" s="759"/>
      <c r="D524" s="720"/>
      <c r="E524" s="759" t="s">
        <v>185</v>
      </c>
      <c r="F524" s="759"/>
      <c r="G524" s="603"/>
      <c r="H524" s="165" t="s">
        <v>12</v>
      </c>
      <c r="I524" s="617"/>
      <c r="J524" s="617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4"/>
      <c r="R524" s="604"/>
      <c r="S524" s="604"/>
      <c r="T524" s="604"/>
      <c r="U524" s="604"/>
      <c r="V524" s="604"/>
      <c r="W524" s="604"/>
      <c r="X524" s="604"/>
      <c r="Y524" s="604"/>
      <c r="Z524" s="604"/>
    </row>
    <row r="525" spans="1:26" ht="18.75" hidden="1">
      <c r="A525" s="599"/>
      <c r="B525" s="607"/>
      <c r="C525" s="759"/>
      <c r="D525" s="720"/>
      <c r="E525" s="759" t="s">
        <v>186</v>
      </c>
      <c r="F525" s="759"/>
      <c r="G525" s="603"/>
      <c r="H525" s="165" t="s">
        <v>12</v>
      </c>
      <c r="I525" s="617"/>
      <c r="J525" s="617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4"/>
      <c r="R525" s="604"/>
      <c r="S525" s="604"/>
      <c r="T525" s="604"/>
      <c r="U525" s="604"/>
      <c r="V525" s="604"/>
      <c r="W525" s="604"/>
      <c r="X525" s="604"/>
      <c r="Y525" s="604"/>
      <c r="Z525" s="604"/>
    </row>
    <row r="526" spans="1:26" ht="18.75" hidden="1">
      <c r="A526" s="597"/>
      <c r="B526" s="575"/>
      <c r="C526" s="763"/>
      <c r="D526" s="606" t="s">
        <v>20</v>
      </c>
      <c r="E526" s="763"/>
      <c r="F526" s="763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</row>
    <row r="527" spans="1:26" ht="18.75" hidden="1">
      <c r="A527" s="599"/>
      <c r="B527" s="607"/>
      <c r="C527" s="759"/>
      <c r="D527" s="720"/>
      <c r="E527" s="759" t="s">
        <v>185</v>
      </c>
      <c r="F527" s="759"/>
      <c r="G527" s="603"/>
      <c r="H527" s="165" t="s">
        <v>12</v>
      </c>
      <c r="I527" s="617"/>
      <c r="J527" s="617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4"/>
      <c r="R527" s="604"/>
      <c r="S527" s="604"/>
      <c r="T527" s="604"/>
      <c r="U527" s="604"/>
      <c r="V527" s="604"/>
      <c r="W527" s="604"/>
      <c r="X527" s="604"/>
      <c r="Y527" s="604"/>
      <c r="Z527" s="604"/>
    </row>
    <row r="528" spans="1:26" ht="18.75" hidden="1">
      <c r="A528" s="599"/>
      <c r="B528" s="607"/>
      <c r="C528" s="759"/>
      <c r="D528" s="720"/>
      <c r="E528" s="759" t="s">
        <v>186</v>
      </c>
      <c r="F528" s="759"/>
      <c r="G528" s="603"/>
      <c r="H528" s="165" t="s">
        <v>12</v>
      </c>
      <c r="I528" s="617"/>
      <c r="J528" s="617"/>
      <c r="K528" s="93"/>
      <c r="L528" s="93">
        <f ca="1">IFERROR(__xludf.DUMMYFUNCTION("IMPORTRANGE(""https://docs.google.com/spreadsheets/d/1QqKyyYR6Q21VydFLVH3TRQUabQu_ym0Zz7PgGX0-kHA/edit?usp=sharing"",""แผน!GQ42"")"),0)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4"/>
      <c r="R528" s="604"/>
      <c r="S528" s="604"/>
      <c r="T528" s="604"/>
      <c r="U528" s="604"/>
      <c r="V528" s="604"/>
      <c r="W528" s="604"/>
      <c r="X528" s="604"/>
      <c r="Y528" s="604"/>
      <c r="Z528" s="604"/>
    </row>
    <row r="529" spans="1:26" ht="18.75" hidden="1">
      <c r="A529" s="574"/>
      <c r="B529" s="575"/>
      <c r="C529" s="763"/>
      <c r="D529" s="763"/>
      <c r="E529" s="763"/>
      <c r="F529" s="763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40">
        <v>0</v>
      </c>
      <c r="O529" s="498"/>
      <c r="P529" s="49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</row>
    <row r="530" spans="1:26" ht="18.75" hidden="1">
      <c r="A530" s="574"/>
      <c r="B530" s="575"/>
      <c r="C530" s="763"/>
      <c r="D530" s="763"/>
      <c r="E530" s="763"/>
      <c r="F530" s="763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40">
        <v>0</v>
      </c>
      <c r="O530" s="498"/>
      <c r="P530" s="49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</row>
    <row r="531" spans="1:26" ht="18.75" hidden="1">
      <c r="A531" s="574"/>
      <c r="B531" s="575"/>
      <c r="C531" s="763"/>
      <c r="D531" s="763"/>
      <c r="E531" s="763"/>
      <c r="F531" s="763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40">
        <v>0</v>
      </c>
      <c r="O531" s="498"/>
      <c r="P531" s="49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</row>
    <row r="532" spans="1:26" ht="18.75" hidden="1">
      <c r="A532" s="574"/>
      <c r="B532" s="575"/>
      <c r="C532" s="763"/>
      <c r="D532" s="763"/>
      <c r="E532" s="763"/>
      <c r="F532" s="763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40">
        <v>0</v>
      </c>
      <c r="O532" s="498"/>
      <c r="P532" s="49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</row>
    <row r="533" spans="1:26" ht="18.75" hidden="1">
      <c r="A533" s="597"/>
      <c r="B533" s="575"/>
      <c r="C533" s="763"/>
      <c r="D533" s="606" t="s">
        <v>21</v>
      </c>
      <c r="E533" s="763"/>
      <c r="F533" s="763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</row>
    <row r="534" spans="1:26" ht="18.75" hidden="1">
      <c r="A534" s="599"/>
      <c r="B534" s="607"/>
      <c r="C534" s="759"/>
      <c r="D534" s="759"/>
      <c r="E534" s="759" t="s">
        <v>18</v>
      </c>
      <c r="F534" s="759"/>
      <c r="G534" s="603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4"/>
      <c r="R534" s="604"/>
      <c r="S534" s="604"/>
      <c r="T534" s="604"/>
      <c r="U534" s="604"/>
      <c r="V534" s="604"/>
      <c r="W534" s="604"/>
      <c r="X534" s="604"/>
      <c r="Y534" s="604"/>
      <c r="Z534" s="604"/>
    </row>
    <row r="535" spans="1:26" ht="18.75" hidden="1">
      <c r="A535" s="599"/>
      <c r="B535" s="607"/>
      <c r="C535" s="759"/>
      <c r="D535" s="759"/>
      <c r="E535" s="759" t="s">
        <v>19</v>
      </c>
      <c r="F535" s="759"/>
      <c r="G535" s="603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4"/>
      <c r="R535" s="604"/>
      <c r="S535" s="604"/>
      <c r="T535" s="604"/>
      <c r="U535" s="604"/>
      <c r="V535" s="604"/>
      <c r="W535" s="604"/>
      <c r="X535" s="604"/>
      <c r="Y535" s="604"/>
      <c r="Z535" s="604"/>
    </row>
    <row r="536" spans="1:26" ht="19.5" hidden="1">
      <c r="A536" s="608"/>
      <c r="B536" s="618"/>
      <c r="C536" s="763" t="s">
        <v>16</v>
      </c>
      <c r="D536" s="896" t="s">
        <v>38</v>
      </c>
      <c r="E536" s="761"/>
      <c r="F536" s="761"/>
      <c r="G536" s="613"/>
      <c r="H536" s="762"/>
      <c r="I536" s="184"/>
      <c r="J536" s="184"/>
      <c r="K536" s="163"/>
      <c r="L536" s="163"/>
      <c r="M536" s="163"/>
      <c r="N536" s="163"/>
      <c r="O536" s="163"/>
      <c r="P536" s="163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</row>
    <row r="537" spans="1:26" ht="19.5" hidden="1">
      <c r="A537" s="574"/>
      <c r="B537" s="575"/>
      <c r="C537" s="763"/>
      <c r="D537" s="763" t="s">
        <v>228</v>
      </c>
      <c r="E537" s="763"/>
      <c r="F537" s="763"/>
      <c r="G537" s="189"/>
      <c r="H537" s="623" t="s">
        <v>35</v>
      </c>
      <c r="I537" s="681">
        <f ca="1">IFERROR(__xludf.DUMMYFUNCTION("IMPORTRANGE(""https://docs.google.com/spreadsheets/d/1QqKyyYR6Q21VydFLVH3TRQUabQu_ym0Zz7PgGX0-kHA/edit?usp=sharing"",""แผน!GU42"")"),0)</f>
        <v>0</v>
      </c>
      <c r="J537" s="681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2"/>
      <c r="R537" s="682"/>
      <c r="S537" s="682"/>
      <c r="T537" s="682"/>
      <c r="U537" s="682"/>
      <c r="V537" s="682"/>
      <c r="W537" s="682"/>
      <c r="X537" s="682"/>
      <c r="Y537" s="682"/>
      <c r="Z537" s="682"/>
    </row>
    <row r="538" spans="1:26" ht="18.75" hidden="1">
      <c r="A538" s="574"/>
      <c r="B538" s="575"/>
      <c r="C538" s="763"/>
      <c r="D538" s="763"/>
      <c r="E538" s="763" t="s">
        <v>229</v>
      </c>
      <c r="F538" s="763"/>
      <c r="G538" s="189"/>
      <c r="H538" s="623" t="s">
        <v>35</v>
      </c>
      <c r="I538" s="270">
        <f ca="1">IFERROR(__xludf.DUMMYFUNCTION("IMPORTRANGE(""https://docs.google.com/spreadsheets/d/1QqKyyYR6Q21VydFLVH3TRQUabQu_ym0Zz7PgGX0-kHA/edit?usp=sharing"",""แผน!GV42"")"),0)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2"/>
      <c r="R538" s="682"/>
      <c r="S538" s="682"/>
      <c r="T538" s="682"/>
      <c r="U538" s="682"/>
      <c r="V538" s="682"/>
      <c r="W538" s="682"/>
      <c r="X538" s="682"/>
      <c r="Y538" s="682"/>
      <c r="Z538" s="682"/>
    </row>
    <row r="539" spans="1:26" ht="18.75" hidden="1">
      <c r="A539" s="574"/>
      <c r="B539" s="575"/>
      <c r="C539" s="763"/>
      <c r="D539" s="763"/>
      <c r="E539" s="763" t="s">
        <v>230</v>
      </c>
      <c r="F539" s="763"/>
      <c r="G539" s="189"/>
      <c r="H539" s="623" t="s">
        <v>35</v>
      </c>
      <c r="I539" s="270">
        <f ca="1">IFERROR(__xludf.DUMMYFUNCTION("IMPORTRANGE(""https://docs.google.com/spreadsheets/d/1QqKyyYR6Q21VydFLVH3TRQUabQu_ym0Zz7PgGX0-kHA/edit?usp=sharing"",""แผน!GW42"")"),0)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2"/>
      <c r="R539" s="682"/>
      <c r="S539" s="682"/>
      <c r="T539" s="682"/>
      <c r="U539" s="682"/>
      <c r="V539" s="682"/>
      <c r="W539" s="682"/>
      <c r="X539" s="682"/>
      <c r="Y539" s="682"/>
      <c r="Z539" s="682"/>
    </row>
    <row r="540" spans="1:26" ht="18.75" hidden="1">
      <c r="A540" s="574"/>
      <c r="B540" s="575"/>
      <c r="C540" s="763"/>
      <c r="D540" s="763"/>
      <c r="E540" s="763" t="s">
        <v>231</v>
      </c>
      <c r="F540" s="763"/>
      <c r="G540" s="189"/>
      <c r="H540" s="623" t="s">
        <v>35</v>
      </c>
      <c r="I540" s="270">
        <f ca="1">IFERROR(__xludf.DUMMYFUNCTION("IMPORTRANGE(""https://docs.google.com/spreadsheets/d/1QqKyyYR6Q21VydFLVH3TRQUabQu_ym0Zz7PgGX0-kHA/edit?usp=sharing"",""แผน!GX42"")"),0)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2"/>
      <c r="R540" s="682"/>
      <c r="S540" s="682"/>
      <c r="T540" s="682"/>
      <c r="U540" s="682"/>
      <c r="V540" s="682"/>
      <c r="W540" s="682"/>
      <c r="X540" s="682"/>
      <c r="Y540" s="682"/>
      <c r="Z540" s="682"/>
    </row>
    <row r="541" spans="1:26" ht="18.75" hidden="1">
      <c r="A541" s="574"/>
      <c r="B541" s="575"/>
      <c r="C541" s="763"/>
      <c r="D541" s="763"/>
      <c r="E541" s="769" t="s">
        <v>232</v>
      </c>
      <c r="F541" s="763"/>
      <c r="G541" s="189"/>
      <c r="H541" s="623" t="s">
        <v>35</v>
      </c>
      <c r="I541" s="270">
        <f ca="1">IFERROR(__xludf.DUMMYFUNCTION("IMPORTRANGE(""https://docs.google.com/spreadsheets/d/1QqKyyYR6Q21VydFLVH3TRQUabQu_ym0Zz7PgGX0-kHA/edit?usp=sharing"",""แผน!GY42"")"),0)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2"/>
      <c r="R541" s="682"/>
      <c r="S541" s="682"/>
      <c r="T541" s="682"/>
      <c r="U541" s="682"/>
      <c r="V541" s="682"/>
      <c r="W541" s="682"/>
      <c r="X541" s="682"/>
      <c r="Y541" s="682"/>
      <c r="Z541" s="682"/>
    </row>
    <row r="542" spans="1:26" ht="18.75" hidden="1">
      <c r="A542" s="574"/>
      <c r="B542" s="575"/>
      <c r="C542" s="763"/>
      <c r="D542" s="763" t="s">
        <v>59</v>
      </c>
      <c r="E542" s="763"/>
      <c r="F542" s="763"/>
      <c r="G542" s="189"/>
      <c r="H542" s="623" t="s">
        <v>35</v>
      </c>
      <c r="I542" s="270">
        <f ca="1">IFERROR(__xludf.DUMMYFUNCTION("IMPORTRANGE(""https://docs.google.com/spreadsheets/d/1QqKyyYR6Q21VydFLVH3TRQUabQu_ym0Zz7PgGX0-kHA/edit?usp=sharing"",""แผน!GZ42"")"),0)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2"/>
      <c r="R542" s="682"/>
      <c r="S542" s="682"/>
      <c r="T542" s="682"/>
      <c r="U542" s="682"/>
      <c r="V542" s="682"/>
      <c r="W542" s="682"/>
      <c r="X542" s="682"/>
      <c r="Y542" s="682"/>
      <c r="Z542" s="682"/>
    </row>
    <row r="543" spans="1:26" ht="19.5">
      <c r="A543" s="664">
        <v>6</v>
      </c>
      <c r="B543" s="685" t="s">
        <v>233</v>
      </c>
      <c r="C543" s="667"/>
      <c r="D543" s="667"/>
      <c r="E543" s="667"/>
      <c r="F543" s="667"/>
      <c r="G543" s="668"/>
      <c r="H543" s="686" t="s">
        <v>46</v>
      </c>
      <c r="I543" s="687">
        <f t="shared" ref="I543:J543" ca="1" si="235">I559</f>
        <v>63455.154999999999</v>
      </c>
      <c r="J543" s="687">
        <f t="shared" si="235"/>
        <v>63455.154999999999</v>
      </c>
      <c r="K543" s="688">
        <f t="shared" ca="1" si="234"/>
        <v>100</v>
      </c>
      <c r="L543" s="670"/>
      <c r="M543" s="670"/>
      <c r="N543" s="670"/>
      <c r="O543" s="670"/>
      <c r="P543" s="670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</row>
    <row r="544" spans="1:26" ht="19.5">
      <c r="A544" s="689"/>
      <c r="B544" s="690"/>
      <c r="C544" s="690" t="s">
        <v>16</v>
      </c>
      <c r="D544" s="897" t="s">
        <v>17</v>
      </c>
      <c r="E544" s="862"/>
      <c r="F544" s="862"/>
      <c r="G544" s="691"/>
      <c r="H544" s="275" t="s">
        <v>12</v>
      </c>
      <c r="I544" s="420"/>
      <c r="J544" s="420"/>
      <c r="K544" s="154"/>
      <c r="L544" s="155">
        <f t="shared" ref="L544:N544" ca="1" si="236">L545+L546</f>
        <v>526019</v>
      </c>
      <c r="M544" s="155">
        <f t="shared" ca="1" si="236"/>
        <v>524746.17000000004</v>
      </c>
      <c r="N544" s="155">
        <f t="shared" si="236"/>
        <v>524746.17000000004</v>
      </c>
      <c r="O544" s="155">
        <f t="shared" ref="O544:O549" ca="1" si="237">IF(L544&gt;0,N544*100/L544,0)</f>
        <v>99.758025850777273</v>
      </c>
      <c r="P544" s="155">
        <f t="shared" ref="P544:P549" ca="1" si="238">IF(M544&gt;0,N544*100/M544,0)</f>
        <v>100</v>
      </c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</row>
    <row r="545" spans="1:26" ht="18.75" hidden="1">
      <c r="A545" s="599"/>
      <c r="B545" s="759"/>
      <c r="C545" s="759"/>
      <c r="D545" s="759"/>
      <c r="E545" s="759" t="s">
        <v>185</v>
      </c>
      <c r="F545" s="759"/>
      <c r="G545" s="603"/>
      <c r="H545" s="165" t="s">
        <v>12</v>
      </c>
      <c r="I545" s="617"/>
      <c r="J545" s="617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4"/>
      <c r="R545" s="604"/>
      <c r="S545" s="604"/>
      <c r="T545" s="604"/>
      <c r="U545" s="604"/>
      <c r="V545" s="604"/>
      <c r="W545" s="604"/>
      <c r="X545" s="604"/>
      <c r="Y545" s="604"/>
      <c r="Z545" s="604"/>
    </row>
    <row r="546" spans="1:26" ht="18.75" hidden="1">
      <c r="A546" s="599"/>
      <c r="B546" s="607"/>
      <c r="C546" s="759"/>
      <c r="D546" s="759"/>
      <c r="E546" s="759" t="s">
        <v>186</v>
      </c>
      <c r="F546" s="759"/>
      <c r="G546" s="603"/>
      <c r="H546" s="165" t="s">
        <v>12</v>
      </c>
      <c r="I546" s="617"/>
      <c r="J546" s="617"/>
      <c r="K546" s="93"/>
      <c r="L546" s="93">
        <f t="shared" ca="1" si="239"/>
        <v>526019</v>
      </c>
      <c r="M546" s="93">
        <f t="shared" ca="1" si="240"/>
        <v>524746.17000000004</v>
      </c>
      <c r="N546" s="93">
        <f t="shared" si="240"/>
        <v>524746.17000000004</v>
      </c>
      <c r="O546" s="93">
        <f t="shared" ca="1" si="237"/>
        <v>99.758025850777273</v>
      </c>
      <c r="P546" s="93">
        <f t="shared" ca="1" si="238"/>
        <v>100</v>
      </c>
      <c r="Q546" s="604"/>
      <c r="R546" s="604"/>
      <c r="S546" s="604"/>
      <c r="T546" s="604"/>
      <c r="U546" s="604"/>
      <c r="V546" s="604"/>
      <c r="W546" s="604"/>
      <c r="X546" s="604"/>
      <c r="Y546" s="604"/>
      <c r="Z546" s="604"/>
    </row>
    <row r="547" spans="1:26" ht="18.75">
      <c r="A547" s="597"/>
      <c r="B547" s="575"/>
      <c r="C547" s="763"/>
      <c r="D547" s="606" t="s">
        <v>20</v>
      </c>
      <c r="E547" s="763"/>
      <c r="F547" s="763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526019</v>
      </c>
      <c r="M547" s="498">
        <f t="shared" ca="1" si="241"/>
        <v>524746.17000000004</v>
      </c>
      <c r="N547" s="498">
        <f t="shared" si="241"/>
        <v>524746.17000000004</v>
      </c>
      <c r="O547" s="498">
        <f t="shared" ca="1" si="237"/>
        <v>99.758025850777273</v>
      </c>
      <c r="P547" s="498">
        <f t="shared" ca="1" si="238"/>
        <v>100</v>
      </c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</row>
    <row r="548" spans="1:26" ht="18.75" hidden="1">
      <c r="A548" s="599"/>
      <c r="B548" s="607"/>
      <c r="C548" s="759"/>
      <c r="D548" s="720"/>
      <c r="E548" s="759" t="s">
        <v>185</v>
      </c>
      <c r="F548" s="759"/>
      <c r="G548" s="603"/>
      <c r="H548" s="165" t="s">
        <v>12</v>
      </c>
      <c r="I548" s="617"/>
      <c r="J548" s="617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4"/>
      <c r="R548" s="604"/>
      <c r="S548" s="604"/>
      <c r="T548" s="604"/>
      <c r="U548" s="604"/>
      <c r="V548" s="604"/>
      <c r="W548" s="604"/>
      <c r="X548" s="604"/>
      <c r="Y548" s="604"/>
      <c r="Z548" s="604"/>
    </row>
    <row r="549" spans="1:26" ht="18.75" hidden="1">
      <c r="A549" s="599"/>
      <c r="B549" s="607"/>
      <c r="C549" s="759"/>
      <c r="D549" s="720"/>
      <c r="E549" s="759" t="s">
        <v>186</v>
      </c>
      <c r="F549" s="759"/>
      <c r="G549" s="603"/>
      <c r="H549" s="165" t="s">
        <v>12</v>
      </c>
      <c r="I549" s="617"/>
      <c r="J549" s="617"/>
      <c r="K549" s="93"/>
      <c r="L549" s="93">
        <f ca="1">IFERROR(__xludf.DUMMYFUNCTION("IMPORTRANGE(""https://docs.google.com/spreadsheets/d/1QqKyyYR6Q21VydFLVH3TRQUabQu_ym0Zz7PgGX0-kHA/edit?usp=sharing"",""แผน!HB42"")"),526019)</f>
        <v>526019</v>
      </c>
      <c r="M549" s="93">
        <f ca="1">L549-1272.83</f>
        <v>524746.17000000004</v>
      </c>
      <c r="N549" s="93">
        <f>N550+N551+N552+N553+N554</f>
        <v>524746.17000000004</v>
      </c>
      <c r="O549" s="93">
        <f t="shared" ca="1" si="237"/>
        <v>99.758025850777273</v>
      </c>
      <c r="P549" s="93">
        <f t="shared" ca="1" si="238"/>
        <v>100</v>
      </c>
      <c r="Q549" s="604"/>
      <c r="R549" s="604"/>
      <c r="S549" s="604"/>
      <c r="T549" s="604"/>
      <c r="U549" s="604"/>
      <c r="V549" s="604"/>
      <c r="W549" s="604"/>
      <c r="X549" s="604"/>
      <c r="Y549" s="604"/>
      <c r="Z549" s="604"/>
    </row>
    <row r="550" spans="1:26" ht="18.75">
      <c r="A550" s="574"/>
      <c r="B550" s="575"/>
      <c r="C550" s="763"/>
      <c r="D550" s="763"/>
      <c r="E550" s="763"/>
      <c r="F550" s="763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40">
        <v>0</v>
      </c>
      <c r="O550" s="498"/>
      <c r="P550" s="49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</row>
    <row r="551" spans="1:26" ht="18.75">
      <c r="A551" s="574"/>
      <c r="B551" s="575"/>
      <c r="C551" s="575"/>
      <c r="D551" s="575"/>
      <c r="E551" s="763"/>
      <c r="F551" s="763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40">
        <v>0</v>
      </c>
      <c r="O551" s="498"/>
      <c r="P551" s="49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</row>
    <row r="552" spans="1:26" ht="18.75">
      <c r="A552" s="574"/>
      <c r="B552" s="575"/>
      <c r="C552" s="763"/>
      <c r="D552" s="763"/>
      <c r="E552" s="763"/>
      <c r="F552" s="763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40">
        <v>115727.17</v>
      </c>
      <c r="O552" s="498"/>
      <c r="P552" s="498"/>
      <c r="Q552" s="578"/>
      <c r="R552" s="578"/>
      <c r="S552" s="578"/>
      <c r="T552" s="578"/>
      <c r="U552" s="578"/>
      <c r="V552" s="578"/>
      <c r="W552" s="578"/>
      <c r="X552" s="578"/>
      <c r="Y552" s="578"/>
      <c r="Z552" s="578"/>
    </row>
    <row r="553" spans="1:26" ht="18.75">
      <c r="A553" s="574"/>
      <c r="B553" s="575"/>
      <c r="C553" s="575"/>
      <c r="D553" s="575"/>
      <c r="E553" s="763"/>
      <c r="F553" s="763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40">
        <v>409019</v>
      </c>
      <c r="O553" s="498"/>
      <c r="P553" s="49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</row>
    <row r="554" spans="1:26" ht="18.75">
      <c r="A554" s="574"/>
      <c r="B554" s="575"/>
      <c r="C554" s="575"/>
      <c r="D554" s="575"/>
      <c r="E554" s="763"/>
      <c r="F554" s="763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40">
        <v>0</v>
      </c>
      <c r="O554" s="498"/>
      <c r="P554" s="49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</row>
    <row r="555" spans="1:26" ht="18.75">
      <c r="A555" s="597"/>
      <c r="B555" s="575"/>
      <c r="C555" s="575"/>
      <c r="D555" s="606" t="s">
        <v>21</v>
      </c>
      <c r="E555" s="763"/>
      <c r="F555" s="763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</row>
    <row r="556" spans="1:26" ht="18.75" hidden="1">
      <c r="A556" s="599"/>
      <c r="B556" s="607"/>
      <c r="C556" s="607"/>
      <c r="D556" s="759"/>
      <c r="E556" s="759" t="s">
        <v>18</v>
      </c>
      <c r="F556" s="759"/>
      <c r="G556" s="603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4"/>
      <c r="R556" s="604"/>
      <c r="S556" s="604"/>
      <c r="T556" s="604"/>
      <c r="U556" s="604"/>
      <c r="V556" s="604"/>
      <c r="W556" s="604"/>
      <c r="X556" s="604"/>
      <c r="Y556" s="604"/>
      <c r="Z556" s="604"/>
    </row>
    <row r="557" spans="1:26" ht="18.75" hidden="1">
      <c r="A557" s="599"/>
      <c r="B557" s="607"/>
      <c r="C557" s="607"/>
      <c r="D557" s="759"/>
      <c r="E557" s="759" t="s">
        <v>19</v>
      </c>
      <c r="F557" s="759"/>
      <c r="G557" s="603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4"/>
      <c r="R557" s="604"/>
      <c r="S557" s="604"/>
      <c r="T557" s="604"/>
      <c r="U557" s="604"/>
      <c r="V557" s="604"/>
      <c r="W557" s="604"/>
      <c r="X557" s="604"/>
      <c r="Y557" s="604"/>
      <c r="Z557" s="604"/>
    </row>
    <row r="558" spans="1:26" ht="19.5">
      <c r="A558" s="608"/>
      <c r="B558" s="618"/>
      <c r="C558" s="575" t="s">
        <v>16</v>
      </c>
      <c r="D558" s="896" t="s">
        <v>38</v>
      </c>
      <c r="E558" s="761"/>
      <c r="F558" s="761"/>
      <c r="G558" s="613"/>
      <c r="H558" s="762"/>
      <c r="I558" s="184"/>
      <c r="J558" s="184"/>
      <c r="K558" s="163"/>
      <c r="L558" s="163"/>
      <c r="M558" s="163"/>
      <c r="N558" s="163"/>
      <c r="O558" s="163"/>
      <c r="P558" s="163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</row>
    <row r="559" spans="1:26" ht="19.5">
      <c r="A559" s="692"/>
      <c r="B559" s="693" t="s">
        <v>235</v>
      </c>
      <c r="C559" s="694"/>
      <c r="D559" s="694"/>
      <c r="E559" s="673"/>
      <c r="F559" s="673"/>
      <c r="G559" s="674"/>
      <c r="H559" s="695" t="s">
        <v>46</v>
      </c>
      <c r="I559" s="708">
        <f t="shared" ref="I559:J559" ca="1" si="245">I576</f>
        <v>63455.154999999999</v>
      </c>
      <c r="J559" s="708">
        <f t="shared" si="245"/>
        <v>63455.154999999999</v>
      </c>
      <c r="K559" s="677">
        <f t="shared" ref="K559:K561" ca="1" si="246">IF(I559&gt;0,J559*100/I559,0)</f>
        <v>100</v>
      </c>
      <c r="L559" s="678"/>
      <c r="M559" s="678"/>
      <c r="N559" s="678"/>
      <c r="O559" s="678"/>
      <c r="P559" s="6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</row>
    <row r="560" spans="1:26" ht="19.5">
      <c r="A560" s="608"/>
      <c r="B560" s="618"/>
      <c r="C560" s="625" t="s">
        <v>236</v>
      </c>
      <c r="D560" s="618"/>
      <c r="E560" s="626"/>
      <c r="F560" s="626"/>
      <c r="G560" s="762"/>
      <c r="H560" s="767" t="s">
        <v>46</v>
      </c>
      <c r="I560" s="193">
        <f ca="1">IFERROR(__xludf.DUMMYFUNCTION("IMPORTRANGE(""https://docs.google.com/spreadsheets/d/1QqKyyYR6Q21VydFLVH3TRQUabQu_ym0Zz7PgGX0-kHA/edit?usp=sharing"",""แผน!HH42"")"),63455.155)</f>
        <v>63455.154999999999</v>
      </c>
      <c r="J560" s="193">
        <f t="shared" ref="J560:J561" si="247">J562+J564+J566</f>
        <v>63455</v>
      </c>
      <c r="K560" s="411">
        <f t="shared" ca="1" si="246"/>
        <v>99.999755733005458</v>
      </c>
      <c r="L560" s="163"/>
      <c r="M560" s="163"/>
      <c r="N560" s="163"/>
      <c r="O560" s="163"/>
      <c r="P560" s="163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</row>
    <row r="561" spans="1:26" ht="19.5">
      <c r="A561" s="608"/>
      <c r="B561" s="618"/>
      <c r="C561" s="618"/>
      <c r="D561" s="626"/>
      <c r="E561" s="626"/>
      <c r="F561" s="626"/>
      <c r="G561" s="762"/>
      <c r="H561" s="767" t="s">
        <v>34</v>
      </c>
      <c r="I561" s="193">
        <f ca="1">IFERROR(__xludf.DUMMYFUNCTION("IMPORTRANGE(""https://docs.google.com/spreadsheets/d/1QqKyyYR6Q21VydFLVH3TRQUabQu_ym0Zz7PgGX0-kHA/edit?usp=sharing"",""แผน!HG42"")"),7501)</f>
        <v>7501</v>
      </c>
      <c r="J561" s="193">
        <f t="shared" si="247"/>
        <v>7501</v>
      </c>
      <c r="K561" s="411">
        <f t="shared" ca="1" si="246"/>
        <v>100</v>
      </c>
      <c r="L561" s="163"/>
      <c r="M561" s="163"/>
      <c r="N561" s="163"/>
      <c r="O561" s="163"/>
      <c r="P561" s="163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</row>
    <row r="562" spans="1:26" ht="18.75">
      <c r="A562" s="608"/>
      <c r="B562" s="618"/>
      <c r="C562" s="618"/>
      <c r="D562" s="626" t="s">
        <v>237</v>
      </c>
      <c r="E562" s="626"/>
      <c r="F562" s="626"/>
      <c r="G562" s="762"/>
      <c r="H562" s="764" t="s">
        <v>46</v>
      </c>
      <c r="I562" s="184"/>
      <c r="J562" s="215">
        <v>52695</v>
      </c>
      <c r="K562" s="163"/>
      <c r="L562" s="163"/>
      <c r="M562" s="163"/>
      <c r="N562" s="163"/>
      <c r="O562" s="163"/>
      <c r="P562" s="163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</row>
    <row r="563" spans="1:26" ht="18.75">
      <c r="A563" s="608"/>
      <c r="B563" s="618"/>
      <c r="C563" s="618"/>
      <c r="D563" s="618"/>
      <c r="E563" s="626"/>
      <c r="F563" s="626"/>
      <c r="G563" s="762"/>
      <c r="H563" s="764" t="s">
        <v>34</v>
      </c>
      <c r="I563" s="184"/>
      <c r="J563" s="215">
        <v>6380</v>
      </c>
      <c r="K563" s="163"/>
      <c r="L563" s="163"/>
      <c r="M563" s="163"/>
      <c r="N563" s="163"/>
      <c r="O563" s="163"/>
      <c r="P563" s="163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</row>
    <row r="564" spans="1:26" ht="18.75">
      <c r="A564" s="608"/>
      <c r="B564" s="618"/>
      <c r="C564" s="618"/>
      <c r="D564" s="626" t="s">
        <v>238</v>
      </c>
      <c r="E564" s="626"/>
      <c r="F564" s="626"/>
      <c r="G564" s="762"/>
      <c r="H564" s="764" t="s">
        <v>46</v>
      </c>
      <c r="I564" s="184"/>
      <c r="J564" s="215">
        <v>8669</v>
      </c>
      <c r="K564" s="163"/>
      <c r="L564" s="163"/>
      <c r="M564" s="163"/>
      <c r="N564" s="163"/>
      <c r="O564" s="163"/>
      <c r="P564" s="163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</row>
    <row r="565" spans="1:26" ht="18.75">
      <c r="A565" s="608"/>
      <c r="B565" s="618"/>
      <c r="C565" s="618"/>
      <c r="D565" s="626"/>
      <c r="E565" s="626"/>
      <c r="F565" s="626"/>
      <c r="G565" s="762"/>
      <c r="H565" s="764" t="s">
        <v>34</v>
      </c>
      <c r="I565" s="184"/>
      <c r="J565" s="215">
        <v>886</v>
      </c>
      <c r="K565" s="163"/>
      <c r="L565" s="163"/>
      <c r="M565" s="163"/>
      <c r="N565" s="163"/>
      <c r="O565" s="163"/>
      <c r="P565" s="163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</row>
    <row r="566" spans="1:26" ht="18.75">
      <c r="A566" s="608"/>
      <c r="B566" s="618"/>
      <c r="C566" s="618"/>
      <c r="D566" s="626" t="s">
        <v>239</v>
      </c>
      <c r="E566" s="626"/>
      <c r="F566" s="626"/>
      <c r="G566" s="762"/>
      <c r="H566" s="764" t="s">
        <v>46</v>
      </c>
      <c r="I566" s="184"/>
      <c r="J566" s="215">
        <v>2091</v>
      </c>
      <c r="K566" s="163"/>
      <c r="L566" s="163"/>
      <c r="M566" s="163"/>
      <c r="N566" s="163"/>
      <c r="O566" s="163"/>
      <c r="P566" s="163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</row>
    <row r="567" spans="1:26" ht="18.75">
      <c r="A567" s="608"/>
      <c r="B567" s="618"/>
      <c r="C567" s="618"/>
      <c r="D567" s="626"/>
      <c r="E567" s="626"/>
      <c r="F567" s="626"/>
      <c r="G567" s="762"/>
      <c r="H567" s="764" t="s">
        <v>34</v>
      </c>
      <c r="I567" s="184"/>
      <c r="J567" s="215">
        <v>235</v>
      </c>
      <c r="K567" s="163"/>
      <c r="L567" s="163"/>
      <c r="M567" s="163"/>
      <c r="N567" s="163"/>
      <c r="O567" s="163"/>
      <c r="P567" s="163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</row>
    <row r="568" spans="1:26" ht="19.5">
      <c r="A568" s="608"/>
      <c r="B568" s="618"/>
      <c r="C568" s="625" t="s">
        <v>240</v>
      </c>
      <c r="D568" s="626"/>
      <c r="E568" s="626"/>
      <c r="F568" s="626"/>
      <c r="G568" s="762"/>
      <c r="H568" s="767" t="s">
        <v>46</v>
      </c>
      <c r="I568" s="193">
        <f ca="1">IFERROR(__xludf.DUMMYFUNCTION("IMPORTRANGE(""https://docs.google.com/spreadsheets/d/1QqKyyYR6Q21VydFLVH3TRQUabQu_ym0Zz7PgGX0-kHA/edit?usp=sharing"",""แผน!HH42"")"),63455.155)</f>
        <v>63455.154999999999</v>
      </c>
      <c r="J568" s="681">
        <f t="shared" ref="J568:J569" si="248">J570+J572+J574</f>
        <v>63455</v>
      </c>
      <c r="K568" s="411">
        <f t="shared" ref="K568:K569" ca="1" si="249">IF(I568&gt;0,J568*100/I568,0)</f>
        <v>99.999755733005458</v>
      </c>
      <c r="L568" s="163"/>
      <c r="M568" s="163"/>
      <c r="N568" s="163"/>
      <c r="O568" s="163"/>
      <c r="P568" s="163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</row>
    <row r="569" spans="1:26" ht="19.5">
      <c r="A569" s="608"/>
      <c r="B569" s="618"/>
      <c r="C569" s="618"/>
      <c r="D569" s="618"/>
      <c r="E569" s="626"/>
      <c r="F569" s="626"/>
      <c r="G569" s="762"/>
      <c r="H569" s="767" t="s">
        <v>34</v>
      </c>
      <c r="I569" s="193">
        <f ca="1">IFERROR(__xludf.DUMMYFUNCTION("IMPORTRANGE(""https://docs.google.com/spreadsheets/d/1QqKyyYR6Q21VydFLVH3TRQUabQu_ym0Zz7PgGX0-kHA/edit?usp=sharing"",""แผน!HG42"")"),7501)</f>
        <v>7501</v>
      </c>
      <c r="J569" s="681">
        <f t="shared" si="248"/>
        <v>7501</v>
      </c>
      <c r="K569" s="411">
        <f t="shared" ca="1" si="249"/>
        <v>100</v>
      </c>
      <c r="L569" s="163"/>
      <c r="M569" s="163"/>
      <c r="N569" s="163"/>
      <c r="O569" s="163"/>
      <c r="P569" s="163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</row>
    <row r="570" spans="1:26" ht="18.75">
      <c r="A570" s="608"/>
      <c r="B570" s="618"/>
      <c r="C570" s="618"/>
      <c r="D570" s="626" t="s">
        <v>241</v>
      </c>
      <c r="E570" s="618"/>
      <c r="F570" s="626"/>
      <c r="G570" s="762"/>
      <c r="H570" s="764" t="s">
        <v>46</v>
      </c>
      <c r="I570" s="184"/>
      <c r="J570" s="215">
        <v>52990</v>
      </c>
      <c r="K570" s="163"/>
      <c r="L570" s="163"/>
      <c r="M570" s="163"/>
      <c r="N570" s="163"/>
      <c r="O570" s="163"/>
      <c r="P570" s="163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</row>
    <row r="571" spans="1:26" ht="18.75">
      <c r="A571" s="608"/>
      <c r="B571" s="618"/>
      <c r="C571" s="618"/>
      <c r="D571" s="618"/>
      <c r="E571" s="626"/>
      <c r="F571" s="626"/>
      <c r="G571" s="762"/>
      <c r="H571" s="764" t="s">
        <v>34</v>
      </c>
      <c r="I571" s="184"/>
      <c r="J571" s="215">
        <v>6418</v>
      </c>
      <c r="K571" s="163"/>
      <c r="L571" s="163"/>
      <c r="M571" s="163"/>
      <c r="N571" s="163"/>
      <c r="O571" s="163"/>
      <c r="P571" s="163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</row>
    <row r="572" spans="1:26" ht="18.75">
      <c r="A572" s="608"/>
      <c r="B572" s="618"/>
      <c r="C572" s="618"/>
      <c r="D572" s="626" t="s">
        <v>242</v>
      </c>
      <c r="E572" s="626"/>
      <c r="F572" s="626"/>
      <c r="G572" s="762"/>
      <c r="H572" s="764" t="s">
        <v>46</v>
      </c>
      <c r="I572" s="184"/>
      <c r="J572" s="215">
        <v>8286</v>
      </c>
      <c r="K572" s="163"/>
      <c r="L572" s="163"/>
      <c r="M572" s="163"/>
      <c r="N572" s="163"/>
      <c r="O572" s="163"/>
      <c r="P572" s="163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</row>
    <row r="573" spans="1:26" ht="18.75">
      <c r="A573" s="608"/>
      <c r="B573" s="618"/>
      <c r="C573" s="618"/>
      <c r="D573" s="626"/>
      <c r="E573" s="626"/>
      <c r="F573" s="626"/>
      <c r="G573" s="762"/>
      <c r="H573" s="764" t="s">
        <v>34</v>
      </c>
      <c r="I573" s="184"/>
      <c r="J573" s="215">
        <v>843</v>
      </c>
      <c r="K573" s="163"/>
      <c r="L573" s="163"/>
      <c r="M573" s="163"/>
      <c r="N573" s="163"/>
      <c r="O573" s="163"/>
      <c r="P573" s="163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</row>
    <row r="574" spans="1:26" ht="18.75">
      <c r="A574" s="608"/>
      <c r="B574" s="618"/>
      <c r="C574" s="618"/>
      <c r="D574" s="626" t="s">
        <v>243</v>
      </c>
      <c r="E574" s="626"/>
      <c r="F574" s="626"/>
      <c r="G574" s="762"/>
      <c r="H574" s="764" t="s">
        <v>46</v>
      </c>
      <c r="I574" s="184"/>
      <c r="J574" s="215">
        <v>2179</v>
      </c>
      <c r="K574" s="163"/>
      <c r="L574" s="163"/>
      <c r="M574" s="163"/>
      <c r="N574" s="163"/>
      <c r="O574" s="163"/>
      <c r="P574" s="163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</row>
    <row r="575" spans="1:26" ht="18.75">
      <c r="A575" s="608"/>
      <c r="B575" s="618"/>
      <c r="C575" s="618"/>
      <c r="D575" s="618"/>
      <c r="E575" s="626"/>
      <c r="F575" s="626"/>
      <c r="G575" s="762"/>
      <c r="H575" s="764" t="s">
        <v>34</v>
      </c>
      <c r="I575" s="184"/>
      <c r="J575" s="215">
        <v>240</v>
      </c>
      <c r="K575" s="163"/>
      <c r="L575" s="163"/>
      <c r="M575" s="163"/>
      <c r="N575" s="163"/>
      <c r="O575" s="163"/>
      <c r="P575" s="163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</row>
    <row r="576" spans="1:26" ht="19.5">
      <c r="A576" s="608"/>
      <c r="B576" s="618"/>
      <c r="C576" s="625" t="s">
        <v>244</v>
      </c>
      <c r="D576" s="618"/>
      <c r="E576" s="618"/>
      <c r="F576" s="626"/>
      <c r="G576" s="762"/>
      <c r="H576" s="767" t="s">
        <v>46</v>
      </c>
      <c r="I576" s="193">
        <f ca="1">IFERROR(__xludf.DUMMYFUNCTION("IMPORTRANGE(""https://docs.google.com/spreadsheets/d/1QqKyyYR6Q21VydFLVH3TRQUabQu_ym0Zz7PgGX0-kHA/edit?usp=sharing"",""แผน!HH42"")"),63455.155)</f>
        <v>63455.154999999999</v>
      </c>
      <c r="J576" s="681">
        <f t="shared" ref="J576:J577" si="250">J578+J580+J582+J588+J590</f>
        <v>63455.154999999999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</row>
    <row r="577" spans="1:26" ht="19.5">
      <c r="A577" s="608"/>
      <c r="B577" s="618"/>
      <c r="C577" s="618"/>
      <c r="D577" s="618"/>
      <c r="E577" s="626"/>
      <c r="F577" s="626"/>
      <c r="G577" s="762"/>
      <c r="H577" s="767" t="s">
        <v>34</v>
      </c>
      <c r="I577" s="193">
        <f ca="1">IFERROR(__xludf.DUMMYFUNCTION("IMPORTRANGE(""https://docs.google.com/spreadsheets/d/1QqKyyYR6Q21VydFLVH3TRQUabQu_ym0Zz7PgGX0-kHA/edit?usp=sharing"",""แผน!HG42"")"),7501)</f>
        <v>7501</v>
      </c>
      <c r="J577" s="681">
        <f t="shared" si="250"/>
        <v>7501</v>
      </c>
      <c r="K577" s="411">
        <f t="shared" ca="1" si="251"/>
        <v>100</v>
      </c>
      <c r="L577" s="163"/>
      <c r="M577" s="163"/>
      <c r="N577" s="163"/>
      <c r="O577" s="163"/>
      <c r="P577" s="163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</row>
    <row r="578" spans="1:26" ht="18.75">
      <c r="A578" s="608"/>
      <c r="B578" s="618"/>
      <c r="C578" s="618"/>
      <c r="D578" s="626" t="s">
        <v>245</v>
      </c>
      <c r="E578" s="626"/>
      <c r="F578" s="626"/>
      <c r="G578" s="762"/>
      <c r="H578" s="764" t="s">
        <v>46</v>
      </c>
      <c r="I578" s="184"/>
      <c r="J578" s="215">
        <v>58155.502500000002</v>
      </c>
      <c r="K578" s="163"/>
      <c r="L578" s="163"/>
      <c r="M578" s="163"/>
      <c r="N578" s="163"/>
      <c r="O578" s="163"/>
      <c r="P578" s="163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</row>
    <row r="579" spans="1:26" ht="18.75">
      <c r="A579" s="608"/>
      <c r="B579" s="618"/>
      <c r="C579" s="618"/>
      <c r="D579" s="618"/>
      <c r="E579" s="626"/>
      <c r="F579" s="626"/>
      <c r="G579" s="762"/>
      <c r="H579" s="764" t="s">
        <v>34</v>
      </c>
      <c r="I579" s="184"/>
      <c r="J579" s="215">
        <v>6912</v>
      </c>
      <c r="K579" s="163"/>
      <c r="L579" s="163"/>
      <c r="M579" s="163"/>
      <c r="N579" s="163"/>
      <c r="O579" s="163"/>
      <c r="P579" s="163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</row>
    <row r="580" spans="1:26" ht="18.75">
      <c r="A580" s="608"/>
      <c r="B580" s="618"/>
      <c r="C580" s="618"/>
      <c r="D580" s="626" t="s">
        <v>246</v>
      </c>
      <c r="E580" s="626"/>
      <c r="F580" s="626"/>
      <c r="G580" s="762"/>
      <c r="H580" s="764" t="s">
        <v>46</v>
      </c>
      <c r="I580" s="184"/>
      <c r="J580" s="215">
        <v>98.935000000000002</v>
      </c>
      <c r="K580" s="163"/>
      <c r="L580" s="163"/>
      <c r="M580" s="163"/>
      <c r="N580" s="163"/>
      <c r="O580" s="163"/>
      <c r="P580" s="163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</row>
    <row r="581" spans="1:26" ht="18.75">
      <c r="A581" s="608"/>
      <c r="B581" s="618"/>
      <c r="C581" s="618"/>
      <c r="D581" s="618"/>
      <c r="E581" s="626"/>
      <c r="F581" s="626"/>
      <c r="G581" s="762"/>
      <c r="H581" s="764" t="s">
        <v>34</v>
      </c>
      <c r="I581" s="184"/>
      <c r="J581" s="215">
        <v>11</v>
      </c>
      <c r="K581" s="163"/>
      <c r="L581" s="163"/>
      <c r="M581" s="163"/>
      <c r="N581" s="163"/>
      <c r="O581" s="163"/>
      <c r="P581" s="163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</row>
    <row r="582" spans="1:26" ht="19.5">
      <c r="A582" s="608"/>
      <c r="B582" s="618"/>
      <c r="C582" s="618"/>
      <c r="D582" s="626" t="s">
        <v>247</v>
      </c>
      <c r="E582" s="626"/>
      <c r="F582" s="626"/>
      <c r="G582" s="762"/>
      <c r="H582" s="764" t="s">
        <v>46</v>
      </c>
      <c r="I582" s="184"/>
      <c r="J582" s="681">
        <f t="shared" ref="J582:J583" si="252">J584+J586</f>
        <v>2020.8275000000001</v>
      </c>
      <c r="K582" s="411"/>
      <c r="L582" s="163"/>
      <c r="M582" s="163"/>
      <c r="N582" s="163"/>
      <c r="O582" s="163"/>
      <c r="P582" s="163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</row>
    <row r="583" spans="1:26" ht="19.5">
      <c r="A583" s="608"/>
      <c r="B583" s="618"/>
      <c r="C583" s="618"/>
      <c r="D583" s="618"/>
      <c r="E583" s="626"/>
      <c r="F583" s="626"/>
      <c r="G583" s="762"/>
      <c r="H583" s="764" t="s">
        <v>34</v>
      </c>
      <c r="I583" s="184"/>
      <c r="J583" s="681">
        <f t="shared" si="252"/>
        <v>227</v>
      </c>
      <c r="K583" s="411"/>
      <c r="L583" s="163"/>
      <c r="M583" s="163"/>
      <c r="N583" s="163"/>
      <c r="O583" s="163"/>
      <c r="P583" s="163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</row>
    <row r="584" spans="1:26" ht="18.75">
      <c r="A584" s="608"/>
      <c r="B584" s="618"/>
      <c r="C584" s="618"/>
      <c r="D584" s="618"/>
      <c r="E584" s="626" t="s">
        <v>248</v>
      </c>
      <c r="F584" s="626"/>
      <c r="G584" s="762"/>
      <c r="H584" s="764" t="s">
        <v>46</v>
      </c>
      <c r="I584" s="184"/>
      <c r="J584" s="215">
        <v>2020.8275000000001</v>
      </c>
      <c r="K584" s="163"/>
      <c r="L584" s="163"/>
      <c r="M584" s="163"/>
      <c r="N584" s="163"/>
      <c r="O584" s="163"/>
      <c r="P584" s="163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</row>
    <row r="585" spans="1:26" ht="18.75">
      <c r="A585" s="608"/>
      <c r="B585" s="618"/>
      <c r="C585" s="618"/>
      <c r="D585" s="618"/>
      <c r="E585" s="626"/>
      <c r="F585" s="626"/>
      <c r="G585" s="762"/>
      <c r="H585" s="764" t="s">
        <v>34</v>
      </c>
      <c r="I585" s="184"/>
      <c r="J585" s="215">
        <v>227</v>
      </c>
      <c r="K585" s="163"/>
      <c r="L585" s="163"/>
      <c r="M585" s="163"/>
      <c r="N585" s="163"/>
      <c r="O585" s="163"/>
      <c r="P585" s="163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</row>
    <row r="586" spans="1:26" ht="18.75">
      <c r="A586" s="608"/>
      <c r="B586" s="618"/>
      <c r="C586" s="618"/>
      <c r="D586" s="618"/>
      <c r="E586" s="626" t="s">
        <v>249</v>
      </c>
      <c r="F586" s="626"/>
      <c r="G586" s="762"/>
      <c r="H586" s="76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</row>
    <row r="587" spans="1:26" ht="18.75">
      <c r="A587" s="608"/>
      <c r="B587" s="618"/>
      <c r="C587" s="618"/>
      <c r="D587" s="618"/>
      <c r="E587" s="618"/>
      <c r="F587" s="626"/>
      <c r="G587" s="762"/>
      <c r="H587" s="76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</row>
    <row r="588" spans="1:26" ht="18.75">
      <c r="A588" s="608"/>
      <c r="B588" s="618"/>
      <c r="C588" s="618"/>
      <c r="D588" s="626" t="s">
        <v>250</v>
      </c>
      <c r="E588" s="626"/>
      <c r="F588" s="626"/>
      <c r="G588" s="762"/>
      <c r="H588" s="764" t="s">
        <v>46</v>
      </c>
      <c r="I588" s="184"/>
      <c r="J588" s="215">
        <v>3179.89</v>
      </c>
      <c r="K588" s="163"/>
      <c r="L588" s="163"/>
      <c r="M588" s="163"/>
      <c r="N588" s="163"/>
      <c r="O588" s="163"/>
      <c r="P588" s="163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</row>
    <row r="589" spans="1:26" ht="18.75">
      <c r="A589" s="608"/>
      <c r="B589" s="618"/>
      <c r="C589" s="618"/>
      <c r="D589" s="618"/>
      <c r="E589" s="618"/>
      <c r="F589" s="626"/>
      <c r="G589" s="762"/>
      <c r="H589" s="764" t="s">
        <v>34</v>
      </c>
      <c r="I589" s="184"/>
      <c r="J589" s="215">
        <v>351</v>
      </c>
      <c r="K589" s="163"/>
      <c r="L589" s="163"/>
      <c r="M589" s="163"/>
      <c r="N589" s="163"/>
      <c r="O589" s="163"/>
      <c r="P589" s="163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</row>
    <row r="590" spans="1:26" ht="18.75">
      <c r="A590" s="608"/>
      <c r="B590" s="618"/>
      <c r="C590" s="618"/>
      <c r="D590" s="626" t="s">
        <v>251</v>
      </c>
      <c r="E590" s="626"/>
      <c r="F590" s="626"/>
      <c r="G590" s="762"/>
      <c r="H590" s="76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</row>
    <row r="591" spans="1:26" ht="18.75">
      <c r="A591" s="696"/>
      <c r="B591" s="697"/>
      <c r="C591" s="697"/>
      <c r="D591" s="697"/>
      <c r="E591" s="578"/>
      <c r="F591" s="578"/>
      <c r="G591" s="698"/>
      <c r="H591" s="699" t="s">
        <v>34</v>
      </c>
      <c r="I591" s="700"/>
      <c r="J591" s="701">
        <v>0</v>
      </c>
      <c r="K591" s="702"/>
      <c r="L591" s="702"/>
      <c r="M591" s="702"/>
      <c r="N591" s="702"/>
      <c r="O591" s="702"/>
      <c r="P591" s="702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</row>
    <row r="592" spans="1:26" ht="19.5">
      <c r="A592" s="692"/>
      <c r="B592" s="693" t="s">
        <v>252</v>
      </c>
      <c r="C592" s="694"/>
      <c r="D592" s="694"/>
      <c r="E592" s="673"/>
      <c r="F592" s="673"/>
      <c r="G592" s="674"/>
      <c r="H592" s="695" t="s">
        <v>46</v>
      </c>
      <c r="I592" s="703">
        <f t="shared" ref="I592:J592" ca="1" si="253">I593</f>
        <v>6025.25</v>
      </c>
      <c r="J592" s="708">
        <f t="shared" si="253"/>
        <v>6029.994999999999</v>
      </c>
      <c r="K592" s="677">
        <f t="shared" ref="K592:K594" ca="1" si="254">IF(I592&gt;0,J592*100/I592,0)</f>
        <v>100.07875191900749</v>
      </c>
      <c r="L592" s="678"/>
      <c r="M592" s="678"/>
      <c r="N592" s="678"/>
      <c r="O592" s="678"/>
      <c r="P592" s="6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</row>
    <row r="593" spans="1:26" ht="19.5">
      <c r="A593" s="608"/>
      <c r="B593" s="618"/>
      <c r="C593" s="625" t="s">
        <v>253</v>
      </c>
      <c r="D593" s="618"/>
      <c r="E593" s="618"/>
      <c r="F593" s="626"/>
      <c r="G593" s="762"/>
      <c r="H593" s="767" t="s">
        <v>46</v>
      </c>
      <c r="I593" s="704">
        <f ca="1">IFERROR(__xludf.DUMMYFUNCTION("IMPORTRANGE(""https://docs.google.com/spreadsheets/d/1QqKyyYR6Q21VydFLVH3TRQUabQu_ym0Zz7PgGX0-kHA/edit?usp=sharing"",""แผน!HJ42"")"),6025.25)</f>
        <v>6025.25</v>
      </c>
      <c r="J593" s="193">
        <f t="shared" ref="J593:J594" si="255">J595+J603+J609</f>
        <v>6029.994999999999</v>
      </c>
      <c r="K593" s="411">
        <f t="shared" ca="1" si="254"/>
        <v>100.07875191900749</v>
      </c>
      <c r="L593" s="163"/>
      <c r="M593" s="163"/>
      <c r="N593" s="163"/>
      <c r="O593" s="163"/>
      <c r="P593" s="163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</row>
    <row r="594" spans="1:26" ht="19.5">
      <c r="A594" s="608"/>
      <c r="B594" s="618"/>
      <c r="C594" s="618"/>
      <c r="D594" s="618"/>
      <c r="E594" s="626"/>
      <c r="F594" s="626"/>
      <c r="G594" s="762"/>
      <c r="H594" s="767" t="s">
        <v>34</v>
      </c>
      <c r="I594" s="193">
        <f ca="1">IFERROR(__xludf.DUMMYFUNCTION("IMPORTRANGE(""https://docs.google.com/spreadsheets/d/1QqKyyYR6Q21VydFLVH3TRQUabQu_ym0Zz7PgGX0-kHA/edit?usp=sharing"",""แผน!HI42"")"),553)</f>
        <v>553</v>
      </c>
      <c r="J594" s="193">
        <f t="shared" si="255"/>
        <v>555</v>
      </c>
      <c r="K594" s="411">
        <f t="shared" ca="1" si="254"/>
        <v>100.36166365280289</v>
      </c>
      <c r="L594" s="163"/>
      <c r="M594" s="163"/>
      <c r="N594" s="163"/>
      <c r="O594" s="163"/>
      <c r="P594" s="163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</row>
    <row r="595" spans="1:26" ht="18.75">
      <c r="A595" s="608"/>
      <c r="B595" s="618"/>
      <c r="C595" s="618" t="s">
        <v>254</v>
      </c>
      <c r="D595" s="618"/>
      <c r="E595" s="618"/>
      <c r="F595" s="626"/>
      <c r="G595" s="762"/>
      <c r="H595" s="764" t="s">
        <v>46</v>
      </c>
      <c r="I595" s="184"/>
      <c r="J595" s="184">
        <f t="shared" ref="J595:J596" si="256">J597+J599</f>
        <v>5340.0874999999996</v>
      </c>
      <c r="K595" s="163"/>
      <c r="L595" s="163"/>
      <c r="M595" s="163"/>
      <c r="N595" s="163"/>
      <c r="O595" s="163"/>
      <c r="P595" s="163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</row>
    <row r="596" spans="1:26" ht="18.75">
      <c r="A596" s="608"/>
      <c r="B596" s="618"/>
      <c r="C596" s="618"/>
      <c r="D596" s="618"/>
      <c r="E596" s="626"/>
      <c r="F596" s="626"/>
      <c r="G596" s="762"/>
      <c r="H596" s="764" t="s">
        <v>34</v>
      </c>
      <c r="I596" s="184"/>
      <c r="J596" s="184">
        <f t="shared" si="256"/>
        <v>498</v>
      </c>
      <c r="K596" s="163"/>
      <c r="L596" s="163"/>
      <c r="M596" s="163"/>
      <c r="N596" s="163"/>
      <c r="O596" s="163"/>
      <c r="P596" s="163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</row>
    <row r="597" spans="1:26" ht="18.75">
      <c r="A597" s="608"/>
      <c r="B597" s="618"/>
      <c r="C597" s="618"/>
      <c r="D597" s="746" t="s">
        <v>255</v>
      </c>
      <c r="E597" s="626"/>
      <c r="F597" s="626"/>
      <c r="G597" s="762"/>
      <c r="H597" s="764" t="s">
        <v>46</v>
      </c>
      <c r="I597" s="184"/>
      <c r="J597" s="215">
        <v>2969.8674999999998</v>
      </c>
      <c r="K597" s="163"/>
      <c r="L597" s="163"/>
      <c r="M597" s="163"/>
      <c r="N597" s="163"/>
      <c r="O597" s="163"/>
      <c r="P597" s="163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</row>
    <row r="598" spans="1:26" ht="18.75">
      <c r="A598" s="608"/>
      <c r="B598" s="618"/>
      <c r="C598" s="618"/>
      <c r="D598" s="618"/>
      <c r="E598" s="626"/>
      <c r="F598" s="626"/>
      <c r="G598" s="762"/>
      <c r="H598" s="764" t="s">
        <v>34</v>
      </c>
      <c r="I598" s="270"/>
      <c r="J598" s="215">
        <v>246</v>
      </c>
      <c r="K598" s="163"/>
      <c r="L598" s="163"/>
      <c r="M598" s="163"/>
      <c r="N598" s="163"/>
      <c r="O598" s="163"/>
      <c r="P598" s="163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</row>
    <row r="599" spans="1:26" ht="18.75">
      <c r="A599" s="608"/>
      <c r="B599" s="618"/>
      <c r="C599" s="618"/>
      <c r="D599" s="746" t="s">
        <v>256</v>
      </c>
      <c r="E599" s="626"/>
      <c r="F599" s="626"/>
      <c r="G599" s="762"/>
      <c r="H599" s="764" t="s">
        <v>46</v>
      </c>
      <c r="I599" s="270"/>
      <c r="J599" s="215">
        <v>2370.2199999999998</v>
      </c>
      <c r="K599" s="163"/>
      <c r="L599" s="163"/>
      <c r="M599" s="163"/>
      <c r="N599" s="163"/>
      <c r="O599" s="163"/>
      <c r="P599" s="163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</row>
    <row r="600" spans="1:26" ht="18.75">
      <c r="A600" s="608"/>
      <c r="B600" s="618"/>
      <c r="C600" s="618"/>
      <c r="D600" s="618"/>
      <c r="E600" s="626"/>
      <c r="F600" s="626"/>
      <c r="G600" s="762"/>
      <c r="H600" s="764" t="s">
        <v>34</v>
      </c>
      <c r="I600" s="270"/>
      <c r="J600" s="215">
        <v>252</v>
      </c>
      <c r="K600" s="163"/>
      <c r="L600" s="163"/>
      <c r="M600" s="163"/>
      <c r="N600" s="163"/>
      <c r="O600" s="163"/>
      <c r="P600" s="163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</row>
    <row r="601" spans="1:26" ht="18.75">
      <c r="A601" s="608"/>
      <c r="B601" s="618"/>
      <c r="C601" s="618"/>
      <c r="D601" s="746" t="s">
        <v>257</v>
      </c>
      <c r="E601" s="626"/>
      <c r="F601" s="626"/>
      <c r="G601" s="762"/>
      <c r="H601" s="76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</row>
    <row r="602" spans="1:26" ht="18.75">
      <c r="A602" s="608"/>
      <c r="B602" s="618"/>
      <c r="C602" s="618"/>
      <c r="D602" s="618"/>
      <c r="E602" s="626"/>
      <c r="F602" s="626"/>
      <c r="G602" s="762"/>
      <c r="H602" s="76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</row>
    <row r="603" spans="1:26" ht="18.75">
      <c r="A603" s="608"/>
      <c r="B603" s="618"/>
      <c r="C603" s="705" t="s">
        <v>258</v>
      </c>
      <c r="D603" s="618"/>
      <c r="E603" s="618"/>
      <c r="F603" s="626"/>
      <c r="G603" s="762"/>
      <c r="H603" s="764" t="s">
        <v>46</v>
      </c>
      <c r="I603" s="270"/>
      <c r="J603" s="270">
        <f t="shared" ref="J603:J604" si="257">J605+J607</f>
        <v>201.61500000000001</v>
      </c>
      <c r="K603" s="163"/>
      <c r="L603" s="163"/>
      <c r="M603" s="163"/>
      <c r="N603" s="163"/>
      <c r="O603" s="163"/>
      <c r="P603" s="163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</row>
    <row r="604" spans="1:26" ht="18.75">
      <c r="A604" s="608"/>
      <c r="B604" s="618"/>
      <c r="C604" s="618"/>
      <c r="D604" s="618"/>
      <c r="E604" s="626"/>
      <c r="F604" s="626"/>
      <c r="G604" s="762"/>
      <c r="H604" s="764" t="s">
        <v>34</v>
      </c>
      <c r="I604" s="270"/>
      <c r="J604" s="270">
        <f t="shared" si="257"/>
        <v>17</v>
      </c>
      <c r="K604" s="163"/>
      <c r="L604" s="163"/>
      <c r="M604" s="163"/>
      <c r="N604" s="163"/>
      <c r="O604" s="163"/>
      <c r="P604" s="163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</row>
    <row r="605" spans="1:26" ht="18.75">
      <c r="A605" s="608"/>
      <c r="B605" s="618"/>
      <c r="C605" s="618"/>
      <c r="D605" s="705" t="s">
        <v>259</v>
      </c>
      <c r="E605" s="626"/>
      <c r="F605" s="626"/>
      <c r="G605" s="762"/>
      <c r="H605" s="764" t="s">
        <v>46</v>
      </c>
      <c r="I605" s="270"/>
      <c r="J605" s="215">
        <v>196.8725</v>
      </c>
      <c r="K605" s="163"/>
      <c r="L605" s="163"/>
      <c r="M605" s="163"/>
      <c r="N605" s="163"/>
      <c r="O605" s="163"/>
      <c r="P605" s="163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</row>
    <row r="606" spans="1:26" ht="18.75">
      <c r="A606" s="608"/>
      <c r="B606" s="618"/>
      <c r="C606" s="618"/>
      <c r="D606" s="618"/>
      <c r="E606" s="618"/>
      <c r="F606" s="626"/>
      <c r="G606" s="762"/>
      <c r="H606" s="764" t="s">
        <v>34</v>
      </c>
      <c r="I606" s="270"/>
      <c r="J606" s="215">
        <v>15</v>
      </c>
      <c r="K606" s="163"/>
      <c r="L606" s="163"/>
      <c r="M606" s="163"/>
      <c r="N606" s="163"/>
      <c r="O606" s="163"/>
      <c r="P606" s="163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</row>
    <row r="607" spans="1:26" ht="18.75">
      <c r="A607" s="608"/>
      <c r="B607" s="618"/>
      <c r="C607" s="618"/>
      <c r="D607" s="705" t="s">
        <v>260</v>
      </c>
      <c r="E607" s="618"/>
      <c r="F607" s="626"/>
      <c r="G607" s="762"/>
      <c r="H607" s="764" t="s">
        <v>46</v>
      </c>
      <c r="I607" s="270"/>
      <c r="J607" s="215">
        <v>4.7424999999999997</v>
      </c>
      <c r="K607" s="163"/>
      <c r="L607" s="163"/>
      <c r="M607" s="163"/>
      <c r="N607" s="163"/>
      <c r="O607" s="163"/>
      <c r="P607" s="163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</row>
    <row r="608" spans="1:26" ht="18.75">
      <c r="A608" s="608"/>
      <c r="B608" s="618"/>
      <c r="C608" s="618"/>
      <c r="D608" s="618"/>
      <c r="E608" s="626"/>
      <c r="F608" s="626"/>
      <c r="G608" s="762"/>
      <c r="H608" s="764" t="s">
        <v>34</v>
      </c>
      <c r="I608" s="270"/>
      <c r="J608" s="215">
        <v>2</v>
      </c>
      <c r="K608" s="163"/>
      <c r="L608" s="163"/>
      <c r="M608" s="163"/>
      <c r="N608" s="163"/>
      <c r="O608" s="163"/>
      <c r="P608" s="163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</row>
    <row r="609" spans="1:26" ht="18.75">
      <c r="A609" s="608"/>
      <c r="B609" s="618"/>
      <c r="C609" s="618" t="s">
        <v>261</v>
      </c>
      <c r="D609" s="618"/>
      <c r="E609" s="618"/>
      <c r="F609" s="626"/>
      <c r="G609" s="762"/>
      <c r="H609" s="764" t="s">
        <v>46</v>
      </c>
      <c r="I609" s="270"/>
      <c r="J609" s="215">
        <v>488.29250000000002</v>
      </c>
      <c r="K609" s="163"/>
      <c r="L609" s="163"/>
      <c r="M609" s="163"/>
      <c r="N609" s="163"/>
      <c r="O609" s="163"/>
      <c r="P609" s="163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</row>
    <row r="610" spans="1:26" ht="18.75">
      <c r="A610" s="608"/>
      <c r="B610" s="618"/>
      <c r="C610" s="618"/>
      <c r="D610" s="618"/>
      <c r="E610" s="626"/>
      <c r="F610" s="626"/>
      <c r="G610" s="762"/>
      <c r="H610" s="764" t="s">
        <v>34</v>
      </c>
      <c r="I610" s="270"/>
      <c r="J610" s="215">
        <v>40</v>
      </c>
      <c r="K610" s="163"/>
      <c r="L610" s="163"/>
      <c r="M610" s="163"/>
      <c r="N610" s="163"/>
      <c r="O610" s="163"/>
      <c r="P610" s="163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</row>
    <row r="611" spans="1:26" ht="19.5">
      <c r="A611" s="692"/>
      <c r="B611" s="706" t="s">
        <v>262</v>
      </c>
      <c r="C611" s="694"/>
      <c r="D611" s="694"/>
      <c r="E611" s="673"/>
      <c r="F611" s="673"/>
      <c r="G611" s="674"/>
      <c r="H611" s="707" t="s">
        <v>46</v>
      </c>
      <c r="I611" s="708">
        <v>0</v>
      </c>
      <c r="J611" s="708">
        <f>J614+J616</f>
        <v>0</v>
      </c>
      <c r="K611" s="677">
        <f t="shared" ref="K611:K613" si="258">IF(I611&gt;0,J611*100/I611,0)</f>
        <v>0</v>
      </c>
      <c r="L611" s="678"/>
      <c r="M611" s="678"/>
      <c r="N611" s="678"/>
      <c r="O611" s="678"/>
      <c r="P611" s="6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</row>
    <row r="612" spans="1:26" ht="19.5" hidden="1">
      <c r="A612" s="709"/>
      <c r="B612" s="719"/>
      <c r="C612" s="711" t="s">
        <v>263</v>
      </c>
      <c r="D612" s="719"/>
      <c r="E612" s="719"/>
      <c r="F612" s="712"/>
      <c r="G612" s="713"/>
      <c r="H612" s="714" t="s">
        <v>46</v>
      </c>
      <c r="I612" s="716">
        <v>0</v>
      </c>
      <c r="J612" s="716">
        <f t="shared" ref="J612:J613" si="259">J614+J616</f>
        <v>0</v>
      </c>
      <c r="K612" s="717">
        <f t="shared" si="258"/>
        <v>0</v>
      </c>
      <c r="L612" s="718"/>
      <c r="M612" s="718"/>
      <c r="N612" s="718"/>
      <c r="O612" s="718"/>
      <c r="P612" s="718"/>
      <c r="Q612" s="604"/>
      <c r="R612" s="604"/>
      <c r="S612" s="604"/>
      <c r="T612" s="604"/>
      <c r="U612" s="604"/>
      <c r="V612" s="604"/>
      <c r="W612" s="604"/>
      <c r="X612" s="604"/>
      <c r="Y612" s="604"/>
      <c r="Z612" s="604"/>
    </row>
    <row r="613" spans="1:26" ht="19.5" hidden="1">
      <c r="A613" s="709"/>
      <c r="B613" s="719"/>
      <c r="C613" s="719" t="s">
        <v>264</v>
      </c>
      <c r="D613" s="719"/>
      <c r="E613" s="719"/>
      <c r="F613" s="712"/>
      <c r="G613" s="713"/>
      <c r="H613" s="714" t="s">
        <v>34</v>
      </c>
      <c r="I613" s="716">
        <v>0</v>
      </c>
      <c r="J613" s="716">
        <f t="shared" si="259"/>
        <v>0</v>
      </c>
      <c r="K613" s="717">
        <f t="shared" si="258"/>
        <v>0</v>
      </c>
      <c r="L613" s="718"/>
      <c r="M613" s="718"/>
      <c r="N613" s="718"/>
      <c r="O613" s="718"/>
      <c r="P613" s="718"/>
      <c r="Q613" s="604"/>
      <c r="R613" s="604"/>
      <c r="S613" s="604"/>
      <c r="T613" s="604"/>
      <c r="U613" s="604"/>
      <c r="V613" s="604"/>
      <c r="W613" s="604"/>
      <c r="X613" s="604"/>
      <c r="Y613" s="604"/>
      <c r="Z613" s="604"/>
    </row>
    <row r="614" spans="1:26" ht="18.75" hidden="1">
      <c r="A614" s="614"/>
      <c r="B614" s="616"/>
      <c r="C614" s="616"/>
      <c r="D614" s="720" t="s">
        <v>265</v>
      </c>
      <c r="E614" s="616"/>
      <c r="F614" s="720"/>
      <c r="G614" s="366"/>
      <c r="H614" s="370" t="s">
        <v>46</v>
      </c>
      <c r="I614" s="617"/>
      <c r="J614" s="617">
        <v>0</v>
      </c>
      <c r="K614" s="167"/>
      <c r="L614" s="167"/>
      <c r="M614" s="167"/>
      <c r="N614" s="167"/>
      <c r="O614" s="167"/>
      <c r="P614" s="167"/>
      <c r="Q614" s="604"/>
      <c r="R614" s="604"/>
      <c r="S614" s="604"/>
      <c r="T614" s="604"/>
      <c r="U614" s="604"/>
      <c r="V614" s="604"/>
      <c r="W614" s="604"/>
      <c r="X614" s="604"/>
      <c r="Y614" s="604"/>
      <c r="Z614" s="604"/>
    </row>
    <row r="615" spans="1:26" ht="18.75" hidden="1">
      <c r="A615" s="614"/>
      <c r="B615" s="616"/>
      <c r="C615" s="616"/>
      <c r="D615" s="616"/>
      <c r="E615" s="616"/>
      <c r="F615" s="720"/>
      <c r="G615" s="366"/>
      <c r="H615" s="370" t="s">
        <v>34</v>
      </c>
      <c r="I615" s="617"/>
      <c r="J615" s="617">
        <v>0</v>
      </c>
      <c r="K615" s="167"/>
      <c r="L615" s="167"/>
      <c r="M615" s="167"/>
      <c r="N615" s="167"/>
      <c r="O615" s="167"/>
      <c r="P615" s="167"/>
      <c r="Q615" s="604"/>
      <c r="R615" s="604"/>
      <c r="S615" s="604"/>
      <c r="T615" s="604"/>
      <c r="U615" s="604"/>
      <c r="V615" s="604"/>
      <c r="W615" s="604"/>
      <c r="X615" s="604"/>
      <c r="Y615" s="604"/>
      <c r="Z615" s="604"/>
    </row>
    <row r="616" spans="1:26" ht="18.75" hidden="1">
      <c r="A616" s="614"/>
      <c r="B616" s="616"/>
      <c r="C616" s="616"/>
      <c r="D616" s="721" t="s">
        <v>265</v>
      </c>
      <c r="E616" s="720"/>
      <c r="F616" s="720"/>
      <c r="G616" s="366"/>
      <c r="H616" s="370" t="s">
        <v>46</v>
      </c>
      <c r="I616" s="617"/>
      <c r="J616" s="617">
        <v>0</v>
      </c>
      <c r="K616" s="167"/>
      <c r="L616" s="167"/>
      <c r="M616" s="167"/>
      <c r="N616" s="167"/>
      <c r="O616" s="167"/>
      <c r="P616" s="167"/>
      <c r="Q616" s="604"/>
      <c r="R616" s="604"/>
      <c r="S616" s="604"/>
      <c r="T616" s="604"/>
      <c r="U616" s="604"/>
      <c r="V616" s="604"/>
      <c r="W616" s="604"/>
      <c r="X616" s="604"/>
      <c r="Y616" s="604"/>
      <c r="Z616" s="604"/>
    </row>
    <row r="617" spans="1:26" ht="18.75" hidden="1">
      <c r="A617" s="614"/>
      <c r="B617" s="616"/>
      <c r="C617" s="616"/>
      <c r="D617" s="616"/>
      <c r="E617" s="720"/>
      <c r="F617" s="720"/>
      <c r="G617" s="366"/>
      <c r="H617" s="370" t="s">
        <v>34</v>
      </c>
      <c r="I617" s="617"/>
      <c r="J617" s="617">
        <v>0</v>
      </c>
      <c r="K617" s="167"/>
      <c r="L617" s="167"/>
      <c r="M617" s="167"/>
      <c r="N617" s="167"/>
      <c r="O617" s="167"/>
      <c r="P617" s="167"/>
      <c r="Q617" s="604"/>
      <c r="R617" s="604"/>
      <c r="S617" s="604"/>
      <c r="T617" s="604"/>
      <c r="U617" s="604"/>
      <c r="V617" s="604"/>
      <c r="W617" s="604"/>
      <c r="X617" s="604"/>
      <c r="Y617" s="604"/>
      <c r="Z617" s="604"/>
    </row>
    <row r="618" spans="1:26" ht="18.75" hidden="1">
      <c r="A618" s="614"/>
      <c r="B618" s="616"/>
      <c r="C618" s="616"/>
      <c r="D618" s="721" t="s">
        <v>266</v>
      </c>
      <c r="E618" s="720"/>
      <c r="F618" s="720"/>
      <c r="G618" s="366"/>
      <c r="H618" s="370" t="s">
        <v>46</v>
      </c>
      <c r="I618" s="617"/>
      <c r="J618" s="617">
        <v>0</v>
      </c>
      <c r="K618" s="167"/>
      <c r="L618" s="167"/>
      <c r="M618" s="167"/>
      <c r="N618" s="167"/>
      <c r="O618" s="167"/>
      <c r="P618" s="167"/>
      <c r="Q618" s="604"/>
      <c r="R618" s="604"/>
      <c r="S618" s="604"/>
      <c r="T618" s="604"/>
      <c r="U618" s="604"/>
      <c r="V618" s="604"/>
      <c r="W618" s="604"/>
      <c r="X618" s="604"/>
      <c r="Y618" s="604"/>
      <c r="Z618" s="604"/>
    </row>
    <row r="619" spans="1:26" ht="18.75" hidden="1">
      <c r="A619" s="614"/>
      <c r="B619" s="616"/>
      <c r="C619" s="616"/>
      <c r="D619" s="616"/>
      <c r="E619" s="720"/>
      <c r="F619" s="720"/>
      <c r="G619" s="366"/>
      <c r="H619" s="370" t="s">
        <v>34</v>
      </c>
      <c r="I619" s="617"/>
      <c r="J619" s="617">
        <v>0</v>
      </c>
      <c r="K619" s="167"/>
      <c r="L619" s="167"/>
      <c r="M619" s="167"/>
      <c r="N619" s="167"/>
      <c r="O619" s="167"/>
      <c r="P619" s="167"/>
      <c r="Q619" s="604"/>
      <c r="R619" s="604"/>
      <c r="S619" s="604"/>
      <c r="T619" s="604"/>
      <c r="U619" s="604"/>
      <c r="V619" s="604"/>
      <c r="W619" s="604"/>
      <c r="X619" s="604"/>
      <c r="Y619" s="604"/>
      <c r="Z619" s="604"/>
    </row>
    <row r="620" spans="1:26" ht="19.5">
      <c r="A620" s="722"/>
      <c r="B620" s="731"/>
      <c r="C620" s="724" t="s">
        <v>267</v>
      </c>
      <c r="D620" s="731"/>
      <c r="E620" s="731"/>
      <c r="F620" s="725"/>
      <c r="G620" s="726"/>
      <c r="H620" s="727" t="s">
        <v>46</v>
      </c>
      <c r="I620" s="728">
        <f ca="1">IFERROR(__xludf.DUMMYFUNCTION("IMPORTRANGE(""https://docs.google.com/spreadsheets/d/1QqKyyYR6Q21VydFLVH3TRQUabQu_ym0Zz7PgGX0-kHA/edit?usp=sharing"",""แผน!HL42"")"),18)</f>
        <v>18</v>
      </c>
      <c r="J620" s="728">
        <f t="shared" ref="J620:J621" si="260">J622+J624+J626</f>
        <v>18</v>
      </c>
      <c r="K620" s="729">
        <f t="shared" ref="K620:K621" ca="1" si="261">IF(I620&gt;0,J620*100/I620,0)</f>
        <v>100</v>
      </c>
      <c r="L620" s="730"/>
      <c r="M620" s="730"/>
      <c r="N620" s="730"/>
      <c r="O620" s="730"/>
      <c r="P620" s="730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</row>
    <row r="621" spans="1:26" ht="19.5">
      <c r="A621" s="722"/>
      <c r="B621" s="731"/>
      <c r="C621" s="731" t="s">
        <v>268</v>
      </c>
      <c r="D621" s="731"/>
      <c r="E621" s="731"/>
      <c r="F621" s="725"/>
      <c r="G621" s="726"/>
      <c r="H621" s="727" t="s">
        <v>34</v>
      </c>
      <c r="I621" s="728">
        <f ca="1">IFERROR(__xludf.DUMMYFUNCTION("IMPORTRANGE(""https://docs.google.com/spreadsheets/d/1QqKyyYR6Q21VydFLVH3TRQUabQu_ym0Zz7PgGX0-kHA/edit?usp=sharing"",""แผน!HK42"")"),2)</f>
        <v>2</v>
      </c>
      <c r="J621" s="728">
        <f t="shared" si="260"/>
        <v>2</v>
      </c>
      <c r="K621" s="729">
        <f t="shared" ca="1" si="261"/>
        <v>100</v>
      </c>
      <c r="L621" s="730"/>
      <c r="M621" s="730"/>
      <c r="N621" s="730"/>
      <c r="O621" s="730"/>
      <c r="P621" s="730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</row>
    <row r="622" spans="1:26" ht="18.75">
      <c r="A622" s="608"/>
      <c r="B622" s="618"/>
      <c r="C622" s="618"/>
      <c r="D622" s="746" t="s">
        <v>269</v>
      </c>
      <c r="E622" s="626"/>
      <c r="F622" s="626"/>
      <c r="G622" s="762"/>
      <c r="H622" s="764" t="s">
        <v>46</v>
      </c>
      <c r="I622" s="270"/>
      <c r="J622" s="215">
        <v>18</v>
      </c>
      <c r="K622" s="163"/>
      <c r="L622" s="163"/>
      <c r="M622" s="163"/>
      <c r="N622" s="163"/>
      <c r="O622" s="163"/>
      <c r="P622" s="163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</row>
    <row r="623" spans="1:26" ht="18.75">
      <c r="A623" s="608"/>
      <c r="B623" s="618"/>
      <c r="C623" s="618"/>
      <c r="D623" s="618"/>
      <c r="E623" s="626"/>
      <c r="F623" s="626"/>
      <c r="G623" s="762"/>
      <c r="H623" s="764" t="s">
        <v>34</v>
      </c>
      <c r="I623" s="270"/>
      <c r="J623" s="215">
        <v>2</v>
      </c>
      <c r="K623" s="163"/>
      <c r="L623" s="163"/>
      <c r="M623" s="163"/>
      <c r="N623" s="163"/>
      <c r="O623" s="163"/>
      <c r="P623" s="163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</row>
    <row r="624" spans="1:26" ht="18.75">
      <c r="A624" s="608"/>
      <c r="B624" s="618"/>
      <c r="C624" s="618"/>
      <c r="D624" s="746" t="s">
        <v>265</v>
      </c>
      <c r="E624" s="626"/>
      <c r="F624" s="626"/>
      <c r="G624" s="762"/>
      <c r="H624" s="764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</row>
    <row r="625" spans="1:26" ht="18.75">
      <c r="A625" s="608"/>
      <c r="B625" s="618"/>
      <c r="C625" s="618"/>
      <c r="D625" s="618"/>
      <c r="E625" s="626"/>
      <c r="F625" s="626"/>
      <c r="G625" s="762"/>
      <c r="H625" s="764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</row>
    <row r="626" spans="1:26" ht="18.75">
      <c r="A626" s="608"/>
      <c r="B626" s="618"/>
      <c r="C626" s="618"/>
      <c r="D626" s="746" t="s">
        <v>270</v>
      </c>
      <c r="E626" s="626"/>
      <c r="F626" s="626"/>
      <c r="G626" s="762"/>
      <c r="H626" s="76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</row>
    <row r="627" spans="1:26" ht="18.75">
      <c r="A627" s="732"/>
      <c r="B627" s="733"/>
      <c r="C627" s="733"/>
      <c r="D627" s="733"/>
      <c r="E627" s="734"/>
      <c r="F627" s="734"/>
      <c r="G627" s="735"/>
      <c r="H627" s="422" t="s">
        <v>34</v>
      </c>
      <c r="I627" s="506"/>
      <c r="J627" s="424">
        <v>0</v>
      </c>
      <c r="K627" s="385"/>
      <c r="L627" s="385"/>
      <c r="M627" s="385"/>
      <c r="N627" s="385"/>
      <c r="O627" s="385"/>
      <c r="P627" s="385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</row>
    <row r="628" spans="1:26" ht="19.5">
      <c r="A628" s="736">
        <v>7</v>
      </c>
      <c r="B628" s="737" t="s">
        <v>271</v>
      </c>
      <c r="C628" s="738"/>
      <c r="D628" s="738"/>
      <c r="E628" s="738"/>
      <c r="F628" s="738"/>
      <c r="G628" s="739"/>
      <c r="H628" s="740" t="s">
        <v>35</v>
      </c>
      <c r="I628" s="741">
        <f t="shared" ref="I628:J628" ca="1" si="262">I651</f>
        <v>210</v>
      </c>
      <c r="J628" s="741">
        <f t="shared" ca="1" si="262"/>
        <v>233</v>
      </c>
      <c r="K628" s="742">
        <f ca="1">IF(I628&gt;0,J628*100/I628,0)</f>
        <v>110.95238095238095</v>
      </c>
      <c r="L628" s="743"/>
      <c r="M628" s="743"/>
      <c r="N628" s="743"/>
      <c r="O628" s="743"/>
      <c r="P628" s="743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</row>
    <row r="629" spans="1:26" ht="19.5">
      <c r="A629" s="597"/>
      <c r="B629" s="763"/>
      <c r="C629" s="763" t="s">
        <v>16</v>
      </c>
      <c r="D629" s="863" t="s">
        <v>17</v>
      </c>
      <c r="E629" s="857"/>
      <c r="F629" s="857"/>
      <c r="G629" s="189"/>
      <c r="H629" s="598" t="s">
        <v>12</v>
      </c>
      <c r="I629" s="270"/>
      <c r="J629" s="270"/>
      <c r="K629" s="498"/>
      <c r="L629" s="195">
        <f t="shared" ref="L629:N629" ca="1" si="263">L630+L631</f>
        <v>442125</v>
      </c>
      <c r="M629" s="195">
        <f t="shared" ca="1" si="263"/>
        <v>441705.65</v>
      </c>
      <c r="N629" s="195">
        <f t="shared" si="263"/>
        <v>441705.65</v>
      </c>
      <c r="O629" s="195">
        <f t="shared" ref="O629:O634" ca="1" si="264">IF(L629&gt;0,N629*100/L629,0)</f>
        <v>99.905151258128356</v>
      </c>
      <c r="P629" s="195">
        <f t="shared" ref="P629:P634" ca="1" si="265">IF(M629&gt;0,N629*100/M629,0)</f>
        <v>100</v>
      </c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</row>
    <row r="630" spans="1:26" ht="18.75" hidden="1">
      <c r="A630" s="599"/>
      <c r="B630" s="759"/>
      <c r="C630" s="759"/>
      <c r="D630" s="720"/>
      <c r="E630" s="759" t="s">
        <v>185</v>
      </c>
      <c r="F630" s="759"/>
      <c r="G630" s="603"/>
      <c r="H630" s="165" t="s">
        <v>12</v>
      </c>
      <c r="I630" s="617"/>
      <c r="J630" s="617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4"/>
      <c r="R630" s="604"/>
      <c r="S630" s="604"/>
      <c r="T630" s="604"/>
      <c r="U630" s="604"/>
      <c r="V630" s="604"/>
      <c r="W630" s="604"/>
      <c r="X630" s="604"/>
      <c r="Y630" s="604"/>
      <c r="Z630" s="604"/>
    </row>
    <row r="631" spans="1:26" ht="18.75" hidden="1">
      <c r="A631" s="599"/>
      <c r="B631" s="607"/>
      <c r="C631" s="759"/>
      <c r="D631" s="720"/>
      <c r="E631" s="759" t="s">
        <v>186</v>
      </c>
      <c r="F631" s="759"/>
      <c r="G631" s="603"/>
      <c r="H631" s="165" t="s">
        <v>12</v>
      </c>
      <c r="I631" s="617"/>
      <c r="J631" s="617"/>
      <c r="K631" s="93"/>
      <c r="L631" s="93">
        <f t="shared" ca="1" si="266"/>
        <v>442125</v>
      </c>
      <c r="M631" s="93">
        <f t="shared" ca="1" si="266"/>
        <v>441705.65</v>
      </c>
      <c r="N631" s="93">
        <f t="shared" si="266"/>
        <v>441705.65</v>
      </c>
      <c r="O631" s="93">
        <f t="shared" ca="1" si="264"/>
        <v>99.905151258128356</v>
      </c>
      <c r="P631" s="93">
        <f t="shared" ca="1" si="265"/>
        <v>100</v>
      </c>
      <c r="Q631" s="604"/>
      <c r="R631" s="604"/>
      <c r="S631" s="604"/>
      <c r="T631" s="604"/>
      <c r="U631" s="604"/>
      <c r="V631" s="604"/>
      <c r="W631" s="604"/>
      <c r="X631" s="604"/>
      <c r="Y631" s="604"/>
      <c r="Z631" s="604"/>
    </row>
    <row r="632" spans="1:26" ht="18.75">
      <c r="A632" s="597"/>
      <c r="B632" s="575"/>
      <c r="C632" s="763"/>
      <c r="D632" s="606" t="s">
        <v>20</v>
      </c>
      <c r="E632" s="763"/>
      <c r="F632" s="763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442125</v>
      </c>
      <c r="M632" s="498">
        <f t="shared" ca="1" si="267"/>
        <v>441705.65</v>
      </c>
      <c r="N632" s="498">
        <f t="shared" si="267"/>
        <v>441705.65</v>
      </c>
      <c r="O632" s="498">
        <f t="shared" ca="1" si="264"/>
        <v>99.905151258128356</v>
      </c>
      <c r="P632" s="498">
        <f t="shared" ca="1" si="265"/>
        <v>100</v>
      </c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</row>
    <row r="633" spans="1:26" ht="18.75" hidden="1">
      <c r="A633" s="599"/>
      <c r="B633" s="607"/>
      <c r="C633" s="759"/>
      <c r="D633" s="720"/>
      <c r="E633" s="759" t="s">
        <v>185</v>
      </c>
      <c r="F633" s="759"/>
      <c r="G633" s="603"/>
      <c r="H633" s="165" t="s">
        <v>12</v>
      </c>
      <c r="I633" s="617"/>
      <c r="J633" s="617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4"/>
      <c r="R633" s="604"/>
      <c r="S633" s="604"/>
      <c r="T633" s="604"/>
      <c r="U633" s="604"/>
      <c r="V633" s="604"/>
      <c r="W633" s="604"/>
      <c r="X633" s="604"/>
      <c r="Y633" s="604"/>
      <c r="Z633" s="604"/>
    </row>
    <row r="634" spans="1:26" ht="18.75" hidden="1">
      <c r="A634" s="599"/>
      <c r="B634" s="607"/>
      <c r="C634" s="759"/>
      <c r="D634" s="720"/>
      <c r="E634" s="759" t="s">
        <v>186</v>
      </c>
      <c r="F634" s="759"/>
      <c r="G634" s="603"/>
      <c r="H634" s="165" t="s">
        <v>12</v>
      </c>
      <c r="I634" s="617"/>
      <c r="J634" s="617"/>
      <c r="K634" s="93"/>
      <c r="L634" s="93">
        <f ca="1">IFERROR(__xludf.DUMMYFUNCTION("IMPORTRANGE(""https://docs.google.com/spreadsheets/d/1QqKyyYR6Q21VydFLVH3TRQUabQu_ym0Zz7PgGX0-kHA/edit?usp=sharing"",""แผน!HN42"")"),442125)</f>
        <v>442125</v>
      </c>
      <c r="M634" s="93">
        <f ca="1">L634-419.35</f>
        <v>441705.65</v>
      </c>
      <c r="N634" s="93">
        <f>N635+N636+N637+N638</f>
        <v>441705.65</v>
      </c>
      <c r="O634" s="93">
        <f t="shared" ca="1" si="264"/>
        <v>99.905151258128356</v>
      </c>
      <c r="P634" s="93">
        <f t="shared" ca="1" si="265"/>
        <v>100</v>
      </c>
      <c r="Q634" s="604"/>
      <c r="R634" s="604"/>
      <c r="S634" s="604"/>
      <c r="T634" s="604"/>
      <c r="U634" s="604"/>
      <c r="V634" s="604"/>
      <c r="W634" s="604"/>
      <c r="X634" s="604"/>
      <c r="Y634" s="604"/>
      <c r="Z634" s="604"/>
    </row>
    <row r="635" spans="1:26" ht="18.75">
      <c r="A635" s="574"/>
      <c r="B635" s="575"/>
      <c r="C635" s="763"/>
      <c r="D635" s="763"/>
      <c r="E635" s="763"/>
      <c r="F635" s="763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40">
        <v>0</v>
      </c>
      <c r="O635" s="498"/>
      <c r="P635" s="49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</row>
    <row r="636" spans="1:26" ht="18.75">
      <c r="A636" s="574"/>
      <c r="B636" s="575"/>
      <c r="C636" s="763"/>
      <c r="D636" s="763"/>
      <c r="E636" s="763"/>
      <c r="F636" s="763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40">
        <v>0</v>
      </c>
      <c r="O636" s="498"/>
      <c r="P636" s="49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</row>
    <row r="637" spans="1:26" ht="18.75">
      <c r="A637" s="574"/>
      <c r="B637" s="575"/>
      <c r="C637" s="763"/>
      <c r="D637" s="763"/>
      <c r="E637" s="763"/>
      <c r="F637" s="763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40">
        <v>116580</v>
      </c>
      <c r="O637" s="498"/>
      <c r="P637" s="498"/>
      <c r="Q637" s="578"/>
      <c r="R637" s="578"/>
      <c r="S637" s="578"/>
      <c r="T637" s="578"/>
      <c r="U637" s="578"/>
      <c r="V637" s="578"/>
      <c r="W637" s="578"/>
      <c r="X637" s="578"/>
      <c r="Y637" s="578"/>
      <c r="Z637" s="578"/>
    </row>
    <row r="638" spans="1:26" ht="18.75">
      <c r="A638" s="574"/>
      <c r="B638" s="575"/>
      <c r="C638" s="763"/>
      <c r="D638" s="763"/>
      <c r="E638" s="763"/>
      <c r="F638" s="763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40">
        <v>325125.65000000002</v>
      </c>
      <c r="O638" s="498"/>
      <c r="P638" s="49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</row>
    <row r="639" spans="1:26" ht="18.75">
      <c r="A639" s="597"/>
      <c r="B639" s="575"/>
      <c r="C639" s="763"/>
      <c r="D639" s="606" t="s">
        <v>21</v>
      </c>
      <c r="E639" s="763"/>
      <c r="F639" s="763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</row>
    <row r="640" spans="1:26" ht="18.75" hidden="1">
      <c r="A640" s="599"/>
      <c r="B640" s="607"/>
      <c r="C640" s="759"/>
      <c r="D640" s="759"/>
      <c r="E640" s="759" t="s">
        <v>18</v>
      </c>
      <c r="F640" s="759"/>
      <c r="G640" s="603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4"/>
      <c r="R640" s="604"/>
      <c r="S640" s="604"/>
      <c r="T640" s="604"/>
      <c r="U640" s="604"/>
      <c r="V640" s="604"/>
      <c r="W640" s="604"/>
      <c r="X640" s="604"/>
      <c r="Y640" s="604"/>
      <c r="Z640" s="604"/>
    </row>
    <row r="641" spans="1:26" ht="18.75" hidden="1">
      <c r="A641" s="599"/>
      <c r="B641" s="607"/>
      <c r="C641" s="759"/>
      <c r="D641" s="759"/>
      <c r="E641" s="759" t="s">
        <v>19</v>
      </c>
      <c r="F641" s="759"/>
      <c r="G641" s="603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4"/>
      <c r="R641" s="604"/>
      <c r="S641" s="604"/>
      <c r="T641" s="604"/>
      <c r="U641" s="604"/>
      <c r="V641" s="604"/>
      <c r="W641" s="604"/>
      <c r="X641" s="604"/>
      <c r="Y641" s="604"/>
      <c r="Z641" s="604"/>
    </row>
    <row r="642" spans="1:26" ht="19.5">
      <c r="A642" s="608"/>
      <c r="B642" s="618"/>
      <c r="C642" s="763" t="s">
        <v>16</v>
      </c>
      <c r="D642" s="896" t="s">
        <v>38</v>
      </c>
      <c r="E642" s="761"/>
      <c r="F642" s="761"/>
      <c r="G642" s="613"/>
      <c r="H642" s="762"/>
      <c r="I642" s="184"/>
      <c r="J642" s="184"/>
      <c r="K642" s="163"/>
      <c r="L642" s="163"/>
      <c r="M642" s="163"/>
      <c r="N642" s="163"/>
      <c r="O642" s="163"/>
      <c r="P642" s="163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</row>
    <row r="643" spans="1:26" ht="18.75">
      <c r="A643" s="744"/>
      <c r="B643" s="575"/>
      <c r="C643" s="763"/>
      <c r="D643" s="626"/>
      <c r="E643" s="746" t="s">
        <v>272</v>
      </c>
      <c r="F643" s="626"/>
      <c r="G643" s="762"/>
      <c r="H643" s="764" t="s">
        <v>273</v>
      </c>
      <c r="I643" s="270">
        <f ca="1">IFERROR(__xludf.DUMMYFUNCTION("IMPORTRANGE(""https://docs.google.com/spreadsheets/d/1QqKyyYR6Q21VydFLVH3TRQUabQu_ym0Zz7PgGX0-kHA/edit?usp=sharing"",""แผน!HR42"")"),0)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</row>
    <row r="644" spans="1:26" ht="18.75">
      <c r="A644" s="744"/>
      <c r="B644" s="575"/>
      <c r="C644" s="763"/>
      <c r="D644" s="626"/>
      <c r="E644" s="746" t="s">
        <v>274</v>
      </c>
      <c r="F644" s="626"/>
      <c r="G644" s="762"/>
      <c r="H644" s="764" t="s">
        <v>275</v>
      </c>
      <c r="I644" s="270">
        <f ca="1">IFERROR(__xludf.DUMMYFUNCTION("IMPORTRANGE(""https://docs.google.com/spreadsheets/d/1QqKyyYR6Q21VydFLVH3TRQUabQu_ym0Zz7PgGX0-kHA/edit?usp=sharing"",""แผน!HR42"")"),0)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</row>
    <row r="645" spans="1:26" ht="18.75">
      <c r="A645" s="744"/>
      <c r="B645" s="575"/>
      <c r="C645" s="763"/>
      <c r="D645" s="626"/>
      <c r="E645" s="746" t="s">
        <v>276</v>
      </c>
      <c r="F645" s="626"/>
      <c r="G645" s="762"/>
      <c r="H645" s="76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IFERROR(__xludf.DUMMYFUNCTION("IMPORTRANGE(""https://docs.google.com/spreadsheets/d/1XWAQStnk-4SwqDmLtmXYiTMKHgktTP8We1SCoS47DrQ/edit?usp=sharing"",""จัดที่ดิน!AS42"")"),119)</f>
        <v>119</v>
      </c>
      <c r="K645" s="163">
        <f t="shared" si="271"/>
        <v>0</v>
      </c>
      <c r="L645" s="163"/>
      <c r="M645" s="163"/>
      <c r="N645" s="498"/>
      <c r="O645" s="163"/>
      <c r="P645" s="163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</row>
    <row r="646" spans="1:26" ht="18.75">
      <c r="A646" s="744"/>
      <c r="B646" s="575"/>
      <c r="C646" s="763"/>
      <c r="D646" s="626"/>
      <c r="E646" s="626"/>
      <c r="F646" s="626"/>
      <c r="G646" s="762"/>
      <c r="H646" s="76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IFERROR(__xludf.DUMMYFUNCTION("IMPORTRANGE(""https://docs.google.com/spreadsheets/d/1XWAQStnk-4SwqDmLtmXYiTMKHgktTP8We1SCoS47DrQ/edit?usp=sharing"",""จัดที่ดิน!AT42"")"),62.54)</f>
        <v>62.54</v>
      </c>
      <c r="K646" s="498">
        <f t="shared" si="271"/>
        <v>0</v>
      </c>
      <c r="L646" s="163"/>
      <c r="M646" s="163"/>
      <c r="N646" s="498"/>
      <c r="O646" s="163"/>
      <c r="P646" s="163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</row>
    <row r="647" spans="1:26" ht="18.75">
      <c r="A647" s="744"/>
      <c r="B647" s="575"/>
      <c r="C647" s="763"/>
      <c r="D647" s="626"/>
      <c r="E647" s="746" t="s">
        <v>162</v>
      </c>
      <c r="F647" s="626"/>
      <c r="G647" s="762"/>
      <c r="H647" s="764" t="s">
        <v>35</v>
      </c>
      <c r="I647" s="270">
        <f ca="1">IFERROR(__xludf.DUMMYFUNCTION("IMPORTRANGE(""https://docs.google.com/spreadsheets/d/1QqKyyYR6Q21VydFLVH3TRQUabQu_ym0Zz7PgGX0-kHA/edit?usp=sharing"",""แผน!HS42"")"),210)</f>
        <v>210</v>
      </c>
      <c r="J647" s="270">
        <f ca="1">IFERROR(__xludf.DUMMYFUNCTION("IMPORTRANGE(""https://docs.google.com/spreadsheets/d/1XWAQStnk-4SwqDmLtmXYiTMKHgktTP8We1SCoS47DrQ/edit?usp=sharing"",""จัดที่ดิน!AU42"")"),233)</f>
        <v>233</v>
      </c>
      <c r="K647" s="163">
        <f t="shared" ca="1" si="271"/>
        <v>110.95238095238095</v>
      </c>
      <c r="L647" s="163"/>
      <c r="M647" s="163"/>
      <c r="N647" s="163"/>
      <c r="O647" s="163"/>
      <c r="P647" s="163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</row>
    <row r="648" spans="1:26" ht="18.75">
      <c r="A648" s="744"/>
      <c r="B648" s="575"/>
      <c r="C648" s="763"/>
      <c r="D648" s="626"/>
      <c r="E648" s="626"/>
      <c r="F648" s="626"/>
      <c r="G648" s="762"/>
      <c r="H648" s="76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IFERROR(__xludf.DUMMYFUNCTION("IMPORTRANGE(""https://docs.google.com/spreadsheets/d/1XWAQStnk-4SwqDmLtmXYiTMKHgktTP8We1SCoS47DrQ/edit?usp=sharing"",""จัดที่ดิน!AV42"")"),118.89)</f>
        <v>118.89</v>
      </c>
      <c r="K648" s="498">
        <f t="shared" si="271"/>
        <v>0</v>
      </c>
      <c r="L648" s="163"/>
      <c r="M648" s="163"/>
      <c r="N648" s="163"/>
      <c r="O648" s="163"/>
      <c r="P648" s="163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</row>
    <row r="649" spans="1:26" ht="18.75">
      <c r="A649" s="744"/>
      <c r="B649" s="575"/>
      <c r="C649" s="763"/>
      <c r="D649" s="626"/>
      <c r="E649" s="746" t="s">
        <v>277</v>
      </c>
      <c r="F649" s="626"/>
      <c r="G649" s="762"/>
      <c r="H649" s="764" t="s">
        <v>35</v>
      </c>
      <c r="I649" s="270">
        <f ca="1">IFERROR(__xludf.DUMMYFUNCTION("IMPORTRANGE(""https://docs.google.com/spreadsheets/d/1QqKyyYR6Q21VydFLVH3TRQUabQu_ym0Zz7PgGX0-kHA/edit?usp=sharing"",""แผน!HS42"")"),210)</f>
        <v>210</v>
      </c>
      <c r="J649" s="270">
        <f ca="1">IFERROR(__xludf.DUMMYFUNCTION("IMPORTRANGE(""https://docs.google.com/spreadsheets/d/1XWAQStnk-4SwqDmLtmXYiTMKHgktTP8We1SCoS47DrQ/edit?usp=sharing"",""จัดที่ดิน!AW42"")"),233)</f>
        <v>233</v>
      </c>
      <c r="K649" s="163">
        <f t="shared" ca="1" si="271"/>
        <v>110.95238095238095</v>
      </c>
      <c r="L649" s="163"/>
      <c r="M649" s="163"/>
      <c r="N649" s="163"/>
      <c r="O649" s="163"/>
      <c r="P649" s="163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</row>
    <row r="650" spans="1:26" ht="18.75">
      <c r="A650" s="744"/>
      <c r="B650" s="575"/>
      <c r="C650" s="763"/>
      <c r="D650" s="626"/>
      <c r="E650" s="626"/>
      <c r="F650" s="626"/>
      <c r="G650" s="762"/>
      <c r="H650" s="76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IFERROR(__xludf.DUMMYFUNCTION("IMPORTRANGE(""https://docs.google.com/spreadsheets/d/1XWAQStnk-4SwqDmLtmXYiTMKHgktTP8We1SCoS47DrQ/edit?usp=sharing"",""จัดที่ดิน!AX42"")"),118.89)</f>
        <v>118.89</v>
      </c>
      <c r="K650" s="498">
        <f t="shared" si="271"/>
        <v>0</v>
      </c>
      <c r="L650" s="163"/>
      <c r="M650" s="163"/>
      <c r="N650" s="163"/>
      <c r="O650" s="163"/>
      <c r="P650" s="163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</row>
    <row r="651" spans="1:26" ht="18.75">
      <c r="A651" s="744"/>
      <c r="B651" s="575"/>
      <c r="C651" s="763"/>
      <c r="D651" s="626"/>
      <c r="E651" s="746" t="s">
        <v>278</v>
      </c>
      <c r="F651" s="626"/>
      <c r="G651" s="762"/>
      <c r="H651" s="764" t="s">
        <v>35</v>
      </c>
      <c r="I651" s="270">
        <f ca="1">IFERROR(__xludf.DUMMYFUNCTION("IMPORTRANGE(""https://docs.google.com/spreadsheets/d/1QqKyyYR6Q21VydFLVH3TRQUabQu_ym0Zz7PgGX0-kHA/edit?usp=sharing"",""แผน!HS42"")"),210)</f>
        <v>210</v>
      </c>
      <c r="J651" s="270">
        <f ca="1">IFERROR(__xludf.DUMMYFUNCTION("IMPORTRANGE(""https://docs.google.com/spreadsheets/d/1XWAQStnk-4SwqDmLtmXYiTMKHgktTP8We1SCoS47DrQ/edit?usp=sharing"",""จัดที่ดิน!AY42"")"),233)</f>
        <v>233</v>
      </c>
      <c r="K651" s="163">
        <f t="shared" ca="1" si="271"/>
        <v>110.95238095238095</v>
      </c>
      <c r="L651" s="163"/>
      <c r="M651" s="163"/>
      <c r="N651" s="163"/>
      <c r="O651" s="163"/>
      <c r="P651" s="163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</row>
    <row r="652" spans="1:26" ht="18.75">
      <c r="A652" s="74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8"/>
      <c r="C652" s="749"/>
      <c r="D652" s="734"/>
      <c r="E652" s="734"/>
      <c r="F652" s="734"/>
      <c r="G652" s="735"/>
      <c r="H652" s="505" t="s">
        <v>46</v>
      </c>
      <c r="I652" s="506">
        <v>0</v>
      </c>
      <c r="J652" s="506">
        <f ca="1">IFERROR(__xludf.DUMMYFUNCTION("IMPORTRANGE(""https://docs.google.com/spreadsheets/d/1XWAQStnk-4SwqDmLtmXYiTMKHgktTP8We1SCoS47DrQ/edit?usp=sharing"",""จัดที่ดิน!AZ42"")"),118.885)</f>
        <v>118.88500000000001</v>
      </c>
      <c r="K652" s="507">
        <f t="shared" si="271"/>
        <v>0</v>
      </c>
      <c r="L652" s="385"/>
      <c r="M652" s="385"/>
      <c r="N652" s="385"/>
      <c r="O652" s="385"/>
      <c r="P652" s="385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</row>
    <row r="653" spans="1:26" ht="19.5">
      <c r="A653" s="750">
        <v>8</v>
      </c>
      <c r="B653" s="737" t="s">
        <v>279</v>
      </c>
      <c r="C653" s="738"/>
      <c r="D653" s="738"/>
      <c r="E653" s="738"/>
      <c r="F653" s="738"/>
      <c r="G653" s="739"/>
      <c r="H653" s="739"/>
      <c r="I653" s="751"/>
      <c r="J653" s="751"/>
      <c r="K653" s="743"/>
      <c r="L653" s="743"/>
      <c r="M653" s="743"/>
      <c r="N653" s="743"/>
      <c r="O653" s="743"/>
      <c r="P653" s="743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</row>
    <row r="654" spans="1:26" ht="19.5">
      <c r="A654" s="673"/>
      <c r="B654" s="672" t="s">
        <v>280</v>
      </c>
      <c r="C654" s="673"/>
      <c r="D654" s="673"/>
      <c r="E654" s="673"/>
      <c r="F654" s="673"/>
      <c r="G654" s="674"/>
      <c r="H654" s="707" t="s">
        <v>46</v>
      </c>
      <c r="I654" s="708">
        <f t="shared" ref="I654:J654" ca="1" si="272">I669</f>
        <v>50</v>
      </c>
      <c r="J654" s="708">
        <f t="shared" si="272"/>
        <v>83</v>
      </c>
      <c r="K654" s="677">
        <f ca="1">IF(I654&gt;0,J654*100/I654,0)</f>
        <v>166</v>
      </c>
      <c r="L654" s="678"/>
      <c r="M654" s="678"/>
      <c r="N654" s="678"/>
      <c r="O654" s="678"/>
      <c r="P654" s="6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</row>
    <row r="655" spans="1:26" ht="19.5">
      <c r="A655" s="597"/>
      <c r="B655" s="763"/>
      <c r="C655" s="763" t="s">
        <v>16</v>
      </c>
      <c r="D655" s="863" t="s">
        <v>17</v>
      </c>
      <c r="E655" s="857"/>
      <c r="F655" s="857"/>
      <c r="G655" s="189"/>
      <c r="H655" s="598" t="s">
        <v>12</v>
      </c>
      <c r="I655" s="270"/>
      <c r="J655" s="270"/>
      <c r="K655" s="498"/>
      <c r="L655" s="195">
        <f t="shared" ref="L655:N655" ca="1" si="273">L656+L657</f>
        <v>12600</v>
      </c>
      <c r="M655" s="195">
        <f t="shared" ca="1" si="273"/>
        <v>22770</v>
      </c>
      <c r="N655" s="195">
        <f t="shared" si="273"/>
        <v>22770</v>
      </c>
      <c r="O655" s="195">
        <f t="shared" ref="O655:O660" ca="1" si="274">IF(L655&gt;0,N655*100/L655,0)</f>
        <v>180.71428571428572</v>
      </c>
      <c r="P655" s="195">
        <f t="shared" ref="P655:P660" ca="1" si="275">IF(M655&gt;0,N655*100/M655,0)</f>
        <v>100</v>
      </c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</row>
    <row r="656" spans="1:26" ht="18.75" hidden="1">
      <c r="A656" s="599"/>
      <c r="B656" s="759"/>
      <c r="C656" s="759"/>
      <c r="D656" s="720"/>
      <c r="E656" s="759" t="s">
        <v>185</v>
      </c>
      <c r="F656" s="759"/>
      <c r="G656" s="603"/>
      <c r="H656" s="165" t="s">
        <v>12</v>
      </c>
      <c r="I656" s="617"/>
      <c r="J656" s="617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4"/>
      <c r="R656" s="604"/>
      <c r="S656" s="604"/>
      <c r="T656" s="604"/>
      <c r="U656" s="604"/>
      <c r="V656" s="604"/>
      <c r="W656" s="604"/>
      <c r="X656" s="604"/>
      <c r="Y656" s="604"/>
      <c r="Z656" s="604"/>
    </row>
    <row r="657" spans="1:26" ht="18.75" hidden="1">
      <c r="A657" s="599"/>
      <c r="B657" s="607"/>
      <c r="C657" s="759"/>
      <c r="D657" s="720"/>
      <c r="E657" s="759" t="s">
        <v>186</v>
      </c>
      <c r="F657" s="759"/>
      <c r="G657" s="603"/>
      <c r="H657" s="165" t="s">
        <v>12</v>
      </c>
      <c r="I657" s="617"/>
      <c r="J657" s="617"/>
      <c r="K657" s="93"/>
      <c r="L657" s="93">
        <f t="shared" ca="1" si="276"/>
        <v>12600</v>
      </c>
      <c r="M657" s="93">
        <f t="shared" ca="1" si="276"/>
        <v>22770</v>
      </c>
      <c r="N657" s="93">
        <f t="shared" si="276"/>
        <v>22770</v>
      </c>
      <c r="O657" s="93">
        <f t="shared" ca="1" si="274"/>
        <v>180.71428571428572</v>
      </c>
      <c r="P657" s="93">
        <f t="shared" ca="1" si="275"/>
        <v>100</v>
      </c>
      <c r="Q657" s="604"/>
      <c r="R657" s="604"/>
      <c r="S657" s="604"/>
      <c r="T657" s="604"/>
      <c r="U657" s="604"/>
      <c r="V657" s="604"/>
      <c r="W657" s="604"/>
      <c r="X657" s="604"/>
      <c r="Y657" s="604"/>
      <c r="Z657" s="604"/>
    </row>
    <row r="658" spans="1:26" ht="18.75">
      <c r="A658" s="597"/>
      <c r="B658" s="575"/>
      <c r="C658" s="763"/>
      <c r="D658" s="606" t="s">
        <v>20</v>
      </c>
      <c r="E658" s="763"/>
      <c r="F658" s="763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12600</v>
      </c>
      <c r="M658" s="498">
        <f t="shared" ca="1" si="277"/>
        <v>22770</v>
      </c>
      <c r="N658" s="498">
        <f t="shared" si="277"/>
        <v>22770</v>
      </c>
      <c r="O658" s="498">
        <f t="shared" ca="1" si="274"/>
        <v>180.71428571428572</v>
      </c>
      <c r="P658" s="498">
        <f t="shared" ca="1" si="275"/>
        <v>100</v>
      </c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</row>
    <row r="659" spans="1:26" ht="18.75" hidden="1">
      <c r="A659" s="599"/>
      <c r="B659" s="607"/>
      <c r="C659" s="759"/>
      <c r="D659" s="720"/>
      <c r="E659" s="759" t="s">
        <v>185</v>
      </c>
      <c r="F659" s="759"/>
      <c r="G659" s="603"/>
      <c r="H659" s="165" t="s">
        <v>12</v>
      </c>
      <c r="I659" s="617"/>
      <c r="J659" s="617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4"/>
      <c r="R659" s="604"/>
      <c r="S659" s="604"/>
      <c r="T659" s="604"/>
      <c r="U659" s="604"/>
      <c r="V659" s="604"/>
      <c r="W659" s="604"/>
      <c r="X659" s="604"/>
      <c r="Y659" s="604"/>
      <c r="Z659" s="604"/>
    </row>
    <row r="660" spans="1:26" ht="18.75" hidden="1">
      <c r="A660" s="599"/>
      <c r="B660" s="607"/>
      <c r="C660" s="759"/>
      <c r="D660" s="720"/>
      <c r="E660" s="759" t="s">
        <v>186</v>
      </c>
      <c r="F660" s="759"/>
      <c r="G660" s="603"/>
      <c r="H660" s="165" t="s">
        <v>12</v>
      </c>
      <c r="I660" s="617"/>
      <c r="J660" s="617"/>
      <c r="K660" s="93"/>
      <c r="L660" s="93">
        <f ca="1">IFERROR(__xludf.DUMMYFUNCTION("IMPORTRANGE(""https://docs.google.com/spreadsheets/d/1QqKyyYR6Q21VydFLVH3TRQUabQu_ym0Zz7PgGX0-kHA/edit?usp=sharing"",""แผน!HV42"")"),12600)</f>
        <v>12600</v>
      </c>
      <c r="M660" s="93">
        <f ca="1">L660+10170</f>
        <v>22770</v>
      </c>
      <c r="N660" s="93">
        <f>N661+N662+N663+N664</f>
        <v>22770</v>
      </c>
      <c r="O660" s="93">
        <f t="shared" ca="1" si="274"/>
        <v>180.71428571428572</v>
      </c>
      <c r="P660" s="93">
        <f t="shared" ca="1" si="275"/>
        <v>100</v>
      </c>
      <c r="Q660" s="604"/>
      <c r="R660" s="604"/>
      <c r="S660" s="604"/>
      <c r="T660" s="604"/>
      <c r="U660" s="604"/>
      <c r="V660" s="604"/>
      <c r="W660" s="604"/>
      <c r="X660" s="604"/>
      <c r="Y660" s="604"/>
      <c r="Z660" s="604"/>
    </row>
    <row r="661" spans="1:26" ht="18.75">
      <c r="A661" s="574"/>
      <c r="B661" s="575"/>
      <c r="C661" s="763"/>
      <c r="D661" s="763"/>
      <c r="E661" s="763"/>
      <c r="F661" s="763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40">
        <v>0</v>
      </c>
      <c r="O661" s="498"/>
      <c r="P661" s="49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</row>
    <row r="662" spans="1:26" ht="18.75">
      <c r="A662" s="574"/>
      <c r="B662" s="575"/>
      <c r="C662" s="763"/>
      <c r="D662" s="763"/>
      <c r="E662" s="763"/>
      <c r="F662" s="763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40">
        <v>0</v>
      </c>
      <c r="O662" s="498"/>
      <c r="P662" s="49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</row>
    <row r="663" spans="1:26" ht="18.75">
      <c r="A663" s="574"/>
      <c r="B663" s="575"/>
      <c r="C663" s="575"/>
      <c r="D663" s="763"/>
      <c r="E663" s="763"/>
      <c r="F663" s="763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40">
        <v>0</v>
      </c>
      <c r="O663" s="498"/>
      <c r="P663" s="49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</row>
    <row r="664" spans="1:26" ht="18.75">
      <c r="A664" s="574"/>
      <c r="B664" s="575"/>
      <c r="C664" s="575"/>
      <c r="D664" s="575"/>
      <c r="E664" s="763"/>
      <c r="F664" s="763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40">
        <v>22770</v>
      </c>
      <c r="O664" s="498"/>
      <c r="P664" s="49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</row>
    <row r="665" spans="1:26" ht="18.75">
      <c r="A665" s="597"/>
      <c r="B665" s="575"/>
      <c r="C665" s="575"/>
      <c r="D665" s="606" t="s">
        <v>21</v>
      </c>
      <c r="E665" s="763"/>
      <c r="F665" s="763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</row>
    <row r="666" spans="1:26" ht="18.75" hidden="1">
      <c r="A666" s="599"/>
      <c r="B666" s="607"/>
      <c r="C666" s="607"/>
      <c r="D666" s="607"/>
      <c r="E666" s="759" t="s">
        <v>18</v>
      </c>
      <c r="F666" s="759"/>
      <c r="G666" s="603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4"/>
      <c r="R666" s="604"/>
      <c r="S666" s="604"/>
      <c r="T666" s="604"/>
      <c r="U666" s="604"/>
      <c r="V666" s="604"/>
      <c r="W666" s="604"/>
      <c r="X666" s="604"/>
      <c r="Y666" s="604"/>
      <c r="Z666" s="604"/>
    </row>
    <row r="667" spans="1:26" ht="18.75" hidden="1">
      <c r="A667" s="599"/>
      <c r="B667" s="607"/>
      <c r="C667" s="607"/>
      <c r="D667" s="607"/>
      <c r="E667" s="759" t="s">
        <v>19</v>
      </c>
      <c r="F667" s="759"/>
      <c r="G667" s="603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4"/>
      <c r="R667" s="604"/>
      <c r="S667" s="604"/>
      <c r="T667" s="604"/>
      <c r="U667" s="604"/>
      <c r="V667" s="604"/>
      <c r="W667" s="604"/>
      <c r="X667" s="604"/>
      <c r="Y667" s="604"/>
      <c r="Z667" s="604"/>
    </row>
    <row r="668" spans="1:26" ht="19.5">
      <c r="A668" s="608"/>
      <c r="B668" s="618"/>
      <c r="C668" s="575" t="s">
        <v>16</v>
      </c>
      <c r="D668" s="893" t="s">
        <v>38</v>
      </c>
      <c r="E668" s="761"/>
      <c r="F668" s="761"/>
      <c r="G668" s="613"/>
      <c r="H668" s="762"/>
      <c r="I668" s="184"/>
      <c r="J668" s="184"/>
      <c r="K668" s="163"/>
      <c r="L668" s="163"/>
      <c r="M668" s="163"/>
      <c r="N668" s="163"/>
      <c r="O668" s="163"/>
      <c r="P668" s="163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</row>
    <row r="669" spans="1:26" ht="19.5">
      <c r="A669" s="608"/>
      <c r="B669" s="618"/>
      <c r="C669" s="618"/>
      <c r="D669" s="618" t="s">
        <v>281</v>
      </c>
      <c r="E669" s="626"/>
      <c r="F669" s="626"/>
      <c r="G669" s="762"/>
      <c r="H669" s="767" t="s">
        <v>46</v>
      </c>
      <c r="I669" s="681">
        <f ca="1">IFERROR(__xludf.DUMMYFUNCTION("IMPORTRANGE(""https://docs.google.com/spreadsheets/d/1QqKyyYR6Q21VydFLVH3TRQUabQu_ym0Zz7PgGX0-kHA/edit?usp=sharing"",""แผน!IA42"")"),50)</f>
        <v>50</v>
      </c>
      <c r="J669" s="681">
        <f>J675</f>
        <v>83</v>
      </c>
      <c r="K669" s="195">
        <f ca="1">IF(I669&gt;0,J669*100/I669,0)</f>
        <v>166</v>
      </c>
      <c r="L669" s="163"/>
      <c r="M669" s="163"/>
      <c r="N669" s="163"/>
      <c r="O669" s="163"/>
      <c r="P669" s="163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</row>
    <row r="670" spans="1:26" ht="18.75">
      <c r="A670" s="608"/>
      <c r="B670" s="618"/>
      <c r="C670" s="618"/>
      <c r="D670" s="618"/>
      <c r="E670" s="626" t="s">
        <v>282</v>
      </c>
      <c r="F670" s="626"/>
      <c r="G670" s="762"/>
      <c r="H670" s="764" t="s">
        <v>66</v>
      </c>
      <c r="I670" s="270">
        <f ca="1">IFERROR(__xludf.DUMMYFUNCTION("IMPORTRANGE(""https://docs.google.com/spreadsheets/d/1QqKyyYR6Q21VydFLVH3TRQUabQu_ym0Zz7PgGX0-kHA/edit?usp=sharing"",""แผน!HZ42"")"),6)</f>
        <v>6</v>
      </c>
      <c r="J670" s="215">
        <v>6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</row>
    <row r="671" spans="1:26" ht="18.75">
      <c r="A671" s="608"/>
      <c r="B671" s="618"/>
      <c r="C671" s="618"/>
      <c r="D671" s="618"/>
      <c r="E671" s="626" t="s">
        <v>283</v>
      </c>
      <c r="F671" s="626"/>
      <c r="G671" s="762"/>
      <c r="H671" s="764" t="s">
        <v>66</v>
      </c>
      <c r="I671" s="270">
        <f ca="1">IFERROR(__xludf.DUMMYFUNCTION("IMPORTRANGE(""https://docs.google.com/spreadsheets/d/1QqKyyYR6Q21VydFLVH3TRQUabQu_ym0Zz7PgGX0-kHA/edit?usp=sharing"",""แผน!HZ42"")"),6)</f>
        <v>6</v>
      </c>
      <c r="J671" s="215">
        <v>6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</row>
    <row r="672" spans="1:26" ht="18.75">
      <c r="A672" s="608"/>
      <c r="B672" s="618"/>
      <c r="C672" s="618"/>
      <c r="D672" s="618"/>
      <c r="E672" s="626" t="s">
        <v>284</v>
      </c>
      <c r="F672" s="626"/>
      <c r="G672" s="762"/>
      <c r="H672" s="764" t="s">
        <v>46</v>
      </c>
      <c r="I672" s="270"/>
      <c r="J672" s="215">
        <v>107</v>
      </c>
      <c r="K672" s="498">
        <f t="shared" ref="K672:K675" ca="1" si="281">IF(I$669&gt;0,J672*100/I$669,0)</f>
        <v>214</v>
      </c>
      <c r="L672" s="163"/>
      <c r="M672" s="163"/>
      <c r="N672" s="163"/>
      <c r="O672" s="163"/>
      <c r="P672" s="163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</row>
    <row r="673" spans="1:26" ht="18.75">
      <c r="A673" s="608"/>
      <c r="B673" s="618"/>
      <c r="C673" s="618"/>
      <c r="D673" s="618"/>
      <c r="E673" s="626" t="s">
        <v>285</v>
      </c>
      <c r="F673" s="626"/>
      <c r="G673" s="762"/>
      <c r="H673" s="764" t="s">
        <v>46</v>
      </c>
      <c r="I673" s="270"/>
      <c r="J673" s="215">
        <v>107</v>
      </c>
      <c r="K673" s="498">
        <f t="shared" ca="1" si="281"/>
        <v>214</v>
      </c>
      <c r="L673" s="163"/>
      <c r="M673" s="163"/>
      <c r="N673" s="163"/>
      <c r="O673" s="163"/>
      <c r="P673" s="163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</row>
    <row r="674" spans="1:26" ht="18.75">
      <c r="A674" s="608"/>
      <c r="B674" s="618"/>
      <c r="C674" s="618"/>
      <c r="D674" s="618"/>
      <c r="E674" s="626" t="s">
        <v>286</v>
      </c>
      <c r="F674" s="626"/>
      <c r="G674" s="762"/>
      <c r="H674" s="764" t="s">
        <v>46</v>
      </c>
      <c r="I674" s="270"/>
      <c r="J674" s="215">
        <v>107</v>
      </c>
      <c r="K674" s="498">
        <f t="shared" ca="1" si="281"/>
        <v>214</v>
      </c>
      <c r="L674" s="163"/>
      <c r="M674" s="163"/>
      <c r="N674" s="163"/>
      <c r="O674" s="163"/>
      <c r="P674" s="163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</row>
    <row r="675" spans="1:26" ht="19.5">
      <c r="A675" s="608"/>
      <c r="B675" s="618"/>
      <c r="C675" s="618"/>
      <c r="D675" s="618"/>
      <c r="E675" s="626" t="s">
        <v>287</v>
      </c>
      <c r="F675" s="626"/>
      <c r="G675" s="762"/>
      <c r="H675" s="764" t="s">
        <v>46</v>
      </c>
      <c r="I675" s="270"/>
      <c r="J675" s="681">
        <f>J676+J677</f>
        <v>83</v>
      </c>
      <c r="K675" s="195">
        <f t="shared" ca="1" si="281"/>
        <v>166</v>
      </c>
      <c r="L675" s="163"/>
      <c r="M675" s="163"/>
      <c r="N675" s="163"/>
      <c r="O675" s="163"/>
      <c r="P675" s="163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</row>
    <row r="676" spans="1:26" ht="18.75">
      <c r="A676" s="608"/>
      <c r="B676" s="618"/>
      <c r="C676" s="618"/>
      <c r="D676" s="618"/>
      <c r="E676" s="626"/>
      <c r="F676" s="626" t="s">
        <v>288</v>
      </c>
      <c r="G676" s="762"/>
      <c r="H676" s="764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</row>
    <row r="677" spans="1:26" ht="18.75">
      <c r="A677" s="608"/>
      <c r="B677" s="618"/>
      <c r="C677" s="618"/>
      <c r="D677" s="618"/>
      <c r="E677" s="626"/>
      <c r="F677" s="626" t="s">
        <v>289</v>
      </c>
      <c r="G677" s="762"/>
      <c r="H677" s="764" t="s">
        <v>46</v>
      </c>
      <c r="I677" s="270"/>
      <c r="J677" s="215">
        <v>83</v>
      </c>
      <c r="K677" s="498"/>
      <c r="L677" s="163"/>
      <c r="M677" s="163"/>
      <c r="N677" s="163"/>
      <c r="O677" s="163"/>
      <c r="P677" s="163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</row>
    <row r="678" spans="1:26" ht="19.5">
      <c r="A678" s="608"/>
      <c r="B678" s="618"/>
      <c r="C678" s="618"/>
      <c r="D678" s="618" t="s">
        <v>290</v>
      </c>
      <c r="E678" s="626"/>
      <c r="F678" s="626"/>
      <c r="G678" s="762"/>
      <c r="H678" s="764" t="s">
        <v>46</v>
      </c>
      <c r="I678" s="681">
        <f ca="1">IFERROR(__xludf.DUMMYFUNCTION("IMPORTRANGE(""https://docs.google.com/spreadsheets/d/1QqKyyYR6Q21VydFLVH3TRQUabQu_ym0Zz7PgGX0-kHA/edit?usp=sharing"",""แผน!IB42"")"),0)</f>
        <v>0</v>
      </c>
      <c r="J678" s="681">
        <f>J679</f>
        <v>122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</row>
    <row r="679" spans="1:26" ht="18.75">
      <c r="A679" s="608"/>
      <c r="B679" s="618"/>
      <c r="C679" s="618"/>
      <c r="D679" s="618"/>
      <c r="E679" s="626" t="s">
        <v>291</v>
      </c>
      <c r="F679" s="626"/>
      <c r="G679" s="762"/>
      <c r="H679" s="764" t="s">
        <v>46</v>
      </c>
      <c r="I679" s="270"/>
      <c r="J679" s="270">
        <f>J680+J681</f>
        <v>122</v>
      </c>
      <c r="K679" s="498"/>
      <c r="L679" s="163"/>
      <c r="M679" s="163"/>
      <c r="N679" s="163"/>
      <c r="O679" s="163"/>
      <c r="P679" s="163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</row>
    <row r="680" spans="1:26" ht="18.75">
      <c r="A680" s="608"/>
      <c r="B680" s="618"/>
      <c r="C680" s="618"/>
      <c r="D680" s="618"/>
      <c r="E680" s="626"/>
      <c r="F680" s="626" t="s">
        <v>288</v>
      </c>
      <c r="G680" s="762"/>
      <c r="H680" s="764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</row>
    <row r="681" spans="1:26" ht="18.75">
      <c r="A681" s="608"/>
      <c r="B681" s="618"/>
      <c r="C681" s="618"/>
      <c r="D681" s="618"/>
      <c r="E681" s="626"/>
      <c r="F681" s="626" t="s">
        <v>289</v>
      </c>
      <c r="G681" s="762"/>
      <c r="H681" s="764" t="s">
        <v>46</v>
      </c>
      <c r="I681" s="270"/>
      <c r="J681" s="215">
        <v>122</v>
      </c>
      <c r="K681" s="498"/>
      <c r="L681" s="163"/>
      <c r="M681" s="163"/>
      <c r="N681" s="163"/>
      <c r="O681" s="163"/>
      <c r="P681" s="163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</row>
    <row r="682" spans="1:26" ht="18.75">
      <c r="A682" s="608"/>
      <c r="B682" s="618"/>
      <c r="C682" s="618"/>
      <c r="D682" s="618"/>
      <c r="E682" s="626" t="s">
        <v>292</v>
      </c>
      <c r="F682" s="626"/>
      <c r="G682" s="762"/>
      <c r="H682" s="764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</row>
    <row r="683" spans="1:26" ht="18.75">
      <c r="A683" s="608"/>
      <c r="B683" s="618"/>
      <c r="C683" s="618"/>
      <c r="D683" s="618"/>
      <c r="E683" s="626"/>
      <c r="F683" s="626" t="s">
        <v>293</v>
      </c>
      <c r="G683" s="762"/>
      <c r="H683" s="764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</row>
    <row r="684" spans="1:26" ht="19.5">
      <c r="A684" s="753"/>
      <c r="B684" s="754" t="s">
        <v>294</v>
      </c>
      <c r="C684" s="753"/>
      <c r="D684" s="753"/>
      <c r="E684" s="753"/>
      <c r="F684" s="753"/>
      <c r="G684" s="755"/>
      <c r="H684" s="755"/>
      <c r="I684" s="756"/>
      <c r="J684" s="756"/>
      <c r="K684" s="757"/>
      <c r="L684" s="757"/>
      <c r="M684" s="757"/>
      <c r="N684" s="757"/>
      <c r="O684" s="757"/>
      <c r="P684" s="757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</row>
    <row r="685" spans="1:26" ht="19.5">
      <c r="A685" s="597"/>
      <c r="B685" s="763"/>
      <c r="C685" s="763" t="s">
        <v>16</v>
      </c>
      <c r="D685" s="863" t="s">
        <v>17</v>
      </c>
      <c r="E685" s="857"/>
      <c r="F685" s="857"/>
      <c r="G685" s="189"/>
      <c r="H685" s="598" t="s">
        <v>12</v>
      </c>
      <c r="I685" s="270"/>
      <c r="J685" s="270"/>
      <c r="K685" s="498"/>
      <c r="L685" s="195">
        <f t="shared" ref="L685:N685" ca="1" si="282">L686+L687</f>
        <v>1980</v>
      </c>
      <c r="M685" s="195">
        <f t="shared" ca="1" si="282"/>
        <v>360</v>
      </c>
      <c r="N685" s="195">
        <f t="shared" si="282"/>
        <v>360</v>
      </c>
      <c r="O685" s="195">
        <f t="shared" ref="O685:O688" ca="1" si="283">IF(L685&gt;0,N685*100/L685,0)</f>
        <v>18.181818181818183</v>
      </c>
      <c r="P685" s="195">
        <f t="shared" ref="P685:P688" ca="1" si="284">IF(M685&gt;0,N685*100/M685,0)</f>
        <v>100</v>
      </c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</row>
    <row r="686" spans="1:26" ht="18.75" hidden="1">
      <c r="A686" s="599"/>
      <c r="B686" s="759"/>
      <c r="C686" s="759"/>
      <c r="D686" s="720"/>
      <c r="E686" s="759" t="s">
        <v>185</v>
      </c>
      <c r="F686" s="759"/>
      <c r="G686" s="603"/>
      <c r="H686" s="165" t="s">
        <v>12</v>
      </c>
      <c r="I686" s="617"/>
      <c r="J686" s="617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4"/>
      <c r="R686" s="604"/>
      <c r="S686" s="604"/>
      <c r="T686" s="604"/>
      <c r="U686" s="604"/>
      <c r="V686" s="604"/>
      <c r="W686" s="604"/>
      <c r="X686" s="604"/>
      <c r="Y686" s="604"/>
      <c r="Z686" s="604"/>
    </row>
    <row r="687" spans="1:26" ht="18.75" hidden="1">
      <c r="A687" s="599"/>
      <c r="B687" s="607"/>
      <c r="C687" s="759"/>
      <c r="D687" s="720"/>
      <c r="E687" s="759" t="s">
        <v>186</v>
      </c>
      <c r="F687" s="759"/>
      <c r="G687" s="603"/>
      <c r="H687" s="165" t="s">
        <v>12</v>
      </c>
      <c r="I687" s="617"/>
      <c r="J687" s="617"/>
      <c r="K687" s="93"/>
      <c r="L687" s="93">
        <f t="shared" ca="1" si="285"/>
        <v>1980</v>
      </c>
      <c r="M687" s="93">
        <f t="shared" ca="1" si="285"/>
        <v>360</v>
      </c>
      <c r="N687" s="93">
        <f t="shared" si="285"/>
        <v>360</v>
      </c>
      <c r="O687" s="93">
        <f t="shared" ca="1" si="283"/>
        <v>18.181818181818183</v>
      </c>
      <c r="P687" s="93">
        <f t="shared" ca="1" si="284"/>
        <v>100</v>
      </c>
      <c r="Q687" s="604"/>
      <c r="R687" s="604"/>
      <c r="S687" s="604"/>
      <c r="T687" s="604"/>
      <c r="U687" s="604"/>
      <c r="V687" s="604"/>
      <c r="W687" s="604"/>
      <c r="X687" s="604"/>
      <c r="Y687" s="604"/>
      <c r="Z687" s="604"/>
    </row>
    <row r="688" spans="1:26" ht="18.75">
      <c r="A688" s="597"/>
      <c r="B688" s="575"/>
      <c r="C688" s="763"/>
      <c r="D688" s="606" t="s">
        <v>20</v>
      </c>
      <c r="E688" s="763"/>
      <c r="F688" s="763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1980</v>
      </c>
      <c r="M688" s="498">
        <f t="shared" ca="1" si="286"/>
        <v>360</v>
      </c>
      <c r="N688" s="498">
        <f t="shared" si="286"/>
        <v>360</v>
      </c>
      <c r="O688" s="498">
        <f t="shared" ca="1" si="283"/>
        <v>18.181818181818183</v>
      </c>
      <c r="P688" s="498">
        <f t="shared" ca="1" si="284"/>
        <v>100</v>
      </c>
      <c r="Q688" s="578"/>
      <c r="R688" s="578"/>
      <c r="S688" s="578"/>
      <c r="T688" s="578"/>
      <c r="U688" s="578"/>
      <c r="V688" s="578"/>
      <c r="W688" s="578"/>
      <c r="X688" s="578"/>
      <c r="Y688" s="578"/>
      <c r="Z688" s="578"/>
    </row>
    <row r="689" spans="1:26" ht="18.75" hidden="1">
      <c r="A689" s="599"/>
      <c r="B689" s="607"/>
      <c r="C689" s="759"/>
      <c r="D689" s="720"/>
      <c r="E689" s="759" t="s">
        <v>185</v>
      </c>
      <c r="F689" s="759"/>
      <c r="G689" s="603"/>
      <c r="H689" s="165" t="s">
        <v>12</v>
      </c>
      <c r="I689" s="617"/>
      <c r="J689" s="617"/>
      <c r="K689" s="93"/>
      <c r="L689" s="93">
        <v>0</v>
      </c>
      <c r="M689" s="93">
        <v>0</v>
      </c>
      <c r="N689" s="93">
        <v>0</v>
      </c>
      <c r="O689" s="93"/>
      <c r="P689" s="93"/>
      <c r="Q689" s="604"/>
      <c r="R689" s="604"/>
      <c r="S689" s="604"/>
      <c r="T689" s="604"/>
      <c r="U689" s="604"/>
      <c r="V689" s="604"/>
      <c r="W689" s="604"/>
      <c r="X689" s="604"/>
      <c r="Y689" s="604"/>
      <c r="Z689" s="604"/>
    </row>
    <row r="690" spans="1:26" ht="18.75" hidden="1">
      <c r="A690" s="599"/>
      <c r="B690" s="607"/>
      <c r="C690" s="759"/>
      <c r="D690" s="720"/>
      <c r="E690" s="759" t="s">
        <v>186</v>
      </c>
      <c r="F690" s="759"/>
      <c r="G690" s="603"/>
      <c r="H690" s="165" t="s">
        <v>12</v>
      </c>
      <c r="I690" s="617"/>
      <c r="J690" s="617"/>
      <c r="K690" s="93"/>
      <c r="L690" s="93">
        <f ca="1">IFERROR(__xludf.DUMMYFUNCTION("IMPORTRANGE(""https://docs.google.com/spreadsheets/d/1QqKyyYR6Q21VydFLVH3TRQUabQu_ym0Zz7PgGX0-kHA/edit?usp=sharing"",""แผน!HW42"")"),1980)</f>
        <v>1980</v>
      </c>
      <c r="M690" s="93">
        <f ca="1">L690-1620</f>
        <v>360</v>
      </c>
      <c r="N690" s="93">
        <f>N691+N692+N693+N694</f>
        <v>360</v>
      </c>
      <c r="O690" s="93">
        <f ca="1">IF(L690&gt;0,N690*100/L690,0)</f>
        <v>18.181818181818183</v>
      </c>
      <c r="P690" s="93">
        <f ca="1">IF(M690&gt;0,N690*100/M690,0)</f>
        <v>100</v>
      </c>
      <c r="Q690" s="604"/>
      <c r="R690" s="604"/>
      <c r="S690" s="604"/>
      <c r="T690" s="604"/>
      <c r="U690" s="604"/>
      <c r="V690" s="604"/>
      <c r="W690" s="604"/>
      <c r="X690" s="604"/>
      <c r="Y690" s="604"/>
      <c r="Z690" s="604"/>
    </row>
    <row r="691" spans="1:26" ht="18.75">
      <c r="A691" s="574"/>
      <c r="B691" s="575"/>
      <c r="C691" s="763"/>
      <c r="D691" s="763"/>
      <c r="E691" s="763"/>
      <c r="F691" s="763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40">
        <v>0</v>
      </c>
      <c r="O691" s="498"/>
      <c r="P691" s="49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</row>
    <row r="692" spans="1:26" ht="18.75">
      <c r="A692" s="574"/>
      <c r="B692" s="575"/>
      <c r="C692" s="763"/>
      <c r="D692" s="763"/>
      <c r="E692" s="763"/>
      <c r="F692" s="763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40">
        <v>0</v>
      </c>
      <c r="O692" s="498"/>
      <c r="P692" s="49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</row>
    <row r="693" spans="1:26" ht="18.75">
      <c r="A693" s="574"/>
      <c r="B693" s="575"/>
      <c r="C693" s="763"/>
      <c r="D693" s="763"/>
      <c r="E693" s="763"/>
      <c r="F693" s="763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40">
        <v>0</v>
      </c>
      <c r="O693" s="498"/>
      <c r="P693" s="49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</row>
    <row r="694" spans="1:26" ht="18.75">
      <c r="A694" s="574"/>
      <c r="B694" s="575"/>
      <c r="C694" s="763"/>
      <c r="D694" s="763"/>
      <c r="E694" s="763"/>
      <c r="F694" s="763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40">
        <v>360</v>
      </c>
      <c r="O694" s="498"/>
      <c r="P694" s="49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</row>
    <row r="695" spans="1:26" ht="18.75">
      <c r="A695" s="597"/>
      <c r="B695" s="575"/>
      <c r="C695" s="763"/>
      <c r="D695" s="606" t="s">
        <v>21</v>
      </c>
      <c r="E695" s="763"/>
      <c r="F695" s="763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</row>
    <row r="696" spans="1:26" ht="18.75" hidden="1">
      <c r="A696" s="599"/>
      <c r="B696" s="607"/>
      <c r="C696" s="759"/>
      <c r="D696" s="759"/>
      <c r="E696" s="759" t="s">
        <v>18</v>
      </c>
      <c r="F696" s="759"/>
      <c r="G696" s="603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4"/>
      <c r="R696" s="604"/>
      <c r="S696" s="604"/>
      <c r="T696" s="604"/>
      <c r="U696" s="604"/>
      <c r="V696" s="604"/>
      <c r="W696" s="604"/>
      <c r="X696" s="604"/>
      <c r="Y696" s="604"/>
      <c r="Z696" s="604"/>
    </row>
    <row r="697" spans="1:26" ht="18.75" hidden="1">
      <c r="A697" s="599"/>
      <c r="B697" s="607"/>
      <c r="C697" s="759"/>
      <c r="D697" s="759"/>
      <c r="E697" s="759" t="s">
        <v>19</v>
      </c>
      <c r="F697" s="759"/>
      <c r="G697" s="603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4"/>
      <c r="R697" s="604"/>
      <c r="S697" s="604"/>
      <c r="T697" s="604"/>
      <c r="U697" s="604"/>
      <c r="V697" s="604"/>
      <c r="W697" s="604"/>
      <c r="X697" s="604"/>
      <c r="Y697" s="604"/>
      <c r="Z697" s="604"/>
    </row>
    <row r="698" spans="1:26" ht="19.5">
      <c r="A698" s="608"/>
      <c r="B698" s="618"/>
      <c r="C698" s="763" t="s">
        <v>16</v>
      </c>
      <c r="D698" s="898" t="s">
        <v>38</v>
      </c>
      <c r="E698" s="761"/>
      <c r="F698" s="761"/>
      <c r="G698" s="613"/>
      <c r="H698" s="762"/>
      <c r="I698" s="184"/>
      <c r="J698" s="184"/>
      <c r="K698" s="163"/>
      <c r="L698" s="163"/>
      <c r="M698" s="163"/>
      <c r="N698" s="163"/>
      <c r="O698" s="163"/>
      <c r="P698" s="163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</row>
    <row r="699" spans="1:26" ht="18.75">
      <c r="A699" s="744"/>
      <c r="B699" s="763"/>
      <c r="C699" s="763"/>
      <c r="D699" s="763" t="s">
        <v>295</v>
      </c>
      <c r="E699" s="763"/>
      <c r="F699" s="763"/>
      <c r="G699" s="189"/>
      <c r="H699" s="764" t="s">
        <v>46</v>
      </c>
      <c r="I699" s="765">
        <f ca="1">IFERROR(__xludf.DUMMYFUNCTION("IMPORTRANGE(""https://docs.google.com/spreadsheets/d/1QqKyyYR6Q21VydFLVH3TRQUabQu_ym0Zz7PgGX0-kHA/edit?usp=sharing"",""แผน!IC42"")"),0)</f>
        <v>0</v>
      </c>
      <c r="J699" s="270">
        <f ca="1">IFERROR(__xludf.DUMMYFUNCTION("IMPORTRANGE(""https://docs.google.com/spreadsheets/d/1XWAQStnk-4SwqDmLtmXYiTMKHgktTP8We1SCoS47DrQ/edit?usp=sharing"",""จัดที่ดิน!BB42"")"),0)</f>
        <v>0</v>
      </c>
      <c r="K699" s="498">
        <f t="shared" ref="K699:K701" ca="1" si="290">IF(I699&gt;0,J699*100/I699,0)</f>
        <v>0</v>
      </c>
      <c r="L699" s="498"/>
      <c r="M699" s="189"/>
      <c r="N699" s="766"/>
      <c r="O699" s="498"/>
      <c r="P699" s="49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</row>
    <row r="700" spans="1:26" ht="18.75">
      <c r="A700" s="744"/>
      <c r="B700" s="763"/>
      <c r="C700" s="763"/>
      <c r="D700" s="763" t="s">
        <v>296</v>
      </c>
      <c r="E700" s="763"/>
      <c r="F700" s="763"/>
      <c r="G700" s="189"/>
      <c r="H700" s="764" t="s">
        <v>35</v>
      </c>
      <c r="I700" s="765">
        <f ca="1">IFERROR(__xludf.DUMMYFUNCTION("IMPORTRANGE(""https://docs.google.com/spreadsheets/d/1QqKyyYR6Q21VydFLVH3TRQUabQu_ym0Zz7PgGX0-kHA/edit?usp=sharing"",""แผน!ID42"")"),0)</f>
        <v>0</v>
      </c>
      <c r="J700" s="270">
        <f ca="1">IFERROR(__xludf.DUMMYFUNCTION("IMPORTRANGE(""https://docs.google.com/spreadsheets/d/1XWAQStnk-4SwqDmLtmXYiTMKHgktTP8We1SCoS47DrQ/edit?usp=sharing"",""จัดที่ดิน!BD42"")"),0)</f>
        <v>0</v>
      </c>
      <c r="K700" s="498">
        <f t="shared" ca="1" si="290"/>
        <v>0</v>
      </c>
      <c r="L700" s="498"/>
      <c r="M700" s="189"/>
      <c r="N700" s="766"/>
      <c r="O700" s="498"/>
      <c r="P700" s="49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</row>
    <row r="701" spans="1:26" ht="19.5">
      <c r="A701" s="744"/>
      <c r="B701" s="763"/>
      <c r="C701" s="763"/>
      <c r="D701" s="763" t="s">
        <v>297</v>
      </c>
      <c r="E701" s="763"/>
      <c r="F701" s="763"/>
      <c r="G701" s="189"/>
      <c r="H701" s="767" t="s">
        <v>46</v>
      </c>
      <c r="I701" s="768">
        <f ca="1">IFERROR(__xludf.DUMMYFUNCTION("IMPORTRANGE(""https://docs.google.com/spreadsheets/d/1QqKyyYR6Q21VydFLVH3TRQUabQu_ym0Zz7PgGX0-kHA/edit?usp=sharing"",""แผน!IE42"")"),14)</f>
        <v>14</v>
      </c>
      <c r="J701" s="681">
        <f>J704+J707</f>
        <v>0</v>
      </c>
      <c r="K701" s="195">
        <f t="shared" ca="1" si="290"/>
        <v>0</v>
      </c>
      <c r="L701" s="498"/>
      <c r="M701" s="189"/>
      <c r="N701" s="766"/>
      <c r="O701" s="498"/>
      <c r="P701" s="49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</row>
    <row r="702" spans="1:26" ht="18.75">
      <c r="A702" s="744"/>
      <c r="B702" s="763"/>
      <c r="C702" s="763"/>
      <c r="D702" s="763"/>
      <c r="E702" s="763" t="s">
        <v>298</v>
      </c>
      <c r="F702" s="763"/>
      <c r="G702" s="189"/>
      <c r="H702" s="764" t="s">
        <v>35</v>
      </c>
      <c r="I702" s="765"/>
      <c r="J702" s="215">
        <v>0</v>
      </c>
      <c r="K702" s="498"/>
      <c r="L702" s="498"/>
      <c r="M702" s="189"/>
      <c r="N702" s="766"/>
      <c r="O702" s="498"/>
      <c r="P702" s="49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</row>
    <row r="703" spans="1:26" ht="18.75">
      <c r="A703" s="744"/>
      <c r="B703" s="763"/>
      <c r="C703" s="763"/>
      <c r="D703" s="763"/>
      <c r="E703" s="763"/>
      <c r="F703" s="763"/>
      <c r="G703" s="189"/>
      <c r="H703" s="764" t="s">
        <v>34</v>
      </c>
      <c r="I703" s="765"/>
      <c r="J703" s="215">
        <v>0</v>
      </c>
      <c r="K703" s="498"/>
      <c r="L703" s="498"/>
      <c r="M703" s="189"/>
      <c r="N703" s="766"/>
      <c r="O703" s="498"/>
      <c r="P703" s="49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</row>
    <row r="704" spans="1:26" ht="18.75">
      <c r="A704" s="744"/>
      <c r="B704" s="763"/>
      <c r="C704" s="763"/>
      <c r="D704" s="763"/>
      <c r="E704" s="763"/>
      <c r="F704" s="763"/>
      <c r="G704" s="189"/>
      <c r="H704" s="764" t="s">
        <v>46</v>
      </c>
      <c r="I704" s="765">
        <f ca="1">IFERROR(__xludf.DUMMYFUNCTION("IMPORTRANGE(""https://docs.google.com/spreadsheets/d/1QqKyyYR6Q21VydFLVH3TRQUabQu_ym0Zz7PgGX0-kHA/edit?usp=sharing"",""แผน!IF42"")"),14)</f>
        <v>14</v>
      </c>
      <c r="J704" s="215">
        <v>0</v>
      </c>
      <c r="K704" s="498"/>
      <c r="L704" s="498"/>
      <c r="M704" s="189"/>
      <c r="N704" s="766"/>
      <c r="O704" s="498"/>
      <c r="P704" s="49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</row>
    <row r="705" spans="1:26" ht="18.75">
      <c r="A705" s="744"/>
      <c r="B705" s="763"/>
      <c r="C705" s="763"/>
      <c r="D705" s="763"/>
      <c r="E705" s="763" t="s">
        <v>299</v>
      </c>
      <c r="F705" s="763"/>
      <c r="G705" s="189"/>
      <c r="H705" s="764" t="s">
        <v>35</v>
      </c>
      <c r="I705" s="765"/>
      <c r="J705" s="215">
        <v>0</v>
      </c>
      <c r="K705" s="498"/>
      <c r="L705" s="498"/>
      <c r="M705" s="189"/>
      <c r="N705" s="766"/>
      <c r="O705" s="498"/>
      <c r="P705" s="49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</row>
    <row r="706" spans="1:26" ht="18.75">
      <c r="A706" s="744"/>
      <c r="B706" s="763"/>
      <c r="C706" s="763"/>
      <c r="D706" s="763"/>
      <c r="E706" s="763"/>
      <c r="F706" s="763"/>
      <c r="G706" s="189"/>
      <c r="H706" s="764" t="s">
        <v>34</v>
      </c>
      <c r="I706" s="765"/>
      <c r="J706" s="215">
        <v>0</v>
      </c>
      <c r="K706" s="498"/>
      <c r="L706" s="498"/>
      <c r="M706" s="189"/>
      <c r="N706" s="766"/>
      <c r="O706" s="498"/>
      <c r="P706" s="49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</row>
    <row r="707" spans="1:26" ht="18.75">
      <c r="A707" s="744"/>
      <c r="B707" s="763"/>
      <c r="C707" s="763"/>
      <c r="D707" s="763"/>
      <c r="E707" s="763"/>
      <c r="F707" s="763"/>
      <c r="G707" s="189"/>
      <c r="H707" s="764" t="s">
        <v>46</v>
      </c>
      <c r="I707" s="765">
        <f ca="1">IFERROR(__xludf.DUMMYFUNCTION("IMPORTRANGE(""https://docs.google.com/spreadsheets/d/1QqKyyYR6Q21VydFLVH3TRQUabQu_ym0Zz7PgGX0-kHA/edit?usp=sharing"",""แผน!IG42"")"),0)</f>
        <v>0</v>
      </c>
      <c r="J707" s="215">
        <v>0</v>
      </c>
      <c r="K707" s="498"/>
      <c r="L707" s="498"/>
      <c r="M707" s="189"/>
      <c r="N707" s="766"/>
      <c r="O707" s="498"/>
      <c r="P707" s="49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</row>
    <row r="708" spans="1:26" ht="19.5">
      <c r="A708" s="744"/>
      <c r="B708" s="763"/>
      <c r="C708" s="763"/>
      <c r="D708" s="769" t="s">
        <v>300</v>
      </c>
      <c r="E708" s="763"/>
      <c r="F708" s="763"/>
      <c r="G708" s="189"/>
      <c r="H708" s="767" t="s">
        <v>46</v>
      </c>
      <c r="I708" s="768">
        <f ca="1">IFERROR(__xludf.DUMMYFUNCTION("IMPORTRANGE(""https://docs.google.com/spreadsheets/d/1QqKyyYR6Q21VydFLVH3TRQUabQu_ym0Zz7PgGX0-kHA/edit?usp=sharing"",""แผน!IH42"")"),14)</f>
        <v>14</v>
      </c>
      <c r="J708" s="681">
        <f>J714+J717</f>
        <v>14</v>
      </c>
      <c r="K708" s="195">
        <f ca="1">IF(I708&gt;0,J708*100/I708,0)</f>
        <v>100</v>
      </c>
      <c r="L708" s="498"/>
      <c r="M708" s="189"/>
      <c r="N708" s="766"/>
      <c r="O708" s="498"/>
      <c r="P708" s="49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</row>
    <row r="709" spans="1:26" ht="18.75">
      <c r="A709" s="744"/>
      <c r="B709" s="763"/>
      <c r="C709" s="763"/>
      <c r="D709" s="763"/>
      <c r="E709" s="763" t="s">
        <v>301</v>
      </c>
      <c r="F709" s="763"/>
      <c r="G709" s="189"/>
      <c r="H709" s="764" t="s">
        <v>34</v>
      </c>
      <c r="I709" s="765"/>
      <c r="J709" s="215">
        <v>1</v>
      </c>
      <c r="K709" s="498"/>
      <c r="L709" s="766"/>
      <c r="M709" s="189"/>
      <c r="N709" s="766"/>
      <c r="O709" s="498"/>
      <c r="P709" s="49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</row>
    <row r="710" spans="1:26" ht="18.75">
      <c r="A710" s="744"/>
      <c r="B710" s="763"/>
      <c r="C710" s="763"/>
      <c r="D710" s="763"/>
      <c r="E710" s="763"/>
      <c r="F710" s="763"/>
      <c r="G710" s="189"/>
      <c r="H710" s="764" t="s">
        <v>46</v>
      </c>
      <c r="I710" s="765"/>
      <c r="J710" s="215">
        <v>14</v>
      </c>
      <c r="K710" s="498"/>
      <c r="L710" s="766"/>
      <c r="M710" s="189"/>
      <c r="N710" s="766"/>
      <c r="O710" s="498"/>
      <c r="P710" s="49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</row>
    <row r="711" spans="1:26" ht="18.75">
      <c r="A711" s="744"/>
      <c r="B711" s="763"/>
      <c r="C711" s="763"/>
      <c r="D711" s="763"/>
      <c r="E711" s="763" t="s">
        <v>302</v>
      </c>
      <c r="F711" s="763"/>
      <c r="G711" s="189"/>
      <c r="H711" s="762"/>
      <c r="I711" s="765"/>
      <c r="J711" s="270"/>
      <c r="K711" s="498"/>
      <c r="L711" s="766"/>
      <c r="M711" s="189"/>
      <c r="N711" s="766"/>
      <c r="O711" s="498"/>
      <c r="P711" s="49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</row>
    <row r="712" spans="1:26" ht="18.75">
      <c r="A712" s="744"/>
      <c r="B712" s="763"/>
      <c r="C712" s="763"/>
      <c r="D712" s="763"/>
      <c r="E712" s="763"/>
      <c r="F712" s="763" t="s">
        <v>303</v>
      </c>
      <c r="G712" s="189"/>
      <c r="H712" s="764" t="s">
        <v>35</v>
      </c>
      <c r="I712" s="765"/>
      <c r="J712" s="215">
        <v>2</v>
      </c>
      <c r="K712" s="498"/>
      <c r="L712" s="766"/>
      <c r="M712" s="189"/>
      <c r="N712" s="766"/>
      <c r="O712" s="498"/>
      <c r="P712" s="49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</row>
    <row r="713" spans="1:26" ht="18.75">
      <c r="A713" s="744"/>
      <c r="B713" s="763"/>
      <c r="C713" s="763"/>
      <c r="D713" s="763"/>
      <c r="E713" s="763"/>
      <c r="F713" s="763"/>
      <c r="G713" s="189"/>
      <c r="H713" s="764" t="s">
        <v>34</v>
      </c>
      <c r="I713" s="765"/>
      <c r="J713" s="215">
        <v>2</v>
      </c>
      <c r="K713" s="498"/>
      <c r="L713" s="766"/>
      <c r="M713" s="189"/>
      <c r="N713" s="766"/>
      <c r="O713" s="498"/>
      <c r="P713" s="49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</row>
    <row r="714" spans="1:26" ht="18.75">
      <c r="A714" s="744"/>
      <c r="B714" s="763"/>
      <c r="C714" s="763"/>
      <c r="D714" s="763"/>
      <c r="E714" s="763"/>
      <c r="F714" s="763"/>
      <c r="G714" s="189"/>
      <c r="H714" s="764" t="s">
        <v>46</v>
      </c>
      <c r="I714" s="765"/>
      <c r="J714" s="215">
        <v>14</v>
      </c>
      <c r="K714" s="498"/>
      <c r="L714" s="766"/>
      <c r="M714" s="189"/>
      <c r="N714" s="766"/>
      <c r="O714" s="498"/>
      <c r="P714" s="49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</row>
    <row r="715" spans="1:26" ht="18.75">
      <c r="A715" s="744"/>
      <c r="B715" s="763"/>
      <c r="C715" s="763"/>
      <c r="D715" s="763"/>
      <c r="E715" s="763"/>
      <c r="F715" s="763" t="s">
        <v>304</v>
      </c>
      <c r="G715" s="189"/>
      <c r="H715" s="764" t="s">
        <v>35</v>
      </c>
      <c r="I715" s="765"/>
      <c r="J715" s="215">
        <v>0</v>
      </c>
      <c r="K715" s="498"/>
      <c r="L715" s="766"/>
      <c r="M715" s="189"/>
      <c r="N715" s="766"/>
      <c r="O715" s="498"/>
      <c r="P715" s="49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</row>
    <row r="716" spans="1:26" ht="18.75">
      <c r="A716" s="744"/>
      <c r="B716" s="763"/>
      <c r="C716" s="763"/>
      <c r="D716" s="763"/>
      <c r="E716" s="763"/>
      <c r="F716" s="763"/>
      <c r="G716" s="189"/>
      <c r="H716" s="764" t="s">
        <v>34</v>
      </c>
      <c r="I716" s="765"/>
      <c r="J716" s="215">
        <v>0</v>
      </c>
      <c r="K716" s="498"/>
      <c r="L716" s="766"/>
      <c r="M716" s="189"/>
      <c r="N716" s="766"/>
      <c r="O716" s="498"/>
      <c r="P716" s="49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</row>
    <row r="717" spans="1:26" ht="18.75">
      <c r="A717" s="744"/>
      <c r="B717" s="763"/>
      <c r="C717" s="763"/>
      <c r="D717" s="763"/>
      <c r="E717" s="763"/>
      <c r="F717" s="763"/>
      <c r="G717" s="189"/>
      <c r="H717" s="764" t="s">
        <v>46</v>
      </c>
      <c r="I717" s="765"/>
      <c r="J717" s="215">
        <v>0</v>
      </c>
      <c r="K717" s="498"/>
      <c r="L717" s="766"/>
      <c r="M717" s="189"/>
      <c r="N717" s="766"/>
      <c r="O717" s="498"/>
      <c r="P717" s="49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</row>
    <row r="718" spans="1:26" ht="18.75">
      <c r="A718" s="744"/>
      <c r="B718" s="763"/>
      <c r="C718" s="763"/>
      <c r="D718" s="763" t="s">
        <v>305</v>
      </c>
      <c r="E718" s="763"/>
      <c r="F718" s="763"/>
      <c r="G718" s="189"/>
      <c r="H718" s="764" t="s">
        <v>35</v>
      </c>
      <c r="I718" s="765"/>
      <c r="J718" s="270">
        <f ca="1">IFERROR(__xludf.DUMMYFUNCTION("IMPORTRANGE(""https://docs.google.com/spreadsheets/d/1XWAQStnk-4SwqDmLtmXYiTMKHgktTP8We1SCoS47DrQ/edit?usp=sharing"",""จัดที่ดิน!BF42"")"),0)</f>
        <v>0</v>
      </c>
      <c r="K718" s="498"/>
      <c r="L718" s="498"/>
      <c r="M718" s="189"/>
      <c r="N718" s="766"/>
      <c r="O718" s="498"/>
      <c r="P718" s="49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</row>
    <row r="719" spans="1:26" ht="18.75">
      <c r="A719" s="744"/>
      <c r="B719" s="763"/>
      <c r="C719" s="763"/>
      <c r="D719" s="763"/>
      <c r="E719" s="763"/>
      <c r="F719" s="763"/>
      <c r="G719" s="189"/>
      <c r="H719" s="764" t="s">
        <v>34</v>
      </c>
      <c r="I719" s="765"/>
      <c r="J719" s="270">
        <f ca="1">IFERROR(__xludf.DUMMYFUNCTION("IMPORTRANGE(""https://docs.google.com/spreadsheets/d/1XWAQStnk-4SwqDmLtmXYiTMKHgktTP8We1SCoS47DrQ/edit?usp=sharing"",""จัดที่ดิน!BG42"")"),0)</f>
        <v>0</v>
      </c>
      <c r="K719" s="498"/>
      <c r="L719" s="766"/>
      <c r="M719" s="189"/>
      <c r="N719" s="766"/>
      <c r="O719" s="498"/>
      <c r="P719" s="49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</row>
    <row r="720" spans="1:26" ht="18.75">
      <c r="A720" s="744"/>
      <c r="B720" s="763"/>
      <c r="C720" s="763"/>
      <c r="D720" s="763"/>
      <c r="E720" s="763"/>
      <c r="F720" s="763"/>
      <c r="G720" s="189"/>
      <c r="H720" s="764" t="s">
        <v>46</v>
      </c>
      <c r="I720" s="765">
        <f ca="1">IFERROR(__xludf.DUMMYFUNCTION("IMPORTRANGE(""https://docs.google.com/spreadsheets/d/1QqKyyYR6Q21VydFLVH3TRQUabQu_ym0Zz7PgGX0-kHA/edit?usp=sharing"",""แผน!II42"")"),14)</f>
        <v>14</v>
      </c>
      <c r="J720" s="270">
        <f ca="1">IFERROR(__xludf.DUMMYFUNCTION("IMPORTRANGE(""https://docs.google.com/spreadsheets/d/1XWAQStnk-4SwqDmLtmXYiTMKHgktTP8We1SCoS47DrQ/edit?usp=sharing"",""จัดที่ดิน!BH42"")"),0)</f>
        <v>0</v>
      </c>
      <c r="K720" s="498">
        <f t="shared" ref="K720:K723" ca="1" si="291">IF(I720&gt;0,J720*100/I720,0)</f>
        <v>0</v>
      </c>
      <c r="L720" s="766"/>
      <c r="M720" s="189"/>
      <c r="N720" s="766"/>
      <c r="O720" s="498"/>
      <c r="P720" s="49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</row>
    <row r="721" spans="1:26" ht="19.5">
      <c r="A721" s="744"/>
      <c r="B721" s="763"/>
      <c r="C721" s="763"/>
      <c r="D721" s="763" t="s">
        <v>306</v>
      </c>
      <c r="E721" s="763"/>
      <c r="F721" s="763"/>
      <c r="G721" s="189"/>
      <c r="H721" s="767" t="s">
        <v>35</v>
      </c>
      <c r="I721" s="768">
        <f ca="1">IFERROR(__xludf.DUMMYFUNCTION("IMPORTRANGE(""https://docs.google.com/spreadsheets/d/1QqKyyYR6Q21VydFLVH3TRQUabQu_ym0Zz7PgGX0-kHA/edit?usp=sharing"",""แผน!IJ42"")"),0)</f>
        <v>0</v>
      </c>
      <c r="J721" s="681">
        <f ca="1">J723+J726</f>
        <v>0</v>
      </c>
      <c r="K721" s="195">
        <f t="shared" ca="1" si="291"/>
        <v>0</v>
      </c>
      <c r="L721" s="766"/>
      <c r="M721" s="189"/>
      <c r="N721" s="766"/>
      <c r="O721" s="498"/>
      <c r="P721" s="49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</row>
    <row r="722" spans="1:26" ht="19.5">
      <c r="A722" s="744"/>
      <c r="B722" s="763"/>
      <c r="C722" s="763"/>
      <c r="D722" s="763"/>
      <c r="E722" s="763"/>
      <c r="F722" s="763"/>
      <c r="G722" s="189"/>
      <c r="H722" s="767" t="s">
        <v>46</v>
      </c>
      <c r="I722" s="768">
        <f ca="1">IFERROR(__xludf.DUMMYFUNCTION("IMPORTRANGE(""https://docs.google.com/spreadsheets/d/1QqKyyYR6Q21VydFLVH3TRQUabQu_ym0Zz7PgGX0-kHA/edit?usp=sharing"",""แผน!IK42"")"),0)</f>
        <v>0</v>
      </c>
      <c r="J722" s="681">
        <f ca="1">J725+J728</f>
        <v>0</v>
      </c>
      <c r="K722" s="195">
        <f t="shared" ca="1" si="291"/>
        <v>0</v>
      </c>
      <c r="L722" s="498"/>
      <c r="M722" s="189"/>
      <c r="N722" s="766"/>
      <c r="O722" s="498"/>
      <c r="P722" s="49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</row>
    <row r="723" spans="1:26" ht="18.75">
      <c r="A723" s="744"/>
      <c r="B723" s="763"/>
      <c r="C723" s="763"/>
      <c r="D723" s="763"/>
      <c r="E723" s="763" t="s">
        <v>307</v>
      </c>
      <c r="F723" s="763"/>
      <c r="G723" s="189"/>
      <c r="H723" s="764" t="s">
        <v>35</v>
      </c>
      <c r="I723" s="765">
        <f ca="1">IFERROR(__xludf.DUMMYFUNCTION("IMPORTRANGE(""https://docs.google.com/spreadsheets/d/1QqKyyYR6Q21VydFLVH3TRQUabQu_ym0Zz7PgGX0-kHA/edit?usp=sharing"",""แผน!IL42"")"),0)</f>
        <v>0</v>
      </c>
      <c r="J723" s="270">
        <f ca="1">IFERROR(__xludf.DUMMYFUNCTION("IMPORTRANGE(""https://docs.google.com/spreadsheets/d/1XWAQStnk-4SwqDmLtmXYiTMKHgktTP8We1SCoS47DrQ/edit?usp=sharing"",""จัดที่ดิน!BM42"")"),0)</f>
        <v>0</v>
      </c>
      <c r="K723" s="498">
        <f t="shared" ca="1" si="291"/>
        <v>0</v>
      </c>
      <c r="L723" s="498"/>
      <c r="M723" s="189"/>
      <c r="N723" s="766"/>
      <c r="O723" s="498"/>
      <c r="P723" s="49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</row>
    <row r="724" spans="1:26" ht="18.75">
      <c r="A724" s="744"/>
      <c r="B724" s="763"/>
      <c r="C724" s="763"/>
      <c r="D724" s="763"/>
      <c r="E724" s="763"/>
      <c r="F724" s="763"/>
      <c r="G724" s="189"/>
      <c r="H724" s="764" t="s">
        <v>34</v>
      </c>
      <c r="I724" s="765"/>
      <c r="J724" s="270">
        <f ca="1">IFERROR(__xludf.DUMMYFUNCTION("IMPORTRANGE(""https://docs.google.com/spreadsheets/d/1XWAQStnk-4SwqDmLtmXYiTMKHgktTP8We1SCoS47DrQ/edit?usp=sharing"",""จัดที่ดิน!BN42"")"),0)</f>
        <v>0</v>
      </c>
      <c r="K724" s="498"/>
      <c r="L724" s="766"/>
      <c r="M724" s="189"/>
      <c r="N724" s="766"/>
      <c r="O724" s="498"/>
      <c r="P724" s="49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</row>
    <row r="725" spans="1:26" ht="18.75">
      <c r="A725" s="744"/>
      <c r="B725" s="763"/>
      <c r="C725" s="763"/>
      <c r="D725" s="763"/>
      <c r="E725" s="763"/>
      <c r="F725" s="763"/>
      <c r="G725" s="189"/>
      <c r="H725" s="764" t="s">
        <v>46</v>
      </c>
      <c r="I725" s="765">
        <f ca="1">IFERROR(__xludf.DUMMYFUNCTION("IMPORTRANGE(""https://docs.google.com/spreadsheets/d/1QqKyyYR6Q21VydFLVH3TRQUabQu_ym0Zz7PgGX0-kHA/edit?usp=sharing"",""แผน!IM42"")"),0)</f>
        <v>0</v>
      </c>
      <c r="J725" s="270">
        <f ca="1">IFERROR(__xludf.DUMMYFUNCTION("IMPORTRANGE(""https://docs.google.com/spreadsheets/d/1XWAQStnk-4SwqDmLtmXYiTMKHgktTP8We1SCoS47DrQ/edit?usp=sharing"",""จัดที่ดิน!BO42"")"),0)</f>
        <v>0</v>
      </c>
      <c r="K725" s="498">
        <f t="shared" ref="K725:K726" ca="1" si="292">IF(I725&gt;0,J725*100/I725,0)</f>
        <v>0</v>
      </c>
      <c r="L725" s="766"/>
      <c r="M725" s="189"/>
      <c r="N725" s="766"/>
      <c r="O725" s="498"/>
      <c r="P725" s="49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</row>
    <row r="726" spans="1:26" ht="18.75">
      <c r="A726" s="744"/>
      <c r="B726" s="763"/>
      <c r="C726" s="763"/>
      <c r="D726" s="763"/>
      <c r="E726" s="763" t="s">
        <v>308</v>
      </c>
      <c r="F726" s="763"/>
      <c r="G726" s="189"/>
      <c r="H726" s="764" t="s">
        <v>35</v>
      </c>
      <c r="I726" s="765">
        <f ca="1">IFERROR(__xludf.DUMMYFUNCTION("IMPORTRANGE(""https://docs.google.com/spreadsheets/d/1QqKyyYR6Q21VydFLVH3TRQUabQu_ym0Zz7PgGX0-kHA/edit?usp=sharing"",""แผน!IN42"")"),0)</f>
        <v>0</v>
      </c>
      <c r="J726" s="270">
        <f ca="1">IFERROR(__xludf.DUMMYFUNCTION("IMPORTRANGE(""https://docs.google.com/spreadsheets/d/1XWAQStnk-4SwqDmLtmXYiTMKHgktTP8We1SCoS47DrQ/edit?usp=sharing"",""จัดที่ดิน!BR42"")"),0)</f>
        <v>0</v>
      </c>
      <c r="K726" s="498">
        <f t="shared" ca="1" si="292"/>
        <v>0</v>
      </c>
      <c r="L726" s="498"/>
      <c r="M726" s="189"/>
      <c r="N726" s="766"/>
      <c r="O726" s="498"/>
      <c r="P726" s="49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</row>
    <row r="727" spans="1:26" ht="18.75">
      <c r="A727" s="744"/>
      <c r="B727" s="763"/>
      <c r="C727" s="763"/>
      <c r="D727" s="763"/>
      <c r="E727" s="763"/>
      <c r="F727" s="763"/>
      <c r="G727" s="189"/>
      <c r="H727" s="764" t="s">
        <v>34</v>
      </c>
      <c r="I727" s="765"/>
      <c r="J727" s="270">
        <f ca="1">IFERROR(__xludf.DUMMYFUNCTION("IMPORTRANGE(""https://docs.google.com/spreadsheets/d/1XWAQStnk-4SwqDmLtmXYiTMKHgktTP8We1SCoS47DrQ/edit?usp=sharing"",""จัดที่ดิน!BS42"")"),0)</f>
        <v>0</v>
      </c>
      <c r="K727" s="498"/>
      <c r="L727" s="766"/>
      <c r="M727" s="189"/>
      <c r="N727" s="766"/>
      <c r="O727" s="498"/>
      <c r="P727" s="49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</row>
    <row r="728" spans="1:26" ht="18.75">
      <c r="A728" s="744"/>
      <c r="B728" s="763"/>
      <c r="C728" s="763"/>
      <c r="D728" s="763"/>
      <c r="E728" s="763"/>
      <c r="F728" s="763"/>
      <c r="G728" s="189"/>
      <c r="H728" s="764" t="s">
        <v>46</v>
      </c>
      <c r="I728" s="765">
        <f ca="1">IFERROR(__xludf.DUMMYFUNCTION("IMPORTRANGE(""https://docs.google.com/spreadsheets/d/1QqKyyYR6Q21VydFLVH3TRQUabQu_ym0Zz7PgGX0-kHA/edit?usp=sharing"",""แผน!IO42"")"),0)</f>
        <v>0</v>
      </c>
      <c r="J728" s="270">
        <f ca="1">IFERROR(__xludf.DUMMYFUNCTION("IMPORTRANGE(""https://docs.google.com/spreadsheets/d/1XWAQStnk-4SwqDmLtmXYiTMKHgktTP8We1SCoS47DrQ/edit?usp=sharing"",""จัดที่ดิน!BT42"")"),0)</f>
        <v>0</v>
      </c>
      <c r="K728" s="498">
        <f t="shared" ref="K728:K729" ca="1" si="293">IF(I728&gt;0,J728*100/I728,0)</f>
        <v>0</v>
      </c>
      <c r="L728" s="766"/>
      <c r="M728" s="189"/>
      <c r="N728" s="766"/>
      <c r="O728" s="498"/>
      <c r="P728" s="49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</row>
    <row r="729" spans="1:26" ht="19.5">
      <c r="A729" s="744"/>
      <c r="B729" s="763"/>
      <c r="C729" s="763"/>
      <c r="D729" s="763" t="s">
        <v>309</v>
      </c>
      <c r="E729" s="763"/>
      <c r="F729" s="763"/>
      <c r="G729" s="189"/>
      <c r="H729" s="767" t="s">
        <v>46</v>
      </c>
      <c r="I729" s="768">
        <f ca="1">IFERROR(__xludf.DUMMYFUNCTION("IMPORTRANGE(""https://docs.google.com/spreadsheets/d/1QqKyyYR6Q21VydFLVH3TRQUabQu_ym0Zz7PgGX0-kHA/edit?usp=sharing"",""แผน!IP42"")"),0)</f>
        <v>0</v>
      </c>
      <c r="J729" s="681">
        <f>J732+J735</f>
        <v>0</v>
      </c>
      <c r="K729" s="195">
        <f t="shared" ca="1" si="293"/>
        <v>0</v>
      </c>
      <c r="L729" s="498"/>
      <c r="M729" s="189"/>
      <c r="N729" s="766"/>
      <c r="O729" s="498"/>
      <c r="P729" s="49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</row>
    <row r="730" spans="1:26" ht="18.75">
      <c r="A730" s="744"/>
      <c r="B730" s="763"/>
      <c r="C730" s="763"/>
      <c r="D730" s="763"/>
      <c r="E730" s="763" t="s">
        <v>310</v>
      </c>
      <c r="F730" s="763"/>
      <c r="G730" s="189"/>
      <c r="H730" s="764" t="s">
        <v>35</v>
      </c>
      <c r="I730" s="765"/>
      <c r="J730" s="215">
        <v>0</v>
      </c>
      <c r="K730" s="498"/>
      <c r="L730" s="766"/>
      <c r="M730" s="498"/>
      <c r="N730" s="766"/>
      <c r="O730" s="498"/>
      <c r="P730" s="49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</row>
    <row r="731" spans="1:26" ht="18.75">
      <c r="A731" s="744"/>
      <c r="B731" s="763"/>
      <c r="C731" s="763"/>
      <c r="D731" s="763"/>
      <c r="E731" s="763"/>
      <c r="F731" s="763"/>
      <c r="G731" s="189"/>
      <c r="H731" s="764" t="s">
        <v>34</v>
      </c>
      <c r="I731" s="765"/>
      <c r="J731" s="215">
        <v>0</v>
      </c>
      <c r="K731" s="498"/>
      <c r="L731" s="766"/>
      <c r="M731" s="498"/>
      <c r="N731" s="766"/>
      <c r="O731" s="498"/>
      <c r="P731" s="49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</row>
    <row r="732" spans="1:26" ht="18.75">
      <c r="A732" s="744"/>
      <c r="B732" s="763"/>
      <c r="C732" s="763"/>
      <c r="D732" s="763"/>
      <c r="E732" s="763"/>
      <c r="F732" s="763"/>
      <c r="G732" s="189"/>
      <c r="H732" s="764" t="s">
        <v>46</v>
      </c>
      <c r="I732" s="765"/>
      <c r="J732" s="215">
        <v>0</v>
      </c>
      <c r="K732" s="498"/>
      <c r="L732" s="766"/>
      <c r="M732" s="498"/>
      <c r="N732" s="766"/>
      <c r="O732" s="498"/>
      <c r="P732" s="49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</row>
    <row r="733" spans="1:26" ht="18.75">
      <c r="A733" s="744"/>
      <c r="B733" s="763"/>
      <c r="C733" s="763"/>
      <c r="D733" s="763"/>
      <c r="E733" s="763" t="s">
        <v>311</v>
      </c>
      <c r="F733" s="763"/>
      <c r="G733" s="189"/>
      <c r="H733" s="764" t="s">
        <v>35</v>
      </c>
      <c r="I733" s="765"/>
      <c r="J733" s="215">
        <v>0</v>
      </c>
      <c r="K733" s="498"/>
      <c r="L733" s="766"/>
      <c r="M733" s="498"/>
      <c r="N733" s="766"/>
      <c r="O733" s="498"/>
      <c r="P733" s="49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</row>
    <row r="734" spans="1:26" ht="18.75">
      <c r="A734" s="744"/>
      <c r="B734" s="763"/>
      <c r="C734" s="763"/>
      <c r="D734" s="763"/>
      <c r="E734" s="763"/>
      <c r="F734" s="763"/>
      <c r="G734" s="189"/>
      <c r="H734" s="764" t="s">
        <v>34</v>
      </c>
      <c r="I734" s="765"/>
      <c r="J734" s="215">
        <v>0</v>
      </c>
      <c r="K734" s="498"/>
      <c r="L734" s="766"/>
      <c r="M734" s="498"/>
      <c r="N734" s="766"/>
      <c r="O734" s="498"/>
      <c r="P734" s="49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</row>
    <row r="735" spans="1:26" ht="19.5">
      <c r="A735" s="770"/>
      <c r="B735" s="771" t="s">
        <v>312</v>
      </c>
      <c r="C735" s="734"/>
      <c r="D735" s="734"/>
      <c r="E735" s="734"/>
      <c r="F735" s="734"/>
      <c r="G735" s="735"/>
      <c r="H735" s="422" t="s">
        <v>46</v>
      </c>
      <c r="I735" s="772"/>
      <c r="J735" s="424">
        <v>0</v>
      </c>
      <c r="K735" s="507"/>
      <c r="L735" s="773"/>
      <c r="M735" s="507"/>
      <c r="N735" s="773"/>
      <c r="O735" s="507"/>
      <c r="P735" s="507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</row>
    <row r="736" spans="1:26" ht="19.5" hidden="1">
      <c r="A736" s="774">
        <v>9</v>
      </c>
      <c r="B736" s="775" t="s">
        <v>313</v>
      </c>
      <c r="C736" s="776"/>
      <c r="D736" s="776"/>
      <c r="E736" s="776"/>
      <c r="F736" s="776"/>
      <c r="G736" s="777"/>
      <c r="H736" s="778" t="s">
        <v>46</v>
      </c>
      <c r="I736" s="779"/>
      <c r="J736" s="779">
        <f>J751</f>
        <v>0</v>
      </c>
      <c r="K736" s="780">
        <f>IF(I736&gt;0,J736*100/I736,0)</f>
        <v>0</v>
      </c>
      <c r="L736" s="781"/>
      <c r="M736" s="781"/>
      <c r="N736" s="781"/>
      <c r="O736" s="781"/>
      <c r="P736" s="781"/>
      <c r="Q736" s="604"/>
      <c r="R736" s="604"/>
      <c r="S736" s="604"/>
      <c r="T736" s="604"/>
      <c r="U736" s="604"/>
      <c r="V736" s="604"/>
      <c r="W736" s="604"/>
      <c r="X736" s="604"/>
      <c r="Y736" s="604"/>
      <c r="Z736" s="604"/>
    </row>
    <row r="737" spans="1:26" ht="19.5" hidden="1">
      <c r="A737" s="599"/>
      <c r="B737" s="759"/>
      <c r="C737" s="759" t="s">
        <v>16</v>
      </c>
      <c r="D737" s="864" t="s">
        <v>17</v>
      </c>
      <c r="E737" s="857"/>
      <c r="F737" s="857"/>
      <c r="G737" s="603"/>
      <c r="H737" s="646" t="s">
        <v>12</v>
      </c>
      <c r="I737" s="617"/>
      <c r="J737" s="617"/>
      <c r="K737" s="93"/>
      <c r="L737" s="647">
        <f t="shared" ref="L737:N737" si="294">L738+L739</f>
        <v>0</v>
      </c>
      <c r="M737" s="647">
        <f t="shared" si="294"/>
        <v>0</v>
      </c>
      <c r="N737" s="647">
        <f t="shared" si="294"/>
        <v>0</v>
      </c>
      <c r="O737" s="647">
        <f t="shared" ref="O737:O742" si="295">IF(L737&gt;0,N737*100/L737,0)</f>
        <v>0</v>
      </c>
      <c r="P737" s="647">
        <f t="shared" ref="P737:P742" si="296">IF(M737&gt;0,N737*100/M737,0)</f>
        <v>0</v>
      </c>
      <c r="Q737" s="604"/>
      <c r="R737" s="604"/>
      <c r="S737" s="604"/>
      <c r="T737" s="604"/>
      <c r="U737" s="604"/>
      <c r="V737" s="604"/>
      <c r="W737" s="604"/>
      <c r="X737" s="604"/>
      <c r="Y737" s="604"/>
      <c r="Z737" s="604"/>
    </row>
    <row r="738" spans="1:26" ht="18.75" hidden="1">
      <c r="A738" s="599"/>
      <c r="B738" s="759"/>
      <c r="C738" s="759"/>
      <c r="D738" s="720"/>
      <c r="E738" s="759" t="s">
        <v>185</v>
      </c>
      <c r="F738" s="759"/>
      <c r="G738" s="603"/>
      <c r="H738" s="165" t="s">
        <v>12</v>
      </c>
      <c r="I738" s="617"/>
      <c r="J738" s="617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4"/>
      <c r="R738" s="604"/>
      <c r="S738" s="604"/>
      <c r="T738" s="604"/>
      <c r="U738" s="604"/>
      <c r="V738" s="604"/>
      <c r="W738" s="604"/>
      <c r="X738" s="604"/>
      <c r="Y738" s="604"/>
      <c r="Z738" s="604"/>
    </row>
    <row r="739" spans="1:26" ht="18.75" hidden="1">
      <c r="A739" s="599"/>
      <c r="B739" s="607"/>
      <c r="C739" s="759"/>
      <c r="D739" s="720"/>
      <c r="E739" s="759" t="s">
        <v>186</v>
      </c>
      <c r="F739" s="759"/>
      <c r="G739" s="603"/>
      <c r="H739" s="165" t="s">
        <v>12</v>
      </c>
      <c r="I739" s="617"/>
      <c r="J739" s="617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4"/>
      <c r="R739" s="604"/>
      <c r="S739" s="604"/>
      <c r="T739" s="604"/>
      <c r="U739" s="604"/>
      <c r="V739" s="604"/>
      <c r="W739" s="604"/>
      <c r="X739" s="604"/>
      <c r="Y739" s="604"/>
      <c r="Z739" s="604"/>
    </row>
    <row r="740" spans="1:26" ht="19.5" hidden="1">
      <c r="A740" s="599"/>
      <c r="B740" s="607"/>
      <c r="C740" s="759"/>
      <c r="D740" s="645" t="s">
        <v>20</v>
      </c>
      <c r="E740" s="759"/>
      <c r="F740" s="759"/>
      <c r="G740" s="603"/>
      <c r="H740" s="646" t="s">
        <v>12</v>
      </c>
      <c r="I740" s="166"/>
      <c r="J740" s="166"/>
      <c r="K740" s="167"/>
      <c r="L740" s="647">
        <f t="shared" ref="L740:N740" si="298">L741+L742</f>
        <v>0</v>
      </c>
      <c r="M740" s="647">
        <f t="shared" si="298"/>
        <v>0</v>
      </c>
      <c r="N740" s="647">
        <f t="shared" si="298"/>
        <v>0</v>
      </c>
      <c r="O740" s="647">
        <f t="shared" si="295"/>
        <v>0</v>
      </c>
      <c r="P740" s="647">
        <f t="shared" si="296"/>
        <v>0</v>
      </c>
      <c r="Q740" s="604"/>
      <c r="R740" s="604"/>
      <c r="S740" s="604"/>
      <c r="T740" s="604"/>
      <c r="U740" s="604"/>
      <c r="V740" s="604"/>
      <c r="W740" s="604"/>
      <c r="X740" s="604"/>
      <c r="Y740" s="604"/>
      <c r="Z740" s="604"/>
    </row>
    <row r="741" spans="1:26" ht="18.75" hidden="1">
      <c r="A741" s="599"/>
      <c r="B741" s="607"/>
      <c r="C741" s="759"/>
      <c r="D741" s="720"/>
      <c r="E741" s="759" t="s">
        <v>185</v>
      </c>
      <c r="F741" s="759"/>
      <c r="G741" s="603"/>
      <c r="H741" s="165" t="s">
        <v>12</v>
      </c>
      <c r="I741" s="617"/>
      <c r="J741" s="617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4"/>
      <c r="R741" s="604"/>
      <c r="S741" s="604"/>
      <c r="T741" s="604"/>
      <c r="U741" s="604"/>
      <c r="V741" s="604"/>
      <c r="W741" s="604"/>
      <c r="X741" s="604"/>
      <c r="Y741" s="604"/>
      <c r="Z741" s="604"/>
    </row>
    <row r="742" spans="1:26" ht="18.75" hidden="1">
      <c r="A742" s="599"/>
      <c r="B742" s="607"/>
      <c r="C742" s="759"/>
      <c r="D742" s="720"/>
      <c r="E742" s="759" t="s">
        <v>186</v>
      </c>
      <c r="F742" s="759"/>
      <c r="G742" s="603"/>
      <c r="H742" s="165" t="s">
        <v>12</v>
      </c>
      <c r="I742" s="617"/>
      <c r="J742" s="617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4"/>
      <c r="R742" s="604"/>
      <c r="S742" s="604"/>
      <c r="T742" s="604"/>
      <c r="U742" s="604"/>
      <c r="V742" s="604"/>
      <c r="W742" s="604"/>
      <c r="X742" s="604"/>
      <c r="Y742" s="604"/>
      <c r="Z742" s="604"/>
    </row>
    <row r="743" spans="1:26" ht="18.75" hidden="1">
      <c r="A743" s="649"/>
      <c r="B743" s="607"/>
      <c r="C743" s="759"/>
      <c r="D743" s="759"/>
      <c r="E743" s="759"/>
      <c r="F743" s="759" t="s">
        <v>187</v>
      </c>
      <c r="G743" s="603"/>
      <c r="H743" s="165" t="s">
        <v>12</v>
      </c>
      <c r="I743" s="617"/>
      <c r="J743" s="617"/>
      <c r="K743" s="93"/>
      <c r="L743" s="93"/>
      <c r="M743" s="93"/>
      <c r="N743" s="93"/>
      <c r="O743" s="93"/>
      <c r="P743" s="93"/>
      <c r="Q743" s="604"/>
      <c r="R743" s="604"/>
      <c r="S743" s="604"/>
      <c r="T743" s="604"/>
      <c r="U743" s="604"/>
      <c r="V743" s="604"/>
      <c r="W743" s="604"/>
      <c r="X743" s="604"/>
      <c r="Y743" s="604"/>
      <c r="Z743" s="604"/>
    </row>
    <row r="744" spans="1:26" ht="18.75" hidden="1">
      <c r="A744" s="649"/>
      <c r="B744" s="607"/>
      <c r="C744" s="759"/>
      <c r="D744" s="759"/>
      <c r="E744" s="759"/>
      <c r="F744" s="759" t="s">
        <v>188</v>
      </c>
      <c r="G744" s="603"/>
      <c r="H744" s="165" t="s">
        <v>12</v>
      </c>
      <c r="I744" s="617"/>
      <c r="J744" s="617"/>
      <c r="K744" s="93"/>
      <c r="L744" s="93"/>
      <c r="M744" s="93"/>
      <c r="N744" s="93"/>
      <c r="O744" s="93"/>
      <c r="P744" s="93"/>
      <c r="Q744" s="604"/>
      <c r="R744" s="604"/>
      <c r="S744" s="604"/>
      <c r="T744" s="604"/>
      <c r="U744" s="604"/>
      <c r="V744" s="604"/>
      <c r="W744" s="604"/>
      <c r="X744" s="604"/>
      <c r="Y744" s="604"/>
      <c r="Z744" s="604"/>
    </row>
    <row r="745" spans="1:26" ht="18.75" hidden="1">
      <c r="A745" s="649"/>
      <c r="B745" s="607"/>
      <c r="C745" s="759"/>
      <c r="D745" s="759"/>
      <c r="E745" s="759"/>
      <c r="F745" s="759" t="s">
        <v>189</v>
      </c>
      <c r="G745" s="603"/>
      <c r="H745" s="165" t="s">
        <v>12</v>
      </c>
      <c r="I745" s="617"/>
      <c r="J745" s="617"/>
      <c r="K745" s="93"/>
      <c r="L745" s="93"/>
      <c r="M745" s="93"/>
      <c r="N745" s="93"/>
      <c r="O745" s="93"/>
      <c r="P745" s="93"/>
      <c r="Q745" s="604"/>
      <c r="R745" s="604"/>
      <c r="S745" s="604"/>
      <c r="T745" s="604"/>
      <c r="U745" s="604"/>
      <c r="V745" s="604"/>
      <c r="W745" s="604"/>
      <c r="X745" s="604"/>
      <c r="Y745" s="604"/>
      <c r="Z745" s="604"/>
    </row>
    <row r="746" spans="1:26" ht="18.75" hidden="1">
      <c r="A746" s="649"/>
      <c r="B746" s="607"/>
      <c r="C746" s="759"/>
      <c r="D746" s="759"/>
      <c r="E746" s="759"/>
      <c r="F746" s="759" t="s">
        <v>190</v>
      </c>
      <c r="G746" s="603"/>
      <c r="H746" s="165" t="s">
        <v>12</v>
      </c>
      <c r="I746" s="617"/>
      <c r="J746" s="617"/>
      <c r="K746" s="93"/>
      <c r="L746" s="93"/>
      <c r="M746" s="93"/>
      <c r="N746" s="93"/>
      <c r="O746" s="93"/>
      <c r="P746" s="93"/>
      <c r="Q746" s="604"/>
      <c r="R746" s="604"/>
      <c r="S746" s="604"/>
      <c r="T746" s="604"/>
      <c r="U746" s="604"/>
      <c r="V746" s="604"/>
      <c r="W746" s="604"/>
      <c r="X746" s="604"/>
      <c r="Y746" s="604"/>
      <c r="Z746" s="604"/>
    </row>
    <row r="747" spans="1:26" ht="19.5" hidden="1">
      <c r="A747" s="599"/>
      <c r="B747" s="607"/>
      <c r="C747" s="759"/>
      <c r="D747" s="645" t="s">
        <v>21</v>
      </c>
      <c r="E747" s="759"/>
      <c r="F747" s="759"/>
      <c r="G747" s="603"/>
      <c r="H747" s="783" t="s">
        <v>12</v>
      </c>
      <c r="I747" s="166"/>
      <c r="J747" s="166"/>
      <c r="K747" s="167"/>
      <c r="L747" s="647">
        <f t="shared" ref="L747:N747" si="299">L748+L749</f>
        <v>0</v>
      </c>
      <c r="M747" s="647">
        <f t="shared" si="299"/>
        <v>0</v>
      </c>
      <c r="N747" s="647">
        <f t="shared" si="299"/>
        <v>0</v>
      </c>
      <c r="O747" s="647">
        <f t="shared" ref="O747:O749" si="300">IF(L747&gt;0,N747*100/L747,0)</f>
        <v>0</v>
      </c>
      <c r="P747" s="647">
        <f t="shared" ref="P747:P749" si="301">IF(M747&gt;0,N747*100/M747,0)</f>
        <v>0</v>
      </c>
      <c r="Q747" s="604"/>
      <c r="R747" s="604"/>
      <c r="S747" s="604"/>
      <c r="T747" s="604"/>
      <c r="U747" s="604"/>
      <c r="V747" s="604"/>
      <c r="W747" s="604"/>
      <c r="X747" s="604"/>
      <c r="Y747" s="604"/>
      <c r="Z747" s="604"/>
    </row>
    <row r="748" spans="1:26" ht="18.75" hidden="1">
      <c r="A748" s="599"/>
      <c r="B748" s="607"/>
      <c r="C748" s="759"/>
      <c r="D748" s="759"/>
      <c r="E748" s="759" t="s">
        <v>18</v>
      </c>
      <c r="F748" s="759"/>
      <c r="G748" s="603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4"/>
      <c r="R748" s="604"/>
      <c r="S748" s="604"/>
      <c r="T748" s="604"/>
      <c r="U748" s="604"/>
      <c r="V748" s="604"/>
      <c r="W748" s="604"/>
      <c r="X748" s="604"/>
      <c r="Y748" s="604"/>
      <c r="Z748" s="604"/>
    </row>
    <row r="749" spans="1:26" ht="18.75" hidden="1">
      <c r="A749" s="599"/>
      <c r="B749" s="607"/>
      <c r="C749" s="759"/>
      <c r="D749" s="759"/>
      <c r="E749" s="759" t="s">
        <v>19</v>
      </c>
      <c r="F749" s="759"/>
      <c r="G749" s="603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4"/>
      <c r="R749" s="604"/>
      <c r="S749" s="604"/>
      <c r="T749" s="604"/>
      <c r="U749" s="604"/>
      <c r="V749" s="604"/>
      <c r="W749" s="604"/>
      <c r="X749" s="604"/>
      <c r="Y749" s="604"/>
      <c r="Z749" s="604"/>
    </row>
    <row r="750" spans="1:26" ht="19.5" hidden="1">
      <c r="A750" s="614"/>
      <c r="B750" s="616"/>
      <c r="C750" s="759" t="s">
        <v>16</v>
      </c>
      <c r="D750" s="899" t="s">
        <v>38</v>
      </c>
      <c r="E750" s="651"/>
      <c r="F750" s="651"/>
      <c r="G750" s="652"/>
      <c r="H750" s="366"/>
      <c r="I750" s="166"/>
      <c r="J750" s="166"/>
      <c r="K750" s="167"/>
      <c r="L750" s="167"/>
      <c r="M750" s="167"/>
      <c r="N750" s="167"/>
      <c r="O750" s="167"/>
      <c r="P750" s="167"/>
      <c r="Q750" s="604"/>
      <c r="R750" s="604"/>
      <c r="S750" s="604"/>
      <c r="T750" s="604"/>
      <c r="U750" s="604"/>
      <c r="V750" s="604"/>
      <c r="W750" s="604"/>
      <c r="X750" s="604"/>
      <c r="Y750" s="604"/>
      <c r="Z750" s="604"/>
    </row>
    <row r="751" spans="1:26" ht="18.75" hidden="1">
      <c r="A751" s="649"/>
      <c r="B751" s="607"/>
      <c r="C751" s="759"/>
      <c r="D751" s="759"/>
      <c r="E751" s="759" t="s">
        <v>314</v>
      </c>
      <c r="F751" s="759"/>
      <c r="G751" s="603"/>
      <c r="H751" s="165" t="s">
        <v>46</v>
      </c>
      <c r="I751" s="617"/>
      <c r="J751" s="617"/>
      <c r="K751" s="93"/>
      <c r="L751" s="93"/>
      <c r="M751" s="93"/>
      <c r="N751" s="93"/>
      <c r="O751" s="93"/>
      <c r="P751" s="93"/>
      <c r="Q751" s="604"/>
      <c r="R751" s="604"/>
      <c r="S751" s="604"/>
      <c r="T751" s="604"/>
      <c r="U751" s="604"/>
      <c r="V751" s="604"/>
      <c r="W751" s="604"/>
      <c r="X751" s="604"/>
      <c r="Y751" s="604"/>
      <c r="Z751" s="604"/>
    </row>
    <row r="752" spans="1:26" ht="18.75" hidden="1">
      <c r="A752" s="649"/>
      <c r="B752" s="607"/>
      <c r="C752" s="759"/>
      <c r="D752" s="759"/>
      <c r="E752" s="759"/>
      <c r="F752" s="759"/>
      <c r="G752" s="603"/>
      <c r="H752" s="165" t="s">
        <v>315</v>
      </c>
      <c r="I752" s="617"/>
      <c r="J752" s="617"/>
      <c r="K752" s="93"/>
      <c r="L752" s="93"/>
      <c r="M752" s="93"/>
      <c r="N752" s="93"/>
      <c r="O752" s="93"/>
      <c r="P752" s="93"/>
      <c r="Q752" s="604"/>
      <c r="R752" s="604"/>
      <c r="S752" s="604"/>
      <c r="T752" s="604"/>
      <c r="U752" s="604"/>
      <c r="V752" s="604"/>
      <c r="W752" s="604"/>
      <c r="X752" s="604"/>
      <c r="Y752" s="604"/>
      <c r="Z752" s="604"/>
    </row>
    <row r="753" spans="1:26" ht="19.5" hidden="1">
      <c r="A753" s="785">
        <v>10</v>
      </c>
      <c r="B753" s="786" t="s">
        <v>316</v>
      </c>
      <c r="C753" s="787"/>
      <c r="D753" s="787"/>
      <c r="E753" s="787"/>
      <c r="F753" s="787"/>
      <c r="G753" s="788"/>
      <c r="H753" s="789" t="s">
        <v>46</v>
      </c>
      <c r="I753" s="790"/>
      <c r="J753" s="790">
        <f>J768</f>
        <v>0</v>
      </c>
      <c r="K753" s="791">
        <f>IF(I753&gt;0,J753*100/I753,0)</f>
        <v>0</v>
      </c>
      <c r="L753" s="792"/>
      <c r="M753" s="792"/>
      <c r="N753" s="792"/>
      <c r="O753" s="792"/>
      <c r="P753" s="792"/>
      <c r="Q753" s="604"/>
      <c r="R753" s="604"/>
      <c r="S753" s="604"/>
      <c r="T753" s="604"/>
      <c r="U753" s="604"/>
      <c r="V753" s="604"/>
      <c r="W753" s="604"/>
      <c r="X753" s="604"/>
      <c r="Y753" s="604"/>
      <c r="Z753" s="604"/>
    </row>
    <row r="754" spans="1:26" ht="19.5" hidden="1">
      <c r="A754" s="599"/>
      <c r="B754" s="759"/>
      <c r="C754" s="759" t="s">
        <v>16</v>
      </c>
      <c r="D754" s="864" t="s">
        <v>17</v>
      </c>
      <c r="E754" s="857"/>
      <c r="F754" s="857"/>
      <c r="G754" s="603"/>
      <c r="H754" s="646" t="s">
        <v>12</v>
      </c>
      <c r="I754" s="617"/>
      <c r="J754" s="617"/>
      <c r="K754" s="93"/>
      <c r="L754" s="647">
        <f t="shared" ref="L754:N754" si="302">L755+L756</f>
        <v>0</v>
      </c>
      <c r="M754" s="647">
        <f t="shared" si="302"/>
        <v>0</v>
      </c>
      <c r="N754" s="647">
        <f t="shared" si="302"/>
        <v>0</v>
      </c>
      <c r="O754" s="647">
        <f t="shared" ref="O754:O759" si="303">IF(L754&gt;0,N754*100/L754,0)</f>
        <v>0</v>
      </c>
      <c r="P754" s="647">
        <f t="shared" ref="P754:P759" si="304">IF(M754&gt;0,N754*100/M754,0)</f>
        <v>0</v>
      </c>
      <c r="Q754" s="604"/>
      <c r="R754" s="604"/>
      <c r="S754" s="604"/>
      <c r="T754" s="604"/>
      <c r="U754" s="604"/>
      <c r="V754" s="604"/>
      <c r="W754" s="604"/>
      <c r="X754" s="604"/>
      <c r="Y754" s="604"/>
      <c r="Z754" s="604"/>
    </row>
    <row r="755" spans="1:26" ht="18.75" hidden="1">
      <c r="A755" s="599"/>
      <c r="B755" s="759"/>
      <c r="C755" s="759"/>
      <c r="D755" s="720"/>
      <c r="E755" s="759" t="s">
        <v>185</v>
      </c>
      <c r="F755" s="759"/>
      <c r="G755" s="603"/>
      <c r="H755" s="165" t="s">
        <v>12</v>
      </c>
      <c r="I755" s="617"/>
      <c r="J755" s="617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4"/>
      <c r="R755" s="604"/>
      <c r="S755" s="604"/>
      <c r="T755" s="604"/>
      <c r="U755" s="604"/>
      <c r="V755" s="604"/>
      <c r="W755" s="604"/>
      <c r="X755" s="604"/>
      <c r="Y755" s="604"/>
      <c r="Z755" s="604"/>
    </row>
    <row r="756" spans="1:26" ht="18.75" hidden="1">
      <c r="A756" s="599"/>
      <c r="B756" s="607"/>
      <c r="C756" s="759"/>
      <c r="D756" s="720"/>
      <c r="E756" s="759" t="s">
        <v>186</v>
      </c>
      <c r="F756" s="759"/>
      <c r="G756" s="603"/>
      <c r="H756" s="165" t="s">
        <v>12</v>
      </c>
      <c r="I756" s="617"/>
      <c r="J756" s="617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4"/>
      <c r="R756" s="604"/>
      <c r="S756" s="604"/>
      <c r="T756" s="604"/>
      <c r="U756" s="604"/>
      <c r="V756" s="604"/>
      <c r="W756" s="604"/>
      <c r="X756" s="604"/>
      <c r="Y756" s="604"/>
      <c r="Z756" s="604"/>
    </row>
    <row r="757" spans="1:26" ht="19.5" hidden="1">
      <c r="A757" s="599"/>
      <c r="B757" s="607"/>
      <c r="C757" s="759"/>
      <c r="D757" s="645" t="s">
        <v>20</v>
      </c>
      <c r="E757" s="759"/>
      <c r="F757" s="759"/>
      <c r="G757" s="603"/>
      <c r="H757" s="646" t="s">
        <v>12</v>
      </c>
      <c r="I757" s="166"/>
      <c r="J757" s="166"/>
      <c r="K757" s="167"/>
      <c r="L757" s="647">
        <f t="shared" ref="L757:N757" si="306">L758+L759</f>
        <v>0</v>
      </c>
      <c r="M757" s="647">
        <f t="shared" si="306"/>
        <v>0</v>
      </c>
      <c r="N757" s="647">
        <f t="shared" si="306"/>
        <v>0</v>
      </c>
      <c r="O757" s="647">
        <f t="shared" si="303"/>
        <v>0</v>
      </c>
      <c r="P757" s="647">
        <f t="shared" si="304"/>
        <v>0</v>
      </c>
      <c r="Q757" s="604"/>
      <c r="R757" s="604"/>
      <c r="S757" s="604"/>
      <c r="T757" s="604"/>
      <c r="U757" s="604"/>
      <c r="V757" s="604"/>
      <c r="W757" s="604"/>
      <c r="X757" s="604"/>
      <c r="Y757" s="604"/>
      <c r="Z757" s="604"/>
    </row>
    <row r="758" spans="1:26" ht="18.75" hidden="1">
      <c r="A758" s="599"/>
      <c r="B758" s="607"/>
      <c r="C758" s="759"/>
      <c r="D758" s="720"/>
      <c r="E758" s="759" t="s">
        <v>185</v>
      </c>
      <c r="F758" s="759"/>
      <c r="G758" s="603"/>
      <c r="H758" s="165" t="s">
        <v>12</v>
      </c>
      <c r="I758" s="617"/>
      <c r="J758" s="617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4"/>
      <c r="R758" s="604"/>
      <c r="S758" s="604"/>
      <c r="T758" s="604"/>
      <c r="U758" s="604"/>
      <c r="V758" s="604"/>
      <c r="W758" s="604"/>
      <c r="X758" s="604"/>
      <c r="Y758" s="604"/>
      <c r="Z758" s="604"/>
    </row>
    <row r="759" spans="1:26" ht="18.75" hidden="1">
      <c r="A759" s="599"/>
      <c r="B759" s="607"/>
      <c r="C759" s="759"/>
      <c r="D759" s="720"/>
      <c r="E759" s="759" t="s">
        <v>186</v>
      </c>
      <c r="F759" s="759"/>
      <c r="G759" s="603"/>
      <c r="H759" s="165" t="s">
        <v>12</v>
      </c>
      <c r="I759" s="617"/>
      <c r="J759" s="617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4"/>
      <c r="R759" s="604"/>
      <c r="S759" s="604"/>
      <c r="T759" s="604"/>
      <c r="U759" s="604"/>
      <c r="V759" s="604"/>
      <c r="W759" s="604"/>
      <c r="X759" s="604"/>
      <c r="Y759" s="604"/>
      <c r="Z759" s="604"/>
    </row>
    <row r="760" spans="1:26" ht="18.75" hidden="1">
      <c r="A760" s="649"/>
      <c r="B760" s="607"/>
      <c r="C760" s="759"/>
      <c r="D760" s="759"/>
      <c r="E760" s="759"/>
      <c r="F760" s="759" t="s">
        <v>187</v>
      </c>
      <c r="G760" s="603"/>
      <c r="H760" s="165" t="s">
        <v>12</v>
      </c>
      <c r="I760" s="617"/>
      <c r="J760" s="617"/>
      <c r="K760" s="93"/>
      <c r="L760" s="93"/>
      <c r="M760" s="93"/>
      <c r="N760" s="93"/>
      <c r="O760" s="93"/>
      <c r="P760" s="93"/>
      <c r="Q760" s="604"/>
      <c r="R760" s="604"/>
      <c r="S760" s="604"/>
      <c r="T760" s="604"/>
      <c r="U760" s="604"/>
      <c r="V760" s="604"/>
      <c r="W760" s="604"/>
      <c r="X760" s="604"/>
      <c r="Y760" s="604"/>
      <c r="Z760" s="604"/>
    </row>
    <row r="761" spans="1:26" ht="18.75" hidden="1">
      <c r="A761" s="649"/>
      <c r="B761" s="607"/>
      <c r="C761" s="759"/>
      <c r="D761" s="759"/>
      <c r="E761" s="759"/>
      <c r="F761" s="759" t="s">
        <v>188</v>
      </c>
      <c r="G761" s="603"/>
      <c r="H761" s="165" t="s">
        <v>12</v>
      </c>
      <c r="I761" s="617"/>
      <c r="J761" s="617"/>
      <c r="K761" s="93"/>
      <c r="L761" s="93"/>
      <c r="M761" s="93"/>
      <c r="N761" s="93"/>
      <c r="O761" s="93"/>
      <c r="P761" s="93"/>
      <c r="Q761" s="604"/>
      <c r="R761" s="604"/>
      <c r="S761" s="604"/>
      <c r="T761" s="604"/>
      <c r="U761" s="604"/>
      <c r="V761" s="604"/>
      <c r="W761" s="604"/>
      <c r="X761" s="604"/>
      <c r="Y761" s="604"/>
      <c r="Z761" s="604"/>
    </row>
    <row r="762" spans="1:26" ht="18.75" hidden="1">
      <c r="A762" s="649"/>
      <c r="B762" s="607"/>
      <c r="C762" s="759"/>
      <c r="D762" s="759"/>
      <c r="E762" s="759"/>
      <c r="F762" s="759" t="s">
        <v>189</v>
      </c>
      <c r="G762" s="603"/>
      <c r="H762" s="165" t="s">
        <v>12</v>
      </c>
      <c r="I762" s="617"/>
      <c r="J762" s="617"/>
      <c r="K762" s="93"/>
      <c r="L762" s="93"/>
      <c r="M762" s="93"/>
      <c r="N762" s="93"/>
      <c r="O762" s="93"/>
      <c r="P762" s="93"/>
      <c r="Q762" s="604"/>
      <c r="R762" s="604"/>
      <c r="S762" s="604"/>
      <c r="T762" s="604"/>
      <c r="U762" s="604"/>
      <c r="V762" s="604"/>
      <c r="W762" s="604"/>
      <c r="X762" s="604"/>
      <c r="Y762" s="604"/>
      <c r="Z762" s="604"/>
    </row>
    <row r="763" spans="1:26" ht="18.75" hidden="1">
      <c r="A763" s="649"/>
      <c r="B763" s="607"/>
      <c r="C763" s="759"/>
      <c r="D763" s="759"/>
      <c r="E763" s="759"/>
      <c r="F763" s="759" t="s">
        <v>190</v>
      </c>
      <c r="G763" s="603"/>
      <c r="H763" s="165" t="s">
        <v>12</v>
      </c>
      <c r="I763" s="617"/>
      <c r="J763" s="617"/>
      <c r="K763" s="93"/>
      <c r="L763" s="93"/>
      <c r="M763" s="93"/>
      <c r="N763" s="93"/>
      <c r="O763" s="93"/>
      <c r="P763" s="93"/>
      <c r="Q763" s="604"/>
      <c r="R763" s="604"/>
      <c r="S763" s="604"/>
      <c r="T763" s="604"/>
      <c r="U763" s="604"/>
      <c r="V763" s="604"/>
      <c r="W763" s="604"/>
      <c r="X763" s="604"/>
      <c r="Y763" s="604"/>
      <c r="Z763" s="604"/>
    </row>
    <row r="764" spans="1:26" ht="19.5" hidden="1">
      <c r="A764" s="599"/>
      <c r="B764" s="607"/>
      <c r="C764" s="759"/>
      <c r="D764" s="645" t="s">
        <v>21</v>
      </c>
      <c r="E764" s="759"/>
      <c r="F764" s="759"/>
      <c r="G764" s="603"/>
      <c r="H764" s="783" t="s">
        <v>12</v>
      </c>
      <c r="I764" s="166"/>
      <c r="J764" s="166"/>
      <c r="K764" s="167"/>
      <c r="L764" s="647">
        <f t="shared" ref="L764:N764" si="307">L765+L766</f>
        <v>0</v>
      </c>
      <c r="M764" s="647">
        <f t="shared" si="307"/>
        <v>0</v>
      </c>
      <c r="N764" s="647">
        <f t="shared" si="307"/>
        <v>0</v>
      </c>
      <c r="O764" s="647">
        <f t="shared" ref="O764:O766" si="308">IF(L764&gt;0,N764*100/L764,0)</f>
        <v>0</v>
      </c>
      <c r="P764" s="647">
        <f t="shared" ref="P764:P766" si="309">IF(M764&gt;0,N764*100/M764,0)</f>
        <v>0</v>
      </c>
      <c r="Q764" s="604"/>
      <c r="R764" s="604"/>
      <c r="S764" s="604"/>
      <c r="T764" s="604"/>
      <c r="U764" s="604"/>
      <c r="V764" s="604"/>
      <c r="W764" s="604"/>
      <c r="X764" s="604"/>
      <c r="Y764" s="604"/>
      <c r="Z764" s="604"/>
    </row>
    <row r="765" spans="1:26" ht="18.75" hidden="1">
      <c r="A765" s="599"/>
      <c r="B765" s="607"/>
      <c r="C765" s="759"/>
      <c r="D765" s="759"/>
      <c r="E765" s="759" t="s">
        <v>18</v>
      </c>
      <c r="F765" s="759"/>
      <c r="G765" s="603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4"/>
      <c r="R765" s="604"/>
      <c r="S765" s="604"/>
      <c r="T765" s="604"/>
      <c r="U765" s="604"/>
      <c r="V765" s="604"/>
      <c r="W765" s="604"/>
      <c r="X765" s="604"/>
      <c r="Y765" s="604"/>
      <c r="Z765" s="604"/>
    </row>
    <row r="766" spans="1:26" ht="18.75" hidden="1">
      <c r="A766" s="599"/>
      <c r="B766" s="607"/>
      <c r="C766" s="759"/>
      <c r="D766" s="759"/>
      <c r="E766" s="759" t="s">
        <v>19</v>
      </c>
      <c r="F766" s="759"/>
      <c r="G766" s="603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4"/>
      <c r="R766" s="604"/>
      <c r="S766" s="604"/>
      <c r="T766" s="604"/>
      <c r="U766" s="604"/>
      <c r="V766" s="604"/>
      <c r="W766" s="604"/>
      <c r="X766" s="604"/>
      <c r="Y766" s="604"/>
      <c r="Z766" s="604"/>
    </row>
    <row r="767" spans="1:26" ht="19.5" hidden="1">
      <c r="A767" s="614"/>
      <c r="B767" s="616"/>
      <c r="C767" s="759" t="s">
        <v>16</v>
      </c>
      <c r="D767" s="899" t="s">
        <v>38</v>
      </c>
      <c r="E767" s="651"/>
      <c r="F767" s="651"/>
      <c r="G767" s="652"/>
      <c r="H767" s="366"/>
      <c r="I767" s="166"/>
      <c r="J767" s="166"/>
      <c r="K767" s="167"/>
      <c r="L767" s="167"/>
      <c r="M767" s="167"/>
      <c r="N767" s="167"/>
      <c r="O767" s="167"/>
      <c r="P767" s="167"/>
      <c r="Q767" s="604"/>
      <c r="R767" s="604"/>
      <c r="S767" s="604"/>
      <c r="T767" s="604"/>
      <c r="U767" s="604"/>
      <c r="V767" s="604"/>
      <c r="W767" s="604"/>
      <c r="X767" s="604"/>
      <c r="Y767" s="604"/>
      <c r="Z767" s="604"/>
    </row>
    <row r="768" spans="1:26" ht="18.75" hidden="1">
      <c r="A768" s="649"/>
      <c r="B768" s="607"/>
      <c r="C768" s="759"/>
      <c r="D768" s="759"/>
      <c r="E768" s="759" t="s">
        <v>317</v>
      </c>
      <c r="F768" s="759"/>
      <c r="G768" s="603"/>
      <c r="H768" s="165" t="s">
        <v>46</v>
      </c>
      <c r="I768" s="617"/>
      <c r="J768" s="617"/>
      <c r="K768" s="93"/>
      <c r="L768" s="93"/>
      <c r="M768" s="93"/>
      <c r="N768" s="93"/>
      <c r="O768" s="93"/>
      <c r="P768" s="93"/>
      <c r="Q768" s="604"/>
      <c r="R768" s="604"/>
      <c r="S768" s="604"/>
      <c r="T768" s="604"/>
      <c r="U768" s="604"/>
      <c r="V768" s="604"/>
      <c r="W768" s="604"/>
      <c r="X768" s="604"/>
      <c r="Y768" s="604"/>
      <c r="Z768" s="604"/>
    </row>
    <row r="769" spans="1:26" ht="19.5" hidden="1">
      <c r="A769" s="793">
        <v>11</v>
      </c>
      <c r="B769" s="794" t="s">
        <v>318</v>
      </c>
      <c r="C769" s="795"/>
      <c r="D769" s="795"/>
      <c r="E769" s="795"/>
      <c r="F769" s="795"/>
      <c r="G769" s="796"/>
      <c r="H769" s="797" t="s">
        <v>46</v>
      </c>
      <c r="I769" s="798"/>
      <c r="J769" s="798">
        <f>J784</f>
        <v>0</v>
      </c>
      <c r="K769" s="799">
        <f>IF(I769&gt;0,J769*100/I769,0)</f>
        <v>0</v>
      </c>
      <c r="L769" s="800"/>
      <c r="M769" s="800"/>
      <c r="N769" s="800"/>
      <c r="O769" s="800"/>
      <c r="P769" s="800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</row>
    <row r="770" spans="1:26" ht="19.5" hidden="1">
      <c r="A770" s="599"/>
      <c r="B770" s="759"/>
      <c r="C770" s="759" t="s">
        <v>16</v>
      </c>
      <c r="D770" s="864" t="s">
        <v>17</v>
      </c>
      <c r="E770" s="857"/>
      <c r="F770" s="857"/>
      <c r="G770" s="603"/>
      <c r="H770" s="646" t="s">
        <v>12</v>
      </c>
      <c r="I770" s="617"/>
      <c r="J770" s="617"/>
      <c r="K770" s="93"/>
      <c r="L770" s="647">
        <f t="shared" ref="L770:N770" si="310">L771+L772</f>
        <v>0</v>
      </c>
      <c r="M770" s="647">
        <f t="shared" si="310"/>
        <v>0</v>
      </c>
      <c r="N770" s="647">
        <f t="shared" si="310"/>
        <v>0</v>
      </c>
      <c r="O770" s="647">
        <f t="shared" ref="O770:O775" si="311">IF(L770&gt;0,N770*100/L770,0)</f>
        <v>0</v>
      </c>
      <c r="P770" s="647">
        <f t="shared" ref="P770:P775" si="312">IF(M770&gt;0,N770*100/M770,0)</f>
        <v>0</v>
      </c>
      <c r="Q770" s="604"/>
      <c r="R770" s="604"/>
      <c r="S770" s="604"/>
      <c r="T770" s="604"/>
      <c r="U770" s="604"/>
      <c r="V770" s="604"/>
      <c r="W770" s="604"/>
      <c r="X770" s="604"/>
      <c r="Y770" s="604"/>
      <c r="Z770" s="604"/>
    </row>
    <row r="771" spans="1:26" ht="18.75" hidden="1">
      <c r="A771" s="599"/>
      <c r="B771" s="759"/>
      <c r="C771" s="759"/>
      <c r="D771" s="720"/>
      <c r="E771" s="759" t="s">
        <v>185</v>
      </c>
      <c r="F771" s="759"/>
      <c r="G771" s="603"/>
      <c r="H771" s="165" t="s">
        <v>12</v>
      </c>
      <c r="I771" s="617"/>
      <c r="J771" s="617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4"/>
      <c r="R771" s="604"/>
      <c r="S771" s="604"/>
      <c r="T771" s="604"/>
      <c r="U771" s="604"/>
      <c r="V771" s="604"/>
      <c r="W771" s="604"/>
      <c r="X771" s="604"/>
      <c r="Y771" s="604"/>
      <c r="Z771" s="604"/>
    </row>
    <row r="772" spans="1:26" ht="18.75" hidden="1">
      <c r="A772" s="599"/>
      <c r="B772" s="607"/>
      <c r="C772" s="759"/>
      <c r="D772" s="720"/>
      <c r="E772" s="759" t="s">
        <v>186</v>
      </c>
      <c r="F772" s="759"/>
      <c r="G772" s="603"/>
      <c r="H772" s="165" t="s">
        <v>12</v>
      </c>
      <c r="I772" s="617"/>
      <c r="J772" s="617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4"/>
      <c r="R772" s="604"/>
      <c r="S772" s="604"/>
      <c r="T772" s="604"/>
      <c r="U772" s="604"/>
      <c r="V772" s="604"/>
      <c r="W772" s="604"/>
      <c r="X772" s="604"/>
      <c r="Y772" s="604"/>
      <c r="Z772" s="604"/>
    </row>
    <row r="773" spans="1:26" ht="19.5" hidden="1">
      <c r="A773" s="599"/>
      <c r="B773" s="607"/>
      <c r="C773" s="759"/>
      <c r="D773" s="645" t="s">
        <v>20</v>
      </c>
      <c r="E773" s="759"/>
      <c r="F773" s="759"/>
      <c r="G773" s="603"/>
      <c r="H773" s="646" t="s">
        <v>12</v>
      </c>
      <c r="I773" s="166"/>
      <c r="J773" s="166"/>
      <c r="K773" s="167"/>
      <c r="L773" s="647">
        <f t="shared" ref="L773:N773" si="314">L774+L775</f>
        <v>0</v>
      </c>
      <c r="M773" s="647">
        <f t="shared" si="314"/>
        <v>0</v>
      </c>
      <c r="N773" s="647">
        <f t="shared" si="314"/>
        <v>0</v>
      </c>
      <c r="O773" s="647">
        <f t="shared" si="311"/>
        <v>0</v>
      </c>
      <c r="P773" s="647">
        <f t="shared" si="312"/>
        <v>0</v>
      </c>
      <c r="Q773" s="604"/>
      <c r="R773" s="604"/>
      <c r="S773" s="604"/>
      <c r="T773" s="604"/>
      <c r="U773" s="604"/>
      <c r="V773" s="604"/>
      <c r="W773" s="604"/>
      <c r="X773" s="604"/>
      <c r="Y773" s="604"/>
      <c r="Z773" s="604"/>
    </row>
    <row r="774" spans="1:26" ht="18.75" hidden="1">
      <c r="A774" s="599"/>
      <c r="B774" s="607"/>
      <c r="C774" s="759"/>
      <c r="D774" s="720"/>
      <c r="E774" s="759" t="s">
        <v>185</v>
      </c>
      <c r="F774" s="759"/>
      <c r="G774" s="603"/>
      <c r="H774" s="165" t="s">
        <v>12</v>
      </c>
      <c r="I774" s="617"/>
      <c r="J774" s="617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4"/>
      <c r="R774" s="604"/>
      <c r="S774" s="604"/>
      <c r="T774" s="604"/>
      <c r="U774" s="604"/>
      <c r="V774" s="604"/>
      <c r="W774" s="604"/>
      <c r="X774" s="604"/>
      <c r="Y774" s="604"/>
      <c r="Z774" s="604"/>
    </row>
    <row r="775" spans="1:26" ht="18.75" hidden="1">
      <c r="A775" s="599"/>
      <c r="B775" s="607"/>
      <c r="C775" s="759"/>
      <c r="D775" s="720"/>
      <c r="E775" s="759" t="s">
        <v>186</v>
      </c>
      <c r="F775" s="759"/>
      <c r="G775" s="603"/>
      <c r="H775" s="165" t="s">
        <v>12</v>
      </c>
      <c r="I775" s="617"/>
      <c r="J775" s="617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4"/>
      <c r="R775" s="604"/>
      <c r="S775" s="604"/>
      <c r="T775" s="604"/>
      <c r="U775" s="604"/>
      <c r="V775" s="604"/>
      <c r="W775" s="604"/>
      <c r="X775" s="604"/>
      <c r="Y775" s="604"/>
      <c r="Z775" s="604"/>
    </row>
    <row r="776" spans="1:26" ht="18.75" hidden="1">
      <c r="A776" s="649"/>
      <c r="B776" s="607"/>
      <c r="C776" s="759"/>
      <c r="D776" s="759"/>
      <c r="E776" s="759"/>
      <c r="F776" s="759" t="s">
        <v>187</v>
      </c>
      <c r="G776" s="603"/>
      <c r="H776" s="165" t="s">
        <v>12</v>
      </c>
      <c r="I776" s="617"/>
      <c r="J776" s="617"/>
      <c r="K776" s="93"/>
      <c r="L776" s="93"/>
      <c r="M776" s="93"/>
      <c r="N776" s="93"/>
      <c r="O776" s="93"/>
      <c r="P776" s="93"/>
      <c r="Q776" s="604"/>
      <c r="R776" s="604"/>
      <c r="S776" s="604"/>
      <c r="T776" s="604"/>
      <c r="U776" s="604"/>
      <c r="V776" s="604"/>
      <c r="W776" s="604"/>
      <c r="X776" s="604"/>
      <c r="Y776" s="604"/>
      <c r="Z776" s="604"/>
    </row>
    <row r="777" spans="1:26" ht="18.75" hidden="1">
      <c r="A777" s="649"/>
      <c r="B777" s="607"/>
      <c r="C777" s="759"/>
      <c r="D777" s="759"/>
      <c r="E777" s="759"/>
      <c r="F777" s="759" t="s">
        <v>188</v>
      </c>
      <c r="G777" s="603"/>
      <c r="H777" s="165" t="s">
        <v>12</v>
      </c>
      <c r="I777" s="617"/>
      <c r="J777" s="617"/>
      <c r="K777" s="93"/>
      <c r="L777" s="93"/>
      <c r="M777" s="93"/>
      <c r="N777" s="93"/>
      <c r="O777" s="93"/>
      <c r="P777" s="93"/>
      <c r="Q777" s="604"/>
      <c r="R777" s="604"/>
      <c r="S777" s="604"/>
      <c r="T777" s="604"/>
      <c r="U777" s="604"/>
      <c r="V777" s="604"/>
      <c r="W777" s="604"/>
      <c r="X777" s="604"/>
      <c r="Y777" s="604"/>
      <c r="Z777" s="604"/>
    </row>
    <row r="778" spans="1:26" ht="18.75" hidden="1">
      <c r="A778" s="649"/>
      <c r="B778" s="607"/>
      <c r="C778" s="759"/>
      <c r="D778" s="759"/>
      <c r="E778" s="759"/>
      <c r="F778" s="759" t="s">
        <v>189</v>
      </c>
      <c r="G778" s="603"/>
      <c r="H778" s="165" t="s">
        <v>12</v>
      </c>
      <c r="I778" s="617"/>
      <c r="J778" s="617"/>
      <c r="K778" s="93"/>
      <c r="L778" s="93"/>
      <c r="M778" s="93"/>
      <c r="N778" s="93"/>
      <c r="O778" s="93"/>
      <c r="P778" s="93"/>
      <c r="Q778" s="604"/>
      <c r="R778" s="604"/>
      <c r="S778" s="604"/>
      <c r="T778" s="604"/>
      <c r="U778" s="604"/>
      <c r="V778" s="604"/>
      <c r="W778" s="604"/>
      <c r="X778" s="604"/>
      <c r="Y778" s="604"/>
      <c r="Z778" s="604"/>
    </row>
    <row r="779" spans="1:26" ht="18.75" hidden="1">
      <c r="A779" s="649"/>
      <c r="B779" s="607"/>
      <c r="C779" s="759"/>
      <c r="D779" s="759"/>
      <c r="E779" s="759"/>
      <c r="F779" s="759" t="s">
        <v>190</v>
      </c>
      <c r="G779" s="603"/>
      <c r="H779" s="165" t="s">
        <v>12</v>
      </c>
      <c r="I779" s="617"/>
      <c r="J779" s="617"/>
      <c r="K779" s="93"/>
      <c r="L779" s="93"/>
      <c r="M779" s="93"/>
      <c r="N779" s="93"/>
      <c r="O779" s="93"/>
      <c r="P779" s="93"/>
      <c r="Q779" s="604"/>
      <c r="R779" s="604"/>
      <c r="S779" s="604"/>
      <c r="T779" s="604"/>
      <c r="U779" s="604"/>
      <c r="V779" s="604"/>
      <c r="W779" s="604"/>
      <c r="X779" s="604"/>
      <c r="Y779" s="604"/>
      <c r="Z779" s="604"/>
    </row>
    <row r="780" spans="1:26" ht="19.5" hidden="1">
      <c r="A780" s="599"/>
      <c r="B780" s="607"/>
      <c r="C780" s="759"/>
      <c r="D780" s="645" t="s">
        <v>21</v>
      </c>
      <c r="E780" s="759"/>
      <c r="F780" s="759"/>
      <c r="G780" s="603"/>
      <c r="H780" s="783" t="s">
        <v>12</v>
      </c>
      <c r="I780" s="166"/>
      <c r="J780" s="166"/>
      <c r="K780" s="167"/>
      <c r="L780" s="647">
        <f t="shared" ref="L780:N780" si="315">L781+L782</f>
        <v>0</v>
      </c>
      <c r="M780" s="647">
        <f t="shared" si="315"/>
        <v>0</v>
      </c>
      <c r="N780" s="647">
        <f t="shared" si="315"/>
        <v>0</v>
      </c>
      <c r="O780" s="647">
        <f t="shared" ref="O780:O782" si="316">IF(L780&gt;0,N780*100/L780,0)</f>
        <v>0</v>
      </c>
      <c r="P780" s="647">
        <f t="shared" ref="P780:P782" si="317">IF(M780&gt;0,N780*100/M780,0)</f>
        <v>0</v>
      </c>
      <c r="Q780" s="604"/>
      <c r="R780" s="604"/>
      <c r="S780" s="604"/>
      <c r="T780" s="604"/>
      <c r="U780" s="604"/>
      <c r="V780" s="604"/>
      <c r="W780" s="604"/>
      <c r="X780" s="604"/>
      <c r="Y780" s="604"/>
      <c r="Z780" s="604"/>
    </row>
    <row r="781" spans="1:26" ht="18.75" hidden="1">
      <c r="A781" s="599"/>
      <c r="B781" s="607"/>
      <c r="C781" s="759"/>
      <c r="D781" s="759"/>
      <c r="E781" s="759" t="s">
        <v>18</v>
      </c>
      <c r="F781" s="759"/>
      <c r="G781" s="603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4"/>
      <c r="R781" s="604"/>
      <c r="S781" s="604"/>
      <c r="T781" s="604"/>
      <c r="U781" s="604"/>
      <c r="V781" s="604"/>
      <c r="W781" s="604"/>
      <c r="X781" s="604"/>
      <c r="Y781" s="604"/>
      <c r="Z781" s="604"/>
    </row>
    <row r="782" spans="1:26" ht="18.75" hidden="1">
      <c r="A782" s="599"/>
      <c r="B782" s="607"/>
      <c r="C782" s="759"/>
      <c r="D782" s="759"/>
      <c r="E782" s="759" t="s">
        <v>19</v>
      </c>
      <c r="F782" s="759"/>
      <c r="G782" s="603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4"/>
      <c r="R782" s="604"/>
      <c r="S782" s="604"/>
      <c r="T782" s="604"/>
      <c r="U782" s="604"/>
      <c r="V782" s="604"/>
      <c r="W782" s="604"/>
      <c r="X782" s="604"/>
      <c r="Y782" s="604"/>
      <c r="Z782" s="604"/>
    </row>
    <row r="783" spans="1:26" ht="19.5" hidden="1">
      <c r="A783" s="614"/>
      <c r="B783" s="616"/>
      <c r="C783" s="759" t="s">
        <v>16</v>
      </c>
      <c r="D783" s="899" t="s">
        <v>38</v>
      </c>
      <c r="E783" s="651"/>
      <c r="F783" s="651"/>
      <c r="G783" s="652"/>
      <c r="H783" s="801"/>
      <c r="I783" s="166"/>
      <c r="J783" s="166"/>
      <c r="K783" s="167"/>
      <c r="L783" s="167"/>
      <c r="M783" s="167"/>
      <c r="N783" s="167"/>
      <c r="O783" s="167"/>
      <c r="P783" s="167"/>
      <c r="Q783" s="604"/>
      <c r="R783" s="604"/>
      <c r="S783" s="604"/>
      <c r="T783" s="604"/>
      <c r="U783" s="604"/>
      <c r="V783" s="604"/>
      <c r="W783" s="604"/>
      <c r="X783" s="604"/>
      <c r="Y783" s="604"/>
      <c r="Z783" s="604"/>
    </row>
    <row r="784" spans="1:26" ht="18.75" hidden="1">
      <c r="A784" s="649"/>
      <c r="B784" s="607"/>
      <c r="C784" s="759"/>
      <c r="D784" s="759"/>
      <c r="E784" s="759" t="s">
        <v>319</v>
      </c>
      <c r="F784" s="759"/>
      <c r="G784" s="603"/>
      <c r="H784" s="165" t="s">
        <v>46</v>
      </c>
      <c r="I784" s="617"/>
      <c r="J784" s="617"/>
      <c r="K784" s="93"/>
      <c r="L784" s="93"/>
      <c r="M784" s="93"/>
      <c r="N784" s="93"/>
      <c r="O784" s="93"/>
      <c r="P784" s="93"/>
      <c r="Q784" s="604"/>
      <c r="R784" s="604"/>
      <c r="S784" s="604"/>
      <c r="T784" s="604"/>
      <c r="U784" s="604"/>
      <c r="V784" s="604"/>
      <c r="W784" s="604"/>
      <c r="X784" s="604"/>
      <c r="Y784" s="604"/>
      <c r="Z784" s="604"/>
    </row>
    <row r="785" spans="1:26" ht="19.5">
      <c r="A785" s="802">
        <v>12</v>
      </c>
      <c r="B785" s="803" t="s">
        <v>320</v>
      </c>
      <c r="C785" s="804"/>
      <c r="D785" s="804"/>
      <c r="E785" s="804"/>
      <c r="F785" s="804"/>
      <c r="G785" s="805"/>
      <c r="H785" s="806" t="s">
        <v>46</v>
      </c>
      <c r="I785" s="807">
        <f t="shared" ref="I785:J785" ca="1" si="318">I801+I803</f>
        <v>19000</v>
      </c>
      <c r="J785" s="807">
        <f t="shared" ca="1" si="318"/>
        <v>21535.63</v>
      </c>
      <c r="K785" s="808">
        <f ca="1">IF(I785&gt;0,J785*100/I785,0)</f>
        <v>113.34542105263158</v>
      </c>
      <c r="L785" s="809"/>
      <c r="M785" s="809"/>
      <c r="N785" s="809"/>
      <c r="O785" s="809"/>
      <c r="P785" s="809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</row>
    <row r="786" spans="1:26" ht="19.5">
      <c r="A786" s="597"/>
      <c r="B786" s="575"/>
      <c r="C786" s="763" t="s">
        <v>16</v>
      </c>
      <c r="D786" s="863" t="s">
        <v>17</v>
      </c>
      <c r="E786" s="857"/>
      <c r="F786" s="857"/>
      <c r="G786" s="189"/>
      <c r="H786" s="810" t="s">
        <v>12</v>
      </c>
      <c r="I786" s="811"/>
      <c r="J786" s="811"/>
      <c r="K786" s="812"/>
      <c r="L786" s="195">
        <f t="shared" ref="L786:N786" ca="1" si="319">L787+L788</f>
        <v>266560</v>
      </c>
      <c r="M786" s="195">
        <f t="shared" ca="1" si="319"/>
        <v>341560</v>
      </c>
      <c r="N786" s="195">
        <f t="shared" si="319"/>
        <v>341560</v>
      </c>
      <c r="O786" s="195">
        <f t="shared" ref="O786:O791" ca="1" si="320">IF(L786&gt;0,N786*100/L786,0)</f>
        <v>128.13625450180072</v>
      </c>
      <c r="P786" s="195">
        <f t="shared" ref="P786:P791" ca="1" si="321">IF(M786&gt;0,N786*100/M786,0)</f>
        <v>100</v>
      </c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</row>
    <row r="787" spans="1:26" ht="18.75" hidden="1">
      <c r="A787" s="599"/>
      <c r="B787" s="607"/>
      <c r="C787" s="759"/>
      <c r="D787" s="720"/>
      <c r="E787" s="759" t="s">
        <v>185</v>
      </c>
      <c r="F787" s="759"/>
      <c r="G787" s="603"/>
      <c r="H787" s="813" t="s">
        <v>12</v>
      </c>
      <c r="I787" s="811"/>
      <c r="J787" s="811"/>
      <c r="K787" s="812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4"/>
      <c r="R787" s="604"/>
      <c r="S787" s="604"/>
      <c r="T787" s="604"/>
      <c r="U787" s="604"/>
      <c r="V787" s="604"/>
      <c r="W787" s="604"/>
      <c r="X787" s="604"/>
      <c r="Y787" s="604"/>
      <c r="Z787" s="604"/>
    </row>
    <row r="788" spans="1:26" ht="18.75" hidden="1">
      <c r="A788" s="599"/>
      <c r="B788" s="607"/>
      <c r="C788" s="607"/>
      <c r="D788" s="616"/>
      <c r="E788" s="759" t="s">
        <v>186</v>
      </c>
      <c r="F788" s="759"/>
      <c r="G788" s="603"/>
      <c r="H788" s="813" t="s">
        <v>12</v>
      </c>
      <c r="I788" s="811"/>
      <c r="J788" s="811"/>
      <c r="K788" s="812"/>
      <c r="L788" s="93">
        <f t="shared" ca="1" si="322"/>
        <v>266560</v>
      </c>
      <c r="M788" s="93">
        <f t="shared" ca="1" si="322"/>
        <v>341560</v>
      </c>
      <c r="N788" s="93">
        <f t="shared" si="322"/>
        <v>341560</v>
      </c>
      <c r="O788" s="93">
        <f t="shared" ca="1" si="320"/>
        <v>128.13625450180072</v>
      </c>
      <c r="P788" s="93">
        <f t="shared" ca="1" si="321"/>
        <v>100</v>
      </c>
      <c r="Q788" s="604"/>
      <c r="R788" s="604"/>
      <c r="S788" s="604"/>
      <c r="T788" s="604"/>
      <c r="U788" s="604"/>
      <c r="V788" s="604"/>
      <c r="W788" s="604"/>
      <c r="X788" s="604"/>
      <c r="Y788" s="604"/>
      <c r="Z788" s="604"/>
    </row>
    <row r="789" spans="1:26" ht="18.75">
      <c r="A789" s="597"/>
      <c r="B789" s="575"/>
      <c r="C789" s="575"/>
      <c r="D789" s="606" t="s">
        <v>20</v>
      </c>
      <c r="E789" s="763"/>
      <c r="F789" s="763"/>
      <c r="G789" s="189"/>
      <c r="H789" s="814" t="s">
        <v>12</v>
      </c>
      <c r="I789" s="815"/>
      <c r="J789" s="815"/>
      <c r="K789" s="816"/>
      <c r="L789" s="498">
        <f t="shared" ref="L789:N789" ca="1" si="323">L790+L791</f>
        <v>266560</v>
      </c>
      <c r="M789" s="498">
        <f t="shared" ca="1" si="323"/>
        <v>341560</v>
      </c>
      <c r="N789" s="498">
        <f t="shared" si="323"/>
        <v>341560</v>
      </c>
      <c r="O789" s="498">
        <f t="shared" ca="1" si="320"/>
        <v>128.13625450180072</v>
      </c>
      <c r="P789" s="498">
        <f t="shared" ca="1" si="321"/>
        <v>100</v>
      </c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</row>
    <row r="790" spans="1:26" ht="18.75" hidden="1">
      <c r="A790" s="599"/>
      <c r="B790" s="607"/>
      <c r="C790" s="607"/>
      <c r="D790" s="616"/>
      <c r="E790" s="759" t="s">
        <v>185</v>
      </c>
      <c r="F790" s="759"/>
      <c r="G790" s="603"/>
      <c r="H790" s="813" t="s">
        <v>12</v>
      </c>
      <c r="I790" s="811"/>
      <c r="J790" s="811"/>
      <c r="K790" s="812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4"/>
      <c r="R790" s="604"/>
      <c r="S790" s="604"/>
      <c r="T790" s="604"/>
      <c r="U790" s="604"/>
      <c r="V790" s="604"/>
      <c r="W790" s="604"/>
      <c r="X790" s="604"/>
      <c r="Y790" s="604"/>
      <c r="Z790" s="604"/>
    </row>
    <row r="791" spans="1:26" ht="18.75" hidden="1">
      <c r="A791" s="599"/>
      <c r="B791" s="607"/>
      <c r="C791" s="607"/>
      <c r="D791" s="616"/>
      <c r="E791" s="759" t="s">
        <v>186</v>
      </c>
      <c r="F791" s="759"/>
      <c r="G791" s="603"/>
      <c r="H791" s="813" t="s">
        <v>12</v>
      </c>
      <c r="I791" s="811"/>
      <c r="J791" s="811"/>
      <c r="K791" s="812"/>
      <c r="L791" s="93">
        <f ca="1">IFERROR(__xludf.DUMMYFUNCTION("IMPORTRANGE(""https://docs.google.com/spreadsheets/d/1QqKyyYR6Q21VydFLVH3TRQUabQu_ym0Zz7PgGX0-kHA/edit?usp=sharing"",""แผน!JJ42"")"),266560)</f>
        <v>266560</v>
      </c>
      <c r="M791" s="93">
        <f ca="1">L791+75000</f>
        <v>341560</v>
      </c>
      <c r="N791" s="93">
        <f>N792+N793+N794+N795</f>
        <v>341560</v>
      </c>
      <c r="O791" s="93">
        <f t="shared" ca="1" si="320"/>
        <v>128.13625450180072</v>
      </c>
      <c r="P791" s="93">
        <f t="shared" ca="1" si="321"/>
        <v>100</v>
      </c>
      <c r="Q791" s="604"/>
      <c r="R791" s="604"/>
      <c r="S791" s="604"/>
      <c r="T791" s="604"/>
      <c r="U791" s="604"/>
      <c r="V791" s="604"/>
      <c r="W791" s="604"/>
      <c r="X791" s="604"/>
      <c r="Y791" s="604"/>
      <c r="Z791" s="604"/>
    </row>
    <row r="792" spans="1:26" ht="18.75">
      <c r="A792" s="574"/>
      <c r="B792" s="575"/>
      <c r="C792" s="763"/>
      <c r="D792" s="763"/>
      <c r="E792" s="763"/>
      <c r="F792" s="763" t="s">
        <v>187</v>
      </c>
      <c r="G792" s="189"/>
      <c r="H792" s="814" t="s">
        <v>12</v>
      </c>
      <c r="I792" s="811"/>
      <c r="J792" s="811"/>
      <c r="K792" s="812"/>
      <c r="L792" s="498"/>
      <c r="M792" s="498"/>
      <c r="N792" s="840">
        <v>0</v>
      </c>
      <c r="O792" s="498"/>
      <c r="P792" s="49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</row>
    <row r="793" spans="1:26" ht="18.75">
      <c r="A793" s="574"/>
      <c r="B793" s="575"/>
      <c r="C793" s="763"/>
      <c r="D793" s="763"/>
      <c r="E793" s="763"/>
      <c r="F793" s="763" t="s">
        <v>188</v>
      </c>
      <c r="G793" s="189"/>
      <c r="H793" s="814" t="s">
        <v>12</v>
      </c>
      <c r="I793" s="811"/>
      <c r="J793" s="811"/>
      <c r="K793" s="812"/>
      <c r="L793" s="498"/>
      <c r="M793" s="498"/>
      <c r="N793" s="840">
        <v>0</v>
      </c>
      <c r="O793" s="498"/>
      <c r="P793" s="49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</row>
    <row r="794" spans="1:26" ht="18.75">
      <c r="A794" s="574"/>
      <c r="B794" s="575"/>
      <c r="C794" s="763"/>
      <c r="D794" s="763"/>
      <c r="E794" s="763"/>
      <c r="F794" s="763" t="s">
        <v>189</v>
      </c>
      <c r="G794" s="189"/>
      <c r="H794" s="814" t="s">
        <v>12</v>
      </c>
      <c r="I794" s="811"/>
      <c r="J794" s="811"/>
      <c r="K794" s="812"/>
      <c r="L794" s="498"/>
      <c r="M794" s="498"/>
      <c r="N794" s="840">
        <v>69000</v>
      </c>
      <c r="O794" s="498"/>
      <c r="P794" s="49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</row>
    <row r="795" spans="1:26" ht="18.75">
      <c r="A795" s="574"/>
      <c r="B795" s="575"/>
      <c r="C795" s="763"/>
      <c r="D795" s="763"/>
      <c r="E795" s="763"/>
      <c r="F795" s="763" t="s">
        <v>190</v>
      </c>
      <c r="G795" s="189"/>
      <c r="H795" s="814" t="s">
        <v>12</v>
      </c>
      <c r="I795" s="811"/>
      <c r="J795" s="811"/>
      <c r="K795" s="812"/>
      <c r="L795" s="498"/>
      <c r="M795" s="498"/>
      <c r="N795" s="840">
        <v>272560</v>
      </c>
      <c r="O795" s="498"/>
      <c r="P795" s="49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</row>
    <row r="796" spans="1:26" ht="18.75">
      <c r="A796" s="597"/>
      <c r="B796" s="575"/>
      <c r="C796" s="763"/>
      <c r="D796" s="606" t="s">
        <v>21</v>
      </c>
      <c r="E796" s="763"/>
      <c r="F796" s="763"/>
      <c r="G796" s="189"/>
      <c r="H796" s="817" t="s">
        <v>12</v>
      </c>
      <c r="I796" s="815"/>
      <c r="J796" s="815"/>
      <c r="K796" s="816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</row>
    <row r="797" spans="1:26" ht="18.75" hidden="1">
      <c r="A797" s="599"/>
      <c r="B797" s="607"/>
      <c r="C797" s="759"/>
      <c r="D797" s="759"/>
      <c r="E797" s="759" t="s">
        <v>18</v>
      </c>
      <c r="F797" s="759"/>
      <c r="G797" s="603"/>
      <c r="H797" s="813" t="s">
        <v>12</v>
      </c>
      <c r="I797" s="815"/>
      <c r="J797" s="815"/>
      <c r="K797" s="816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4"/>
      <c r="R797" s="604"/>
      <c r="S797" s="604"/>
      <c r="T797" s="604"/>
      <c r="U797" s="604"/>
      <c r="V797" s="604"/>
      <c r="W797" s="604"/>
      <c r="X797" s="604"/>
      <c r="Y797" s="604"/>
      <c r="Z797" s="604"/>
    </row>
    <row r="798" spans="1:26" ht="18.75" hidden="1">
      <c r="A798" s="599"/>
      <c r="B798" s="607"/>
      <c r="C798" s="759"/>
      <c r="D798" s="759"/>
      <c r="E798" s="759" t="s">
        <v>19</v>
      </c>
      <c r="F798" s="759"/>
      <c r="G798" s="603"/>
      <c r="H798" s="818" t="s">
        <v>12</v>
      </c>
      <c r="I798" s="815"/>
      <c r="J798" s="815"/>
      <c r="K798" s="816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4"/>
      <c r="R798" s="604"/>
      <c r="S798" s="604"/>
      <c r="T798" s="604"/>
      <c r="U798" s="604"/>
      <c r="V798" s="604"/>
      <c r="W798" s="604"/>
      <c r="X798" s="604"/>
      <c r="Y798" s="604"/>
      <c r="Z798" s="604"/>
    </row>
    <row r="799" spans="1:26" ht="19.5">
      <c r="A799" s="608"/>
      <c r="B799" s="618"/>
      <c r="C799" s="763" t="s">
        <v>16</v>
      </c>
      <c r="D799" s="898" t="s">
        <v>38</v>
      </c>
      <c r="E799" s="761"/>
      <c r="F799" s="761"/>
      <c r="G799" s="613"/>
      <c r="H799" s="819"/>
      <c r="I799" s="815"/>
      <c r="J799" s="815"/>
      <c r="K799" s="816"/>
      <c r="L799" s="163"/>
      <c r="M799" s="163"/>
      <c r="N799" s="163"/>
      <c r="O799" s="163"/>
      <c r="P799" s="163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</row>
    <row r="800" spans="1:26" ht="18.75">
      <c r="A800" s="608"/>
      <c r="B800" s="618"/>
      <c r="C800" s="618"/>
      <c r="D800" s="618"/>
      <c r="E800" s="626"/>
      <c r="F800" s="626" t="s">
        <v>321</v>
      </c>
      <c r="G800" s="762"/>
      <c r="H800" s="820" t="s">
        <v>34</v>
      </c>
      <c r="I800" s="815"/>
      <c r="J800" s="821">
        <f ca="1">IFERROR(__xludf.DUMMYFUNCTION("IMPORTRANGE(""https://docs.google.com/spreadsheets/d/1MaWodYyGHDf7siQLGxnXhG4mBNTNIuy296niS2xXulU/edit?usp=sharing"",""RTK!H42"")"),340)</f>
        <v>340</v>
      </c>
      <c r="K800" s="812"/>
      <c r="L800" s="498"/>
      <c r="M800" s="498"/>
      <c r="N800" s="498"/>
      <c r="O800" s="163"/>
      <c r="P800" s="163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</row>
    <row r="801" spans="1:26" ht="18.75">
      <c r="A801" s="608"/>
      <c r="B801" s="618"/>
      <c r="C801" s="618"/>
      <c r="D801" s="618"/>
      <c r="E801" s="626"/>
      <c r="F801" s="626"/>
      <c r="G801" s="762"/>
      <c r="H801" s="814" t="s">
        <v>46</v>
      </c>
      <c r="I801" s="821">
        <f ca="1">IFERROR(__xludf.DUMMYFUNCTION("IMPORTRANGE(""https://docs.google.com/spreadsheets/d/1MaWodYyGHDf7siQLGxnXhG4mBNTNIuy296niS2xXulU/edit?usp=sharing"",""RTK!G42"")"),4000)</f>
        <v>4000</v>
      </c>
      <c r="J801" s="822">
        <f ca="1">IFERROR(__xludf.DUMMYFUNCTION("IMPORTRANGE(""https://docs.google.com/spreadsheets/d/1MaWodYyGHDf7siQLGxnXhG4mBNTNIuy296niS2xXulU/edit?usp=sharing"",""RTK!I42"")"),4218)</f>
        <v>4218</v>
      </c>
      <c r="K801" s="823">
        <f ca="1">IF(I801&gt;0,J801*100/I801,0)</f>
        <v>105.45</v>
      </c>
      <c r="L801" s="498"/>
      <c r="M801" s="498"/>
      <c r="N801" s="498"/>
      <c r="O801" s="163"/>
      <c r="P801" s="163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</row>
    <row r="802" spans="1:26" ht="18.75">
      <c r="A802" s="614"/>
      <c r="B802" s="616"/>
      <c r="C802" s="616"/>
      <c r="D802" s="616"/>
      <c r="E802" s="720"/>
      <c r="F802" s="824" t="s">
        <v>322</v>
      </c>
      <c r="G802" s="366"/>
      <c r="H802" s="820" t="s">
        <v>34</v>
      </c>
      <c r="I802" s="815"/>
      <c r="J802" s="821">
        <f ca="1">IFERROR(__xludf.DUMMYFUNCTION("IMPORTRANGE(""https://docs.google.com/spreadsheets/d/1MaWodYyGHDf7siQLGxnXhG4mBNTNIuy296niS2xXulU/edit?usp=sharing"",""RTK!L42"")"),1407)</f>
        <v>1407</v>
      </c>
      <c r="K802" s="812"/>
      <c r="L802" s="167"/>
      <c r="M802" s="167"/>
      <c r="N802" s="167"/>
      <c r="O802" s="167"/>
      <c r="P802" s="167"/>
      <c r="Q802" s="604"/>
      <c r="R802" s="604"/>
      <c r="S802" s="604"/>
      <c r="T802" s="604"/>
      <c r="U802" s="604"/>
      <c r="V802" s="604"/>
      <c r="W802" s="604"/>
      <c r="X802" s="604"/>
      <c r="Y802" s="604"/>
      <c r="Z802" s="604"/>
    </row>
    <row r="803" spans="1:26" ht="18.75">
      <c r="A803" s="614"/>
      <c r="B803" s="616"/>
      <c r="C803" s="616"/>
      <c r="D803" s="616"/>
      <c r="E803" s="720"/>
      <c r="F803" s="720"/>
      <c r="G803" s="366"/>
      <c r="H803" s="820" t="s">
        <v>46</v>
      </c>
      <c r="I803" s="821">
        <f ca="1">IFERROR(__xludf.DUMMYFUNCTION("IMPORTRANGE(""https://docs.google.com/spreadsheets/d/1MaWodYyGHDf7siQLGxnXhG4mBNTNIuy296niS2xXulU/edit?usp=sharing"",""RTK!K42"")"),15000)</f>
        <v>15000</v>
      </c>
      <c r="J803" s="822">
        <f ca="1">IFERROR(__xludf.DUMMYFUNCTION("IMPORTRANGE(""https://docs.google.com/spreadsheets/d/1MaWodYyGHDf7siQLGxnXhG4mBNTNIuy296niS2xXulU/edit?usp=sharing"",""RTK!M42"")"),17317.63)</f>
        <v>17317.63</v>
      </c>
      <c r="K803" s="823">
        <f t="shared" ref="K803:K804" ca="1" si="327">IF(I803&gt;0,J803*100/I803,0)</f>
        <v>115.45086666666667</v>
      </c>
      <c r="L803" s="167"/>
      <c r="M803" s="167"/>
      <c r="N803" s="167"/>
      <c r="O803" s="167"/>
      <c r="P803" s="167"/>
      <c r="Q803" s="604"/>
      <c r="R803" s="604"/>
      <c r="S803" s="604"/>
      <c r="T803" s="604"/>
      <c r="U803" s="604"/>
      <c r="V803" s="604"/>
      <c r="W803" s="604"/>
      <c r="X803" s="604"/>
      <c r="Y803" s="604"/>
      <c r="Z803" s="604"/>
    </row>
    <row r="804" spans="1:26" ht="19.5" hidden="1">
      <c r="A804" s="793">
        <v>13</v>
      </c>
      <c r="B804" s="794" t="s">
        <v>323</v>
      </c>
      <c r="C804" s="795"/>
      <c r="D804" s="825"/>
      <c r="E804" s="795"/>
      <c r="F804" s="795"/>
      <c r="G804" s="796"/>
      <c r="H804" s="797" t="s">
        <v>46</v>
      </c>
      <c r="I804" s="798"/>
      <c r="J804" s="798">
        <f>J819</f>
        <v>0</v>
      </c>
      <c r="K804" s="799">
        <f t="shared" si="327"/>
        <v>0</v>
      </c>
      <c r="L804" s="800"/>
      <c r="M804" s="800"/>
      <c r="N804" s="800"/>
      <c r="O804" s="800"/>
      <c r="P804" s="800"/>
      <c r="Q804" s="604"/>
      <c r="R804" s="604"/>
      <c r="S804" s="604"/>
      <c r="T804" s="604"/>
      <c r="U804" s="604"/>
      <c r="V804" s="604"/>
      <c r="W804" s="604"/>
      <c r="X804" s="604"/>
      <c r="Y804" s="604"/>
      <c r="Z804" s="604"/>
    </row>
    <row r="805" spans="1:26" ht="19.5" hidden="1">
      <c r="A805" s="599"/>
      <c r="B805" s="759"/>
      <c r="C805" s="759" t="s">
        <v>16</v>
      </c>
      <c r="D805" s="864" t="s">
        <v>17</v>
      </c>
      <c r="E805" s="857"/>
      <c r="F805" s="857"/>
      <c r="G805" s="603"/>
      <c r="H805" s="646" t="s">
        <v>12</v>
      </c>
      <c r="I805" s="617"/>
      <c r="J805" s="617"/>
      <c r="K805" s="93"/>
      <c r="L805" s="647">
        <f t="shared" ref="L805:N805" si="328">L806+L807</f>
        <v>0</v>
      </c>
      <c r="M805" s="647">
        <f t="shared" si="328"/>
        <v>0</v>
      </c>
      <c r="N805" s="647">
        <f t="shared" si="328"/>
        <v>0</v>
      </c>
      <c r="O805" s="647">
        <f t="shared" ref="O805:O810" si="329">IF(L805&gt;0,N805*100/L805,0)</f>
        <v>0</v>
      </c>
      <c r="P805" s="647">
        <f t="shared" ref="P805:P810" si="330">IF(M805&gt;0,N805*100/M805,0)</f>
        <v>0</v>
      </c>
      <c r="Q805" s="604"/>
      <c r="R805" s="604"/>
      <c r="S805" s="604"/>
      <c r="T805" s="604"/>
      <c r="U805" s="604"/>
      <c r="V805" s="604"/>
      <c r="W805" s="604"/>
      <c r="X805" s="604"/>
      <c r="Y805" s="604"/>
      <c r="Z805" s="604"/>
    </row>
    <row r="806" spans="1:26" ht="18.75" hidden="1">
      <c r="A806" s="599"/>
      <c r="B806" s="759"/>
      <c r="C806" s="759"/>
      <c r="D806" s="616"/>
      <c r="E806" s="759" t="s">
        <v>185</v>
      </c>
      <c r="F806" s="759"/>
      <c r="G806" s="603"/>
      <c r="H806" s="165" t="s">
        <v>12</v>
      </c>
      <c r="I806" s="617"/>
      <c r="J806" s="617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4"/>
      <c r="R806" s="604"/>
      <c r="S806" s="604"/>
      <c r="T806" s="604"/>
      <c r="U806" s="604"/>
      <c r="V806" s="604"/>
      <c r="W806" s="604"/>
      <c r="X806" s="604"/>
      <c r="Y806" s="604"/>
      <c r="Z806" s="604"/>
    </row>
    <row r="807" spans="1:26" ht="18.75" hidden="1">
      <c r="A807" s="599"/>
      <c r="B807" s="759"/>
      <c r="C807" s="759"/>
      <c r="D807" s="616"/>
      <c r="E807" s="759" t="s">
        <v>186</v>
      </c>
      <c r="F807" s="759"/>
      <c r="G807" s="603"/>
      <c r="H807" s="165" t="s">
        <v>12</v>
      </c>
      <c r="I807" s="617"/>
      <c r="J807" s="617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4"/>
      <c r="R807" s="604"/>
      <c r="S807" s="604"/>
      <c r="T807" s="604"/>
      <c r="U807" s="604"/>
      <c r="V807" s="604"/>
      <c r="W807" s="604"/>
      <c r="X807" s="604"/>
      <c r="Y807" s="604"/>
      <c r="Z807" s="604"/>
    </row>
    <row r="808" spans="1:26" ht="19.5" hidden="1">
      <c r="A808" s="599"/>
      <c r="B808" s="607"/>
      <c r="C808" s="759"/>
      <c r="D808" s="905" t="s">
        <v>20</v>
      </c>
      <c r="E808" s="857"/>
      <c r="F808" s="857"/>
      <c r="G808" s="603"/>
      <c r="H808" s="646" t="s">
        <v>12</v>
      </c>
      <c r="I808" s="166"/>
      <c r="J808" s="166"/>
      <c r="K808" s="167"/>
      <c r="L808" s="647">
        <f t="shared" ref="L808:N808" si="332">L809+L810</f>
        <v>0</v>
      </c>
      <c r="M808" s="647">
        <f t="shared" si="332"/>
        <v>0</v>
      </c>
      <c r="N808" s="647">
        <f t="shared" si="332"/>
        <v>0</v>
      </c>
      <c r="O808" s="647">
        <f t="shared" si="329"/>
        <v>0</v>
      </c>
      <c r="P808" s="647">
        <f t="shared" si="330"/>
        <v>0</v>
      </c>
      <c r="Q808" s="604"/>
      <c r="R808" s="604"/>
      <c r="S808" s="604"/>
      <c r="T808" s="604"/>
      <c r="U808" s="604"/>
      <c r="V808" s="604"/>
      <c r="W808" s="604"/>
      <c r="X808" s="604"/>
      <c r="Y808" s="604"/>
      <c r="Z808" s="604"/>
    </row>
    <row r="809" spans="1:26" ht="18.75" hidden="1">
      <c r="A809" s="599"/>
      <c r="B809" s="759"/>
      <c r="C809" s="759"/>
      <c r="D809" s="616"/>
      <c r="E809" s="759" t="s">
        <v>185</v>
      </c>
      <c r="F809" s="759"/>
      <c r="G809" s="603"/>
      <c r="H809" s="165" t="s">
        <v>12</v>
      </c>
      <c r="I809" s="617"/>
      <c r="J809" s="617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4"/>
      <c r="R809" s="604"/>
      <c r="S809" s="604"/>
      <c r="T809" s="604"/>
      <c r="U809" s="604"/>
      <c r="V809" s="604"/>
      <c r="W809" s="604"/>
      <c r="X809" s="604"/>
      <c r="Y809" s="604"/>
      <c r="Z809" s="604"/>
    </row>
    <row r="810" spans="1:26" ht="18.75" hidden="1">
      <c r="A810" s="599"/>
      <c r="B810" s="759"/>
      <c r="C810" s="759"/>
      <c r="D810" s="616"/>
      <c r="E810" s="759" t="s">
        <v>186</v>
      </c>
      <c r="F810" s="759"/>
      <c r="G810" s="603"/>
      <c r="H810" s="165" t="s">
        <v>12</v>
      </c>
      <c r="I810" s="617"/>
      <c r="J810" s="617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4"/>
      <c r="R810" s="604"/>
      <c r="S810" s="604"/>
      <c r="T810" s="604"/>
      <c r="U810" s="604"/>
      <c r="V810" s="604"/>
      <c r="W810" s="604"/>
      <c r="X810" s="604"/>
      <c r="Y810" s="604"/>
      <c r="Z810" s="604"/>
    </row>
    <row r="811" spans="1:26" ht="18.75" hidden="1">
      <c r="A811" s="649"/>
      <c r="B811" s="607"/>
      <c r="C811" s="759"/>
      <c r="D811" s="607"/>
      <c r="E811" s="759"/>
      <c r="F811" s="759" t="s">
        <v>187</v>
      </c>
      <c r="G811" s="603"/>
      <c r="H811" s="165" t="s">
        <v>12</v>
      </c>
      <c r="I811" s="617"/>
      <c r="J811" s="617"/>
      <c r="K811" s="93"/>
      <c r="L811" s="93"/>
      <c r="M811" s="93"/>
      <c r="N811" s="93"/>
      <c r="O811" s="93"/>
      <c r="P811" s="93"/>
      <c r="Q811" s="604"/>
      <c r="R811" s="604"/>
      <c r="S811" s="604"/>
      <c r="T811" s="604"/>
      <c r="U811" s="604"/>
      <c r="V811" s="604"/>
      <c r="W811" s="604"/>
      <c r="X811" s="604"/>
      <c r="Y811" s="604"/>
      <c r="Z811" s="604"/>
    </row>
    <row r="812" spans="1:26" ht="18.75" hidden="1">
      <c r="A812" s="649"/>
      <c r="B812" s="607"/>
      <c r="C812" s="759"/>
      <c r="D812" s="607"/>
      <c r="E812" s="759"/>
      <c r="F812" s="759" t="s">
        <v>188</v>
      </c>
      <c r="G812" s="603"/>
      <c r="H812" s="165" t="s">
        <v>12</v>
      </c>
      <c r="I812" s="617"/>
      <c r="J812" s="617"/>
      <c r="K812" s="93"/>
      <c r="L812" s="93"/>
      <c r="M812" s="93"/>
      <c r="N812" s="93"/>
      <c r="O812" s="93"/>
      <c r="P812" s="93"/>
      <c r="Q812" s="604"/>
      <c r="R812" s="604"/>
      <c r="S812" s="604"/>
      <c r="T812" s="604"/>
      <c r="U812" s="604"/>
      <c r="V812" s="604"/>
      <c r="W812" s="604"/>
      <c r="X812" s="604"/>
      <c r="Y812" s="604"/>
      <c r="Z812" s="604"/>
    </row>
    <row r="813" spans="1:26" ht="18.75" hidden="1">
      <c r="A813" s="649"/>
      <c r="B813" s="607"/>
      <c r="C813" s="759"/>
      <c r="D813" s="607"/>
      <c r="E813" s="759"/>
      <c r="F813" s="759" t="s">
        <v>189</v>
      </c>
      <c r="G813" s="603"/>
      <c r="H813" s="165" t="s">
        <v>12</v>
      </c>
      <c r="I813" s="617"/>
      <c r="J813" s="617"/>
      <c r="K813" s="93"/>
      <c r="L813" s="93"/>
      <c r="M813" s="93"/>
      <c r="N813" s="93"/>
      <c r="O813" s="93"/>
      <c r="P813" s="93"/>
      <c r="Q813" s="604"/>
      <c r="R813" s="604"/>
      <c r="S813" s="604"/>
      <c r="T813" s="604"/>
      <c r="U813" s="604"/>
      <c r="V813" s="604"/>
      <c r="W813" s="604"/>
      <c r="X813" s="604"/>
      <c r="Y813" s="604"/>
      <c r="Z813" s="604"/>
    </row>
    <row r="814" spans="1:26" ht="18.75" hidden="1">
      <c r="A814" s="649"/>
      <c r="B814" s="607"/>
      <c r="C814" s="759"/>
      <c r="D814" s="607"/>
      <c r="E814" s="759"/>
      <c r="F814" s="759" t="s">
        <v>190</v>
      </c>
      <c r="G814" s="603"/>
      <c r="H814" s="165" t="s">
        <v>12</v>
      </c>
      <c r="I814" s="617"/>
      <c r="J814" s="617"/>
      <c r="K814" s="93"/>
      <c r="L814" s="93"/>
      <c r="M814" s="93"/>
      <c r="N814" s="93"/>
      <c r="O814" s="93"/>
      <c r="P814" s="93"/>
      <c r="Q814" s="604"/>
      <c r="R814" s="604"/>
      <c r="S814" s="604"/>
      <c r="T814" s="604"/>
      <c r="U814" s="604"/>
      <c r="V814" s="604"/>
      <c r="W814" s="604"/>
      <c r="X814" s="604"/>
      <c r="Y814" s="604"/>
      <c r="Z814" s="604"/>
    </row>
    <row r="815" spans="1:26" ht="19.5" hidden="1">
      <c r="A815" s="599"/>
      <c r="B815" s="607"/>
      <c r="C815" s="759"/>
      <c r="D815" s="905" t="s">
        <v>21</v>
      </c>
      <c r="E815" s="857"/>
      <c r="F815" s="857"/>
      <c r="G815" s="603"/>
      <c r="H815" s="783" t="s">
        <v>12</v>
      </c>
      <c r="I815" s="166"/>
      <c r="J815" s="166"/>
      <c r="K815" s="167"/>
      <c r="L815" s="647">
        <f t="shared" ref="L815:N815" si="333">L816+L817</f>
        <v>0</v>
      </c>
      <c r="M815" s="647">
        <f t="shared" si="333"/>
        <v>0</v>
      </c>
      <c r="N815" s="647">
        <f t="shared" si="333"/>
        <v>0</v>
      </c>
      <c r="O815" s="647">
        <f t="shared" ref="O815:O817" si="334">IF(L815&gt;0,N815*100/L815,0)</f>
        <v>0</v>
      </c>
      <c r="P815" s="647">
        <f t="shared" ref="P815:P817" si="335">IF(M815&gt;0,N815*100/M815,0)</f>
        <v>0</v>
      </c>
      <c r="Q815" s="604"/>
      <c r="R815" s="604"/>
      <c r="S815" s="604"/>
      <c r="T815" s="604"/>
      <c r="U815" s="604"/>
      <c r="V815" s="604"/>
      <c r="W815" s="604"/>
      <c r="X815" s="604"/>
      <c r="Y815" s="604"/>
      <c r="Z815" s="604"/>
    </row>
    <row r="816" spans="1:26" ht="18.75" hidden="1">
      <c r="A816" s="599"/>
      <c r="B816" s="607"/>
      <c r="C816" s="759"/>
      <c r="D816" s="607"/>
      <c r="E816" s="759" t="s">
        <v>18</v>
      </c>
      <c r="F816" s="759"/>
      <c r="G816" s="603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4"/>
      <c r="R816" s="604"/>
      <c r="S816" s="604"/>
      <c r="T816" s="604"/>
      <c r="U816" s="604"/>
      <c r="V816" s="604"/>
      <c r="W816" s="604"/>
      <c r="X816" s="604"/>
      <c r="Y816" s="604"/>
      <c r="Z816" s="604"/>
    </row>
    <row r="817" spans="1:26" ht="18.75" hidden="1">
      <c r="A817" s="599"/>
      <c r="B817" s="607"/>
      <c r="C817" s="759"/>
      <c r="D817" s="607"/>
      <c r="E817" s="759" t="s">
        <v>19</v>
      </c>
      <c r="F817" s="759"/>
      <c r="G817" s="603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4"/>
      <c r="R817" s="604"/>
      <c r="S817" s="604"/>
      <c r="T817" s="604"/>
      <c r="U817" s="604"/>
      <c r="V817" s="604"/>
      <c r="W817" s="604"/>
      <c r="X817" s="604"/>
      <c r="Y817" s="604"/>
      <c r="Z817" s="604"/>
    </row>
    <row r="818" spans="1:26" ht="19.5" hidden="1">
      <c r="A818" s="614"/>
      <c r="B818" s="616"/>
      <c r="C818" s="759" t="s">
        <v>16</v>
      </c>
      <c r="D818" s="906" t="s">
        <v>38</v>
      </c>
      <c r="E818" s="651"/>
      <c r="F818" s="651"/>
      <c r="G818" s="652"/>
      <c r="H818" s="366"/>
      <c r="I818" s="166"/>
      <c r="J818" s="166"/>
      <c r="K818" s="167"/>
      <c r="L818" s="167"/>
      <c r="M818" s="167"/>
      <c r="N818" s="167"/>
      <c r="O818" s="167"/>
      <c r="P818" s="167"/>
      <c r="Q818" s="604"/>
      <c r="R818" s="604"/>
      <c r="S818" s="604"/>
      <c r="T818" s="604"/>
      <c r="U818" s="604"/>
      <c r="V818" s="604"/>
      <c r="W818" s="604"/>
      <c r="X818" s="604"/>
      <c r="Y818" s="604"/>
      <c r="Z818" s="604"/>
    </row>
    <row r="819" spans="1:26" ht="19.5" hidden="1" thickBot="1">
      <c r="A819" s="827"/>
      <c r="B819" s="828"/>
      <c r="C819" s="830"/>
      <c r="D819" s="828"/>
      <c r="E819" s="830" t="s">
        <v>324</v>
      </c>
      <c r="F819" s="830"/>
      <c r="G819" s="831"/>
      <c r="H819" s="832" t="s">
        <v>46</v>
      </c>
      <c r="I819" s="833"/>
      <c r="J819" s="833"/>
      <c r="K819" s="834"/>
      <c r="L819" s="834"/>
      <c r="M819" s="834"/>
      <c r="N819" s="834"/>
      <c r="O819" s="834"/>
      <c r="P819" s="834"/>
      <c r="Q819" s="604"/>
      <c r="R819" s="604"/>
      <c r="S819" s="604"/>
      <c r="T819" s="604"/>
      <c r="U819" s="604"/>
      <c r="V819" s="604"/>
      <c r="W819" s="604"/>
      <c r="X819" s="604"/>
      <c r="Y819" s="604"/>
      <c r="Z819" s="604"/>
    </row>
    <row r="820" spans="1:26" ht="19.5">
      <c r="A820" s="907" t="s">
        <v>337</v>
      </c>
      <c r="B820" s="908"/>
      <c r="C820" s="908"/>
      <c r="D820" s="909"/>
      <c r="E820" s="908"/>
      <c r="F820" s="908"/>
      <c r="G820" s="910"/>
      <c r="H820" s="91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912"/>
      <c r="J820" s="912"/>
      <c r="K820" s="913"/>
      <c r="L820" s="913"/>
      <c r="M820" s="913"/>
      <c r="N820" s="913"/>
      <c r="O820" s="913"/>
      <c r="P820" s="913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</row>
    <row r="821" spans="1:26" ht="18.75">
      <c r="A821" s="744"/>
      <c r="B821" s="763" t="s">
        <v>326</v>
      </c>
      <c r="C821" s="763"/>
      <c r="D821" s="575"/>
      <c r="E821" s="763"/>
      <c r="F821" s="763"/>
      <c r="G821" s="189"/>
      <c r="H821" s="623" t="s">
        <v>12</v>
      </c>
      <c r="I821" s="270">
        <f ca="1">IFERROR(__xludf.DUMMYFUNCTION("IMPORTRANGE(""https://docs.google.com/spreadsheets/d/19vJNZY_5yjcGF2XGBMNZRCAIB0Kwfpjp8YEOfu-bneM/edit?usp=sharing"",""งานกองทุน!D42"")"),4775821.97)</f>
        <v>4775821.97</v>
      </c>
      <c r="J821" s="270">
        <f ca="1">IFERROR(__xludf.DUMMYFUNCTION("IMPORTRANGE(""https://docs.google.com/spreadsheets/d/19vJNZY_5yjcGF2XGBMNZRCAIB0Kwfpjp8YEOfu-bneM/edit?usp=sharing"",""งานกองทุน!F42"")"),4874715.7)</f>
        <v>4874715.7</v>
      </c>
      <c r="K821" s="498">
        <f t="shared" ref="K821:K828" ca="1" si="336">IF(I821&gt;0,J821*100/I821,0)</f>
        <v>102.07071642580513</v>
      </c>
      <c r="L821" s="498"/>
      <c r="M821" s="498"/>
      <c r="N821" s="498"/>
      <c r="O821" s="498"/>
      <c r="P821" s="49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</row>
    <row r="822" spans="1:26" ht="18.75">
      <c r="A822" s="744"/>
      <c r="B822" s="763"/>
      <c r="C822" s="763"/>
      <c r="D822" s="575"/>
      <c r="E822" s="763"/>
      <c r="F822" s="763"/>
      <c r="G822" s="189"/>
      <c r="H822" s="623" t="s">
        <v>35</v>
      </c>
      <c r="I822" s="270">
        <f ca="1">IFERROR(__xludf.DUMMYFUNCTION("IMPORTRANGE(""https://docs.google.com/spreadsheets/d/19vJNZY_5yjcGF2XGBMNZRCAIB0Kwfpjp8YEOfu-bneM/edit?usp=sharing"",""งานกองทุน!C42"")"),442)</f>
        <v>442</v>
      </c>
      <c r="J822" s="270">
        <f ca="1">IFERROR(__xludf.DUMMYFUNCTION("IMPORTRANGE(""https://docs.google.com/spreadsheets/d/19vJNZY_5yjcGF2XGBMNZRCAIB0Kwfpjp8YEOfu-bneM/edit?usp=sharing"",""งานกองทุน!E42"")"),431)</f>
        <v>431</v>
      </c>
      <c r="K822" s="498">
        <f t="shared" ca="1" si="336"/>
        <v>97.511312217194572</v>
      </c>
      <c r="L822" s="498"/>
      <c r="M822" s="498"/>
      <c r="N822" s="498"/>
      <c r="O822" s="498"/>
      <c r="P822" s="49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</row>
    <row r="823" spans="1:26" ht="18.75">
      <c r="A823" s="744"/>
      <c r="B823" s="763" t="s">
        <v>327</v>
      </c>
      <c r="C823" s="763"/>
      <c r="D823" s="575"/>
      <c r="E823" s="763"/>
      <c r="F823" s="763"/>
      <c r="G823" s="189"/>
      <c r="H823" s="623" t="s">
        <v>12</v>
      </c>
      <c r="I823" s="270">
        <f ca="1">IFERROR(__xludf.DUMMYFUNCTION("IMPORTRANGE(""https://docs.google.com/spreadsheets/d/19vJNZY_5yjcGF2XGBMNZRCAIB0Kwfpjp8YEOfu-bneM/edit?usp=sharing"",""งานกองทุน!I42"")"),32733423.76)</f>
        <v>32733423.760000002</v>
      </c>
      <c r="J823" s="270">
        <f ca="1">IFERROR(__xludf.DUMMYFUNCTION("IMPORTRANGE(""https://docs.google.com/spreadsheets/d/19vJNZY_5yjcGF2XGBMNZRCAIB0Kwfpjp8YEOfu-bneM/edit?usp=sharing"",""งานกองทุน!K42"")"),5345581.53)</f>
        <v>5345581.53</v>
      </c>
      <c r="K823" s="498">
        <f t="shared" ca="1" si="336"/>
        <v>16.330652024650902</v>
      </c>
      <c r="L823" s="498"/>
      <c r="M823" s="498"/>
      <c r="N823" s="498"/>
      <c r="O823" s="498"/>
      <c r="P823" s="49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</row>
    <row r="824" spans="1:26" ht="18.75">
      <c r="A824" s="744"/>
      <c r="B824" s="763"/>
      <c r="C824" s="763"/>
      <c r="D824" s="575"/>
      <c r="E824" s="763"/>
      <c r="F824" s="763"/>
      <c r="G824" s="189"/>
      <c r="H824" s="623" t="s">
        <v>35</v>
      </c>
      <c r="I824" s="270">
        <f ca="1">IFERROR(__xludf.DUMMYFUNCTION("IMPORTRANGE(""https://docs.google.com/spreadsheets/d/19vJNZY_5yjcGF2XGBMNZRCAIB0Kwfpjp8YEOfu-bneM/edit?usp=sharing"",""งานกองทุน!H42"")"),1616)</f>
        <v>1616</v>
      </c>
      <c r="J824" s="270">
        <f ca="1">IFERROR(__xludf.DUMMYFUNCTION("IMPORTRANGE(""https://docs.google.com/spreadsheets/d/19vJNZY_5yjcGF2XGBMNZRCAIB0Kwfpjp8YEOfu-bneM/edit?usp=sharing"",""งานกองทุน!J42"")"),907)</f>
        <v>907</v>
      </c>
      <c r="K824" s="498">
        <f t="shared" ca="1" si="336"/>
        <v>56.126237623762378</v>
      </c>
      <c r="L824" s="498"/>
      <c r="M824" s="498"/>
      <c r="N824" s="498"/>
      <c r="O824" s="498"/>
      <c r="P824" s="49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</row>
    <row r="825" spans="1:26" ht="18.75">
      <c r="A825" s="744"/>
      <c r="B825" s="763" t="s">
        <v>328</v>
      </c>
      <c r="C825" s="763"/>
      <c r="D825" s="575"/>
      <c r="E825" s="763"/>
      <c r="F825" s="763"/>
      <c r="G825" s="189"/>
      <c r="H825" s="623" t="s">
        <v>12</v>
      </c>
      <c r="I825" s="270">
        <f ca="1">IFERROR(__xludf.DUMMYFUNCTION("IMPORTRANGE(""https://docs.google.com/spreadsheets/d/19vJNZY_5yjcGF2XGBMNZRCAIB0Kwfpjp8YEOfu-bneM/edit?usp=sharing"",""งานกองทุน!N42"")"),0)</f>
        <v>0</v>
      </c>
      <c r="J825" s="270">
        <f ca="1">IFERROR(__xludf.DUMMYFUNCTION("IMPORTRANGE(""https://docs.google.com/spreadsheets/d/19vJNZY_5yjcGF2XGBMNZRCAIB0Kwfpjp8YEOfu-bneM/edit?usp=sharing"",""งานกองทุน!P42"")"),0)</f>
        <v>0</v>
      </c>
      <c r="K825" s="498">
        <f t="shared" ca="1" si="336"/>
        <v>0</v>
      </c>
      <c r="L825" s="498"/>
      <c r="M825" s="498"/>
      <c r="N825" s="498"/>
      <c r="O825" s="498"/>
      <c r="P825" s="49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</row>
    <row r="826" spans="1:26" ht="18.75">
      <c r="A826" s="744"/>
      <c r="B826" s="763"/>
      <c r="C826" s="763"/>
      <c r="D826" s="575"/>
      <c r="E826" s="763"/>
      <c r="F826" s="763"/>
      <c r="G826" s="189"/>
      <c r="H826" s="623" t="s">
        <v>35</v>
      </c>
      <c r="I826" s="270">
        <f ca="1">IFERROR(__xludf.DUMMYFUNCTION("IMPORTRANGE(""https://docs.google.com/spreadsheets/d/19vJNZY_5yjcGF2XGBMNZRCAIB0Kwfpjp8YEOfu-bneM/edit?usp=sharing"",""งานกองทุน!M42"")"),0)</f>
        <v>0</v>
      </c>
      <c r="J826" s="270">
        <f ca="1">IFERROR(__xludf.DUMMYFUNCTION("IMPORTRANGE(""https://docs.google.com/spreadsheets/d/19vJNZY_5yjcGF2XGBMNZRCAIB0Kwfpjp8YEOfu-bneM/edit?usp=sharing"",""งานกองทุน!O42"")"),0)</f>
        <v>0</v>
      </c>
      <c r="K826" s="498">
        <f t="shared" ca="1" si="336"/>
        <v>0</v>
      </c>
      <c r="L826" s="498"/>
      <c r="M826" s="498"/>
      <c r="N826" s="498"/>
      <c r="O826" s="498"/>
      <c r="P826" s="49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</row>
    <row r="827" spans="1:26" ht="18.75">
      <c r="A827" s="744"/>
      <c r="B827" s="763" t="s">
        <v>329</v>
      </c>
      <c r="C827" s="763"/>
      <c r="D827" s="575"/>
      <c r="E827" s="763"/>
      <c r="F827" s="763"/>
      <c r="G827" s="189"/>
      <c r="H827" s="623" t="s">
        <v>12</v>
      </c>
      <c r="I827" s="270">
        <f ca="1">IFERROR(__xludf.DUMMYFUNCTION("IMPORTRANGE(""https://docs.google.com/spreadsheets/d/19vJNZY_5yjcGF2XGBMNZRCAIB0Kwfpjp8YEOfu-bneM/edit?usp=sharing"",""งานกองทุน!S42"")"),8280000)</f>
        <v>8280000</v>
      </c>
      <c r="J827" s="270">
        <f ca="1">IFERROR(__xludf.DUMMYFUNCTION("IMPORTRANGE(""https://docs.google.com/spreadsheets/d/19vJNZY_5yjcGF2XGBMNZRCAIB0Kwfpjp8YEOfu-bneM/edit?usp=sharing"",""งานกองทุน!U42"")"),8280000)</f>
        <v>8280000</v>
      </c>
      <c r="K827" s="498">
        <f t="shared" ca="1" si="336"/>
        <v>100</v>
      </c>
      <c r="L827" s="498"/>
      <c r="M827" s="498"/>
      <c r="N827" s="498"/>
      <c r="O827" s="498"/>
      <c r="P827" s="49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</row>
    <row r="828" spans="1:26" ht="18.75">
      <c r="A828" s="841"/>
      <c r="B828" s="749"/>
      <c r="C828" s="749"/>
      <c r="D828" s="748"/>
      <c r="E828" s="749"/>
      <c r="F828" s="749"/>
      <c r="G828" s="842"/>
      <c r="H828" s="843" t="s">
        <v>35</v>
      </c>
      <c r="I828" s="506">
        <f ca="1">IFERROR(__xludf.DUMMYFUNCTION("IMPORTRANGE(""https://docs.google.com/spreadsheets/d/19vJNZY_5yjcGF2XGBMNZRCAIB0Kwfpjp8YEOfu-bneM/edit?usp=sharing"",""งานกองทุน!R42"")"),331)</f>
        <v>331</v>
      </c>
      <c r="J828" s="506">
        <f ca="1">IFERROR(__xludf.DUMMYFUNCTION("IMPORTRANGE(""https://docs.google.com/spreadsheets/d/19vJNZY_5yjcGF2XGBMNZRCAIB0Kwfpjp8YEOfu-bneM/edit?usp=sharing"",""งานกองทุน!T42"")"),338)</f>
        <v>338</v>
      </c>
      <c r="K828" s="507">
        <f t="shared" ca="1" si="336"/>
        <v>102.11480362537765</v>
      </c>
      <c r="L828" s="507"/>
      <c r="M828" s="507"/>
      <c r="N828" s="507"/>
      <c r="O828" s="507"/>
      <c r="P828" s="507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D3EE2-3BE2-4D57-8C87-2E784F443208}">
  <sheetPr>
    <outlinePr summaryBelow="0" summaryRight="0"/>
    <pageSetUpPr fitToPage="1"/>
  </sheetPr>
  <dimension ref="A1:Z828"/>
  <sheetViews>
    <sheetView view="pageBreakPreview" topLeftCell="C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352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364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6071982</v>
      </c>
      <c r="M8" s="22">
        <f t="shared" ca="1" si="0"/>
        <v>6454173.0199999996</v>
      </c>
      <c r="N8" s="22">
        <f t="shared" ca="1" si="0"/>
        <v>6454173.0199999996</v>
      </c>
      <c r="O8" s="22">
        <f t="shared" ref="O8:O16" ca="1" si="1">IF(L8&gt;0,N8*100/L8,0)</f>
        <v>106.29433717030123</v>
      </c>
      <c r="P8" s="22">
        <f t="shared" ref="P8:P16" ca="1" si="2">IF(M8&gt;0,N8*100/M8,0)</f>
        <v>100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6071982</v>
      </c>
      <c r="M10" s="30">
        <f t="shared" ca="1" si="3"/>
        <v>6454173.0199999996</v>
      </c>
      <c r="N10" s="30">
        <f t="shared" ca="1" si="3"/>
        <v>6454173.0199999996</v>
      </c>
      <c r="O10" s="30">
        <f t="shared" ca="1" si="1"/>
        <v>106.29433717030123</v>
      </c>
      <c r="P10" s="30">
        <f t="shared" ca="1" si="2"/>
        <v>100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3" t="s">
        <v>12</v>
      </c>
      <c r="I11" s="270"/>
      <c r="J11" s="270"/>
      <c r="K11" s="498"/>
      <c r="L11" s="498">
        <f t="shared" ref="L11:N11" ca="1" si="4">L12+L13</f>
        <v>5908982</v>
      </c>
      <c r="M11" s="498">
        <f t="shared" ca="1" si="4"/>
        <v>6291673.0199999996</v>
      </c>
      <c r="N11" s="498">
        <f t="shared" ca="1" si="4"/>
        <v>6291673.0199999996</v>
      </c>
      <c r="O11" s="498">
        <f t="shared" ca="1" si="1"/>
        <v>106.47642893479791</v>
      </c>
      <c r="P11" s="498">
        <f t="shared" ca="1" si="2"/>
        <v>100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7"/>
      <c r="J12" s="617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7"/>
      <c r="J13" s="617"/>
      <c r="K13" s="93"/>
      <c r="L13" s="93">
        <f t="shared" ca="1" si="5"/>
        <v>5908982</v>
      </c>
      <c r="M13" s="93">
        <f t="shared" ca="1" si="5"/>
        <v>6291673.0199999996</v>
      </c>
      <c r="N13" s="93">
        <f t="shared" ca="1" si="5"/>
        <v>6291673.0199999996</v>
      </c>
      <c r="O13" s="93">
        <f t="shared" ca="1" si="1"/>
        <v>106.47642893479791</v>
      </c>
      <c r="P13" s="93">
        <f t="shared" ca="1" si="2"/>
        <v>100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3" t="s">
        <v>12</v>
      </c>
      <c r="I14" s="270"/>
      <c r="J14" s="270"/>
      <c r="K14" s="498"/>
      <c r="L14" s="498">
        <f t="shared" ref="L14:N14" ca="1" si="6">L15+L16</f>
        <v>163000</v>
      </c>
      <c r="M14" s="498">
        <f t="shared" ca="1" si="6"/>
        <v>162500</v>
      </c>
      <c r="N14" s="498">
        <f t="shared" ca="1" si="6"/>
        <v>162500</v>
      </c>
      <c r="O14" s="498">
        <f t="shared" ca="1" si="1"/>
        <v>99.693251533742327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7"/>
      <c r="J15" s="617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163000</v>
      </c>
      <c r="M16" s="52">
        <f t="shared" ca="1" si="7"/>
        <v>162500</v>
      </c>
      <c r="N16" s="52">
        <f t="shared" ca="1" si="7"/>
        <v>162500</v>
      </c>
      <c r="O16" s="52">
        <f t="shared" ca="1" si="1"/>
        <v>99.693251533742327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3941620</v>
      </c>
      <c r="M18" s="22">
        <f t="shared" ca="1" si="8"/>
        <v>4286972</v>
      </c>
      <c r="N18" s="22">
        <f t="shared" ca="1" si="8"/>
        <v>4286972</v>
      </c>
      <c r="O18" s="22">
        <f t="shared" ref="O18:O26" ca="1" si="9">IF(L18&gt;0,N18*100/L18,0)</f>
        <v>108.76167667101345</v>
      </c>
      <c r="P18" s="22">
        <f t="shared" ref="P18:P26" ca="1" si="10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3941620</v>
      </c>
      <c r="M20" s="30">
        <f t="shared" ca="1" si="11"/>
        <v>4286972</v>
      </c>
      <c r="N20" s="30">
        <f t="shared" ca="1" si="11"/>
        <v>4286972</v>
      </c>
      <c r="O20" s="30">
        <f t="shared" ca="1" si="9"/>
        <v>108.76167667101345</v>
      </c>
      <c r="P20" s="30">
        <f t="shared" ca="1" si="10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3" t="s">
        <v>12</v>
      </c>
      <c r="I21" s="270"/>
      <c r="J21" s="270"/>
      <c r="K21" s="498"/>
      <c r="L21" s="498">
        <f t="shared" ref="L21:N21" ca="1" si="12">L22+L23</f>
        <v>3778620</v>
      </c>
      <c r="M21" s="498">
        <f t="shared" ca="1" si="12"/>
        <v>4124472</v>
      </c>
      <c r="N21" s="498">
        <f t="shared" ca="1" si="12"/>
        <v>4124472</v>
      </c>
      <c r="O21" s="498">
        <f t="shared" ca="1" si="9"/>
        <v>109.15286533178779</v>
      </c>
      <c r="P21" s="498">
        <f t="shared" ca="1" si="10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7"/>
      <c r="J22" s="617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7"/>
      <c r="J23" s="617"/>
      <c r="K23" s="93"/>
      <c r="L23" s="93">
        <f t="shared" ca="1" si="13"/>
        <v>3778620</v>
      </c>
      <c r="M23" s="93">
        <f t="shared" ca="1" si="13"/>
        <v>4124472</v>
      </c>
      <c r="N23" s="93">
        <f t="shared" ca="1" si="13"/>
        <v>4124472</v>
      </c>
      <c r="O23" s="93">
        <f t="shared" ca="1" si="9"/>
        <v>109.15286533178779</v>
      </c>
      <c r="P23" s="93">
        <f t="shared" ca="1" si="10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3" t="s">
        <v>12</v>
      </c>
      <c r="I24" s="270"/>
      <c r="J24" s="270"/>
      <c r="K24" s="498"/>
      <c r="L24" s="498">
        <f t="shared" ref="L24:N24" ca="1" si="14">L25+L26</f>
        <v>163000</v>
      </c>
      <c r="M24" s="498">
        <f t="shared" ca="1" si="14"/>
        <v>162500</v>
      </c>
      <c r="N24" s="498">
        <f t="shared" ca="1" si="14"/>
        <v>162500</v>
      </c>
      <c r="O24" s="498">
        <f t="shared" ca="1" si="9"/>
        <v>99.693251533742327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7"/>
      <c r="J25" s="617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163000</v>
      </c>
      <c r="M26" s="52">
        <f t="shared" ca="1" si="15"/>
        <v>162500</v>
      </c>
      <c r="N26" s="52">
        <f t="shared" ca="1" si="15"/>
        <v>162500</v>
      </c>
      <c r="O26" s="52">
        <f t="shared" ca="1" si="9"/>
        <v>99.693251533742327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2130362</v>
      </c>
      <c r="M28" s="22">
        <f t="shared" ca="1" si="16"/>
        <v>2167201.02</v>
      </c>
      <c r="N28" s="22">
        <f t="shared" si="16"/>
        <v>2167201.02</v>
      </c>
      <c r="O28" s="22">
        <f t="shared" ref="O28:O37" ca="1" si="17">IF(L28&gt;0,N28*100/L28,0)</f>
        <v>101.72923756619767</v>
      </c>
      <c r="P28" s="22">
        <f t="shared" ref="P28:P37" ca="1" si="18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2130362</v>
      </c>
      <c r="M30" s="30">
        <f t="shared" ca="1" si="19"/>
        <v>2167201.02</v>
      </c>
      <c r="N30" s="30">
        <f t="shared" si="19"/>
        <v>2167201.02</v>
      </c>
      <c r="O30" s="30">
        <f t="shared" ca="1" si="17"/>
        <v>101.72923756619767</v>
      </c>
      <c r="P30" s="30">
        <f t="shared" ca="1" si="18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3" t="s">
        <v>12</v>
      </c>
      <c r="I31" s="270"/>
      <c r="J31" s="270"/>
      <c r="K31" s="498"/>
      <c r="L31" s="498">
        <f t="shared" ref="L31:N31" ca="1" si="20">L32+L33</f>
        <v>2130362</v>
      </c>
      <c r="M31" s="498">
        <f t="shared" ca="1" si="20"/>
        <v>2167201.02</v>
      </c>
      <c r="N31" s="498">
        <f t="shared" si="20"/>
        <v>2167201.02</v>
      </c>
      <c r="O31" s="498">
        <f t="shared" ca="1" si="17"/>
        <v>101.72923756619767</v>
      </c>
      <c r="P31" s="498">
        <f t="shared" ca="1" si="18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7"/>
      <c r="J32" s="617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7"/>
      <c r="J33" s="617"/>
      <c r="K33" s="93"/>
      <c r="L33" s="93">
        <f t="shared" ca="1" si="21"/>
        <v>2130362</v>
      </c>
      <c r="M33" s="93">
        <f t="shared" ca="1" si="21"/>
        <v>2167201.02</v>
      </c>
      <c r="N33" s="93">
        <f t="shared" si="21"/>
        <v>2167201.02</v>
      </c>
      <c r="O33" s="93">
        <f t="shared" ca="1" si="17"/>
        <v>101.72923756619767</v>
      </c>
      <c r="P33" s="93">
        <f t="shared" ca="1" si="18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3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7"/>
      <c r="J35" s="617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7" t="s">
        <v>24</v>
      </c>
      <c r="B37" s="868"/>
      <c r="C37" s="868"/>
      <c r="D37" s="868"/>
      <c r="E37" s="868"/>
      <c r="F37" s="868"/>
      <c r="G37" s="869"/>
      <c r="H37" s="870"/>
      <c r="I37" s="871"/>
      <c r="J37" s="871"/>
      <c r="K37" s="872"/>
      <c r="L37" s="873">
        <f t="shared" ref="L37:N37" ca="1" si="24">L41+L53+L66+L88+L119+L132+L149+L165+L181+L261+L277+L298+L315+L328+L345+L389+L402</f>
        <v>3941620</v>
      </c>
      <c r="M37" s="873">
        <f t="shared" ca="1" si="24"/>
        <v>4286972</v>
      </c>
      <c r="N37" s="873">
        <f t="shared" ca="1" si="24"/>
        <v>4286972</v>
      </c>
      <c r="O37" s="873">
        <f t="shared" ca="1" si="17"/>
        <v>108.76167667101345</v>
      </c>
      <c r="P37" s="873">
        <f t="shared" ca="1" si="18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657250</v>
      </c>
      <c r="M41" s="85">
        <f t="shared" ca="1" si="25"/>
        <v>702242</v>
      </c>
      <c r="N41" s="85">
        <f t="shared" ca="1" si="25"/>
        <v>702242</v>
      </c>
      <c r="O41" s="85">
        <f t="shared" ref="O41:O49" ca="1" si="26">IF(L41&gt;0,N41*100/L41,0)</f>
        <v>106.84549258273108</v>
      </c>
      <c r="P41" s="85">
        <f t="shared" ref="P41:P49" ca="1" si="27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657250</v>
      </c>
      <c r="M43" s="92">
        <f t="shared" ca="1" si="28"/>
        <v>702242</v>
      </c>
      <c r="N43" s="92">
        <f t="shared" ca="1" si="28"/>
        <v>702242</v>
      </c>
      <c r="O43" s="92">
        <f t="shared" ca="1" si="26"/>
        <v>106.84549258273108</v>
      </c>
      <c r="P43" s="92">
        <f t="shared" ca="1" si="27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3" t="s">
        <v>12</v>
      </c>
      <c r="I44" s="270"/>
      <c r="J44" s="270"/>
      <c r="K44" s="498"/>
      <c r="L44" s="498">
        <f t="shared" ref="L44:N44" ca="1" si="29">L45+L46</f>
        <v>657250</v>
      </c>
      <c r="M44" s="498">
        <f t="shared" ca="1" si="29"/>
        <v>702242</v>
      </c>
      <c r="N44" s="498">
        <f t="shared" ca="1" si="29"/>
        <v>702242</v>
      </c>
      <c r="O44" s="498">
        <f t="shared" ca="1" si="26"/>
        <v>106.84549258273108</v>
      </c>
      <c r="P44" s="498">
        <f t="shared" ca="1" si="27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7"/>
      <c r="J45" s="617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7"/>
      <c r="J46" s="617"/>
      <c r="K46" s="93"/>
      <c r="L46" s="93">
        <f ca="1">IFERROR(__xludf.DUMMYFUNCTION("IMPORTRANGE(""https://docs.google.com/spreadsheets/d/1MeEWN-I1oV_STSDYn1IFDPWt_1FKiwhDph83XaGc0o0/edit?usp=sharing"",""งบพรบ!M43"")"),657250)</f>
        <v>657250</v>
      </c>
      <c r="M46" s="93">
        <f ca="1">IFERROR(__xludf.DUMMYFUNCTION("IMPORTRANGE(""https://docs.google.com/spreadsheets/d/1MeEWN-I1oV_STSDYn1IFDPWt_1FKiwhDph83XaGc0o0/edit?usp=sharing"",""งบพรบ!R43"")"),702242)</f>
        <v>702242</v>
      </c>
      <c r="N46" s="93">
        <f ca="1">IFERROR(__xludf.DUMMYFUNCTION("IMPORTRANGE(""https://docs.google.com/spreadsheets/d/1MeEWN-I1oV_STSDYn1IFDPWt_1FKiwhDph83XaGc0o0/edit?usp=sharing"",""งบพรบ!T43"")"),702242)</f>
        <v>702242</v>
      </c>
      <c r="O46" s="93">
        <f t="shared" ca="1" si="26"/>
        <v>106.84549258273108</v>
      </c>
      <c r="P46" s="93">
        <f t="shared" ca="1" si="27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3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7"/>
      <c r="J48" s="617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IFERROR(__xludf.DUMMYFUNCTION("IMPORTRANGE(""https://docs.google.com/spreadsheets/d/1MeEWN-I1oV_STSDYn1IFDPWt_1FKiwhDph83XaGc0o0/edit?usp=sharing"",""งบพรบ!P43"")"),0)</f>
        <v>0</v>
      </c>
      <c r="M49" s="52">
        <f ca="1">IFERROR(__xludf.DUMMYFUNCTION("IMPORTRANGE(""https://docs.google.com/spreadsheets/d/1MeEWN-I1oV_STSDYn1IFDPWt_1FKiwhDph83XaGc0o0/edit?usp=sharing"",""งบพรบ!S43"")"),0)</f>
        <v>0</v>
      </c>
      <c r="N49" s="52">
        <f ca="1">IFERROR(__xludf.DUMMYFUNCTION("IMPORTRANGE(""https://docs.google.com/spreadsheets/d/1MeEWN-I1oV_STSDYn1IFDPWt_1FKiwhDph83XaGc0o0/edit?usp=sharing"",""งบพรบ!U43"")"),0)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729400</v>
      </c>
      <c r="M53" s="116">
        <f t="shared" ca="1" si="31"/>
        <v>835420</v>
      </c>
      <c r="N53" s="116">
        <f t="shared" ca="1" si="31"/>
        <v>835420</v>
      </c>
      <c r="O53" s="116">
        <f t="shared" ref="O53:O61" ca="1" si="32">IF(L53&gt;0,N53*100/L53,0)</f>
        <v>114.53523443926515</v>
      </c>
      <c r="P53" s="116">
        <f t="shared" ref="P53:P61" ca="1" si="33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729400</v>
      </c>
      <c r="M55" s="123">
        <f t="shared" ca="1" si="34"/>
        <v>835420</v>
      </c>
      <c r="N55" s="123">
        <f t="shared" ca="1" si="34"/>
        <v>835420</v>
      </c>
      <c r="O55" s="123">
        <f t="shared" ca="1" si="32"/>
        <v>114.53523443926515</v>
      </c>
      <c r="P55" s="123">
        <f t="shared" ca="1" si="33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3" t="s">
        <v>12</v>
      </c>
      <c r="I56" s="270"/>
      <c r="J56" s="270"/>
      <c r="K56" s="498"/>
      <c r="L56" s="498">
        <f t="shared" ref="L56:N56" ca="1" si="35">L57+L58</f>
        <v>729400</v>
      </c>
      <c r="M56" s="498">
        <f t="shared" ca="1" si="35"/>
        <v>835420</v>
      </c>
      <c r="N56" s="498">
        <f t="shared" ca="1" si="35"/>
        <v>835420</v>
      </c>
      <c r="O56" s="498">
        <f t="shared" ca="1" si="32"/>
        <v>114.53523443926515</v>
      </c>
      <c r="P56" s="498">
        <f t="shared" ca="1" si="33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7"/>
      <c r="J57" s="617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7"/>
      <c r="J58" s="617"/>
      <c r="K58" s="93"/>
      <c r="L58" s="93">
        <f ca="1">IFERROR(__xludf.DUMMYFUNCTION("IMPORTRANGE(""https://docs.google.com/spreadsheets/d/1MeEWN-I1oV_STSDYn1IFDPWt_1FKiwhDph83XaGc0o0/edit?usp=sharing"",""งบพรบ!W43"")"),729400)</f>
        <v>729400</v>
      </c>
      <c r="M58" s="93">
        <f ca="1">IFERROR(__xludf.DUMMYFUNCTION("IMPORTRANGE(""https://docs.google.com/spreadsheets/d/1MeEWN-I1oV_STSDYn1IFDPWt_1FKiwhDph83XaGc0o0/edit?usp=sharing"",""งบพรบ!AB43"")"),835420)</f>
        <v>835420</v>
      </c>
      <c r="N58" s="93">
        <f ca="1">IFERROR(__xludf.DUMMYFUNCTION("IMPORTRANGE(""https://docs.google.com/spreadsheets/d/1MeEWN-I1oV_STSDYn1IFDPWt_1FKiwhDph83XaGc0o0/edit?usp=sharing"",""งบพรบ!AD43"")"),835420)</f>
        <v>835420</v>
      </c>
      <c r="O58" s="93">
        <f t="shared" ca="1" si="32"/>
        <v>114.53523443926515</v>
      </c>
      <c r="P58" s="93">
        <f t="shared" ca="1" si="33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3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7"/>
      <c r="J60" s="617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IFERROR(__xludf.DUMMYFUNCTION("IMPORTRANGE(""https://docs.google.com/spreadsheets/d/1MeEWN-I1oV_STSDYn1IFDPWt_1FKiwhDph83XaGc0o0/edit?usp=sharing"",""งบพรบ!Z43"")"),0)</f>
        <v>0</v>
      </c>
      <c r="M61" s="52">
        <f ca="1">IFERROR(__xludf.DUMMYFUNCTION("IMPORTRANGE(""https://docs.google.com/spreadsheets/d/1MeEWN-I1oV_STSDYn1IFDPWt_1FKiwhDph83XaGc0o0/edit?usp=sharing"",""งบพรบ!AC43"")"),0)</f>
        <v>0</v>
      </c>
      <c r="N61" s="52">
        <f ca="1">IFERROR(__xludf.DUMMYFUNCTION("IMPORTRANGE(""https://docs.google.com/spreadsheets/d/1MeEWN-I1oV_STSDYn1IFDPWt_1FKiwhDph83XaGc0o0/edit?usp=sharing"",""งบพรบ!AE43"")"),0)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7"/>
      <c r="J67" s="617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7"/>
      <c r="J68" s="617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IFERROR(__xludf.DUMMYFUNCTION("IMPORTRANGE(""https://docs.google.com/spreadsheets/d/1MeEWN-I1oV_STSDYn1IFDPWt_1FKiwhDph83XaGc0o0/edit?usp=sharing"",""งบพรบ!AG43"")"),0)</f>
        <v>0</v>
      </c>
      <c r="M71" s="93">
        <f ca="1">IFERROR(__xludf.DUMMYFUNCTION("IMPORTRANGE(""https://docs.google.com/spreadsheets/d/1MeEWN-I1oV_STSDYn1IFDPWt_1FKiwhDph83XaGc0o0/edit?usp=sharing"",""งบพรบ!AL43"")"),0)</f>
        <v>0</v>
      </c>
      <c r="N71" s="93">
        <f ca="1">IFERROR(__xludf.DUMMYFUNCTION("IMPORTRANGE(""https://docs.google.com/spreadsheets/d/1MeEWN-I1oV_STSDYn1IFDPWt_1FKiwhDph83XaGc0o0/edit?usp=sharing"",""งบพรบ!AN43"")"),0)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IFERROR(__xludf.DUMMYFUNCTION("IMPORTRANGE(""https://docs.google.com/spreadsheets/d/1MeEWN-I1oV_STSDYn1IFDPWt_1FKiwhDph83XaGc0o0/edit?usp=sharing"",""งบพรบ!AJ43"")"),0)</f>
        <v>0</v>
      </c>
      <c r="M74" s="93">
        <f ca="1">IFERROR(__xludf.DUMMYFUNCTION("IMPORTRANGE(""https://docs.google.com/spreadsheets/d/1MeEWN-I1oV_STSDYn1IFDPWt_1FKiwhDph83XaGc0o0/edit?usp=sharing"",""งบพรบ!AM43"")"),0)</f>
        <v>0</v>
      </c>
      <c r="N74" s="93">
        <f ca="1">IFERROR(__xludf.DUMMYFUNCTION("IMPORTRANGE(""https://docs.google.com/spreadsheets/d/1MeEWN-I1oV_STSDYn1IFDPWt_1FKiwhDph83XaGc0o0/edit?usp=sharing"",""งบพรบ!AO43"")"),0)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7" t="s">
        <v>38</v>
      </c>
      <c r="E75" s="173"/>
      <c r="F75" s="173"/>
      <c r="G75" s="174"/>
      <c r="H75" s="762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4" t="s">
        <v>34</v>
      </c>
      <c r="I78" s="184">
        <f ca="1">IFERROR(__xludf.DUMMYFUNCTION("IMPORTRANGE(""https://docs.google.com/spreadsheets/d/1QqKyyYR6Q21VydFLVH3TRQUabQu_ym0Zz7PgGX0-kHA/edit?usp=sharing"",""แผน!H43"")"),0)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4" t="s">
        <v>35</v>
      </c>
      <c r="I79" s="184">
        <f ca="1">IFERROR(__xludf.DUMMYFUNCTION("IMPORTRANGE(""https://docs.google.com/spreadsheets/d/1QqKyyYR6Q21VydFLVH3TRQUabQu_ym0Zz7PgGX0-kHA/edit?usp=sharing"",""แผน!I43"")"),0)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4" t="s">
        <v>34</v>
      </c>
      <c r="I80" s="184">
        <f ca="1">IFERROR(__xludf.DUMMYFUNCTION("IMPORTRANGE(""https://docs.google.com/spreadsheets/d/1QqKyyYR6Q21VydFLVH3TRQUabQu_ym0Zz7PgGX0-kHA/edit?usp=sharing"",""แผน!F43"")"),0)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4" t="s">
        <v>35</v>
      </c>
      <c r="I81" s="184">
        <f ca="1">IFERROR(__xludf.DUMMYFUNCTION("IMPORTRANGE(""https://docs.google.com/spreadsheets/d/1QqKyyYR6Q21VydFLVH3TRQUabQu_ym0Zz7PgGX0-kHA/edit?usp=sharing"",""แผน!G43"")"),0)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4" t="s">
        <v>34</v>
      </c>
      <c r="I82" s="184">
        <f ca="1">IFERROR(__xludf.DUMMYFUNCTION("IMPORTRANGE(""https://docs.google.com/spreadsheets/d/1QqKyyYR6Q21VydFLVH3TRQUabQu_ym0Zz7PgGX0-kHA/edit?usp=sharing"",""แผน!D43"")"),0)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4" t="s">
        <v>35</v>
      </c>
      <c r="I83" s="184">
        <f ca="1">IFERROR(__xludf.DUMMYFUNCTION("IMPORTRANGE(""https://docs.google.com/spreadsheets/d/1QqKyyYR6Q21VydFLVH3TRQUabQu_ym0Zz7PgGX0-kHA/edit?usp=sharing"",""แผน!E43"")"),0)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509040</v>
      </c>
      <c r="M88" s="155">
        <f t="shared" ca="1" si="49"/>
        <v>524240</v>
      </c>
      <c r="N88" s="155">
        <f t="shared" ca="1" si="49"/>
        <v>524240</v>
      </c>
      <c r="O88" s="155">
        <f t="shared" ref="O88:O96" ca="1" si="50">IF(L88&gt;0,N88*100/L88,0)</f>
        <v>102.98601288700299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7"/>
      <c r="J89" s="617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7"/>
      <c r="J90" s="617"/>
      <c r="K90" s="93"/>
      <c r="L90" s="93">
        <f t="shared" ca="1" si="52"/>
        <v>509040</v>
      </c>
      <c r="M90" s="93">
        <f t="shared" ca="1" si="52"/>
        <v>524240</v>
      </c>
      <c r="N90" s="93">
        <f t="shared" ca="1" si="52"/>
        <v>524240</v>
      </c>
      <c r="O90" s="93">
        <f t="shared" ca="1" si="50"/>
        <v>102.98601288700299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509040</v>
      </c>
      <c r="M91" s="498">
        <f t="shared" ca="1" si="53"/>
        <v>524240</v>
      </c>
      <c r="N91" s="498">
        <f t="shared" ca="1" si="53"/>
        <v>524240</v>
      </c>
      <c r="O91" s="498">
        <f t="shared" ca="1" si="50"/>
        <v>102.98601288700299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IFERROR(__xludf.DUMMYFUNCTION("IMPORTRANGE(""https://docs.google.com/spreadsheets/d/1MeEWN-I1oV_STSDYn1IFDPWt_1FKiwhDph83XaGc0o0/edit?usp=sharing"",""งบพรบ!AQ43"")"),509040)</f>
        <v>509040</v>
      </c>
      <c r="M93" s="93">
        <f ca="1">IFERROR(__xludf.DUMMYFUNCTION("IMPORTRANGE(""https://docs.google.com/spreadsheets/d/1MeEWN-I1oV_STSDYn1IFDPWt_1FKiwhDph83XaGc0o0/edit?usp=sharing"",""งบพรบ!AV43"")"),524240)</f>
        <v>524240</v>
      </c>
      <c r="N93" s="93">
        <f ca="1">IFERROR(__xludf.DUMMYFUNCTION("IMPORTRANGE(""https://docs.google.com/spreadsheets/d/1MeEWN-I1oV_STSDYn1IFDPWt_1FKiwhDph83XaGc0o0/edit?usp=sharing"",""งบพรบ!AX43"")"),524240)</f>
        <v>524240</v>
      </c>
      <c r="O93" s="93">
        <f t="shared" ca="1" si="50"/>
        <v>102.98601288700299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IFERROR(__xludf.DUMMYFUNCTION("IMPORTRANGE(""https://docs.google.com/spreadsheets/d/1MeEWN-I1oV_STSDYn1IFDPWt_1FKiwhDph83XaGc0o0/edit?usp=sharing"",""งบพรบ!AT43"")"),0)</f>
        <v>0</v>
      </c>
      <c r="M96" s="93">
        <f ca="1">IFERROR(__xludf.DUMMYFUNCTION("IMPORTRANGE(""https://docs.google.com/spreadsheets/d/1MeEWN-I1oV_STSDYn1IFDPWt_1FKiwhDph83XaGc0o0/edit?usp=sharing"",""งบพรบ!AW43"")"),0)</f>
        <v>0</v>
      </c>
      <c r="N96" s="93">
        <f ca="1">IFERROR(__xludf.DUMMYFUNCTION("IMPORTRANGE(""https://docs.google.com/spreadsheets/d/1MeEWN-I1oV_STSDYn1IFDPWt_1FKiwhDph83XaGc0o0/edit?usp=sharing"",""งบพรบ!AY43"")"),0)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7" t="s">
        <v>38</v>
      </c>
      <c r="E97" s="173"/>
      <c r="F97" s="173"/>
      <c r="G97" s="174"/>
      <c r="H97" s="762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3" t="s">
        <v>46</v>
      </c>
      <c r="I98" s="270">
        <f ca="1">IFERROR(__xludf.DUMMYFUNCTION("IMPORTRANGE(""https://docs.google.com/spreadsheets/d/1QqKyyYR6Q21VydFLVH3TRQUabQu_ym0Zz7PgGX0-kHA/edit?usp=sharing"",""แผน!K43"")"),30)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3" t="s">
        <v>35</v>
      </c>
      <c r="I99" s="270">
        <f ca="1">IFERROR(__xludf.DUMMYFUNCTION("IMPORTRANGE(""https://docs.google.com/spreadsheets/d/1QqKyyYR6Q21VydFLVH3TRQUabQu_ym0Zz7PgGX0-kHA/edit?usp=sharing"",""แผน!L43"")"),10)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3" t="s">
        <v>49</v>
      </c>
      <c r="I100" s="270">
        <f ca="1">IFERROR(__xludf.DUMMYFUNCTION("IMPORTRANGE(""https://docs.google.com/spreadsheets/d/1QqKyyYR6Q21VydFLVH3TRQUabQu_ym0Zz7PgGX0-kHA/edit?usp=sharing"",""แผน!M43"")"),1)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3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6" t="s">
        <v>47</v>
      </c>
      <c r="F102" s="178"/>
      <c r="G102" s="179"/>
      <c r="H102" s="623" t="s">
        <v>46</v>
      </c>
      <c r="I102" s="270">
        <f ca="1">IFERROR(__xludf.DUMMYFUNCTION("IMPORTRANGE(""https://docs.google.com/spreadsheets/d/1QqKyyYR6Q21VydFLVH3TRQUabQu_ym0Zz7PgGX0-kHA/edit?usp=sharing"",""แผน!N43"")"),30)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3" t="s">
        <v>35</v>
      </c>
      <c r="I103" s="270">
        <f ca="1">IFERROR(__xludf.DUMMYFUNCTION("IMPORTRANGE(""https://docs.google.com/spreadsheets/d/1QqKyyYR6Q21VydFLVH3TRQUabQu_ym0Zz7PgGX0-kHA/edit?usp=sharing"",""แผน!O43"")"),10)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3" t="s">
        <v>35</v>
      </c>
      <c r="I104" s="270">
        <f ca="1">IFERROR(__xludf.DUMMYFUNCTION("IMPORTRANGE(""https://docs.google.com/spreadsheets/d/1QqKyyYR6Q21VydFLVH3TRQUabQu_ym0Zz7PgGX0-kHA/edit?usp=sharing"",""แผน!O43"")"),10)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3" t="s">
        <v>49</v>
      </c>
      <c r="I106" s="270">
        <f ca="1">IFERROR(__xludf.DUMMYFUNCTION("IMPORTRANGE(""https://docs.google.com/spreadsheets/d/1QqKyyYR6Q21VydFLVH3TRQUabQu_ym0Zz7PgGX0-kHA/edit?usp=sharing"",""แผน!P43"")"),1)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3" t="s">
        <v>49</v>
      </c>
      <c r="I107" s="270">
        <f ca="1">IFERROR(__xludf.DUMMYFUNCTION("IMPORTRANGE(""https://docs.google.com/spreadsheets/d/1QqKyyYR6Q21VydFLVH3TRQUabQu_ym0Zz7PgGX0-kHA/edit?usp=sharing"",""แผน!P43"")"),1)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3" t="s">
        <v>49</v>
      </c>
      <c r="I109" s="270">
        <f ca="1">IFERROR(__xludf.DUMMYFUNCTION("IMPORTRANGE(""https://docs.google.com/spreadsheets/d/1QqKyyYR6Q21VydFLVH3TRQUabQu_ym0Zz7PgGX0-kHA/edit?usp=sharing"",""แผน!Q43"")"),0)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3" t="s">
        <v>49</v>
      </c>
      <c r="I110" s="270">
        <f ca="1">IFERROR(__xludf.DUMMYFUNCTION("IMPORTRANGE(""https://docs.google.com/spreadsheets/d/1QqKyyYR6Q21VydFLVH3TRQUabQu_ym0Zz7PgGX0-kHA/edit?usp=sharing"",""แผน!Q43"")"),0)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7" t="s">
        <v>35</v>
      </c>
      <c r="I111" s="193">
        <f ca="1">IFERROR(__xludf.DUMMYFUNCTION("IMPORTRANGE(""https://docs.google.com/spreadsheets/d/1QqKyyYR6Q21VydFLVH3TRQUabQu_ym0Zz7PgGX0-kHA/edit?usp=sharing"",""แผน!R43"")"),10)</f>
        <v>10</v>
      </c>
      <c r="J111" s="681">
        <f>J114</f>
        <v>10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1">
        <f t="shared" si="59"/>
        <v>1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2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IFERROR(__xludf.DUMMYFUNCTION("IMPORTRANGE(""https://docs.google.com/spreadsheets/d/1QqKyyYR6Q21VydFLVH3TRQUabQu_ym0Zz7PgGX0-kHA/edit?usp=sharing"",""แผน!R43"")"),10)</f>
        <v>10</v>
      </c>
      <c r="J113" s="215">
        <v>10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IFERROR(__xludf.DUMMYFUNCTION("IMPORTRANGE(""https://docs.google.com/spreadsheets/d/1QqKyyYR6Q21VydFLVH3TRQUabQu_ym0Zz7PgGX0-kHA/edit?usp=sharing"",""แผน!R43"")"),10)</f>
        <v>10</v>
      </c>
      <c r="J114" s="215">
        <v>10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IFERROR(__xludf.DUMMYFUNCTION("IMPORTRANGE(""https://docs.google.com/spreadsheets/d/1QqKyyYR6Q21VydFLVH3TRQUabQu_ym0Zz7PgGX0-kHA/edit?usp=sharing"",""แผน!S43"")"),1)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IFERROR(__xludf.DUMMYFUNCTION("IMPORTRANGE(""https://docs.google.com/spreadsheets/d/1QqKyyYR6Q21VydFLVH3TRQUabQu_ym0Zz7PgGX0-kHA/edit?usp=sharing"",""แผน!T43"")"),0)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7"/>
      <c r="J120" s="617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7"/>
      <c r="J121" s="617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IFERROR(__xludf.DUMMYFUNCTION("IMPORTRANGE(""https://docs.google.com/spreadsheets/d/1MeEWN-I1oV_STSDYn1IFDPWt_1FKiwhDph83XaGc0o0/edit?usp=sharing"",""งบพรบ!BA43"")"),0)</f>
        <v>0</v>
      </c>
      <c r="M124" s="93">
        <f ca="1">IFERROR(__xludf.DUMMYFUNCTION("IMPORTRANGE(""https://docs.google.com/spreadsheets/d/1MeEWN-I1oV_STSDYn1IFDPWt_1FKiwhDph83XaGc0o0/edit?usp=sharing"",""งบพรบ!BF43"")"),0)</f>
        <v>0</v>
      </c>
      <c r="N124" s="93">
        <f ca="1">IFERROR(__xludf.DUMMYFUNCTION("IMPORTRANGE(""https://docs.google.com/spreadsheets/d/1MeEWN-I1oV_STSDYn1IFDPWt_1FKiwhDph83XaGc0o0/edit?usp=sharing"",""งบพรบ!BH43"")"),0)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IFERROR(__xludf.DUMMYFUNCTION("IMPORTRANGE(""https://docs.google.com/spreadsheets/d/1MeEWN-I1oV_STSDYn1IFDPWt_1FKiwhDph83XaGc0o0/edit?usp=sharing"",""งบพรบ!BD43"")"),0)</f>
        <v>0</v>
      </c>
      <c r="M127" s="93">
        <f ca="1">IFERROR(__xludf.DUMMYFUNCTION("IMPORTRANGE(""https://docs.google.com/spreadsheets/d/1MeEWN-I1oV_STSDYn1IFDPWt_1FKiwhDph83XaGc0o0/edit?usp=sharing"",""งบพรบ!BG43"")"),0)</f>
        <v>0</v>
      </c>
      <c r="N127" s="93">
        <f ca="1">IFERROR(__xludf.DUMMYFUNCTION("IMPORTRANGE(""https://docs.google.com/spreadsheets/d/1MeEWN-I1oV_STSDYn1IFDPWt_1FKiwhDph83XaGc0o0/edit?usp=sharing"",""งบพรบ!BI43"")"),0)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163155</v>
      </c>
      <c r="N132" s="155">
        <f t="shared" ca="1" si="69"/>
        <v>163155</v>
      </c>
      <c r="O132" s="155">
        <f t="shared" ref="O132:O140" ca="1" si="70">IF(L132&gt;0,N132*100/L132,0)</f>
        <v>107.58300089017837</v>
      </c>
      <c r="P132" s="155">
        <f t="shared" ref="P132:P140" ca="1" si="71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7"/>
      <c r="J133" s="617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7"/>
      <c r="J134" s="617"/>
      <c r="K134" s="93"/>
      <c r="L134" s="93">
        <f t="shared" ca="1" si="72"/>
        <v>151655</v>
      </c>
      <c r="M134" s="93">
        <f t="shared" ca="1" si="72"/>
        <v>163155</v>
      </c>
      <c r="N134" s="93">
        <f t="shared" ca="1" si="72"/>
        <v>163155</v>
      </c>
      <c r="O134" s="93">
        <f t="shared" ca="1" si="70"/>
        <v>107.58300089017837</v>
      </c>
      <c r="P134" s="93">
        <f t="shared" ca="1" si="71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48655</v>
      </c>
      <c r="M135" s="498">
        <f t="shared" ca="1" si="73"/>
        <v>60655</v>
      </c>
      <c r="N135" s="498">
        <f t="shared" ca="1" si="73"/>
        <v>60655</v>
      </c>
      <c r="O135" s="498">
        <f t="shared" ca="1" si="70"/>
        <v>124.66344671667865</v>
      </c>
      <c r="P135" s="498">
        <f t="shared" ca="1" si="71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IFERROR(__xludf.DUMMYFUNCTION("IMPORTRANGE(""https://docs.google.com/spreadsheets/d/1MeEWN-I1oV_STSDYn1IFDPWt_1FKiwhDph83XaGc0o0/edit?usp=sharing"",""งบพรบ!BK43"")"),48655)</f>
        <v>48655</v>
      </c>
      <c r="M137" s="93">
        <f ca="1">IFERROR(__xludf.DUMMYFUNCTION("IMPORTRANGE(""https://docs.google.com/spreadsheets/d/1MeEWN-I1oV_STSDYn1IFDPWt_1FKiwhDph83XaGc0o0/edit?usp=sharing"",""งบพรบ!BP43"")"),60655)</f>
        <v>60655</v>
      </c>
      <c r="N137" s="93">
        <f ca="1">IFERROR(__xludf.DUMMYFUNCTION("IMPORTRANGE(""https://docs.google.com/spreadsheets/d/1MeEWN-I1oV_STSDYn1IFDPWt_1FKiwhDph83XaGc0o0/edit?usp=sharing"",""งบพรบ!BR43"")"),60655)</f>
        <v>60655</v>
      </c>
      <c r="O137" s="93">
        <f t="shared" ca="1" si="70"/>
        <v>124.66344671667865</v>
      </c>
      <c r="P137" s="93">
        <f t="shared" ca="1" si="71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102500</v>
      </c>
      <c r="N138" s="498">
        <f t="shared" ca="1" si="74"/>
        <v>102500</v>
      </c>
      <c r="O138" s="498">
        <f t="shared" ca="1" si="70"/>
        <v>99.514563106796118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IFERROR(__xludf.DUMMYFUNCTION("IMPORTRANGE(""https://docs.google.com/spreadsheets/d/1MeEWN-I1oV_STSDYn1IFDPWt_1FKiwhDph83XaGc0o0/edit?usp=sharing"",""งบพรบ!BN43"")"),103000)</f>
        <v>103000</v>
      </c>
      <c r="M140" s="93">
        <f ca="1">IFERROR(__xludf.DUMMYFUNCTION("IMPORTRANGE(""https://docs.google.com/spreadsheets/d/1MeEWN-I1oV_STSDYn1IFDPWt_1FKiwhDph83XaGc0o0/edit?usp=sharing"",""งบพรบ!BQ43"")"),102500)</f>
        <v>102500</v>
      </c>
      <c r="N140" s="93">
        <f ca="1">IFERROR(__xludf.DUMMYFUNCTION("IMPORTRANGE(""https://docs.google.com/spreadsheets/d/1MeEWN-I1oV_STSDYn1IFDPWt_1FKiwhDph83XaGc0o0/edit?usp=sharing"",""งบพรบ!BS43"")"),102500)</f>
        <v>102500</v>
      </c>
      <c r="O140" s="93">
        <f t="shared" ca="1" si="70"/>
        <v>99.514563106796118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IFERROR(__xludf.DUMMYFUNCTION("IMPORTRANGE(""https://docs.google.com/spreadsheets/d/1QqKyyYR6Q21VydFLVH3TRQUabQu_ym0Zz7PgGX0-kHA/edit?usp=sharing"",""แผน!U43"")"),5)</f>
        <v>5</v>
      </c>
      <c r="J144" s="215">
        <v>10</v>
      </c>
      <c r="K144" s="498">
        <f t="shared" ca="1" si="75"/>
        <v>200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IFERROR(__xludf.DUMMYFUNCTION("IMPORTRANGE(""https://docs.google.com/spreadsheets/d/1QqKyyYR6Q21VydFLVH3TRQUabQu_ym0Zz7PgGX0-kHA/edit?usp=sharing"",""แผน!V43"")"),10)</f>
        <v>10</v>
      </c>
      <c r="J145" s="215">
        <v>10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IFERROR(__xludf.DUMMYFUNCTION("IMPORTRANGE(""https://docs.google.com/spreadsheets/d/1QqKyyYR6Q21VydFLVH3TRQUabQu_ym0Zz7PgGX0-kHA/edit?usp=sharing"",""แผน!W43"")"),1)</f>
        <v>1</v>
      </c>
      <c r="J146" s="215">
        <v>1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7760</v>
      </c>
      <c r="N149" s="155">
        <f t="shared" ca="1" si="77"/>
        <v>7760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7"/>
      <c r="J150" s="617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7"/>
      <c r="J151" s="617"/>
      <c r="K151" s="93"/>
      <c r="L151" s="93">
        <f t="shared" ca="1" si="80"/>
        <v>0</v>
      </c>
      <c r="M151" s="93">
        <f t="shared" ca="1" si="80"/>
        <v>7760</v>
      </c>
      <c r="N151" s="93">
        <f t="shared" ca="1" si="80"/>
        <v>7760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7760</v>
      </c>
      <c r="N152" s="498">
        <f t="shared" ca="1" si="81"/>
        <v>7760</v>
      </c>
      <c r="O152" s="498">
        <f t="shared" ca="1" si="78"/>
        <v>0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IFERROR(__xludf.DUMMYFUNCTION("IMPORTRANGE(""https://docs.google.com/spreadsheets/d/1MeEWN-I1oV_STSDYn1IFDPWt_1FKiwhDph83XaGc0o0/edit?usp=sharing"",""งบพรบ!BU43"")"),0)</f>
        <v>0</v>
      </c>
      <c r="M154" s="93">
        <f ca="1">IFERROR(__xludf.DUMMYFUNCTION("IMPORTRANGE(""https://docs.google.com/spreadsheets/d/1MeEWN-I1oV_STSDYn1IFDPWt_1FKiwhDph83XaGc0o0/edit?usp=sharing"",""งบพรบ!BZ43"")"),7760)</f>
        <v>7760</v>
      </c>
      <c r="N154" s="93">
        <f ca="1">IFERROR(__xludf.DUMMYFUNCTION("IMPORTRANGE(""https://docs.google.com/spreadsheets/d/1MeEWN-I1oV_STSDYn1IFDPWt_1FKiwhDph83XaGc0o0/edit?usp=sharing"",""งบพรบ!CB43"")"),7760)</f>
        <v>7760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IFERROR(__xludf.DUMMYFUNCTION("IMPORTRANGE(""https://docs.google.com/spreadsheets/d/1MeEWN-I1oV_STSDYn1IFDPWt_1FKiwhDph83XaGc0o0/edit?usp=sharing"",""งบพรบ!BX43"")"),0)</f>
        <v>0</v>
      </c>
      <c r="M157" s="93">
        <f ca="1">IFERROR(__xludf.DUMMYFUNCTION("IMPORTRANGE(""https://docs.google.com/spreadsheets/d/1MeEWN-I1oV_STSDYn1IFDPWt_1FKiwhDph83XaGc0o0/edit?usp=sharing"",""งบพรบ!CA43"")"),0)</f>
        <v>0</v>
      </c>
      <c r="N157" s="93">
        <f ca="1">IFERROR(__xludf.DUMMYFUNCTION("IMPORTRANGE(""https://docs.google.com/spreadsheets/d/1MeEWN-I1oV_STSDYn1IFDPWt_1FKiwhDph83XaGc0o0/edit?usp=sharing"",""งบพรบ!CC43"")"),0)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IFERROR(__xludf.DUMMYFUNCTION("IMPORTRANGE(""https://docs.google.com/spreadsheets/d/1QqKyyYR6Q21VydFLVH3TRQUabQu_ym0Zz7PgGX0-kHA/edit?usp=sharing"",""แผน!X43"")"),0)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7"/>
      <c r="J160" s="617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49495</v>
      </c>
      <c r="N165" s="155">
        <f t="shared" ca="1" si="84"/>
        <v>49495</v>
      </c>
      <c r="O165" s="155">
        <f t="shared" ref="O165:O173" ca="1" si="85">IF(L165&gt;0,N165*100/L165,0)</f>
        <v>224.41623214690546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7"/>
      <c r="J166" s="617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7"/>
      <c r="J167" s="617"/>
      <c r="K167" s="93"/>
      <c r="L167" s="93">
        <f t="shared" ca="1" si="87"/>
        <v>22055</v>
      </c>
      <c r="M167" s="93">
        <f t="shared" ca="1" si="87"/>
        <v>49495</v>
      </c>
      <c r="N167" s="93">
        <f t="shared" ca="1" si="87"/>
        <v>49495</v>
      </c>
      <c r="O167" s="93">
        <f t="shared" ca="1" si="85"/>
        <v>224.41623214690546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49495</v>
      </c>
      <c r="N168" s="498">
        <f t="shared" ca="1" si="88"/>
        <v>49495</v>
      </c>
      <c r="O168" s="498">
        <f t="shared" ca="1" si="85"/>
        <v>224.41623214690546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IFERROR(__xludf.DUMMYFUNCTION("IMPORTRANGE(""https://docs.google.com/spreadsheets/d/1MeEWN-I1oV_STSDYn1IFDPWt_1FKiwhDph83XaGc0o0/edit?usp=sharing"",""งบพรบ!CE43"")"),22055)</f>
        <v>22055</v>
      </c>
      <c r="M170" s="93">
        <f ca="1">IFERROR(__xludf.DUMMYFUNCTION("IMPORTRANGE(""https://docs.google.com/spreadsheets/d/1MeEWN-I1oV_STSDYn1IFDPWt_1FKiwhDph83XaGc0o0/edit?usp=sharing"",""งบพรบ!CJ43"")"),49495)</f>
        <v>49495</v>
      </c>
      <c r="N170" s="93">
        <f ca="1">IFERROR(__xludf.DUMMYFUNCTION("IMPORTRANGE(""https://docs.google.com/spreadsheets/d/1MeEWN-I1oV_STSDYn1IFDPWt_1FKiwhDph83XaGc0o0/edit?usp=sharing"",""งบพรบ!CL43"")"),49495)</f>
        <v>49495</v>
      </c>
      <c r="O170" s="93">
        <f t="shared" ca="1" si="85"/>
        <v>224.41623214690546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IFERROR(__xludf.DUMMYFUNCTION("IMPORTRANGE(""https://docs.google.com/spreadsheets/d/1MeEWN-I1oV_STSDYn1IFDPWt_1FKiwhDph83XaGc0o0/edit?usp=sharing"",""งบพรบ!CH43"")"),0)</f>
        <v>0</v>
      </c>
      <c r="M173" s="93">
        <f ca="1">IFERROR(__xludf.DUMMYFUNCTION("IMPORTRANGE(""https://docs.google.com/spreadsheets/d/1MeEWN-I1oV_STSDYn1IFDPWt_1FKiwhDph83XaGc0o0/edit?usp=sharing"",""งบพรบ!CK43"")"),0)</f>
        <v>0</v>
      </c>
      <c r="N173" s="93">
        <f ca="1">IFERROR(__xludf.DUMMYFUNCTION("IMPORTRANGE(""https://docs.google.com/spreadsheets/d/1MeEWN-I1oV_STSDYn1IFDPWt_1FKiwhDph83XaGc0o0/edit?usp=sharing"",""งบพรบ!CM43"")"),0)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7" t="s">
        <v>38</v>
      </c>
      <c r="E175" s="173"/>
      <c r="F175" s="173"/>
      <c r="G175" s="174"/>
      <c r="H175" s="76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6" t="s">
        <v>85</v>
      </c>
      <c r="E176" s="178"/>
      <c r="F176" s="178"/>
      <c r="G176" s="179"/>
      <c r="H176" s="623" t="s">
        <v>35</v>
      </c>
      <c r="I176" s="270">
        <f ca="1">IFERROR(__xludf.DUMMYFUNCTION("IMPORTRANGE(""https://docs.google.com/spreadsheets/d/1QqKyyYR6Q21VydFLVH3TRQUabQu_ym0Zz7PgGX0-kHA/edit?usp=sharing"",""แผน!Y43"")"),11)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116200</v>
      </c>
      <c r="M181" s="155">
        <f t="shared" ca="1" si="92"/>
        <v>131640</v>
      </c>
      <c r="N181" s="155">
        <f t="shared" ca="1" si="92"/>
        <v>131640</v>
      </c>
      <c r="O181" s="155">
        <f t="shared" ref="O181:O189" ca="1" si="93">IF(L181&gt;0,N181*100/L181,0)</f>
        <v>113.28743545611016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7"/>
      <c r="J182" s="617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7"/>
      <c r="J183" s="617"/>
      <c r="K183" s="93"/>
      <c r="L183" s="93">
        <f t="shared" ca="1" si="95"/>
        <v>116200</v>
      </c>
      <c r="M183" s="93">
        <f t="shared" ca="1" si="95"/>
        <v>131640</v>
      </c>
      <c r="N183" s="93">
        <f t="shared" ca="1" si="95"/>
        <v>131640</v>
      </c>
      <c r="O183" s="93">
        <f t="shared" ca="1" si="93"/>
        <v>113.28743545611016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116200</v>
      </c>
      <c r="M184" s="498">
        <f t="shared" ca="1" si="96"/>
        <v>131640</v>
      </c>
      <c r="N184" s="498">
        <f t="shared" ca="1" si="96"/>
        <v>131640</v>
      </c>
      <c r="O184" s="498">
        <f t="shared" ca="1" si="93"/>
        <v>113.28743545611016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IFERROR(__xludf.DUMMYFUNCTION("IMPORTRANGE(""https://docs.google.com/spreadsheets/d/1MeEWN-I1oV_STSDYn1IFDPWt_1FKiwhDph83XaGc0o0/edit?usp=sharing"",""งบพรบ!CO43"")"),116200)</f>
        <v>116200</v>
      </c>
      <c r="M186" s="93">
        <f ca="1">IFERROR(__xludf.DUMMYFUNCTION("IMPORTRANGE(""https://docs.google.com/spreadsheets/d/1MeEWN-I1oV_STSDYn1IFDPWt_1FKiwhDph83XaGc0o0/edit?usp=sharing"",""งบพรบ!CT43"")"),131640)</f>
        <v>131640</v>
      </c>
      <c r="N186" s="93">
        <f ca="1">IFERROR(__xludf.DUMMYFUNCTION("IMPORTRANGE(""https://docs.google.com/spreadsheets/d/1MeEWN-I1oV_STSDYn1IFDPWt_1FKiwhDph83XaGc0o0/edit?usp=sharing"",""งบพรบ!CV43"")"),131640)</f>
        <v>131640</v>
      </c>
      <c r="O186" s="93">
        <f t="shared" ca="1" si="93"/>
        <v>113.28743545611016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IFERROR(__xludf.DUMMYFUNCTION("IMPORTRANGE(""https://docs.google.com/spreadsheets/d/1MeEWN-I1oV_STSDYn1IFDPWt_1FKiwhDph83XaGc0o0/edit?usp=sharing"",""งบพรบ!CR43"")"),0)</f>
        <v>0</v>
      </c>
      <c r="M189" s="93">
        <f ca="1">IFERROR(__xludf.DUMMYFUNCTION("IMPORTRANGE(""https://docs.google.com/spreadsheets/d/1MeEWN-I1oV_STSDYn1IFDPWt_1FKiwhDph83XaGc0o0/edit?usp=sharing"",""งบพรบ!CU43"")"),0)</f>
        <v>0</v>
      </c>
      <c r="N189" s="93">
        <f ca="1">IFERROR(__xludf.DUMMYFUNCTION("IMPORTRANGE(""https://docs.google.com/spreadsheets/d/1MeEWN-I1oV_STSDYn1IFDPWt_1FKiwhDph83XaGc0o0/edit?usp=sharing"",""งบพรบ!CW43"")"),0)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8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IFERROR(__xludf.DUMMYFUNCTION("IMPORTRANGE(""https://docs.google.com/spreadsheets/d/1QqKyyYR6Q21VydFLVH3TRQUabQu_ym0Zz7PgGX0-kHA/edit?usp=sharing"",""แผน!Z43"")"),6000)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7" t="s">
        <v>38</v>
      </c>
      <c r="E192" s="173"/>
      <c r="F192" s="173"/>
      <c r="G192" s="174"/>
      <c r="H192" s="762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4" t="s">
        <v>90</v>
      </c>
      <c r="I193" s="270">
        <f ca="1">IFERROR(__xludf.DUMMYFUNCTION("IMPORTRANGE(""https://docs.google.com/spreadsheets/d/1QqKyyYR6Q21VydFLVH3TRQUabQu_ym0Zz7PgGX0-kHA/edit?usp=sharing"",""แผน!AC43"")"),4)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92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92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8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31000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IFERROR(__xludf.DUMMYFUNCTION("IMPORTRANGE(""https://docs.google.com/spreadsheets/d/1QqKyyYR6Q21VydFLVH3TRQUabQu_ym0Zz7PgGX0-kHA/edit?usp=sharing"",""แผน!AE43"")"),2000)</f>
        <v>2000</v>
      </c>
      <c r="M199" s="498"/>
      <c r="N199" s="840">
        <v>2000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3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IFERROR(__xludf.DUMMYFUNCTION("IMPORTRANGE(""https://docs.google.com/spreadsheets/d/1QqKyyYR6Q21VydFLVH3TRQUabQu_ym0Zz7PgGX0-kHA/edit?usp=sharing"",""แผน!AF43"")"),16000)</f>
        <v>16000</v>
      </c>
      <c r="M200" s="498"/>
      <c r="N200" s="840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3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IFERROR(__xludf.DUMMYFUNCTION("IMPORTRANGE(""https://docs.google.com/spreadsheets/d/1QqKyyYR6Q21VydFLVH3TRQUabQu_ym0Zz7PgGX0-kHA/edit?usp=sharing"",""แผน!AG43"")"),8000)</f>
        <v>8000</v>
      </c>
      <c r="M201" s="498"/>
      <c r="N201" s="840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3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IFERROR(__xludf.DUMMYFUNCTION("IMPORTRANGE(""https://docs.google.com/spreadsheets/d/1QqKyyYR6Q21VydFLVH3TRQUabQu_ym0Zz7PgGX0-kHA/edit?usp=sharing"",""แผน!AH43"")"),5000)</f>
        <v>5000</v>
      </c>
      <c r="M202" s="498"/>
      <c r="N202" s="840">
        <v>5000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7" t="s">
        <v>38</v>
      </c>
      <c r="E203" s="173"/>
      <c r="F203" s="173"/>
      <c r="G203" s="174"/>
      <c r="H203" s="76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2" t="s">
        <v>96</v>
      </c>
      <c r="I204" s="270">
        <f ca="1">IFERROR(__xludf.DUMMYFUNCTION("IMPORTRANGE(""https://docs.google.com/spreadsheets/d/1QqKyyYR6Q21VydFLVH3TRQUabQu_ym0Zz7PgGX0-kHA/edit?usp=sharing"",""แผน!AI43"")"),2)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2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2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8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28000</v>
      </c>
      <c r="M209" s="155"/>
      <c r="N209" s="155">
        <f>N210+N211+N212</f>
        <v>28000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IFERROR(__xludf.DUMMYFUNCTION("IMPORTRANGE(""https://docs.google.com/spreadsheets/d/1QqKyyYR6Q21VydFLVH3TRQUabQu_ym0Zz7PgGX0-kHA/edit?usp=sharing"",""แผน!AK43"")"),2000)</f>
        <v>2000</v>
      </c>
      <c r="M210" s="498"/>
      <c r="N210" s="840">
        <v>2000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IFERROR(__xludf.DUMMYFUNCTION("IMPORTRANGE(""https://docs.google.com/spreadsheets/d/1QqKyyYR6Q21VydFLVH3TRQUabQu_ym0Zz7PgGX0-kHA/edit?usp=sharing"",""แผน!AL43"")"),10000)</f>
        <v>10000</v>
      </c>
      <c r="M211" s="498"/>
      <c r="N211" s="840">
        <v>10000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IFERROR(__xludf.DUMMYFUNCTION("IMPORTRANGE(""https://docs.google.com/spreadsheets/d/1QqKyyYR6Q21VydFLVH3TRQUabQu_ym0Zz7PgGX0-kHA/edit?usp=sharing"",""แผน!AM43"")"),16000)</f>
        <v>16000</v>
      </c>
      <c r="M212" s="498"/>
      <c r="N212" s="840">
        <v>16000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7" t="s">
        <v>38</v>
      </c>
      <c r="E213" s="173"/>
      <c r="F213" s="173"/>
      <c r="G213" s="174"/>
      <c r="H213" s="762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2" t="s">
        <v>96</v>
      </c>
      <c r="I214" s="270">
        <f ca="1">IFERROR(__xludf.DUMMYFUNCTION("IMPORTRANGE(""https://docs.google.com/spreadsheets/d/1QqKyyYR6Q21VydFLVH3TRQUabQu_ym0Zz7PgGX0-kHA/edit?usp=sharing"",""แผน!AN43"")"),2)</f>
        <v>2</v>
      </c>
      <c r="J214" s="215">
        <v>2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2" t="s">
        <v>96</v>
      </c>
      <c r="I215" s="270">
        <f ca="1">IFERROR(__xludf.DUMMYFUNCTION("IMPORTRANGE(""https://docs.google.com/spreadsheets/d/1QqKyyYR6Q21VydFLVH3TRQUabQu_ym0Zz7PgGX0-kHA/edit?usp=sharing"",""แผน!AN43"")"),2)</f>
        <v>2</v>
      </c>
      <c r="J215" s="215">
        <v>2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128000</v>
      </c>
      <c r="J216" s="272">
        <f t="shared" si="103"/>
        <v>128000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8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51200</v>
      </c>
      <c r="M217" s="155"/>
      <c r="N217" s="155">
        <f>N218+N219+N220</f>
        <v>51200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IFERROR(__xludf.DUMMYFUNCTION("IMPORTRANGE(""https://docs.google.com/spreadsheets/d/1QqKyyYR6Q21VydFLVH3TRQUabQu_ym0Zz7PgGX0-kHA/edit?usp=sharing"",""แผน!AP43"")"),8000)</f>
        <v>8000</v>
      </c>
      <c r="M218" s="498"/>
      <c r="N218" s="840">
        <v>8000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IFERROR(__xludf.DUMMYFUNCTION("IMPORTRANGE(""https://docs.google.com/spreadsheets/d/1QqKyyYR6Q21VydFLVH3TRQUabQu_ym0Zz7PgGX0-kHA/edit?usp=sharing"",""แผน!AQ43"")"),33200)</f>
        <v>33200</v>
      </c>
      <c r="M219" s="498"/>
      <c r="N219" s="840">
        <v>33200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IFERROR(__xludf.DUMMYFUNCTION("IMPORTRANGE(""https://docs.google.com/spreadsheets/d/1QqKyyYR6Q21VydFLVH3TRQUabQu_ym0Zz7PgGX0-kHA/edit?usp=sharing"",""แผน!AR43"")"),10000)</f>
        <v>10000</v>
      </c>
      <c r="M220" s="498"/>
      <c r="N220" s="840">
        <v>10000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7" t="s">
        <v>38</v>
      </c>
      <c r="E221" s="173"/>
      <c r="F221" s="173"/>
      <c r="G221" s="174"/>
      <c r="H221" s="76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4" t="s">
        <v>109</v>
      </c>
      <c r="I223" s="270">
        <f ca="1">IFERROR(__xludf.DUMMYFUNCTION("IMPORTRANGE(""https://docs.google.com/spreadsheets/d/1QqKyyYR6Q21VydFLVH3TRQUabQu_ym0Zz7PgGX0-kHA/edit?usp=sharing"",""แผน!AT43"")"),128000)</f>
        <v>128000</v>
      </c>
      <c r="J223" s="215">
        <v>128000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4" t="s">
        <v>109</v>
      </c>
      <c r="I224" s="270">
        <f ca="1">IFERROR(__xludf.DUMMYFUNCTION("IMPORTRANGE(""https://docs.google.com/spreadsheets/d/1QqKyyYR6Q21VydFLVH3TRQUabQu_ym0Zz7PgGX0-kHA/edit?usp=sharing"",""แผน!AT43"")"),128000)</f>
        <v>128000</v>
      </c>
      <c r="J224" s="215">
        <v>128000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4" t="s">
        <v>35</v>
      </c>
      <c r="I225" s="270">
        <f ca="1">IFERROR(__xludf.DUMMYFUNCTION("IMPORTRANGE(""https://docs.google.com/spreadsheets/d/1QqKyyYR6Q21VydFLVH3TRQUabQu_ym0Zz7PgGX0-kHA/edit?usp=sharing"",""แผน!AS43"")"),10)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8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2"/>
      <c r="P227" s="8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7"/>
      <c r="J229" s="617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7"/>
      <c r="J230" s="617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7"/>
      <c r="J231" s="617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7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7">
        <f t="shared" ref="I233:J233" ca="1" si="108">I244+I255</f>
        <v>0</v>
      </c>
      <c r="J233" s="617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7"/>
      <c r="J234" s="617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7">
        <f t="shared" ref="I235:J236" si="109">I246+I257</f>
        <v>0</v>
      </c>
      <c r="J235" s="617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7">
        <f t="shared" si="109"/>
        <v>0</v>
      </c>
      <c r="J236" s="617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IFERROR(__xludf.DUMMYFUNCTION("IMPORTRANGE(""https://docs.google.com/spreadsheets/d/1QqKyyYR6Q21VydFLVH3TRQUabQu_ym0Zz7PgGX0-kHA/edit?usp=sharing"",""แผน!AV43"")"),0)</f>
        <v>0</v>
      </c>
      <c r="M239" s="322"/>
      <c r="N239" s="88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IFERROR(__xludf.DUMMYFUNCTION("IMPORTRANGE(""https://docs.google.com/spreadsheets/d/1QqKyyYR6Q21VydFLVH3TRQUabQu_ym0Zz7PgGX0-kHA/edit?usp=sharing"",""แผน!AW43"")"),0)</f>
        <v>0</v>
      </c>
      <c r="M240" s="322"/>
      <c r="N240" s="88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IFERROR(__xludf.DUMMYFUNCTION("IMPORTRANGE(""https://docs.google.com/spreadsheets/d/1QqKyyYR6Q21VydFLVH3TRQUabQu_ym0Zz7PgGX0-kHA/edit?usp=sharing"",""แผน!AX43"")"),0)</f>
        <v>0</v>
      </c>
      <c r="M241" s="322"/>
      <c r="N241" s="88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IFERROR(__xludf.DUMMYFUNCTION("IMPORTRANGE(""https://docs.google.com/spreadsheets/d/1QqKyyYR6Q21VydFLVH3TRQUabQu_ym0Zz7PgGX0-kHA/edit?usp=sharing"",""แผน!AY43"")"),0)</f>
        <v>0</v>
      </c>
      <c r="M242" s="322"/>
      <c r="N242" s="88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7" t="s">
        <v>38</v>
      </c>
      <c r="E243" s="173"/>
      <c r="F243" s="173"/>
      <c r="G243" s="174"/>
      <c r="H243" s="762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4" t="s">
        <v>35</v>
      </c>
      <c r="I244" s="270">
        <f ca="1">IFERROR(__xludf.DUMMYFUNCTION("IMPORTRANGE(""https://docs.google.com/spreadsheets/d/1QqKyyYR6Q21VydFLVH3TRQUabQu_ym0Zz7PgGX0-kHA/edit?usp=sharing"",""แผน!BE43"")"),0)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4" t="s">
        <v>43</v>
      </c>
      <c r="E245" s="178"/>
      <c r="F245" s="178"/>
      <c r="G245" s="179"/>
      <c r="H245" s="764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4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4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8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IFERROR(__xludf.DUMMYFUNCTION("IMPORTRANGE(""https://docs.google.com/spreadsheets/d/1QqKyyYR6Q21VydFLVH3TRQUabQu_ym0Zz7PgGX0-kHA/edit?usp=sharing"",""แผน!AZ43"")"),0)</f>
        <v>0</v>
      </c>
      <c r="M250" s="322"/>
      <c r="N250" s="88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IFERROR(__xludf.DUMMYFUNCTION("IMPORTRANGE(""https://docs.google.com/spreadsheets/d/1QqKyyYR6Q21VydFLVH3TRQUabQu_ym0Zz7PgGX0-kHA/edit?usp=sharing"",""แผน!BA43"")"),0)</f>
        <v>0</v>
      </c>
      <c r="M251" s="322"/>
      <c r="N251" s="88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IFERROR(__xludf.DUMMYFUNCTION("IMPORTRANGE(""https://docs.google.com/spreadsheets/d/1QqKyyYR6Q21VydFLVH3TRQUabQu_ym0Zz7PgGX0-kHA/edit?usp=sharing"",""แผน!BB43"")"),0)</f>
        <v>0</v>
      </c>
      <c r="M252" s="322"/>
      <c r="N252" s="88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IFERROR(__xludf.DUMMYFUNCTION("IMPORTRANGE(""https://docs.google.com/spreadsheets/d/1QqKyyYR6Q21VydFLVH3TRQUabQu_ym0Zz7PgGX0-kHA/edit?usp=sharing"",""แผน!BC43"")"),0)</f>
        <v>0</v>
      </c>
      <c r="M253" s="322"/>
      <c r="N253" s="88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7" t="s">
        <v>38</v>
      </c>
      <c r="E254" s="173"/>
      <c r="F254" s="173"/>
      <c r="G254" s="174"/>
      <c r="H254" s="762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4" t="s">
        <v>35</v>
      </c>
      <c r="I255" s="270">
        <f ca="1">IFERROR(__xludf.DUMMYFUNCTION("IMPORTRANGE(""https://docs.google.com/spreadsheets/d/1QqKyyYR6Q21VydFLVH3TRQUabQu_ym0Zz7PgGX0-kHA/edit?usp=sharing"",""แผน!BF43"")"),0)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4" t="s">
        <v>43</v>
      </c>
      <c r="E256" s="178"/>
      <c r="F256" s="178"/>
      <c r="G256" s="179"/>
      <c r="H256" s="764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4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4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26900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7"/>
      <c r="J262" s="617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7"/>
      <c r="J263" s="617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26900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26900</v>
      </c>
      <c r="N264" s="498">
        <f t="shared" ca="1" si="120"/>
        <v>26900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IFERROR(__xludf.DUMMYFUNCTION("IMPORTRANGE(""https://docs.google.com/spreadsheets/d/1MeEWN-I1oV_STSDYn1IFDPWt_1FKiwhDph83XaGc0o0/edit?usp=sharing"",""งบพรบ!CY43"")"),26900)</f>
        <v>26900</v>
      </c>
      <c r="M266" s="93">
        <f ca="1">IFERROR(__xludf.DUMMYFUNCTION("IMPORTRANGE(""https://docs.google.com/spreadsheets/d/1MeEWN-I1oV_STSDYn1IFDPWt_1FKiwhDph83XaGc0o0/edit?usp=sharing"",""งบพรบ!DD43"")"),26900)</f>
        <v>26900</v>
      </c>
      <c r="N266" s="93">
        <f ca="1">IFERROR(__xludf.DUMMYFUNCTION("IMPORTRANGE(""https://docs.google.com/spreadsheets/d/1MeEWN-I1oV_STSDYn1IFDPWt_1FKiwhDph83XaGc0o0/edit?usp=sharing"",""งบพรบ!DF43"")"),26900)</f>
        <v>26900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IFERROR(__xludf.DUMMYFUNCTION("IMPORTRANGE(""https://docs.google.com/spreadsheets/d/1MeEWN-I1oV_STSDYn1IFDPWt_1FKiwhDph83XaGc0o0/edit?usp=sharing"",""งบพรบ!DB43"")"),0)</f>
        <v>0</v>
      </c>
      <c r="M269" s="93">
        <f ca="1">IFERROR(__xludf.DUMMYFUNCTION("IMPORTRANGE(""https://docs.google.com/spreadsheets/d/1MeEWN-I1oV_STSDYn1IFDPWt_1FKiwhDph83XaGc0o0/edit?usp=sharing"",""งบพรบ!DE43"")"),0)</f>
        <v>0</v>
      </c>
      <c r="N269" s="93">
        <f ca="1">IFERROR(__xludf.DUMMYFUNCTION("IMPORTRANGE(""https://docs.google.com/spreadsheets/d/1MeEWN-I1oV_STSDYn1IFDPWt_1FKiwhDph83XaGc0o0/edit?usp=sharing"",""งบพรบ!DG43"")"),0)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7" t="s">
        <v>38</v>
      </c>
      <c r="E270" s="173"/>
      <c r="F270" s="173"/>
      <c r="G270" s="174"/>
      <c r="H270" s="76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6">
        <v>0</v>
      </c>
      <c r="J272" s="506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20</v>
      </c>
      <c r="J275" s="406">
        <f t="shared" ca="1" si="122"/>
        <v>20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5">
        <f t="shared" ref="I276:J276" ca="1" si="124">I287</f>
        <v>200</v>
      </c>
      <c r="J276" s="885">
        <f t="shared" si="124"/>
        <v>200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75640</v>
      </c>
      <c r="M277" s="155">
        <f t="shared" ca="1" si="125"/>
        <v>75640</v>
      </c>
      <c r="N277" s="155">
        <f t="shared" ca="1" si="125"/>
        <v>75640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7"/>
      <c r="J278" s="617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7"/>
      <c r="J279" s="617"/>
      <c r="K279" s="93"/>
      <c r="L279" s="93">
        <f t="shared" ca="1" si="128"/>
        <v>75640</v>
      </c>
      <c r="M279" s="93">
        <f t="shared" ca="1" si="128"/>
        <v>75640</v>
      </c>
      <c r="N279" s="93">
        <f t="shared" ca="1" si="128"/>
        <v>75640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75640</v>
      </c>
      <c r="M280" s="498">
        <f t="shared" ca="1" si="129"/>
        <v>75640</v>
      </c>
      <c r="N280" s="498">
        <f t="shared" ca="1" si="129"/>
        <v>75640</v>
      </c>
      <c r="O280" s="498">
        <f t="shared" ca="1" si="126"/>
        <v>100</v>
      </c>
      <c r="P280" s="49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IFERROR(__xludf.DUMMYFUNCTION("IMPORTRANGE(""https://docs.google.com/spreadsheets/d/1MeEWN-I1oV_STSDYn1IFDPWt_1FKiwhDph83XaGc0o0/edit?usp=sharing"",""งบพรบ!DI43"")"),75640)</f>
        <v>75640</v>
      </c>
      <c r="M282" s="93">
        <f ca="1">IFERROR(__xludf.DUMMYFUNCTION("IMPORTRANGE(""https://docs.google.com/spreadsheets/d/1MeEWN-I1oV_STSDYn1IFDPWt_1FKiwhDph83XaGc0o0/edit?usp=sharing"",""งบพรบ!DN43"")"),75640)</f>
        <v>75640</v>
      </c>
      <c r="N282" s="93">
        <f ca="1">IFERROR(__xludf.DUMMYFUNCTION("IMPORTRANGE(""https://docs.google.com/spreadsheets/d/1MeEWN-I1oV_STSDYn1IFDPWt_1FKiwhDph83XaGc0o0/edit?usp=sharing"",""งบพรบ!DP43"")"),75640)</f>
        <v>75640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IFERROR(__xludf.DUMMYFUNCTION("IMPORTRANGE(""https://docs.google.com/spreadsheets/d/1MeEWN-I1oV_STSDYn1IFDPWt_1FKiwhDph83XaGc0o0/edit?usp=sharing"",""งบพรบ!DL43"")"),0)</f>
        <v>0</v>
      </c>
      <c r="M285" s="93">
        <f ca="1">IFERROR(__xludf.DUMMYFUNCTION("IMPORTRANGE(""https://docs.google.com/spreadsheets/d/1MeEWN-I1oV_STSDYn1IFDPWt_1FKiwhDph83XaGc0o0/edit?usp=sharing"",""งบพรบ!DO43"")"),0)</f>
        <v>0</v>
      </c>
      <c r="N285" s="93">
        <f ca="1">IFERROR(__xludf.DUMMYFUNCTION("IMPORTRANGE(""https://docs.google.com/spreadsheets/d/1MeEWN-I1oV_STSDYn1IFDPWt_1FKiwhDph83XaGc0o0/edit?usp=sharing"",""งบพรบ!DQ43"")"),0)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7" t="s">
        <v>38</v>
      </c>
      <c r="E286" s="173"/>
      <c r="F286" s="173"/>
      <c r="G286" s="174"/>
      <c r="H286" s="76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6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IFERROR(__xludf.DUMMYFUNCTION("IMPORTRANGE(""https://docs.google.com/spreadsheets/d/1QqKyyYR6Q21VydFLVH3TRQUabQu_ym0Zz7PgGX0-kHA/edit?usp=sharing"",""แผน!EC43"")"),200)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6" t="s">
        <v>130</v>
      </c>
      <c r="E288" s="171"/>
      <c r="F288" s="178"/>
      <c r="G288" s="179"/>
      <c r="H288" s="180" t="s">
        <v>35</v>
      </c>
      <c r="I288" s="681">
        <f ca="1">IFERROR(__xludf.DUMMYFUNCTION("IMPORTRANGE(""https://docs.google.com/spreadsheets/d/1QqKyyYR6Q21VydFLVH3TRQUabQu_ym0Zz7PgGX0-kHA/edit?usp=sharing"",""แผน!EB43"")"),20)</f>
        <v>20</v>
      </c>
      <c r="J288" s="681">
        <f ca="1">IF(AND(J291&gt;=I288,J294&gt;=I288),J294,0)</f>
        <v>20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6" t="s">
        <v>132</v>
      </c>
      <c r="F290" s="178"/>
      <c r="G290" s="179"/>
      <c r="H290" s="764" t="s">
        <v>35</v>
      </c>
      <c r="I290" s="184">
        <f ca="1">IFERROR(__xludf.DUMMYFUNCTION("IMPORTRANGE(""https://docs.google.com/spreadsheets/d/1QqKyyYR6Q21VydFLVH3TRQUabQu_ym0Zz7PgGX0-kHA/edit?usp=sharing"",""แผน!EB43"")"),20)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6" t="s">
        <v>133</v>
      </c>
      <c r="F291" s="178"/>
      <c r="G291" s="179"/>
      <c r="H291" s="764" t="s">
        <v>35</v>
      </c>
      <c r="I291" s="184">
        <f ca="1">IFERROR(__xludf.DUMMYFUNCTION("IMPORTRANGE(""https://docs.google.com/spreadsheets/d/1QqKyyYR6Q21VydFLVH3TRQUabQu_ym0Zz7PgGX0-kHA/edit?usp=sharing"",""แผน!EB43"")"),20)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6" t="s">
        <v>132</v>
      </c>
      <c r="F293" s="178"/>
      <c r="G293" s="179"/>
      <c r="H293" s="764" t="s">
        <v>35</v>
      </c>
      <c r="I293" s="184">
        <f ca="1">IFERROR(__xludf.DUMMYFUNCTION("IMPORTRANGE(""https://docs.google.com/spreadsheets/d/1QqKyyYR6Q21VydFLVH3TRQUabQu_ym0Zz7PgGX0-kHA/edit?usp=sharing"",""แผน!EB43"")"),20)</f>
        <v>20</v>
      </c>
      <c r="J293" s="215">
        <v>20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4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IFERROR(__xludf.DUMMYFUNCTION("IMPORTRANGE(""https://docs.google.com/spreadsheets/d/1QqKyyYR6Q21VydFLVH3TRQUabQu_ym0Zz7PgGX0-kHA/edit?usp=sharing"",""แผน!EB43"")"),20)</f>
        <v>20</v>
      </c>
      <c r="J294" s="424">
        <v>20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7"/>
      <c r="J299" s="617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7"/>
      <c r="J300" s="617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IFERROR(__xludf.DUMMYFUNCTION("IMPORTRANGE(""https://docs.google.com/spreadsheets/d/1MeEWN-I1oV_STSDYn1IFDPWt_1FKiwhDph83XaGc0o0/edit?usp=sharing"",""งบพรบ!DS43"")"),0)</f>
        <v>0</v>
      </c>
      <c r="M303" s="93">
        <f ca="1">IFERROR(__xludf.DUMMYFUNCTION("IMPORTRANGE(""https://docs.google.com/spreadsheets/d/1MeEWN-I1oV_STSDYn1IFDPWt_1FKiwhDph83XaGc0o0/edit?usp=sharing"",""งบพรบ!DX43"")"),0)</f>
        <v>0</v>
      </c>
      <c r="N303" s="93">
        <f ca="1">IFERROR(__xludf.DUMMYFUNCTION("IMPORTRANGE(""https://docs.google.com/spreadsheets/d/1MeEWN-I1oV_STSDYn1IFDPWt_1FKiwhDph83XaGc0o0/edit?usp=sharing"",""งบพรบ!DZ43"")"),0)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IFERROR(__xludf.DUMMYFUNCTION("IMPORTRANGE(""https://docs.google.com/spreadsheets/d/1MeEWN-I1oV_STSDYn1IFDPWt_1FKiwhDph83XaGc0o0/edit?usp=sharing"",""งบพรบ!DV43"")"),0)</f>
        <v>0</v>
      </c>
      <c r="M306" s="93">
        <f ca="1">IFERROR(__xludf.DUMMYFUNCTION("IMPORTRANGE(""https://docs.google.com/spreadsheets/d/1MeEWN-I1oV_STSDYn1IFDPWt_1FKiwhDph83XaGc0o0/edit?usp=sharing"",""งบพรบ!DY43"")"),0)</f>
        <v>0</v>
      </c>
      <c r="N306" s="93">
        <f ca="1">IFERROR(__xludf.DUMMYFUNCTION("IMPORTRANGE(""https://docs.google.com/spreadsheets/d/1MeEWN-I1oV_STSDYn1IFDPWt_1FKiwhDph83XaGc0o0/edit?usp=sharing"",""งบพรบ!EA43"")"),0)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7" t="s">
        <v>38</v>
      </c>
      <c r="E307" s="173"/>
      <c r="F307" s="173"/>
      <c r="G307" s="174"/>
      <c r="H307" s="762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4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4" t="s">
        <v>35</v>
      </c>
      <c r="I309" s="270">
        <f ca="1">IFERROR(__xludf.DUMMYFUNCTION("IMPORTRANGE(""https://docs.google.com/spreadsheets/d/1QqKyyYR6Q21VydFLVH3TRQUabQu_ym0Zz7PgGX0-kHA/edit?usp=sharing"",""แผน!ED43"")"),0)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4" t="s">
        <v>35</v>
      </c>
      <c r="I310" s="270">
        <f ca="1">IFERROR(__xludf.DUMMYFUNCTION("IMPORTRANGE(""https://docs.google.com/spreadsheets/d/1QqKyyYR6Q21VydFLVH3TRQUabQu_ym0Zz7PgGX0-kHA/edit?usp=sharing"",""แผน!ED43"")"),0)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4" t="s">
        <v>35</v>
      </c>
      <c r="I311" s="270">
        <f ca="1">IFERROR(__xludf.DUMMYFUNCTION("IMPORTRANGE(""https://docs.google.com/spreadsheets/d/1QqKyyYR6Q21VydFLVH3TRQUabQu_ym0Zz7PgGX0-kHA/edit?usp=sharing"",""แผน!ED43"")"),0)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4" t="s">
        <v>35</v>
      </c>
      <c r="I312" s="270">
        <f ca="1">IFERROR(__xludf.DUMMYFUNCTION("IMPORTRANGE(""https://docs.google.com/spreadsheets/d/1QqKyyYR6Q21VydFLVH3TRQUabQu_ym0Zz7PgGX0-kHA/edit?usp=sharing"",""แผน!EE43"")"),0)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7"/>
      <c r="J316" s="617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7"/>
      <c r="J317" s="617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IFERROR(__xludf.DUMMYFUNCTION("IMPORTRANGE(""https://docs.google.com/spreadsheets/d/1MeEWN-I1oV_STSDYn1IFDPWt_1FKiwhDph83XaGc0o0/edit?usp=sharing"",""งบพรบ!EC43"")"),0)</f>
        <v>0</v>
      </c>
      <c r="M320" s="93">
        <f ca="1">IFERROR(__xludf.DUMMYFUNCTION("IMPORTRANGE(""https://docs.google.com/spreadsheets/d/1MeEWN-I1oV_STSDYn1IFDPWt_1FKiwhDph83XaGc0o0/edit?usp=sharing"",""งบพรบ!EH43"")"),0)</f>
        <v>0</v>
      </c>
      <c r="N320" s="93">
        <f ca="1">IFERROR(__xludf.DUMMYFUNCTION("IMPORTRANGE(""https://docs.google.com/spreadsheets/d/1MeEWN-I1oV_STSDYn1IFDPWt_1FKiwhDph83XaGc0o0/edit?usp=sharing"",""งบพรบ!EJ43"")"),0)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IFERROR(__xludf.DUMMYFUNCTION("IMPORTRANGE(""https://docs.google.com/spreadsheets/d/1MeEWN-I1oV_STSDYn1IFDPWt_1FKiwhDph83XaGc0o0/edit?usp=sharing"",""งบพรบ!EF43"")"),0)</f>
        <v>0</v>
      </c>
      <c r="M323" s="93">
        <f ca="1">IFERROR(__xludf.DUMMYFUNCTION("IMPORTRANGE(""https://docs.google.com/spreadsheets/d/1MeEWN-I1oV_STSDYn1IFDPWt_1FKiwhDph83XaGc0o0/edit?usp=sharing"",""งบพรบ!EI43"")"),0)</f>
        <v>0</v>
      </c>
      <c r="N323" s="93">
        <f ca="1">IFERROR(__xludf.DUMMYFUNCTION("IMPORTRANGE(""https://docs.google.com/spreadsheets/d/1MeEWN-I1oV_STSDYn1IFDPWt_1FKiwhDph83XaGc0o0/edit?usp=sharing"",""งบพรบ!EK43"")"),0)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7" t="s">
        <v>38</v>
      </c>
      <c r="E324" s="173"/>
      <c r="F324" s="173"/>
      <c r="G324" s="174"/>
      <c r="H324" s="762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3" t="s">
        <v>146</v>
      </c>
      <c r="I325" s="270">
        <f ca="1">IFERROR(__xludf.DUMMYFUNCTION("IMPORTRANGE(""https://docs.google.com/spreadsheets/d/1QqKyyYR6Q21VydFLVH3TRQUabQu_ym0Zz7PgGX0-kHA/edit?usp=sharing"",""แผน!EF43"")"),0)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IFERROR(__xludf.DUMMYFUNCTION("IMPORTRANGE(""https://docs.google.com/spreadsheets/d/1QqKyyYR6Q21VydFLVH3TRQUabQu_ym0Zz7PgGX0-kHA/edit?usp=sharing"",""แผน!EG43"")"),3800)</f>
        <v>3800</v>
      </c>
      <c r="J327" s="444">
        <f ca="1">J338+J341+J342+J343</f>
        <v>7676</v>
      </c>
      <c r="K327" s="445">
        <f ca="1">IF(I327&gt;0,J327*100/I327,0)</f>
        <v>202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177000</v>
      </c>
      <c r="M328" s="155">
        <f t="shared" ca="1" si="149"/>
        <v>179500</v>
      </c>
      <c r="N328" s="155">
        <f t="shared" ca="1" si="149"/>
        <v>179500</v>
      </c>
      <c r="O328" s="155">
        <f t="shared" ref="O328:O336" ca="1" si="150">IF(L328&gt;0,N328*100/L328,0)</f>
        <v>101.41242937853107</v>
      </c>
      <c r="P328" s="155">
        <f t="shared" ref="P328:P336" ca="1" si="151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7"/>
      <c r="J329" s="617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7"/>
      <c r="J330" s="617"/>
      <c r="K330" s="93"/>
      <c r="L330" s="93">
        <f t="shared" ca="1" si="152"/>
        <v>177000</v>
      </c>
      <c r="M330" s="93">
        <f t="shared" ca="1" si="152"/>
        <v>179500</v>
      </c>
      <c r="N330" s="93">
        <f t="shared" ca="1" si="152"/>
        <v>179500</v>
      </c>
      <c r="O330" s="93">
        <f t="shared" ca="1" si="150"/>
        <v>101.41242937853107</v>
      </c>
      <c r="P330" s="93">
        <f t="shared" ca="1" si="151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177000</v>
      </c>
      <c r="M331" s="498">
        <f t="shared" ca="1" si="153"/>
        <v>179500</v>
      </c>
      <c r="N331" s="498">
        <f t="shared" ca="1" si="153"/>
        <v>179500</v>
      </c>
      <c r="O331" s="498">
        <f t="shared" ca="1" si="150"/>
        <v>101.41242937853107</v>
      </c>
      <c r="P331" s="498">
        <f t="shared" ca="1" si="151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IFERROR(__xludf.DUMMYFUNCTION("IMPORTRANGE(""https://docs.google.com/spreadsheets/d/1MeEWN-I1oV_STSDYn1IFDPWt_1FKiwhDph83XaGc0o0/edit?usp=sharing"",""งบพรบ!EM43"")"),177000)</f>
        <v>177000</v>
      </c>
      <c r="M333" s="93">
        <f ca="1">IFERROR(__xludf.DUMMYFUNCTION("IMPORTRANGE(""https://docs.google.com/spreadsheets/d/1MeEWN-I1oV_STSDYn1IFDPWt_1FKiwhDph83XaGc0o0/edit?usp=sharing"",""งบพรบ!ER43"")"),179500)</f>
        <v>179500</v>
      </c>
      <c r="N333" s="93">
        <f ca="1">IFERROR(__xludf.DUMMYFUNCTION("IMPORTRANGE(""https://docs.google.com/spreadsheets/d/1MeEWN-I1oV_STSDYn1IFDPWt_1FKiwhDph83XaGc0o0/edit?usp=sharing"",""งบพรบ!ET43"")"),179500)</f>
        <v>179500</v>
      </c>
      <c r="O333" s="93">
        <f t="shared" ca="1" si="150"/>
        <v>101.41242937853107</v>
      </c>
      <c r="P333" s="93">
        <f t="shared" ca="1" si="151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IFERROR(__xludf.DUMMYFUNCTION("IMPORTRANGE(""https://docs.google.com/spreadsheets/d/1MeEWN-I1oV_STSDYn1IFDPWt_1FKiwhDph83XaGc0o0/edit?usp=sharing"",""งบพรบ!EP43"")"),0)</f>
        <v>0</v>
      </c>
      <c r="M336" s="93">
        <f ca="1">IFERROR(__xludf.DUMMYFUNCTION("IMPORTRANGE(""https://docs.google.com/spreadsheets/d/1MeEWN-I1oV_STSDYn1IFDPWt_1FKiwhDph83XaGc0o0/edit?usp=sharing"",""งบพรบ!ES43"")"),0)</f>
        <v>0</v>
      </c>
      <c r="N336" s="93">
        <f ca="1">IFERROR(__xludf.DUMMYFUNCTION("IMPORTRANGE(""https://docs.google.com/spreadsheets/d/1MeEWN-I1oV_STSDYn1IFDPWt_1FKiwhDph83XaGc0o0/edit?usp=sharing"",""งบพรบ!EU43"")"),0)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86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62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IFERROR(__xludf.DUMMYFUNCTION("IMPORTRANGE(""https://docs.google.com/spreadsheets/d/1QqKyyYR6Q21VydFLVH3TRQUabQu_ym0Zz7PgGX0-kHA/edit?usp=sharing"",""แผน!EG43"")"),3800)</f>
        <v>3800</v>
      </c>
      <c r="J338" s="270">
        <f ca="1">IFERROR(__xludf.DUMMYFUNCTION("IMPORTRANGE(""https://docs.google.com/spreadsheets/d/1kVcqe37tkHyjCSG3S0O1AXqVkqjo8mSIZil3BcpIysc/edit?usp=sharing"",""ศูนย์!D43"")"),6402)</f>
        <v>6402</v>
      </c>
      <c r="K338" s="498">
        <f ca="1">IF(I338&gt;0,J338*100/I338,0)</f>
        <v>168.47368421052633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IFERROR(__xludf.DUMMYFUNCTION("IMPORTRANGE(""https://docs.google.com/spreadsheets/d/1QqKyyYR6Q21VydFLVH3TRQUabQu_ym0Zz7PgGX0-kHA/edit?usp=sharing"",""แผน!EH43"")"),7)</f>
        <v>7</v>
      </c>
      <c r="J340" s="270">
        <f ca="1">IFERROR(__xludf.DUMMYFUNCTION("IMPORTRANGE(""https://docs.google.com/spreadsheets/d/1kVcqe37tkHyjCSG3S0O1AXqVkqjo8mSIZil3BcpIysc/edit?usp=sharing"",""ศูนย์!E43"")"),7)</f>
        <v>7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IFERROR(__xludf.DUMMYFUNCTION("IMPORTRANGE(""https://docs.google.com/spreadsheets/d/1kVcqe37tkHyjCSG3S0O1AXqVkqjo8mSIZil3BcpIysc/edit?usp=sharing"",""ศูนย์!F43"")"),795)</f>
        <v>795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IFERROR(__xludf.DUMMYFUNCTION("IMPORTRANGE(""https://docs.google.com/spreadsheets/d/1kVcqe37tkHyjCSG3S0O1AXqVkqjo8mSIZil3BcpIysc/edit?usp=sharing"",""ศูนย์!G43"")"),362)</f>
        <v>362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IFERROR(__xludf.DUMMYFUNCTION("IMPORTRANGE(""https://docs.google.com/spreadsheets/d/1kVcqe37tkHyjCSG3S0O1AXqVkqjo8mSIZil3BcpIysc/edit?usp=sharing"",""ศูนย์!H43"")"),117)</f>
        <v>117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1476480</v>
      </c>
      <c r="M345" s="155">
        <f t="shared" ca="1" si="155"/>
        <v>1590980</v>
      </c>
      <c r="N345" s="155">
        <f t="shared" ca="1" si="155"/>
        <v>1590980</v>
      </c>
      <c r="O345" s="155">
        <f t="shared" ref="O345:O353" ca="1" si="156">IF(L345&gt;0,N345*100/L345,0)</f>
        <v>107.75493064586043</v>
      </c>
      <c r="P345" s="155">
        <f t="shared" ref="P345:P353" ca="1" si="157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7"/>
      <c r="J346" s="617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7"/>
      <c r="J347" s="617"/>
      <c r="K347" s="93"/>
      <c r="L347" s="93">
        <f t="shared" ca="1" si="158"/>
        <v>1476480</v>
      </c>
      <c r="M347" s="93">
        <f t="shared" ca="1" si="158"/>
        <v>1590980</v>
      </c>
      <c r="N347" s="93">
        <f t="shared" ca="1" si="158"/>
        <v>1590980</v>
      </c>
      <c r="O347" s="93">
        <f t="shared" ca="1" si="156"/>
        <v>107.75493064586043</v>
      </c>
      <c r="P347" s="93">
        <f t="shared" ca="1" si="157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1416480</v>
      </c>
      <c r="M348" s="498">
        <f t="shared" ca="1" si="159"/>
        <v>1530980</v>
      </c>
      <c r="N348" s="498">
        <f t="shared" ca="1" si="159"/>
        <v>1530980</v>
      </c>
      <c r="O348" s="498">
        <f t="shared" ca="1" si="156"/>
        <v>108.0834180503784</v>
      </c>
      <c r="P348" s="498">
        <f t="shared" ca="1" si="157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IFERROR(__xludf.DUMMYFUNCTION("IMPORTRANGE(""https://docs.google.com/spreadsheets/d/1MeEWN-I1oV_STSDYn1IFDPWt_1FKiwhDph83XaGc0o0/edit?usp=sharing"",""งบพรบ!EW43"")"),1416480)</f>
        <v>1416480</v>
      </c>
      <c r="M350" s="93">
        <f ca="1">IFERROR(__xludf.DUMMYFUNCTION("IMPORTRANGE(""https://docs.google.com/spreadsheets/d/1MeEWN-I1oV_STSDYn1IFDPWt_1FKiwhDph83XaGc0o0/edit?usp=sharing"",""งบพรบ!FB43"")"),1530980)</f>
        <v>1530980</v>
      </c>
      <c r="N350" s="93">
        <f ca="1">IFERROR(__xludf.DUMMYFUNCTION("IMPORTRANGE(""https://docs.google.com/spreadsheets/d/1MeEWN-I1oV_STSDYn1IFDPWt_1FKiwhDph83XaGc0o0/edit?usp=sharing"",""งบพรบ!FD43"")"),1530980)</f>
        <v>1530980</v>
      </c>
      <c r="O350" s="93">
        <f t="shared" ca="1" si="156"/>
        <v>108.0834180503784</v>
      </c>
      <c r="P350" s="93">
        <f t="shared" ca="1" si="157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60000</v>
      </c>
      <c r="M351" s="498">
        <f t="shared" ca="1" si="160"/>
        <v>60000</v>
      </c>
      <c r="N351" s="498">
        <f t="shared" ca="1" si="160"/>
        <v>60000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IFERROR(__xludf.DUMMYFUNCTION("IMPORTRANGE(""https://docs.google.com/spreadsheets/d/1MeEWN-I1oV_STSDYn1IFDPWt_1FKiwhDph83XaGc0o0/edit?usp=sharing"",""งบพรบ!EZ43"")"),60000)</f>
        <v>60000</v>
      </c>
      <c r="M353" s="93">
        <f ca="1">IFERROR(__xludf.DUMMYFUNCTION("IMPORTRANGE(""https://docs.google.com/spreadsheets/d/1MeEWN-I1oV_STSDYn1IFDPWt_1FKiwhDph83XaGc0o0/edit?usp=sharing"",""งบพรบ!FC43"")"),60000)</f>
        <v>60000</v>
      </c>
      <c r="N353" s="93">
        <f ca="1">IFERROR(__xludf.DUMMYFUNCTION("IMPORTRANGE(""https://docs.google.com/spreadsheets/d/1MeEWN-I1oV_STSDYn1IFDPWt_1FKiwhDph83XaGc0o0/edit?usp=sharing"",""งบพรบ!FE43"")"),60000)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8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IFERROR(__xludf.DUMMYFUNCTION("IMPORTRANGE(""https://docs.google.com/spreadsheets/d/1QqKyyYR6Q21VydFLVH3TRQUabQu_ym0Zz7PgGX0-kHA/edit?usp=sharing"",""แผน!EP43"")"),755)</f>
        <v>755</v>
      </c>
      <c r="J355" s="465">
        <f ca="1">J362</f>
        <v>730</v>
      </c>
      <c r="K355" s="466">
        <f ca="1">IF(I355&gt;0,J355*100/I355,0)</f>
        <v>96.688741721854299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77" t="s">
        <v>38</v>
      </c>
      <c r="E357" s="173"/>
      <c r="F357" s="173"/>
      <c r="G357" s="174"/>
      <c r="H357" s="762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IFERROR(__xludf.DUMMYFUNCTION("IMPORTRANGE(""https://docs.google.com/spreadsheets/d/1XWAQStnk-4SwqDmLtmXYiTMKHgktTP8We1SCoS47DrQ/edit?usp=sharing"",""จัดที่ดิน!W43"")"),761)</f>
        <v>761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IFERROR(__xludf.DUMMYFUNCTION("IMPORTRANGE(""https://docs.google.com/spreadsheets/d/1QqKyyYR6Q21VydFLVH3TRQUabQu_ym0Zz7PgGX0-kHA/edit?usp=sharing"",""แผน!EO43"")"),7550)</f>
        <v>7550</v>
      </c>
      <c r="J359" s="270">
        <f ca="1">IFERROR(__xludf.DUMMYFUNCTION("IMPORTRANGE(""https://docs.google.com/spreadsheets/d/1XWAQStnk-4SwqDmLtmXYiTMKHgktTP8We1SCoS47DrQ/edit?usp=sharing"",""จัดที่ดิน!X43"")"),7012.55)</f>
        <v>7012.55</v>
      </c>
      <c r="K359" s="498">
        <f t="shared" ca="1" si="161"/>
        <v>92.881456953642385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4" t="s">
        <v>35</v>
      </c>
      <c r="I360" s="270">
        <f ca="1">IFERROR(__xludf.DUMMYFUNCTION("IMPORTRANGE(""https://docs.google.com/spreadsheets/d/1QqKyyYR6Q21VydFLVH3TRQUabQu_ym0Zz7PgGX0-kHA/edit?usp=sharing"",""แผน!EP43"")"),755)</f>
        <v>755</v>
      </c>
      <c r="J360" s="270">
        <f ca="1">IFERROR(__xludf.DUMMYFUNCTION("IMPORTRANGE(""https://docs.google.com/spreadsheets/d/1XWAQStnk-4SwqDmLtmXYiTMKHgktTP8We1SCoS47DrQ/edit?usp=sharing"",""จัดที่ดิน!Y43"")"),734)</f>
        <v>734</v>
      </c>
      <c r="K360" s="498">
        <f t="shared" ca="1" si="161"/>
        <v>97.21854304635761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IFERROR(__xludf.DUMMYFUNCTION("IMPORTRANGE(""https://docs.google.com/spreadsheets/d/1XWAQStnk-4SwqDmLtmXYiTMKHgktTP8We1SCoS47DrQ/edit?usp=sharing"",""จัดที่ดิน!Z43"")"),6577.1)</f>
        <v>6577.1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4" t="s">
        <v>35</v>
      </c>
      <c r="I362" s="270">
        <f ca="1">IFERROR(__xludf.DUMMYFUNCTION("IMPORTRANGE(""https://docs.google.com/spreadsheets/d/1QqKyyYR6Q21VydFLVH3TRQUabQu_ym0Zz7PgGX0-kHA/edit?usp=sharing"",""แผน!EP43"")"),755)</f>
        <v>755</v>
      </c>
      <c r="J362" s="270">
        <f ca="1">IFERROR(__xludf.DUMMYFUNCTION("IMPORTRANGE(""https://docs.google.com/spreadsheets/d/1XWAQStnk-4SwqDmLtmXYiTMKHgktTP8We1SCoS47DrQ/edit?usp=sharing"",""จัดที่ดิน!AA43"")"),730)</f>
        <v>730</v>
      </c>
      <c r="K362" s="498">
        <f t="shared" ca="1" si="161"/>
        <v>96.688741721854299</v>
      </c>
      <c r="L362" s="163"/>
      <c r="M362" s="163"/>
      <c r="N362" s="163"/>
      <c r="O362" s="163"/>
      <c r="P362" s="163"/>
    </row>
    <row r="363" spans="1:26" ht="18.75" hidden="1">
      <c r="A363" s="499" t="s">
        <v>169</v>
      </c>
      <c r="B363" s="178"/>
      <c r="C363" s="171"/>
      <c r="D363" s="178"/>
      <c r="E363" s="447"/>
      <c r="F363" s="178"/>
      <c r="G363" s="179"/>
      <c r="H363" s="76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IFERROR(__xludf.DUMMYFUNCTION("IMPORTRANGE(""https://docs.google.com/spreadsheets/d/1XWAQStnk-4SwqDmLtmXYiTMKHgktTP8We1SCoS47DrQ/edit?usp=sharing"",""จัดที่ดิน!AB43"")"),6558.42)</f>
        <v>6558.42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t="shared" ref="I364:J364" ca="1" si="162">I365+I374</f>
        <v>1155</v>
      </c>
      <c r="J364" s="479">
        <f t="shared" ca="1" si="162"/>
        <v>1616</v>
      </c>
      <c r="K364" s="480">
        <f t="shared" ca="1" si="161"/>
        <v>139.91341991341992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IFERROR(__xludf.DUMMYFUNCTION("IMPORTRANGE(""https://docs.google.com/spreadsheets/d/1QqKyyYR6Q21VydFLVH3TRQUabQu_ym0Zz7PgGX0-kHA/edit?usp=sharing"",""แผน!EJ43"")"),355)</f>
        <v>355</v>
      </c>
      <c r="J365" s="491">
        <f ca="1">J372</f>
        <v>331</v>
      </c>
      <c r="K365" s="492">
        <f t="shared" ca="1" si="161"/>
        <v>93.239436619718305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77" t="s">
        <v>38</v>
      </c>
      <c r="E367" s="173"/>
      <c r="F367" s="173"/>
      <c r="G367" s="174"/>
      <c r="H367" s="762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IFERROR(__xludf.DUMMYFUNCTION("IMPORTRANGE(""https://docs.google.com/spreadsheets/d/1XWAQStnk-4SwqDmLtmXYiTMKHgktTP8We1SCoS47DrQ/edit?usp=sharing"",""จัดที่ดิน!E43"")"),351)</f>
        <v>351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IFERROR(__xludf.DUMMYFUNCTION("IMPORTRANGE(""https://docs.google.com/spreadsheets/d/1QqKyyYR6Q21VydFLVH3TRQUabQu_ym0Zz7PgGX0-kHA/edit?usp=sharing"",""แผน!EI43"")"),3550)</f>
        <v>3550</v>
      </c>
      <c r="J369" s="270">
        <f ca="1">IFERROR(__xludf.DUMMYFUNCTION("IMPORTRANGE(""https://docs.google.com/spreadsheets/d/1XWAQStnk-4SwqDmLtmXYiTMKHgktTP8We1SCoS47DrQ/edit?usp=sharing"",""จัดที่ดิน!F43"")"),3205.44)</f>
        <v>3205.44</v>
      </c>
      <c r="K369" s="498">
        <f t="shared" ca="1" si="163"/>
        <v>90.294084507042257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4" t="s">
        <v>35</v>
      </c>
      <c r="I370" s="270">
        <f ca="1">IFERROR(__xludf.DUMMYFUNCTION("IMPORTRANGE(""https://docs.google.com/spreadsheets/d/1QqKyyYR6Q21VydFLVH3TRQUabQu_ym0Zz7PgGX0-kHA/edit?usp=sharing"",""แผน!EJ43"")"),355)</f>
        <v>355</v>
      </c>
      <c r="J370" s="270">
        <f ca="1">IFERROR(__xludf.DUMMYFUNCTION("IMPORTRANGE(""https://docs.google.com/spreadsheets/d/1XWAQStnk-4SwqDmLtmXYiTMKHgktTP8We1SCoS47DrQ/edit?usp=sharing"",""จัดที่ดิน!G43"")"),330)</f>
        <v>330</v>
      </c>
      <c r="K370" s="498">
        <f t="shared" ca="1" si="163"/>
        <v>92.957746478873233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IFERROR(__xludf.DUMMYFUNCTION("IMPORTRANGE(""https://docs.google.com/spreadsheets/d/1XWAQStnk-4SwqDmLtmXYiTMKHgktTP8We1SCoS47DrQ/edit?usp=sharing"",""จัดที่ดิน!H43"")"),2853.48)</f>
        <v>2853.48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4" t="s">
        <v>35</v>
      </c>
      <c r="I372" s="270">
        <f ca="1">IFERROR(__xludf.DUMMYFUNCTION("IMPORTRANGE(""https://docs.google.com/spreadsheets/d/1QqKyyYR6Q21VydFLVH3TRQUabQu_ym0Zz7PgGX0-kHA/edit?usp=sharing"",""แผน!EJ43"")"),355)</f>
        <v>355</v>
      </c>
      <c r="J372" s="270">
        <f ca="1">IFERROR(__xludf.DUMMYFUNCTION("IMPORTRANGE(""https://docs.google.com/spreadsheets/d/1XWAQStnk-4SwqDmLtmXYiTMKHgktTP8We1SCoS47DrQ/edit?usp=sharing"",""จัดที่ดิน!I43"")"),331)</f>
        <v>331</v>
      </c>
      <c r="K372" s="498">
        <f t="shared" ca="1" si="163"/>
        <v>93.239436619718305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8"/>
      <c r="C373" s="171"/>
      <c r="D373" s="178"/>
      <c r="E373" s="447"/>
      <c r="F373" s="178"/>
      <c r="G373" s="179"/>
      <c r="H373" s="76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IFERROR(__xludf.DUMMYFUNCTION("IMPORTRANGE(""https://docs.google.com/spreadsheets/d/1XWAQStnk-4SwqDmLtmXYiTMKHgktTP8We1SCoS47DrQ/edit?usp=sharing"",""จัดที่ดิน!J43"")"),2863.54)</f>
        <v>2863.54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IFERROR(__xludf.DUMMYFUNCTION("IMPORTRANGE(""https://docs.google.com/spreadsheets/d/1QqKyyYR6Q21VydFLVH3TRQUabQu_ym0Zz7PgGX0-kHA/edit?usp=sharing"",""แผน!EU43"")"),800)</f>
        <v>800</v>
      </c>
      <c r="J374" s="491">
        <f ca="1">J381</f>
        <v>1285</v>
      </c>
      <c r="K374" s="492">
        <f t="shared" ca="1" si="163"/>
        <v>160.625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77" t="s">
        <v>38</v>
      </c>
      <c r="E376" s="173"/>
      <c r="F376" s="173"/>
      <c r="G376" s="174"/>
      <c r="H376" s="762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IFERROR(__xludf.DUMMYFUNCTION("IMPORTRANGE(""https://docs.google.com/spreadsheets/d/1XWAQStnk-4SwqDmLtmXYiTMKHgktTP8We1SCoS47DrQ/edit?usp=sharing"",""จัดที่ดิน!AH43"")"),410)</f>
        <v>410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IFERROR(__xludf.DUMMYFUNCTION("IMPORTRANGE(""https://docs.google.com/spreadsheets/d/1QqKyyYR6Q21VydFLVH3TRQUabQu_ym0Zz7PgGX0-kHA/edit?usp=sharing"",""แผน!ET43"")"),4000)</f>
        <v>4000</v>
      </c>
      <c r="J378" s="270">
        <f ca="1">IFERROR(__xludf.DUMMYFUNCTION("IMPORTRANGE(""https://docs.google.com/spreadsheets/d/1XWAQStnk-4SwqDmLtmXYiTMKHgktTP8We1SCoS47DrQ/edit?usp=sharing"",""จัดที่ดิน!AI43"")"),3807.11)</f>
        <v>3807.11</v>
      </c>
      <c r="K378" s="498">
        <f t="shared" ca="1" si="164"/>
        <v>95.177750000000003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4" t="s">
        <v>35</v>
      </c>
      <c r="I379" s="270">
        <f ca="1">IFERROR(__xludf.DUMMYFUNCTION("IMPORTRANGE(""https://docs.google.com/spreadsheets/d/1QqKyyYR6Q21VydFLVH3TRQUabQu_ym0Zz7PgGX0-kHA/edit?usp=sharing"",""แผน!EU43"")"),800)</f>
        <v>800</v>
      </c>
      <c r="J379" s="270">
        <f ca="1">IFERROR(__xludf.DUMMYFUNCTION("IMPORTRANGE(""https://docs.google.com/spreadsheets/d/1XWAQStnk-4SwqDmLtmXYiTMKHgktTP8We1SCoS47DrQ/edit?usp=sharing"",""จัดที่ดิน!AJ43"")"),1293)</f>
        <v>1293</v>
      </c>
      <c r="K379" s="498">
        <f t="shared" ca="1" si="164"/>
        <v>161.625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IFERROR(__xludf.DUMMYFUNCTION("IMPORTRANGE(""https://docs.google.com/spreadsheets/d/1XWAQStnk-4SwqDmLtmXYiTMKHgktTP8We1SCoS47DrQ/edit?usp=sharing"",""จัดที่ดิน!AK43"")"),18367.79)</f>
        <v>18367.79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4" t="s">
        <v>35</v>
      </c>
      <c r="I381" s="270">
        <f ca="1">IFERROR(__xludf.DUMMYFUNCTION("IMPORTRANGE(""https://docs.google.com/spreadsheets/d/1QqKyyYR6Q21VydFLVH3TRQUabQu_ym0Zz7PgGX0-kHA/edit?usp=sharing"",""แผน!EU43"")"),800)</f>
        <v>800</v>
      </c>
      <c r="J381" s="270">
        <f ca="1">IFERROR(__xludf.DUMMYFUNCTION("IMPORTRANGE(""https://docs.google.com/spreadsheets/d/1XWAQStnk-4SwqDmLtmXYiTMKHgktTP8We1SCoS47DrQ/edit?usp=sharing"",""จัดที่ดิน!AL43"")"),1285)</f>
        <v>1285</v>
      </c>
      <c r="K381" s="498">
        <f t="shared" ca="1" si="164"/>
        <v>160.625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8"/>
      <c r="C382" s="171"/>
      <c r="D382" s="178"/>
      <c r="E382" s="447"/>
      <c r="F382" s="178"/>
      <c r="G382" s="179"/>
      <c r="H382" s="76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IFERROR(__xludf.DUMMYFUNCTION("IMPORTRANGE(""https://docs.google.com/spreadsheets/d/1XWAQStnk-4SwqDmLtmXYiTMKHgktTP8We1SCoS47DrQ/edit?usp=sharing"",""จัดที่ดิน!AM43"")"),18264.14)</f>
        <v>18264.14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500"/>
      <c r="B383" s="501"/>
      <c r="C383" s="291"/>
      <c r="D383" s="889" t="s">
        <v>170</v>
      </c>
      <c r="E383" s="291"/>
      <c r="F383" s="291"/>
      <c r="G383" s="503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86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62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4" t="s">
        <v>171</v>
      </c>
      <c r="F385" s="381"/>
      <c r="G385" s="382"/>
      <c r="H385" s="505" t="s">
        <v>35</v>
      </c>
      <c r="I385" s="506">
        <f ca="1">IFERROR(__xludf.DUMMYFUNCTION("IMPORTRANGE(""https://docs.google.com/spreadsheets/d/1QqKyyYR6Q21VydFLVH3TRQUabQu_ym0Zz7PgGX0-kHA/edit?usp=sharing"",""แผน!EW43"")"),100)</f>
        <v>100</v>
      </c>
      <c r="J385" s="506">
        <f ca="1">IFERROR(__xludf.DUMMYFUNCTION("IMPORTRANGE(""https://docs.google.com/spreadsheets/d/1XWAQStnk-4SwqDmLtmXYiTMKHgktTP8We1SCoS47DrQ/edit?usp=sharing"",""จัดที่ดิน!AP43"")"),3)</f>
        <v>3</v>
      </c>
      <c r="K385" s="507">
        <f ca="1">IF(I385&gt;0,J385*100/I385,0)</f>
        <v>3</v>
      </c>
      <c r="L385" s="385"/>
      <c r="M385" s="385"/>
      <c r="N385" s="385"/>
      <c r="O385" s="385"/>
      <c r="P385" s="385"/>
    </row>
    <row r="386" spans="1:26" ht="19.5" hidden="1">
      <c r="A386" s="508" t="s">
        <v>172</v>
      </c>
      <c r="B386" s="509"/>
      <c r="C386" s="509"/>
      <c r="D386" s="509"/>
      <c r="E386" s="510"/>
      <c r="F386" s="510"/>
      <c r="G386" s="511"/>
      <c r="H386" s="512"/>
      <c r="I386" s="513"/>
      <c r="J386" s="513"/>
      <c r="K386" s="514"/>
      <c r="L386" s="514"/>
      <c r="M386" s="514"/>
      <c r="N386" s="514"/>
      <c r="O386" s="514"/>
      <c r="P386" s="514"/>
    </row>
    <row r="387" spans="1:26" ht="19.5" hidden="1">
      <c r="A387" s="515" t="s">
        <v>173</v>
      </c>
      <c r="B387" s="516"/>
      <c r="C387" s="516"/>
      <c r="D387" s="517"/>
      <c r="E387" s="516"/>
      <c r="F387" s="516"/>
      <c r="G387" s="516"/>
      <c r="H387" s="518"/>
      <c r="I387" s="519"/>
      <c r="J387" s="519"/>
      <c r="K387" s="520"/>
      <c r="L387" s="520"/>
      <c r="M387" s="520"/>
      <c r="N387" s="520"/>
      <c r="O387" s="520"/>
      <c r="P387" s="520"/>
    </row>
    <row r="388" spans="1:26" ht="19.5" hidden="1">
      <c r="A388" s="521"/>
      <c r="B388" s="522" t="s">
        <v>174</v>
      </c>
      <c r="C388" s="523"/>
      <c r="D388" s="524"/>
      <c r="E388" s="524"/>
      <c r="F388" s="524"/>
      <c r="G388" s="525"/>
      <c r="H388" s="526" t="s">
        <v>66</v>
      </c>
      <c r="I388" s="527">
        <f t="shared" ref="I388:J388" si="165">I400</f>
        <v>0</v>
      </c>
      <c r="J388" s="527">
        <f t="shared" si="165"/>
        <v>0</v>
      </c>
      <c r="K388" s="528">
        <f>IF(I388&gt;0,J388*100/I388,0)</f>
        <v>0</v>
      </c>
      <c r="L388" s="529"/>
      <c r="M388" s="529"/>
      <c r="N388" s="529"/>
      <c r="O388" s="529"/>
      <c r="P388" s="529"/>
    </row>
    <row r="389" spans="1:26" ht="19.5" hidden="1">
      <c r="A389" s="147"/>
      <c r="B389" s="148"/>
      <c r="C389" s="149" t="s">
        <v>16</v>
      </c>
      <c r="D389" s="87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7"/>
      <c r="J390" s="617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7"/>
      <c r="J391" s="617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IFERROR(__xludf.DUMMYFUNCTION("IMPORTRANGE(""https://docs.google.com/spreadsheets/d/1MeEWN-I1oV_STSDYn1IFDPWt_1FKiwhDph83XaGc0o0/edit?usp=sharing"",""งบพรบ!FG43"")"),0)</f>
        <v>0</v>
      </c>
      <c r="M394" s="93">
        <f ca="1">IFERROR(__xludf.DUMMYFUNCTION("IMPORTRANGE(""https://docs.google.com/spreadsheets/d/1MeEWN-I1oV_STSDYn1IFDPWt_1FKiwhDph83XaGc0o0/edit?usp=sharing"",""งบพรบ!FL43"")"),0)</f>
        <v>0</v>
      </c>
      <c r="N394" s="93">
        <f ca="1">IFERROR(__xludf.DUMMYFUNCTION("IMPORTRANGE(""https://docs.google.com/spreadsheets/d/1MeEWN-I1oV_STSDYn1IFDPWt_1FKiwhDph83XaGc0o0/edit?usp=sharing"",""งบพรบ!FN43"")"),0)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IFERROR(__xludf.DUMMYFUNCTION("IMPORTRANGE(""https://docs.google.com/spreadsheets/d/1MeEWN-I1oV_STSDYn1IFDPWt_1FKiwhDph83XaGc0o0/edit?usp=sharing"",""งบพรบ!FJ43"")"),0)</f>
        <v>0</v>
      </c>
      <c r="M397" s="93">
        <f ca="1">IFERROR(__xludf.DUMMYFUNCTION("IMPORTRANGE(""https://docs.google.com/spreadsheets/d/1MeEWN-I1oV_STSDYn1IFDPWt_1FKiwhDph83XaGc0o0/edit?usp=sharing"",""งบพรบ!FM43"")"),0)</f>
        <v>0</v>
      </c>
      <c r="N397" s="93">
        <f ca="1">IFERROR(__xludf.DUMMYFUNCTION("IMPORTRANGE(""https://docs.google.com/spreadsheets/d/1MeEWN-I1oV_STSDYn1IFDPWt_1FKiwhDph83XaGc0o0/edit?usp=sharing"",""งบพรบ!FO43"")"),0)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7" t="s">
        <v>38</v>
      </c>
      <c r="E398" s="173"/>
      <c r="F398" s="173"/>
      <c r="G398" s="174"/>
      <c r="H398" s="762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30"/>
      <c r="B399" s="148"/>
      <c r="C399" s="531"/>
      <c r="D399" s="532" t="s">
        <v>175</v>
      </c>
      <c r="E399" s="415"/>
      <c r="F399" s="148"/>
      <c r="G399" s="151"/>
      <c r="H399" s="533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4"/>
      <c r="M399" s="534"/>
      <c r="N399" s="534"/>
      <c r="O399" s="534"/>
      <c r="P399" s="534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1"/>
      <c r="B401" s="522" t="s">
        <v>177</v>
      </c>
      <c r="C401" s="523"/>
      <c r="D401" s="524"/>
      <c r="E401" s="524"/>
      <c r="F401" s="524"/>
      <c r="G401" s="525"/>
      <c r="H401" s="526" t="s">
        <v>66</v>
      </c>
      <c r="I401" s="527">
        <f t="shared" ref="I401:J401" si="173">I412</f>
        <v>0</v>
      </c>
      <c r="J401" s="527">
        <f t="shared" si="173"/>
        <v>0</v>
      </c>
      <c r="K401" s="528">
        <f t="shared" si="172"/>
        <v>0</v>
      </c>
      <c r="L401" s="529"/>
      <c r="M401" s="529"/>
      <c r="N401" s="529"/>
      <c r="O401" s="529"/>
      <c r="P401" s="529"/>
    </row>
    <row r="402" spans="1:26" ht="19.5" hidden="1">
      <c r="A402" s="147"/>
      <c r="B402" s="148"/>
      <c r="C402" s="149" t="s">
        <v>16</v>
      </c>
      <c r="D402" s="87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7"/>
      <c r="J403" s="617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7"/>
      <c r="J404" s="617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IFERROR(__xludf.DUMMYFUNCTION("IMPORTRANGE(""https://docs.google.com/spreadsheets/d/1MeEWN-I1oV_STSDYn1IFDPWt_1FKiwhDph83XaGc0o0/edit?usp=sharing"",""งบพรบ!FQ43"")"),0)</f>
        <v>0</v>
      </c>
      <c r="M407" s="93">
        <f ca="1">IFERROR(__xludf.DUMMYFUNCTION("IMPORTRANGE(""https://docs.google.com/spreadsheets/d/1MeEWN-I1oV_STSDYn1IFDPWt_1FKiwhDph83XaGc0o0/edit?usp=sharing"",""งบพรบ!FV43"")"),0)</f>
        <v>0</v>
      </c>
      <c r="N407" s="93">
        <f ca="1">IFERROR(__xludf.DUMMYFUNCTION("IMPORTRANGE(""https://docs.google.com/spreadsheets/d/1MeEWN-I1oV_STSDYn1IFDPWt_1FKiwhDph83XaGc0o0/edit?usp=sharing"",""งบพรบ!FX43"")"),0)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IFERROR(__xludf.DUMMYFUNCTION("IMPORTRANGE(""https://docs.google.com/spreadsheets/d/1MeEWN-I1oV_STSDYn1IFDPWt_1FKiwhDph83XaGc0o0/edit?usp=sharing"",""งบพรบ!FT43"")"),0)</f>
        <v>0</v>
      </c>
      <c r="M410" s="93">
        <f ca="1">IFERROR(__xludf.DUMMYFUNCTION("IMPORTRANGE(""https://docs.google.com/spreadsheets/d/1MeEWN-I1oV_STSDYn1IFDPWt_1FKiwhDph83XaGc0o0/edit?usp=sharing"",""งบพรบ!FW43"")"),0)</f>
        <v>0</v>
      </c>
      <c r="N410" s="93">
        <f ca="1">IFERROR(__xludf.DUMMYFUNCTION("IMPORTRANGE(""https://docs.google.com/spreadsheets/d/1MeEWN-I1oV_STSDYn1IFDPWt_1FKiwhDph83XaGc0o0/edit?usp=sharing"",""งบพรบ!FY43"")"),0)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90" t="s">
        <v>38</v>
      </c>
      <c r="E411" s="536"/>
      <c r="F411" s="536"/>
      <c r="G411" s="537"/>
      <c r="H411" s="762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8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9"/>
      <c r="B413" s="540"/>
      <c r="C413" s="540"/>
      <c r="D413" s="541" t="s">
        <v>179</v>
      </c>
      <c r="E413" s="540"/>
      <c r="F413" s="540"/>
      <c r="G413" s="542"/>
      <c r="H413" s="543" t="s">
        <v>180</v>
      </c>
      <c r="I413" s="544">
        <v>0</v>
      </c>
      <c r="J413" s="545">
        <v>0</v>
      </c>
      <c r="K413" s="546">
        <f t="shared" si="180"/>
        <v>0</v>
      </c>
      <c r="L413" s="547"/>
      <c r="M413" s="547"/>
      <c r="N413" s="547"/>
      <c r="O413" s="547"/>
      <c r="P413" s="547"/>
    </row>
    <row r="414" spans="1:26" ht="19.5">
      <c r="A414" s="548" t="s">
        <v>181</v>
      </c>
      <c r="B414" s="549"/>
      <c r="C414" s="549"/>
      <c r="D414" s="549"/>
      <c r="E414" s="549"/>
      <c r="F414" s="549"/>
      <c r="G414" s="550"/>
      <c r="H414" s="551"/>
      <c r="I414" s="552"/>
      <c r="J414" s="552"/>
      <c r="K414" s="553"/>
      <c r="L414" s="554">
        <f t="shared" ref="L414:N414" ca="1" si="181">L419+L444+L467+L502+L523+L544+L629+L655+L685+L737+L754+L770+L786+L805</f>
        <v>2130362</v>
      </c>
      <c r="M414" s="554">
        <f t="shared" ca="1" si="181"/>
        <v>2167201.02</v>
      </c>
      <c r="N414" s="554">
        <f t="shared" si="181"/>
        <v>2167201.02</v>
      </c>
      <c r="O414" s="554">
        <f ca="1">IF(L414&gt;0,N414*100/L414,0)</f>
        <v>101.72923756619767</v>
      </c>
      <c r="P414" s="554">
        <f ca="1">IF(M414&gt;0,N414*100/M414,0)</f>
        <v>100</v>
      </c>
    </row>
    <row r="415" spans="1:26" ht="19.5">
      <c r="A415" s="555" t="s">
        <v>182</v>
      </c>
      <c r="B415" s="556"/>
      <c r="C415" s="556"/>
      <c r="D415" s="556"/>
      <c r="E415" s="556"/>
      <c r="F415" s="556"/>
      <c r="G415" s="556"/>
      <c r="H415" s="557"/>
      <c r="I415" s="558"/>
      <c r="J415" s="558"/>
      <c r="K415" s="559"/>
      <c r="L415" s="560"/>
      <c r="M415" s="560"/>
      <c r="N415" s="560"/>
      <c r="O415" s="560"/>
      <c r="P415" s="560"/>
    </row>
    <row r="416" spans="1:26" ht="19.5">
      <c r="A416" s="555" t="s">
        <v>183</v>
      </c>
      <c r="B416" s="556"/>
      <c r="C416" s="556"/>
      <c r="D416" s="556"/>
      <c r="E416" s="556"/>
      <c r="F416" s="556"/>
      <c r="G416" s="561"/>
      <c r="H416" s="562"/>
      <c r="I416" s="563"/>
      <c r="J416" s="563"/>
      <c r="K416" s="560"/>
      <c r="L416" s="560"/>
      <c r="M416" s="560"/>
      <c r="N416" s="560"/>
      <c r="O416" s="560"/>
      <c r="P416" s="560"/>
    </row>
    <row r="417" spans="1:26" ht="39">
      <c r="A417" s="564">
        <v>1</v>
      </c>
      <c r="B417" s="566" t="s">
        <v>184</v>
      </c>
      <c r="C417" s="566"/>
      <c r="D417" s="567"/>
      <c r="E417" s="567"/>
      <c r="F417" s="567"/>
      <c r="G417" s="568"/>
      <c r="H417" s="569" t="s">
        <v>35</v>
      </c>
      <c r="I417" s="570">
        <f t="shared" ref="I417:J418" ca="1" si="182">I433</f>
        <v>20</v>
      </c>
      <c r="J417" s="570">
        <f t="shared" ca="1" si="182"/>
        <v>20</v>
      </c>
      <c r="K417" s="571">
        <f t="shared" ref="K417:K418" ca="1" si="183">IF(I417&gt;0,J417*100/I417,0)</f>
        <v>100</v>
      </c>
      <c r="L417" s="572"/>
      <c r="M417" s="572"/>
      <c r="N417" s="572"/>
      <c r="O417" s="572"/>
      <c r="P417" s="572"/>
    </row>
    <row r="418" spans="1:26" ht="19.5">
      <c r="A418" s="573"/>
      <c r="B418" s="564"/>
      <c r="C418" s="566"/>
      <c r="D418" s="567"/>
      <c r="E418" s="567"/>
      <c r="F418" s="567"/>
      <c r="G418" s="568"/>
      <c r="H418" s="569" t="s">
        <v>49</v>
      </c>
      <c r="I418" s="570">
        <f t="shared" ca="1" si="182"/>
        <v>1</v>
      </c>
      <c r="J418" s="570">
        <f t="shared" si="182"/>
        <v>1</v>
      </c>
      <c r="K418" s="571">
        <f t="shared" ca="1" si="183"/>
        <v>100</v>
      </c>
      <c r="L418" s="572"/>
      <c r="M418" s="572"/>
      <c r="N418" s="572"/>
      <c r="O418" s="572"/>
      <c r="P418" s="572"/>
    </row>
    <row r="419" spans="1:26" ht="19.5">
      <c r="A419" s="147"/>
      <c r="B419" s="148"/>
      <c r="C419" s="148" t="s">
        <v>16</v>
      </c>
      <c r="D419" s="891" t="s">
        <v>17</v>
      </c>
      <c r="E419" s="862"/>
      <c r="F419" s="86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80057</v>
      </c>
      <c r="N419" s="155">
        <f t="shared" si="184"/>
        <v>80057</v>
      </c>
      <c r="O419" s="155">
        <f t="shared" ref="O419:O424" ca="1" si="185">IF(L419&gt;0,N419*100/L419,0)</f>
        <v>101.77599796592932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7"/>
      <c r="J420" s="617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7"/>
      <c r="J421" s="617"/>
      <c r="K421" s="93"/>
      <c r="L421" s="93">
        <f t="shared" ca="1" si="187"/>
        <v>78660</v>
      </c>
      <c r="M421" s="93">
        <f t="shared" ca="1" si="187"/>
        <v>80057</v>
      </c>
      <c r="N421" s="93">
        <f t="shared" si="187"/>
        <v>80057</v>
      </c>
      <c r="O421" s="93">
        <f t="shared" ca="1" si="185"/>
        <v>101.77599796592932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80057</v>
      </c>
      <c r="N422" s="498">
        <f t="shared" si="188"/>
        <v>80057</v>
      </c>
      <c r="O422" s="498">
        <f t="shared" ca="1" si="185"/>
        <v>101.77599796592932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7"/>
      <c r="J423" s="617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7"/>
      <c r="J424" s="617"/>
      <c r="K424" s="93"/>
      <c r="L424" s="93">
        <f ca="1">IFERROR(__xludf.DUMMYFUNCTION("IMPORTRANGE(""https://docs.google.com/spreadsheets/d/1QqKyyYR6Q21VydFLVH3TRQUabQu_ym0Zz7PgGX0-kHA/edit?usp=sharing"",""แผน!EY43"")"),78660)</f>
        <v>78660</v>
      </c>
      <c r="M424" s="93">
        <f ca="1">L424+5000-3603</f>
        <v>80057</v>
      </c>
      <c r="N424" s="93">
        <f>N425+N426+N427+N428</f>
        <v>80057</v>
      </c>
      <c r="O424" s="93">
        <f t="shared" ca="1" si="185"/>
        <v>101.77599796592932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4"/>
      <c r="B425" s="575"/>
      <c r="C425" s="763"/>
      <c r="D425" s="763"/>
      <c r="E425" s="763"/>
      <c r="F425" s="763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40">
        <v>51600</v>
      </c>
      <c r="O425" s="498"/>
      <c r="P425" s="49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</row>
    <row r="426" spans="1:26" ht="18.75">
      <c r="A426" s="574"/>
      <c r="B426" s="575"/>
      <c r="C426" s="763"/>
      <c r="D426" s="763"/>
      <c r="E426" s="763"/>
      <c r="F426" s="763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40">
        <v>0</v>
      </c>
      <c r="O426" s="498"/>
      <c r="P426" s="49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</row>
    <row r="427" spans="1:26" ht="18.75">
      <c r="A427" s="574"/>
      <c r="B427" s="575"/>
      <c r="C427" s="763"/>
      <c r="D427" s="763"/>
      <c r="E427" s="763"/>
      <c r="F427" s="763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40">
        <v>0</v>
      </c>
      <c r="O427" s="498"/>
      <c r="P427" s="49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40">
        <f>80057-51600</f>
        <v>28457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92" t="s">
        <v>38</v>
      </c>
      <c r="E432" s="580"/>
      <c r="F432" s="580"/>
      <c r="G432" s="581"/>
      <c r="H432" s="582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1">
        <f ca="1">I435</f>
        <v>20</v>
      </c>
      <c r="J433" s="681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1">
        <f t="shared" ref="I434:J434" ca="1" si="193">I438+I440</f>
        <v>1</v>
      </c>
      <c r="J434" s="681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3" t="s">
        <v>35</v>
      </c>
      <c r="I435" s="583">
        <f ca="1">IFERROR(__xludf.DUMMYFUNCTION("IMPORTRANGE(""https://docs.google.com/spreadsheets/d/1QqKyyYR6Q21VydFLVH3TRQUabQu_ym0Zz7PgGX0-kHA/edit?usp=sharing"",""แผน!FC43"")"),20)</f>
        <v>20</v>
      </c>
      <c r="J435" s="584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3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3" t="s">
        <v>35</v>
      </c>
      <c r="I437" s="583">
        <f ca="1">IFERROR(__xludf.DUMMYFUNCTION("IMPORTRANGE(""https://docs.google.com/spreadsheets/d/1QqKyyYR6Q21VydFLVH3TRQUabQu_ym0Zz7PgGX0-kHA/edit?usp=sharing"",""แผน!FD43"")"),0)</f>
        <v>0</v>
      </c>
      <c r="J437" s="584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3" t="s">
        <v>49</v>
      </c>
      <c r="I438" s="270">
        <f ca="1">IFERROR(__xludf.DUMMYFUNCTION("IMPORTRANGE(""https://docs.google.com/spreadsheets/d/1QqKyyYR6Q21VydFLVH3TRQUabQu_ym0Zz7PgGX0-kHA/edit?usp=sharing"",""แผน!FE43"")"),0)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3" t="s">
        <v>35</v>
      </c>
      <c r="I439" s="583">
        <f ca="1">IFERROR(__xludf.DUMMYFUNCTION("IMPORTRANGE(""https://docs.google.com/spreadsheets/d/1QqKyyYR6Q21VydFLVH3TRQUabQu_ym0Zz7PgGX0-kHA/edit?usp=sharing"",""แผน!FF43"")"),20)</f>
        <v>20</v>
      </c>
      <c r="J439" s="584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3" t="s">
        <v>49</v>
      </c>
      <c r="I440" s="270">
        <f ca="1">IFERROR(__xludf.DUMMYFUNCTION("IMPORTRANGE(""https://docs.google.com/spreadsheets/d/1QqKyyYR6Q21VydFLVH3TRQUabQu_ym0Zz7PgGX0-kHA/edit?usp=sharing"",""แผน!FG43"")"),1)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3" t="s">
        <v>35</v>
      </c>
      <c r="I441" s="270">
        <f ca="1">IFERROR(__xludf.DUMMYFUNCTION("IMPORTRANGE(""https://docs.google.com/spreadsheets/d/1QqKyyYR6Q21VydFLVH3TRQUabQu_ym0Zz7PgGX0-kHA/edit?usp=sharing"",""แผน!FH43"")"),0)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5">
        <v>2</v>
      </c>
      <c r="B442" s="586" t="s">
        <v>200</v>
      </c>
      <c r="C442" s="587"/>
      <c r="D442" s="587"/>
      <c r="E442" s="587"/>
      <c r="F442" s="587"/>
      <c r="G442" s="588"/>
      <c r="H442" s="589" t="s">
        <v>35</v>
      </c>
      <c r="I442" s="590">
        <f t="shared" ref="I442:J442" ca="1" si="195">I460</f>
        <v>100</v>
      </c>
      <c r="J442" s="590">
        <f t="shared" si="195"/>
        <v>100</v>
      </c>
      <c r="K442" s="591">
        <f t="shared" ca="1" si="194"/>
        <v>100</v>
      </c>
      <c r="L442" s="592"/>
      <c r="M442" s="592"/>
      <c r="N442" s="592"/>
      <c r="O442" s="592"/>
      <c r="P442" s="592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</row>
    <row r="443" spans="1:26" ht="19.5">
      <c r="A443" s="593"/>
      <c r="B443" s="594"/>
      <c r="C443" s="595"/>
      <c r="D443" s="595"/>
      <c r="E443" s="595"/>
      <c r="F443" s="595"/>
      <c r="G443" s="596"/>
      <c r="H443" s="569" t="s">
        <v>46</v>
      </c>
      <c r="I443" s="570">
        <f t="shared" ref="I443:J443" ca="1" si="196">I462</f>
        <v>235</v>
      </c>
      <c r="J443" s="570">
        <f t="shared" si="196"/>
        <v>235</v>
      </c>
      <c r="K443" s="571">
        <f t="shared" ca="1" si="194"/>
        <v>100</v>
      </c>
      <c r="L443" s="572"/>
      <c r="M443" s="572"/>
      <c r="N443" s="572"/>
      <c r="O443" s="572"/>
      <c r="P443" s="572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</row>
    <row r="444" spans="1:26" ht="19.5">
      <c r="A444" s="597"/>
      <c r="B444" s="763"/>
      <c r="C444" s="763" t="s">
        <v>16</v>
      </c>
      <c r="D444" s="863" t="s">
        <v>17</v>
      </c>
      <c r="E444" s="857"/>
      <c r="F444" s="857"/>
      <c r="G444" s="189"/>
      <c r="H444" s="598" t="s">
        <v>12</v>
      </c>
      <c r="I444" s="270"/>
      <c r="J444" s="270"/>
      <c r="K444" s="498"/>
      <c r="L444" s="195">
        <f t="shared" ref="L444:N444" ca="1" si="197">L445+L446</f>
        <v>571280</v>
      </c>
      <c r="M444" s="195">
        <f t="shared" ca="1" si="197"/>
        <v>572003</v>
      </c>
      <c r="N444" s="195">
        <f t="shared" si="197"/>
        <v>572003</v>
      </c>
      <c r="O444" s="195">
        <f t="shared" ref="O444:O449" ca="1" si="198">IF(L444&gt;0,N444*100/L444,0)</f>
        <v>100.12655790505532</v>
      </c>
      <c r="P444" s="195">
        <f t="shared" ref="P444:P449" ca="1" si="199">IF(M444&gt;0,N444*100/M444,0)</f>
        <v>100</v>
      </c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</row>
    <row r="445" spans="1:26" ht="18.75" hidden="1">
      <c r="A445" s="599"/>
      <c r="B445" s="759"/>
      <c r="C445" s="759"/>
      <c r="D445" s="720"/>
      <c r="E445" s="759" t="s">
        <v>185</v>
      </c>
      <c r="F445" s="759"/>
      <c r="G445" s="603"/>
      <c r="H445" s="165" t="s">
        <v>12</v>
      </c>
      <c r="I445" s="617"/>
      <c r="J445" s="617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4"/>
      <c r="R445" s="604"/>
      <c r="S445" s="604"/>
      <c r="T445" s="604"/>
      <c r="U445" s="604"/>
      <c r="V445" s="604"/>
      <c r="W445" s="604"/>
      <c r="X445" s="604"/>
      <c r="Y445" s="604"/>
      <c r="Z445" s="604"/>
    </row>
    <row r="446" spans="1:26" ht="18.75" hidden="1">
      <c r="A446" s="599"/>
      <c r="B446" s="607"/>
      <c r="C446" s="759"/>
      <c r="D446" s="720"/>
      <c r="E446" s="759" t="s">
        <v>186</v>
      </c>
      <c r="F446" s="759"/>
      <c r="G446" s="603"/>
      <c r="H446" s="165" t="s">
        <v>12</v>
      </c>
      <c r="I446" s="617"/>
      <c r="J446" s="617"/>
      <c r="K446" s="93"/>
      <c r="L446" s="93">
        <f t="shared" ca="1" si="200"/>
        <v>571280</v>
      </c>
      <c r="M446" s="93">
        <f t="shared" ca="1" si="200"/>
        <v>572003</v>
      </c>
      <c r="N446" s="93">
        <f t="shared" si="200"/>
        <v>572003</v>
      </c>
      <c r="O446" s="93">
        <f t="shared" ca="1" si="198"/>
        <v>100.12655790505532</v>
      </c>
      <c r="P446" s="93">
        <f t="shared" ca="1" si="199"/>
        <v>100</v>
      </c>
      <c r="Q446" s="604"/>
      <c r="R446" s="604"/>
      <c r="S446" s="604"/>
      <c r="T446" s="604"/>
      <c r="U446" s="604"/>
      <c r="V446" s="604"/>
      <c r="W446" s="604"/>
      <c r="X446" s="604"/>
      <c r="Y446" s="604"/>
      <c r="Z446" s="604"/>
    </row>
    <row r="447" spans="1:26" ht="18.75">
      <c r="A447" s="597"/>
      <c r="B447" s="575"/>
      <c r="C447" s="763"/>
      <c r="D447" s="606" t="s">
        <v>20</v>
      </c>
      <c r="E447" s="763"/>
      <c r="F447" s="763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571280</v>
      </c>
      <c r="M447" s="498">
        <f t="shared" ca="1" si="201"/>
        <v>572003</v>
      </c>
      <c r="N447" s="498">
        <f t="shared" si="201"/>
        <v>572003</v>
      </c>
      <c r="O447" s="498">
        <f t="shared" ca="1" si="198"/>
        <v>100.12655790505532</v>
      </c>
      <c r="P447" s="498">
        <f t="shared" ca="1" si="199"/>
        <v>100</v>
      </c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</row>
    <row r="448" spans="1:26" ht="18.75" hidden="1">
      <c r="A448" s="599"/>
      <c r="B448" s="607"/>
      <c r="C448" s="759"/>
      <c r="D448" s="720"/>
      <c r="E448" s="759" t="s">
        <v>185</v>
      </c>
      <c r="F448" s="759"/>
      <c r="G448" s="603"/>
      <c r="H448" s="165" t="s">
        <v>12</v>
      </c>
      <c r="I448" s="617"/>
      <c r="J448" s="617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</row>
    <row r="449" spans="1:26" ht="18.75" hidden="1">
      <c r="A449" s="599"/>
      <c r="B449" s="607"/>
      <c r="C449" s="759"/>
      <c r="D449" s="720"/>
      <c r="E449" s="759" t="s">
        <v>186</v>
      </c>
      <c r="F449" s="759"/>
      <c r="G449" s="603"/>
      <c r="H449" s="165" t="s">
        <v>12</v>
      </c>
      <c r="I449" s="617"/>
      <c r="J449" s="617"/>
      <c r="K449" s="93"/>
      <c r="L449" s="93">
        <f ca="1">IFERROR(__xludf.DUMMYFUNCTION("IMPORTRANGE(""https://docs.google.com/spreadsheets/d/1QqKyyYR6Q21VydFLVH3TRQUabQu_ym0Zz7PgGX0-kHA/edit?usp=sharing"",""แผน!FJ43"")"),571280)</f>
        <v>571280</v>
      </c>
      <c r="M449" s="93">
        <f ca="1">L449+12890-12167</f>
        <v>572003</v>
      </c>
      <c r="N449" s="93">
        <f>N450+N451+N452+N453</f>
        <v>572003</v>
      </c>
      <c r="O449" s="93">
        <f t="shared" ca="1" si="198"/>
        <v>100.12655790505532</v>
      </c>
      <c r="P449" s="93">
        <f t="shared" ca="1" si="199"/>
        <v>100</v>
      </c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</row>
    <row r="450" spans="1:26" ht="18.75">
      <c r="A450" s="574"/>
      <c r="B450" s="575"/>
      <c r="C450" s="763"/>
      <c r="D450" s="763"/>
      <c r="E450" s="763"/>
      <c r="F450" s="763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40">
        <v>128800</v>
      </c>
      <c r="O450" s="498"/>
      <c r="P450" s="49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</row>
    <row r="451" spans="1:26" ht="18.75">
      <c r="A451" s="574"/>
      <c r="B451" s="575"/>
      <c r="C451" s="763"/>
      <c r="D451" s="763"/>
      <c r="E451" s="763"/>
      <c r="F451" s="763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40">
        <v>233000</v>
      </c>
      <c r="O451" s="498"/>
      <c r="P451" s="49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</row>
    <row r="452" spans="1:26" ht="18.75">
      <c r="A452" s="574"/>
      <c r="B452" s="575"/>
      <c r="C452" s="575"/>
      <c r="D452" s="575"/>
      <c r="E452" s="575"/>
      <c r="F452" s="763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40">
        <v>134763</v>
      </c>
      <c r="O452" s="498"/>
      <c r="P452" s="49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</row>
    <row r="453" spans="1:26" ht="18.75">
      <c r="A453" s="574"/>
      <c r="B453" s="575"/>
      <c r="C453" s="575"/>
      <c r="D453" s="575"/>
      <c r="E453" s="575"/>
      <c r="F453" s="763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40">
        <f>572003-N450-N452-N451</f>
        <v>75440</v>
      </c>
      <c r="O453" s="498"/>
      <c r="P453" s="49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</row>
    <row r="454" spans="1:26" ht="18.75">
      <c r="A454" s="597"/>
      <c r="B454" s="575"/>
      <c r="C454" s="575"/>
      <c r="D454" s="606" t="s">
        <v>21</v>
      </c>
      <c r="E454" s="575"/>
      <c r="F454" s="763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</row>
    <row r="455" spans="1:26" ht="18.75" hidden="1">
      <c r="A455" s="599"/>
      <c r="B455" s="607"/>
      <c r="C455" s="607"/>
      <c r="D455" s="607"/>
      <c r="E455" s="607" t="s">
        <v>18</v>
      </c>
      <c r="F455" s="759"/>
      <c r="G455" s="603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4"/>
      <c r="R455" s="604"/>
      <c r="S455" s="604"/>
      <c r="T455" s="604"/>
      <c r="U455" s="604"/>
      <c r="V455" s="604"/>
      <c r="W455" s="604"/>
      <c r="X455" s="604"/>
      <c r="Y455" s="604"/>
      <c r="Z455" s="604"/>
    </row>
    <row r="456" spans="1:26" ht="18.75" hidden="1">
      <c r="A456" s="599"/>
      <c r="B456" s="607"/>
      <c r="C456" s="607"/>
      <c r="D456" s="607"/>
      <c r="E456" s="607" t="s">
        <v>19</v>
      </c>
      <c r="F456" s="759"/>
      <c r="G456" s="603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4"/>
      <c r="R456" s="604"/>
      <c r="S456" s="604"/>
      <c r="T456" s="604"/>
      <c r="U456" s="604"/>
      <c r="V456" s="604"/>
      <c r="W456" s="604"/>
      <c r="X456" s="604"/>
      <c r="Y456" s="604"/>
      <c r="Z456" s="604"/>
    </row>
    <row r="457" spans="1:26" ht="19.5">
      <c r="A457" s="608"/>
      <c r="B457" s="618"/>
      <c r="C457" s="575" t="s">
        <v>16</v>
      </c>
      <c r="D457" s="893" t="s">
        <v>38</v>
      </c>
      <c r="E457" s="611"/>
      <c r="F457" s="761"/>
      <c r="G457" s="613"/>
      <c r="H457" s="762"/>
      <c r="I457" s="270"/>
      <c r="J457" s="270"/>
      <c r="K457" s="498"/>
      <c r="L457" s="498"/>
      <c r="M457" s="498"/>
      <c r="N457" s="498"/>
      <c r="O457" s="498"/>
      <c r="P457" s="49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</row>
    <row r="458" spans="1:26" ht="18.75" hidden="1">
      <c r="A458" s="614"/>
      <c r="B458" s="616"/>
      <c r="C458" s="616"/>
      <c r="D458" s="616" t="s">
        <v>201</v>
      </c>
      <c r="E458" s="616"/>
      <c r="F458" s="720"/>
      <c r="G458" s="366"/>
      <c r="H458" s="370" t="s">
        <v>35</v>
      </c>
      <c r="I458" s="617">
        <v>0</v>
      </c>
      <c r="J458" s="617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4"/>
      <c r="R458" s="604"/>
      <c r="S458" s="604"/>
      <c r="T458" s="604"/>
      <c r="U458" s="604"/>
      <c r="V458" s="604"/>
      <c r="W458" s="604"/>
      <c r="X458" s="604"/>
      <c r="Y458" s="604"/>
      <c r="Z458" s="604"/>
    </row>
    <row r="459" spans="1:26" ht="18.75" hidden="1">
      <c r="A459" s="614"/>
      <c r="B459" s="616"/>
      <c r="C459" s="616"/>
      <c r="D459" s="616" t="s">
        <v>202</v>
      </c>
      <c r="E459" s="616"/>
      <c r="F459" s="720"/>
      <c r="G459" s="366"/>
      <c r="H459" s="370"/>
      <c r="I459" s="617"/>
      <c r="J459" s="617"/>
      <c r="K459" s="93"/>
      <c r="L459" s="93"/>
      <c r="M459" s="93"/>
      <c r="N459" s="93"/>
      <c r="O459" s="93"/>
      <c r="P459" s="93"/>
      <c r="Q459" s="604"/>
      <c r="R459" s="604"/>
      <c r="S459" s="604"/>
      <c r="T459" s="604"/>
      <c r="U459" s="604"/>
      <c r="V459" s="604"/>
      <c r="W459" s="604"/>
      <c r="X459" s="604"/>
      <c r="Y459" s="604"/>
      <c r="Z459" s="604"/>
    </row>
    <row r="460" spans="1:26" ht="18.75">
      <c r="A460" s="608"/>
      <c r="B460" s="618"/>
      <c r="C460" s="618"/>
      <c r="D460" s="618" t="s">
        <v>203</v>
      </c>
      <c r="E460" s="618"/>
      <c r="F460" s="626"/>
      <c r="G460" s="762"/>
      <c r="H460" s="764" t="s">
        <v>35</v>
      </c>
      <c r="I460" s="270">
        <f ca="1">IFERROR(__xludf.DUMMYFUNCTION("IMPORTRANGE(""https://docs.google.com/spreadsheets/d/1QqKyyYR6Q21VydFLVH3TRQUabQu_ym0Zz7PgGX0-kHA/edit?usp=sharing"",""แผน!FN43"")"),100)</f>
        <v>100</v>
      </c>
      <c r="J460" s="215">
        <v>100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</row>
    <row r="461" spans="1:26" ht="18.75">
      <c r="A461" s="608"/>
      <c r="B461" s="618"/>
      <c r="C461" s="618"/>
      <c r="D461" s="618" t="s">
        <v>204</v>
      </c>
      <c r="E461" s="626"/>
      <c r="F461" s="626"/>
      <c r="G461" s="762"/>
      <c r="H461" s="764"/>
      <c r="I461" s="270"/>
      <c r="J461" s="270"/>
      <c r="K461" s="498"/>
      <c r="L461" s="498"/>
      <c r="M461" s="498"/>
      <c r="N461" s="498"/>
      <c r="O461" s="498"/>
      <c r="P461" s="49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</row>
    <row r="462" spans="1:26" ht="18.75">
      <c r="A462" s="608"/>
      <c r="B462" s="618"/>
      <c r="C462" s="618"/>
      <c r="D462" s="618" t="s">
        <v>205</v>
      </c>
      <c r="E462" s="626"/>
      <c r="F462" s="626"/>
      <c r="G462" s="762"/>
      <c r="H462" s="764" t="s">
        <v>46</v>
      </c>
      <c r="I462" s="270">
        <f ca="1">IFERROR(__xludf.DUMMYFUNCTION("IMPORTRANGE(""https://docs.google.com/spreadsheets/d/1QqKyyYR6Q21VydFLVH3TRQUabQu_ym0Zz7PgGX0-kHA/edit?usp=sharing"",""แผน!FO43"")"),235)</f>
        <v>235</v>
      </c>
      <c r="J462" s="215">
        <v>235</v>
      </c>
      <c r="K462" s="498">
        <f t="shared" ref="K462:K466" ca="1" si="205">IF(I462&gt;0,J462*100/I462,0)</f>
        <v>100</v>
      </c>
      <c r="L462" s="498"/>
      <c r="M462" s="498"/>
      <c r="N462" s="498"/>
      <c r="O462" s="498"/>
      <c r="P462" s="49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</row>
    <row r="463" spans="1:26" ht="18.75">
      <c r="A463" s="608"/>
      <c r="B463" s="618"/>
      <c r="C463" s="618"/>
      <c r="D463" s="618" t="s">
        <v>59</v>
      </c>
      <c r="E463" s="626"/>
      <c r="F463" s="763"/>
      <c r="G463" s="189"/>
      <c r="H463" s="764" t="s">
        <v>46</v>
      </c>
      <c r="I463" s="270">
        <f ca="1">IFERROR(__xludf.DUMMYFUNCTION("IMPORTRANGE(""https://docs.google.com/spreadsheets/d/1QqKyyYR6Q21VydFLVH3TRQUabQu_ym0Zz7PgGX0-kHA/edit?usp=sharing"",""แผน!FO43"")"),235)</f>
        <v>235</v>
      </c>
      <c r="J463" s="215">
        <v>235</v>
      </c>
      <c r="K463" s="498">
        <f t="shared" ca="1" si="205"/>
        <v>100</v>
      </c>
      <c r="L463" s="498"/>
      <c r="M463" s="498"/>
      <c r="N463" s="498"/>
      <c r="O463" s="498"/>
      <c r="P463" s="49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</row>
    <row r="464" spans="1:26" ht="19.5">
      <c r="A464" s="608"/>
      <c r="B464" s="618"/>
      <c r="C464" s="618"/>
      <c r="D464" s="618"/>
      <c r="E464" s="626"/>
      <c r="F464" s="626"/>
      <c r="G464" s="620"/>
      <c r="H464" s="764" t="s">
        <v>35</v>
      </c>
      <c r="I464" s="270">
        <f ca="1">IFERROR(__xludf.DUMMYFUNCTION("IMPORTRANGE(""https://docs.google.com/spreadsheets/d/1QqKyyYR6Q21VydFLVH3TRQUabQu_ym0Zz7PgGX0-kHA/edit?usp=sharing"",""แผน!FN43"")"),100)</f>
        <v>100</v>
      </c>
      <c r="J464" s="215">
        <v>100</v>
      </c>
      <c r="K464" s="498">
        <f t="shared" ca="1" si="205"/>
        <v>100</v>
      </c>
      <c r="L464" s="498"/>
      <c r="M464" s="498"/>
      <c r="N464" s="498"/>
      <c r="O464" s="498"/>
      <c r="P464" s="49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</row>
    <row r="465" spans="1:26" ht="19.5">
      <c r="A465" s="585">
        <v>3</v>
      </c>
      <c r="B465" s="586" t="s">
        <v>206</v>
      </c>
      <c r="C465" s="587"/>
      <c r="D465" s="587"/>
      <c r="E465" s="587"/>
      <c r="F465" s="587"/>
      <c r="G465" s="588"/>
      <c r="H465" s="589" t="s">
        <v>35</v>
      </c>
      <c r="I465" s="590">
        <f ca="1">IFERROR(__xludf.DUMMYFUNCTION("IMPORTRANGE(""https://docs.google.com/spreadsheets/d/1QqKyyYR6Q21VydFLVH3TRQUabQu_ym0Zz7PgGX0-kHA/edit?usp=sharing"",""แผน!FX43"")"),31)</f>
        <v>31</v>
      </c>
      <c r="J465" s="590">
        <f>J485+J489+J492</f>
        <v>31</v>
      </c>
      <c r="K465" s="591">
        <f t="shared" ca="1" si="205"/>
        <v>100</v>
      </c>
      <c r="L465" s="592"/>
      <c r="M465" s="592"/>
      <c r="N465" s="592"/>
      <c r="O465" s="592"/>
      <c r="P465" s="592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</row>
    <row r="466" spans="1:26" ht="19.5">
      <c r="A466" s="593"/>
      <c r="B466" s="594"/>
      <c r="C466" s="595"/>
      <c r="D466" s="595"/>
      <c r="E466" s="595"/>
      <c r="F466" s="595"/>
      <c r="G466" s="596"/>
      <c r="H466" s="569" t="s">
        <v>46</v>
      </c>
      <c r="I466" s="570">
        <f ca="1">IFERROR(__xludf.DUMMYFUNCTION("IMPORTRANGE(""https://docs.google.com/spreadsheets/d/1QqKyyYR6Q21VydFLVH3TRQUabQu_ym0Zz7PgGX0-kHA/edit?usp=sharing"",""แผน!FW43"")"),300)</f>
        <v>300</v>
      </c>
      <c r="J466" s="570">
        <f>J495+J498</f>
        <v>300</v>
      </c>
      <c r="K466" s="571">
        <f t="shared" ca="1" si="205"/>
        <v>100</v>
      </c>
      <c r="L466" s="572"/>
      <c r="M466" s="572"/>
      <c r="N466" s="572"/>
      <c r="O466" s="572"/>
      <c r="P466" s="572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</row>
    <row r="467" spans="1:26" ht="19.5">
      <c r="A467" s="597"/>
      <c r="B467" s="763"/>
      <c r="C467" s="763" t="s">
        <v>16</v>
      </c>
      <c r="D467" s="863" t="s">
        <v>17</v>
      </c>
      <c r="E467" s="857"/>
      <c r="F467" s="857"/>
      <c r="G467" s="189"/>
      <c r="H467" s="598" t="s">
        <v>12</v>
      </c>
      <c r="I467" s="270"/>
      <c r="J467" s="270"/>
      <c r="K467" s="498"/>
      <c r="L467" s="195">
        <f t="shared" ref="L467:N467" ca="1" si="206">L468+L469</f>
        <v>250523</v>
      </c>
      <c r="M467" s="195">
        <f t="shared" ca="1" si="206"/>
        <v>259780</v>
      </c>
      <c r="N467" s="195">
        <f t="shared" si="206"/>
        <v>259780</v>
      </c>
      <c r="O467" s="195">
        <f t="shared" ref="O467:O472" ca="1" si="207">IF(L467&gt;0,N467*100/L467,0)</f>
        <v>103.69506991374045</v>
      </c>
      <c r="P467" s="195">
        <f t="shared" ref="P467:P472" ca="1" si="208">IF(M467&gt;0,N467*100/M467,0)</f>
        <v>100</v>
      </c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</row>
    <row r="468" spans="1:26" ht="18.75" hidden="1">
      <c r="A468" s="599"/>
      <c r="B468" s="759"/>
      <c r="C468" s="759"/>
      <c r="D468" s="720"/>
      <c r="E468" s="759" t="s">
        <v>185</v>
      </c>
      <c r="F468" s="759"/>
      <c r="G468" s="603"/>
      <c r="H468" s="165" t="s">
        <v>12</v>
      </c>
      <c r="I468" s="617"/>
      <c r="J468" s="617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4"/>
      <c r="R468" s="604"/>
      <c r="S468" s="604"/>
      <c r="T468" s="604"/>
      <c r="U468" s="604"/>
      <c r="V468" s="604"/>
      <c r="W468" s="604"/>
      <c r="X468" s="604"/>
      <c r="Y468" s="604"/>
      <c r="Z468" s="604"/>
    </row>
    <row r="469" spans="1:26" ht="18.75" hidden="1">
      <c r="A469" s="599"/>
      <c r="B469" s="607"/>
      <c r="C469" s="759"/>
      <c r="D469" s="720"/>
      <c r="E469" s="759" t="s">
        <v>186</v>
      </c>
      <c r="F469" s="759"/>
      <c r="G469" s="603"/>
      <c r="H469" s="165" t="s">
        <v>12</v>
      </c>
      <c r="I469" s="617"/>
      <c r="J469" s="617"/>
      <c r="K469" s="93"/>
      <c r="L469" s="93">
        <f t="shared" ca="1" si="209"/>
        <v>250523</v>
      </c>
      <c r="M469" s="93">
        <f t="shared" ca="1" si="209"/>
        <v>259780</v>
      </c>
      <c r="N469" s="93">
        <f t="shared" si="209"/>
        <v>259780</v>
      </c>
      <c r="O469" s="93">
        <f t="shared" ca="1" si="207"/>
        <v>103.69506991374045</v>
      </c>
      <c r="P469" s="93">
        <f t="shared" ca="1" si="208"/>
        <v>100</v>
      </c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</row>
    <row r="470" spans="1:26" ht="18.75">
      <c r="A470" s="597"/>
      <c r="B470" s="575"/>
      <c r="C470" s="763"/>
      <c r="D470" s="606" t="s">
        <v>20</v>
      </c>
      <c r="E470" s="763"/>
      <c r="F470" s="763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250523</v>
      </c>
      <c r="M470" s="498">
        <f t="shared" ca="1" si="210"/>
        <v>259780</v>
      </c>
      <c r="N470" s="498">
        <f t="shared" si="210"/>
        <v>259780</v>
      </c>
      <c r="O470" s="498">
        <f t="shared" ca="1" si="207"/>
        <v>103.69506991374045</v>
      </c>
      <c r="P470" s="498">
        <f t="shared" ca="1" si="208"/>
        <v>100</v>
      </c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</row>
    <row r="471" spans="1:26" ht="18.75" hidden="1">
      <c r="A471" s="599"/>
      <c r="B471" s="607"/>
      <c r="C471" s="759"/>
      <c r="D471" s="720"/>
      <c r="E471" s="759" t="s">
        <v>185</v>
      </c>
      <c r="F471" s="759"/>
      <c r="G471" s="603"/>
      <c r="H471" s="165" t="s">
        <v>12</v>
      </c>
      <c r="I471" s="617"/>
      <c r="J471" s="617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4"/>
      <c r="R471" s="604"/>
      <c r="S471" s="604"/>
      <c r="T471" s="604"/>
      <c r="U471" s="604"/>
      <c r="V471" s="604"/>
      <c r="W471" s="604"/>
      <c r="X471" s="604"/>
      <c r="Y471" s="604"/>
      <c r="Z471" s="604"/>
    </row>
    <row r="472" spans="1:26" ht="18.75" hidden="1">
      <c r="A472" s="599"/>
      <c r="B472" s="607"/>
      <c r="C472" s="759"/>
      <c r="D472" s="720"/>
      <c r="E472" s="759" t="s">
        <v>186</v>
      </c>
      <c r="F472" s="759"/>
      <c r="G472" s="603"/>
      <c r="H472" s="165" t="s">
        <v>12</v>
      </c>
      <c r="I472" s="617"/>
      <c r="J472" s="617"/>
      <c r="K472" s="93"/>
      <c r="L472" s="93">
        <f ca="1">IFERROR(__xludf.DUMMYFUNCTION("IMPORTRANGE(""https://docs.google.com/spreadsheets/d/1QqKyyYR6Q21VydFLVH3TRQUabQu_ym0Zz7PgGX0-kHA/edit?usp=sharing"",""แผน!FS43"")"),250523)</f>
        <v>250523</v>
      </c>
      <c r="M472" s="93">
        <f ca="1">L472+10450-1193</f>
        <v>259780</v>
      </c>
      <c r="N472" s="93">
        <f>N473+N474+N475+N476</f>
        <v>259780</v>
      </c>
      <c r="O472" s="93">
        <f t="shared" ca="1" si="207"/>
        <v>103.69506991374045</v>
      </c>
      <c r="P472" s="93">
        <f t="shared" ca="1" si="208"/>
        <v>100</v>
      </c>
      <c r="Q472" s="604"/>
      <c r="R472" s="604"/>
      <c r="S472" s="604"/>
      <c r="T472" s="604"/>
      <c r="U472" s="604"/>
      <c r="V472" s="604"/>
      <c r="W472" s="604"/>
      <c r="X472" s="604"/>
      <c r="Y472" s="604"/>
      <c r="Z472" s="604"/>
    </row>
    <row r="473" spans="1:26" ht="18.75">
      <c r="A473" s="574"/>
      <c r="B473" s="575"/>
      <c r="C473" s="763"/>
      <c r="D473" s="763"/>
      <c r="E473" s="763"/>
      <c r="F473" s="763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40">
        <v>36753</v>
      </c>
      <c r="O473" s="498"/>
      <c r="P473" s="49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</row>
    <row r="474" spans="1:26" ht="18.75">
      <c r="A474" s="574"/>
      <c r="B474" s="575"/>
      <c r="C474" s="763"/>
      <c r="D474" s="763"/>
      <c r="E474" s="763"/>
      <c r="F474" s="763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40">
        <v>0</v>
      </c>
      <c r="O474" s="498"/>
      <c r="P474" s="49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</row>
    <row r="475" spans="1:26" ht="18.75">
      <c r="A475" s="574"/>
      <c r="B475" s="575"/>
      <c r="C475" s="575"/>
      <c r="D475" s="575"/>
      <c r="E475" s="575"/>
      <c r="F475" s="763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40">
        <v>0</v>
      </c>
      <c r="O475" s="498"/>
      <c r="P475" s="49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</row>
    <row r="476" spans="1:26" ht="18.75">
      <c r="A476" s="574"/>
      <c r="B476" s="575"/>
      <c r="C476" s="575"/>
      <c r="D476" s="575"/>
      <c r="E476" s="575"/>
      <c r="F476" s="763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40">
        <f>258953-N473+827</f>
        <v>223027</v>
      </c>
      <c r="O476" s="498"/>
      <c r="P476" s="49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</row>
    <row r="477" spans="1:26" ht="18.75">
      <c r="A477" s="597"/>
      <c r="B477" s="575"/>
      <c r="C477" s="575"/>
      <c r="D477" s="606" t="s">
        <v>21</v>
      </c>
      <c r="E477" s="575"/>
      <c r="F477" s="575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</row>
    <row r="478" spans="1:26" ht="18.75" hidden="1">
      <c r="A478" s="599"/>
      <c r="B478" s="607"/>
      <c r="C478" s="607"/>
      <c r="D478" s="607"/>
      <c r="E478" s="607" t="s">
        <v>18</v>
      </c>
      <c r="F478" s="607"/>
      <c r="G478" s="603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4"/>
      <c r="R478" s="604"/>
      <c r="S478" s="604"/>
      <c r="T478" s="604"/>
      <c r="U478" s="604"/>
      <c r="V478" s="604"/>
      <c r="W478" s="604"/>
      <c r="X478" s="604"/>
      <c r="Y478" s="604"/>
      <c r="Z478" s="604"/>
    </row>
    <row r="479" spans="1:26" ht="18.75" hidden="1">
      <c r="A479" s="599"/>
      <c r="B479" s="607"/>
      <c r="C479" s="607"/>
      <c r="D479" s="607"/>
      <c r="E479" s="607" t="s">
        <v>19</v>
      </c>
      <c r="F479" s="607"/>
      <c r="G479" s="603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4"/>
      <c r="R479" s="604"/>
      <c r="S479" s="604"/>
      <c r="T479" s="604"/>
      <c r="U479" s="604"/>
      <c r="V479" s="604"/>
      <c r="W479" s="604"/>
      <c r="X479" s="604"/>
      <c r="Y479" s="604"/>
      <c r="Z479" s="604"/>
    </row>
    <row r="480" spans="1:26" ht="19.5">
      <c r="A480" s="608"/>
      <c r="B480" s="618"/>
      <c r="C480" s="575" t="s">
        <v>16</v>
      </c>
      <c r="D480" s="894" t="s">
        <v>38</v>
      </c>
      <c r="E480" s="611"/>
      <c r="F480" s="761"/>
      <c r="G480" s="613"/>
      <c r="H480" s="762"/>
      <c r="I480" s="270"/>
      <c r="J480" s="270"/>
      <c r="K480" s="498"/>
      <c r="L480" s="498"/>
      <c r="M480" s="498"/>
      <c r="N480" s="498"/>
      <c r="O480" s="498"/>
      <c r="P480" s="49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</row>
    <row r="481" spans="1:26" ht="19.5">
      <c r="A481" s="608"/>
      <c r="B481" s="618"/>
      <c r="C481" s="618"/>
      <c r="D481" s="625" t="s">
        <v>207</v>
      </c>
      <c r="E481" s="618"/>
      <c r="F481" s="618"/>
      <c r="G481" s="762"/>
      <c r="H481" s="189"/>
      <c r="I481" s="270"/>
      <c r="J481" s="270"/>
      <c r="K481" s="498"/>
      <c r="L481" s="498"/>
      <c r="M481" s="498"/>
      <c r="N481" s="498"/>
      <c r="O481" s="498"/>
      <c r="P481" s="49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</row>
    <row r="482" spans="1:26" ht="18.75">
      <c r="A482" s="608"/>
      <c r="B482" s="618"/>
      <c r="C482" s="618"/>
      <c r="D482" s="618"/>
      <c r="E482" s="618" t="s">
        <v>208</v>
      </c>
      <c r="F482" s="618"/>
      <c r="G482" s="762"/>
      <c r="H482" s="189"/>
      <c r="I482" s="270"/>
      <c r="J482" s="270"/>
      <c r="K482" s="498"/>
      <c r="L482" s="498"/>
      <c r="M482" s="498"/>
      <c r="N482" s="498"/>
      <c r="O482" s="498"/>
      <c r="P482" s="49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</row>
    <row r="483" spans="1:26" ht="18.75">
      <c r="A483" s="608"/>
      <c r="B483" s="618"/>
      <c r="C483" s="618"/>
      <c r="D483" s="618"/>
      <c r="E483" s="618"/>
      <c r="F483" s="618" t="s">
        <v>209</v>
      </c>
      <c r="G483" s="762"/>
      <c r="H483" s="623" t="s">
        <v>46</v>
      </c>
      <c r="I483" s="270">
        <f ca="1">IFERROR(__xludf.DUMMYFUNCTION("IMPORTRANGE(""https://docs.google.com/spreadsheets/d/1QqKyyYR6Q21VydFLVH3TRQUabQu_ym0Zz7PgGX0-kHA/edit?usp=sharing"",""แผน!FY43"")"),270)</f>
        <v>270</v>
      </c>
      <c r="J483" s="215">
        <v>270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</row>
    <row r="484" spans="1:26" ht="18.75">
      <c r="A484" s="608"/>
      <c r="B484" s="618"/>
      <c r="C484" s="618"/>
      <c r="D484" s="618"/>
      <c r="E484" s="618"/>
      <c r="F484" s="618" t="s">
        <v>210</v>
      </c>
      <c r="G484" s="762"/>
      <c r="H484" s="623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</row>
    <row r="485" spans="1:26" ht="18.75">
      <c r="A485" s="608"/>
      <c r="B485" s="618"/>
      <c r="C485" s="618"/>
      <c r="D485" s="618"/>
      <c r="E485" s="618"/>
      <c r="F485" s="618" t="s">
        <v>211</v>
      </c>
      <c r="G485" s="762"/>
      <c r="H485" s="623" t="s">
        <v>35</v>
      </c>
      <c r="I485" s="270">
        <f ca="1">IFERROR(__xludf.DUMMYFUNCTION("IMPORTRANGE(""https://docs.google.com/spreadsheets/d/1QqKyyYR6Q21VydFLVH3TRQUabQu_ym0Zz7PgGX0-kHA/edit?usp=sharing"",""แผน!FZ43"")"),27)</f>
        <v>27</v>
      </c>
      <c r="J485" s="215">
        <v>27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</row>
    <row r="486" spans="1:26" ht="18.75">
      <c r="A486" s="608"/>
      <c r="B486" s="618"/>
      <c r="C486" s="618"/>
      <c r="D486" s="618"/>
      <c r="E486" s="618" t="s">
        <v>62</v>
      </c>
      <c r="F486" s="618"/>
      <c r="G486" s="762"/>
      <c r="H486" s="623"/>
      <c r="I486" s="270"/>
      <c r="J486" s="270"/>
      <c r="K486" s="498"/>
      <c r="L486" s="498"/>
      <c r="M486" s="498"/>
      <c r="N486" s="498"/>
      <c r="O486" s="498"/>
      <c r="P486" s="49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</row>
    <row r="487" spans="1:26" ht="18.75">
      <c r="A487" s="608"/>
      <c r="B487" s="618"/>
      <c r="C487" s="618"/>
      <c r="D487" s="618"/>
      <c r="E487" s="618"/>
      <c r="F487" s="618" t="s">
        <v>209</v>
      </c>
      <c r="G487" s="762"/>
      <c r="H487" s="623" t="s">
        <v>46</v>
      </c>
      <c r="I487" s="270">
        <f ca="1">IFERROR(__xludf.DUMMYFUNCTION("IMPORTRANGE(""https://docs.google.com/spreadsheets/d/1QqKyyYR6Q21VydFLVH3TRQUabQu_ym0Zz7PgGX0-kHA/edit?usp=sharing"",""แผน!GA43"")"),30)</f>
        <v>30</v>
      </c>
      <c r="J487" s="215">
        <v>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</row>
    <row r="488" spans="1:26" ht="18.75">
      <c r="A488" s="608"/>
      <c r="B488" s="618"/>
      <c r="C488" s="618"/>
      <c r="D488" s="618"/>
      <c r="E488" s="618"/>
      <c r="F488" s="618" t="s">
        <v>212</v>
      </c>
      <c r="G488" s="762"/>
      <c r="H488" s="623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</row>
    <row r="489" spans="1:26" ht="18.75">
      <c r="A489" s="608"/>
      <c r="B489" s="618"/>
      <c r="C489" s="618"/>
      <c r="D489" s="618"/>
      <c r="E489" s="618"/>
      <c r="F489" s="618" t="s">
        <v>213</v>
      </c>
      <c r="G489" s="762"/>
      <c r="H489" s="623" t="s">
        <v>35</v>
      </c>
      <c r="I489" s="270">
        <f ca="1">IFERROR(__xludf.DUMMYFUNCTION("IMPORTRANGE(""https://docs.google.com/spreadsheets/d/1QqKyyYR6Q21VydFLVH3TRQUabQu_ym0Zz7PgGX0-kHA/edit?usp=sharing"",""แผน!GB43"")"),3)</f>
        <v>3</v>
      </c>
      <c r="J489" s="215">
        <v>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</row>
    <row r="490" spans="1:26" ht="18.75">
      <c r="A490" s="608"/>
      <c r="B490" s="618"/>
      <c r="C490" s="618"/>
      <c r="D490" s="618"/>
      <c r="E490" s="618" t="s">
        <v>63</v>
      </c>
      <c r="F490" s="626"/>
      <c r="G490" s="762"/>
      <c r="H490" s="623"/>
      <c r="I490" s="270"/>
      <c r="J490" s="270"/>
      <c r="K490" s="498"/>
      <c r="L490" s="498"/>
      <c r="M490" s="498"/>
      <c r="N490" s="498"/>
      <c r="O490" s="498"/>
      <c r="P490" s="49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</row>
    <row r="491" spans="1:26" ht="18.75">
      <c r="A491" s="608"/>
      <c r="B491" s="618"/>
      <c r="C491" s="618"/>
      <c r="D491" s="618"/>
      <c r="E491" s="618"/>
      <c r="F491" s="618" t="s">
        <v>214</v>
      </c>
      <c r="G491" s="762"/>
      <c r="H491" s="623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</row>
    <row r="492" spans="1:26" ht="18.75">
      <c r="A492" s="608"/>
      <c r="B492" s="618"/>
      <c r="C492" s="618"/>
      <c r="D492" s="618"/>
      <c r="E492" s="618"/>
      <c r="F492" s="618" t="s">
        <v>215</v>
      </c>
      <c r="G492" s="762"/>
      <c r="H492" s="623" t="s">
        <v>35</v>
      </c>
      <c r="I492" s="270">
        <f ca="1">IFERROR(__xludf.DUMMYFUNCTION("IMPORTRANGE(""https://docs.google.com/spreadsheets/d/1QqKyyYR6Q21VydFLVH3TRQUabQu_ym0Zz7PgGX0-kHA/edit?usp=sharing"",""แผน!GC43"")"),1)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</row>
    <row r="493" spans="1:26" ht="19.5">
      <c r="A493" s="608"/>
      <c r="B493" s="618"/>
      <c r="C493" s="618"/>
      <c r="D493" s="625" t="s">
        <v>59</v>
      </c>
      <c r="E493" s="618"/>
      <c r="F493" s="626"/>
      <c r="G493" s="762"/>
      <c r="H493" s="189"/>
      <c r="I493" s="270"/>
      <c r="J493" s="270"/>
      <c r="K493" s="498"/>
      <c r="L493" s="498"/>
      <c r="M493" s="498"/>
      <c r="N493" s="498"/>
      <c r="O493" s="498"/>
      <c r="P493" s="49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</row>
    <row r="494" spans="1:26" ht="18.75">
      <c r="A494" s="608"/>
      <c r="B494" s="618"/>
      <c r="C494" s="618"/>
      <c r="D494" s="618"/>
      <c r="E494" s="618" t="s">
        <v>208</v>
      </c>
      <c r="F494" s="626"/>
      <c r="G494" s="762"/>
      <c r="H494" s="189"/>
      <c r="I494" s="270"/>
      <c r="J494" s="270"/>
      <c r="K494" s="498"/>
      <c r="L494" s="498"/>
      <c r="M494" s="498"/>
      <c r="N494" s="498"/>
      <c r="O494" s="498"/>
      <c r="P494" s="49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</row>
    <row r="495" spans="1:26" ht="18.75">
      <c r="A495" s="608"/>
      <c r="B495" s="618"/>
      <c r="C495" s="618"/>
      <c r="D495" s="618"/>
      <c r="E495" s="618"/>
      <c r="F495" s="626" t="s">
        <v>216</v>
      </c>
      <c r="G495" s="762"/>
      <c r="H495" s="623" t="s">
        <v>46</v>
      </c>
      <c r="I495" s="270">
        <f ca="1">IFERROR(__xludf.DUMMYFUNCTION("IMPORTRANGE(""https://docs.google.com/spreadsheets/d/1QqKyyYR6Q21VydFLVH3TRQUabQu_ym0Zz7PgGX0-kHA/edit?usp=sharing"",""แผน!FY43"")"),270)</f>
        <v>270</v>
      </c>
      <c r="J495" s="215">
        <v>270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</row>
    <row r="496" spans="1:26" ht="18.75">
      <c r="A496" s="608"/>
      <c r="B496" s="618"/>
      <c r="C496" s="618"/>
      <c r="D496" s="618"/>
      <c r="E496" s="618"/>
      <c r="F496" s="626" t="s">
        <v>217</v>
      </c>
      <c r="G496" s="762"/>
      <c r="H496" s="623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</row>
    <row r="497" spans="1:26" ht="18.75">
      <c r="A497" s="608"/>
      <c r="B497" s="618"/>
      <c r="C497" s="618"/>
      <c r="D497" s="618"/>
      <c r="E497" s="618" t="s">
        <v>62</v>
      </c>
      <c r="F497" s="626"/>
      <c r="G497" s="762"/>
      <c r="H497" s="189"/>
      <c r="I497" s="270"/>
      <c r="J497" s="270"/>
      <c r="K497" s="498"/>
      <c r="L497" s="498"/>
      <c r="M497" s="498"/>
      <c r="N497" s="498"/>
      <c r="O497" s="498"/>
      <c r="P497" s="49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</row>
    <row r="498" spans="1:26" ht="18.75">
      <c r="A498" s="608"/>
      <c r="B498" s="618"/>
      <c r="C498" s="618"/>
      <c r="D498" s="618"/>
      <c r="E498" s="626"/>
      <c r="F498" s="626" t="s">
        <v>218</v>
      </c>
      <c r="G498" s="762"/>
      <c r="H498" s="623" t="s">
        <v>46</v>
      </c>
      <c r="I498" s="270">
        <f ca="1">IFERROR(__xludf.DUMMYFUNCTION("IMPORTRANGE(""https://docs.google.com/spreadsheets/d/1QqKyyYR6Q21VydFLVH3TRQUabQu_ym0Zz7PgGX0-kHA/edit?usp=sharing"",""แผน!GA43"")"),30)</f>
        <v>30</v>
      </c>
      <c r="J498" s="215">
        <v>30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</row>
    <row r="499" spans="1:26" ht="18.75">
      <c r="A499" s="608"/>
      <c r="B499" s="618"/>
      <c r="C499" s="618"/>
      <c r="D499" s="618"/>
      <c r="E499" s="626"/>
      <c r="F499" s="626" t="s">
        <v>219</v>
      </c>
      <c r="G499" s="762"/>
      <c r="H499" s="623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</row>
    <row r="500" spans="1:26" ht="19.5" hidden="1">
      <c r="A500" s="627">
        <v>4</v>
      </c>
      <c r="B500" s="628" t="s">
        <v>220</v>
      </c>
      <c r="C500" s="629"/>
      <c r="D500" s="630"/>
      <c r="E500" s="630"/>
      <c r="F500" s="630"/>
      <c r="G500" s="631"/>
      <c r="H500" s="632" t="s">
        <v>109</v>
      </c>
      <c r="I500" s="633"/>
      <c r="J500" s="633">
        <f t="shared" ref="J500:J501" si="214">J516</f>
        <v>0</v>
      </c>
      <c r="K500" s="634">
        <f t="shared" ref="K500:K501" si="215">IF(I500&gt;0,J500*100/I500,0)</f>
        <v>0</v>
      </c>
      <c r="L500" s="635"/>
      <c r="M500" s="635"/>
      <c r="N500" s="635"/>
      <c r="O500" s="635"/>
      <c r="P500" s="635"/>
      <c r="Q500" s="604"/>
      <c r="R500" s="604"/>
      <c r="S500" s="604"/>
      <c r="T500" s="604"/>
      <c r="U500" s="604"/>
      <c r="V500" s="604"/>
      <c r="W500" s="604"/>
      <c r="X500" s="604"/>
      <c r="Y500" s="604"/>
      <c r="Z500" s="604"/>
    </row>
    <row r="501" spans="1:26" ht="19.5" hidden="1">
      <c r="A501" s="636"/>
      <c r="B501" s="638" t="s">
        <v>221</v>
      </c>
      <c r="C501" s="638"/>
      <c r="D501" s="639"/>
      <c r="E501" s="639"/>
      <c r="F501" s="639"/>
      <c r="G501" s="640"/>
      <c r="H501" s="641" t="s">
        <v>35</v>
      </c>
      <c r="I501" s="642"/>
      <c r="J501" s="642">
        <f t="shared" si="214"/>
        <v>0</v>
      </c>
      <c r="K501" s="643">
        <f t="shared" si="215"/>
        <v>0</v>
      </c>
      <c r="L501" s="644"/>
      <c r="M501" s="644"/>
      <c r="N501" s="644"/>
      <c r="O501" s="644"/>
      <c r="P501" s="64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</row>
    <row r="502" spans="1:26" ht="19.5" hidden="1">
      <c r="A502" s="599"/>
      <c r="B502" s="759"/>
      <c r="C502" s="759" t="s">
        <v>16</v>
      </c>
      <c r="D502" s="864" t="s">
        <v>17</v>
      </c>
      <c r="E502" s="857"/>
      <c r="F502" s="857"/>
      <c r="G502" s="603"/>
      <c r="H502" s="646" t="s">
        <v>12</v>
      </c>
      <c r="I502" s="617"/>
      <c r="J502" s="617"/>
      <c r="K502" s="93"/>
      <c r="L502" s="647">
        <f t="shared" ref="L502:N502" si="216">L503+L504</f>
        <v>0</v>
      </c>
      <c r="M502" s="647">
        <f t="shared" si="216"/>
        <v>0</v>
      </c>
      <c r="N502" s="647">
        <f t="shared" si="216"/>
        <v>0</v>
      </c>
      <c r="O502" s="647">
        <f t="shared" ref="O502:O507" si="217">IF(L502&gt;0,N502*100/L502,0)</f>
        <v>0</v>
      </c>
      <c r="P502" s="647">
        <f t="shared" ref="P502:P507" si="218">IF(M502&gt;0,N502*100/M502,0)</f>
        <v>0</v>
      </c>
      <c r="Q502" s="604"/>
      <c r="R502" s="604"/>
      <c r="S502" s="604"/>
      <c r="T502" s="604"/>
      <c r="U502" s="604"/>
      <c r="V502" s="604"/>
      <c r="W502" s="604"/>
      <c r="X502" s="604"/>
      <c r="Y502" s="604"/>
      <c r="Z502" s="604"/>
    </row>
    <row r="503" spans="1:26" ht="18.75" hidden="1">
      <c r="A503" s="599"/>
      <c r="B503" s="759"/>
      <c r="C503" s="759"/>
      <c r="D503" s="720"/>
      <c r="E503" s="759" t="s">
        <v>185</v>
      </c>
      <c r="F503" s="759"/>
      <c r="G503" s="603"/>
      <c r="H503" s="165" t="s">
        <v>12</v>
      </c>
      <c r="I503" s="617"/>
      <c r="J503" s="617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4"/>
      <c r="R503" s="604"/>
      <c r="S503" s="604"/>
      <c r="T503" s="604"/>
      <c r="U503" s="604"/>
      <c r="V503" s="604"/>
      <c r="W503" s="604"/>
      <c r="X503" s="604"/>
      <c r="Y503" s="604"/>
      <c r="Z503" s="604"/>
    </row>
    <row r="504" spans="1:26" ht="18.75" hidden="1">
      <c r="A504" s="599"/>
      <c r="B504" s="607"/>
      <c r="C504" s="759"/>
      <c r="D504" s="720"/>
      <c r="E504" s="759" t="s">
        <v>186</v>
      </c>
      <c r="F504" s="759"/>
      <c r="G504" s="603"/>
      <c r="H504" s="165" t="s">
        <v>12</v>
      </c>
      <c r="I504" s="617"/>
      <c r="J504" s="617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4"/>
      <c r="R504" s="604"/>
      <c r="S504" s="604"/>
      <c r="T504" s="604"/>
      <c r="U504" s="604"/>
      <c r="V504" s="604"/>
      <c r="W504" s="604"/>
      <c r="X504" s="604"/>
      <c r="Y504" s="604"/>
      <c r="Z504" s="604"/>
    </row>
    <row r="505" spans="1:26" ht="18.75" hidden="1">
      <c r="A505" s="599"/>
      <c r="B505" s="607"/>
      <c r="C505" s="759"/>
      <c r="D505" s="648" t="s">
        <v>20</v>
      </c>
      <c r="E505" s="759"/>
      <c r="F505" s="759"/>
      <c r="G505" s="603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4"/>
      <c r="R505" s="604"/>
      <c r="S505" s="604"/>
      <c r="T505" s="604"/>
      <c r="U505" s="604"/>
      <c r="V505" s="604"/>
      <c r="W505" s="604"/>
      <c r="X505" s="604"/>
      <c r="Y505" s="604"/>
      <c r="Z505" s="604"/>
    </row>
    <row r="506" spans="1:26" ht="18.75" hidden="1">
      <c r="A506" s="599"/>
      <c r="B506" s="607"/>
      <c r="C506" s="759"/>
      <c r="D506" s="720"/>
      <c r="E506" s="759" t="s">
        <v>185</v>
      </c>
      <c r="F506" s="759"/>
      <c r="G506" s="603"/>
      <c r="H506" s="165" t="s">
        <v>12</v>
      </c>
      <c r="I506" s="617"/>
      <c r="J506" s="617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4"/>
      <c r="R506" s="604"/>
      <c r="S506" s="604"/>
      <c r="T506" s="604"/>
      <c r="U506" s="604"/>
      <c r="V506" s="604"/>
      <c r="W506" s="604"/>
      <c r="X506" s="604"/>
      <c r="Y506" s="604"/>
      <c r="Z506" s="604"/>
    </row>
    <row r="507" spans="1:26" ht="18.75" hidden="1">
      <c r="A507" s="599"/>
      <c r="B507" s="607"/>
      <c r="C507" s="759"/>
      <c r="D507" s="720"/>
      <c r="E507" s="759" t="s">
        <v>186</v>
      </c>
      <c r="F507" s="759"/>
      <c r="G507" s="603"/>
      <c r="H507" s="165" t="s">
        <v>12</v>
      </c>
      <c r="I507" s="617"/>
      <c r="J507" s="617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4"/>
      <c r="R507" s="604"/>
      <c r="S507" s="604"/>
      <c r="T507" s="604"/>
      <c r="U507" s="604"/>
      <c r="V507" s="604"/>
      <c r="W507" s="604"/>
      <c r="X507" s="604"/>
      <c r="Y507" s="604"/>
      <c r="Z507" s="604"/>
    </row>
    <row r="508" spans="1:26" ht="18.75" hidden="1">
      <c r="A508" s="649"/>
      <c r="B508" s="607"/>
      <c r="C508" s="759"/>
      <c r="D508" s="759"/>
      <c r="E508" s="759"/>
      <c r="F508" s="759" t="s">
        <v>187</v>
      </c>
      <c r="G508" s="603"/>
      <c r="H508" s="165" t="s">
        <v>12</v>
      </c>
      <c r="I508" s="617"/>
      <c r="J508" s="617"/>
      <c r="K508" s="93"/>
      <c r="L508" s="93"/>
      <c r="M508" s="93"/>
      <c r="N508" s="93">
        <v>0</v>
      </c>
      <c r="O508" s="93"/>
      <c r="P508" s="93"/>
      <c r="Q508" s="604"/>
      <c r="R508" s="604"/>
      <c r="S508" s="604"/>
      <c r="T508" s="604"/>
      <c r="U508" s="604"/>
      <c r="V508" s="604"/>
      <c r="W508" s="604"/>
      <c r="X508" s="604"/>
      <c r="Y508" s="604"/>
      <c r="Z508" s="604"/>
    </row>
    <row r="509" spans="1:26" ht="18.75" hidden="1">
      <c r="A509" s="649"/>
      <c r="B509" s="607"/>
      <c r="C509" s="759"/>
      <c r="D509" s="759"/>
      <c r="E509" s="759"/>
      <c r="F509" s="759" t="s">
        <v>188</v>
      </c>
      <c r="G509" s="603"/>
      <c r="H509" s="165" t="s">
        <v>12</v>
      </c>
      <c r="I509" s="617"/>
      <c r="J509" s="617"/>
      <c r="K509" s="93"/>
      <c r="L509" s="93"/>
      <c r="M509" s="93"/>
      <c r="N509" s="93">
        <v>0</v>
      </c>
      <c r="O509" s="93"/>
      <c r="P509" s="93"/>
      <c r="Q509" s="604"/>
      <c r="R509" s="604"/>
      <c r="S509" s="604"/>
      <c r="T509" s="604"/>
      <c r="U509" s="604"/>
      <c r="V509" s="604"/>
      <c r="W509" s="604"/>
      <c r="X509" s="604"/>
      <c r="Y509" s="604"/>
      <c r="Z509" s="604"/>
    </row>
    <row r="510" spans="1:26" ht="18.75" hidden="1">
      <c r="A510" s="649"/>
      <c r="B510" s="607"/>
      <c r="C510" s="607"/>
      <c r="D510" s="607"/>
      <c r="E510" s="759"/>
      <c r="F510" s="759" t="s">
        <v>189</v>
      </c>
      <c r="G510" s="603"/>
      <c r="H510" s="165" t="s">
        <v>12</v>
      </c>
      <c r="I510" s="617"/>
      <c r="J510" s="617"/>
      <c r="K510" s="93"/>
      <c r="L510" s="93"/>
      <c r="M510" s="93"/>
      <c r="N510" s="93">
        <v>0</v>
      </c>
      <c r="O510" s="93"/>
      <c r="P510" s="93"/>
      <c r="Q510" s="604"/>
      <c r="R510" s="604"/>
      <c r="S510" s="604"/>
      <c r="T510" s="604"/>
      <c r="U510" s="604"/>
      <c r="V510" s="604"/>
      <c r="W510" s="604"/>
      <c r="X510" s="604"/>
      <c r="Y510" s="604"/>
      <c r="Z510" s="604"/>
    </row>
    <row r="511" spans="1:26" ht="18.75" hidden="1">
      <c r="A511" s="649"/>
      <c r="B511" s="607"/>
      <c r="C511" s="607"/>
      <c r="D511" s="607"/>
      <c r="E511" s="759"/>
      <c r="F511" s="759" t="s">
        <v>190</v>
      </c>
      <c r="G511" s="603"/>
      <c r="H511" s="165" t="s">
        <v>12</v>
      </c>
      <c r="I511" s="617"/>
      <c r="J511" s="617"/>
      <c r="K511" s="93"/>
      <c r="L511" s="93"/>
      <c r="M511" s="93"/>
      <c r="N511" s="93">
        <v>0</v>
      </c>
      <c r="O511" s="93"/>
      <c r="P511" s="93"/>
      <c r="Q511" s="604"/>
      <c r="R511" s="604"/>
      <c r="S511" s="604"/>
      <c r="T511" s="604"/>
      <c r="U511" s="604"/>
      <c r="V511" s="604"/>
      <c r="W511" s="604"/>
      <c r="X511" s="604"/>
      <c r="Y511" s="604"/>
      <c r="Z511" s="604"/>
    </row>
    <row r="512" spans="1:26" ht="18.75" hidden="1">
      <c r="A512" s="599"/>
      <c r="B512" s="607"/>
      <c r="C512" s="607"/>
      <c r="D512" s="648" t="s">
        <v>21</v>
      </c>
      <c r="E512" s="607"/>
      <c r="F512" s="759"/>
      <c r="G512" s="603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4"/>
      <c r="R512" s="604"/>
      <c r="S512" s="604"/>
      <c r="T512" s="604"/>
      <c r="U512" s="604"/>
      <c r="V512" s="604"/>
      <c r="W512" s="604"/>
      <c r="X512" s="604"/>
      <c r="Y512" s="604"/>
      <c r="Z512" s="604"/>
    </row>
    <row r="513" spans="1:26" ht="18.75" hidden="1">
      <c r="A513" s="599"/>
      <c r="B513" s="607"/>
      <c r="C513" s="607"/>
      <c r="D513" s="607"/>
      <c r="E513" s="607" t="s">
        <v>18</v>
      </c>
      <c r="F513" s="759"/>
      <c r="G513" s="603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4"/>
      <c r="R513" s="604"/>
      <c r="S513" s="604"/>
      <c r="T513" s="604"/>
      <c r="U513" s="604"/>
      <c r="V513" s="604"/>
      <c r="W513" s="604"/>
      <c r="X513" s="604"/>
      <c r="Y513" s="604"/>
      <c r="Z513" s="604"/>
    </row>
    <row r="514" spans="1:26" ht="18.75" hidden="1">
      <c r="A514" s="599"/>
      <c r="B514" s="607"/>
      <c r="C514" s="607"/>
      <c r="D514" s="759"/>
      <c r="E514" s="607" t="s">
        <v>19</v>
      </c>
      <c r="F514" s="759"/>
      <c r="G514" s="603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4"/>
      <c r="R514" s="604"/>
      <c r="S514" s="604"/>
      <c r="T514" s="604"/>
      <c r="U514" s="604"/>
      <c r="V514" s="604"/>
      <c r="W514" s="604"/>
      <c r="X514" s="604"/>
      <c r="Y514" s="604"/>
      <c r="Z514" s="604"/>
    </row>
    <row r="515" spans="1:26" ht="19.5" hidden="1">
      <c r="A515" s="614"/>
      <c r="B515" s="616"/>
      <c r="C515" s="607" t="s">
        <v>16</v>
      </c>
      <c r="D515" s="895" t="s">
        <v>38</v>
      </c>
      <c r="E515" s="651"/>
      <c r="F515" s="651"/>
      <c r="G515" s="652"/>
      <c r="H515" s="366"/>
      <c r="I515" s="166"/>
      <c r="J515" s="166"/>
      <c r="K515" s="167"/>
      <c r="L515" s="167"/>
      <c r="M515" s="167"/>
      <c r="N515" s="167"/>
      <c r="O515" s="167"/>
      <c r="P515" s="167"/>
      <c r="Q515" s="604"/>
      <c r="R515" s="604"/>
      <c r="S515" s="604"/>
      <c r="T515" s="604"/>
      <c r="U515" s="604"/>
      <c r="V515" s="604"/>
      <c r="W515" s="604"/>
      <c r="X515" s="604"/>
      <c r="Y515" s="604"/>
      <c r="Z515" s="604"/>
    </row>
    <row r="516" spans="1:26" ht="18.75" hidden="1">
      <c r="A516" s="614"/>
      <c r="B516" s="616"/>
      <c r="C516" s="616"/>
      <c r="D516" s="616" t="s">
        <v>222</v>
      </c>
      <c r="E516" s="720"/>
      <c r="F516" s="720"/>
      <c r="G516" s="366"/>
      <c r="H516" s="653" t="s">
        <v>109</v>
      </c>
      <c r="I516" s="617"/>
      <c r="J516" s="617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4"/>
      <c r="R516" s="604"/>
      <c r="S516" s="604"/>
      <c r="T516" s="604"/>
      <c r="U516" s="604"/>
      <c r="V516" s="604"/>
      <c r="W516" s="604"/>
      <c r="X516" s="604"/>
      <c r="Y516" s="604"/>
      <c r="Z516" s="604"/>
    </row>
    <row r="517" spans="1:26" ht="19.5" hidden="1">
      <c r="A517" s="614"/>
      <c r="B517" s="616"/>
      <c r="C517" s="616"/>
      <c r="D517" s="616" t="s">
        <v>223</v>
      </c>
      <c r="E517" s="720"/>
      <c r="F517" s="720"/>
      <c r="G517" s="366"/>
      <c r="H517" s="654" t="s">
        <v>35</v>
      </c>
      <c r="I517" s="655"/>
      <c r="J517" s="655">
        <f>J518+J519</f>
        <v>0</v>
      </c>
      <c r="K517" s="656">
        <f t="shared" si="224"/>
        <v>0</v>
      </c>
      <c r="L517" s="167"/>
      <c r="M517" s="167"/>
      <c r="N517" s="167"/>
      <c r="O517" s="167"/>
      <c r="P517" s="167"/>
      <c r="Q517" s="604"/>
      <c r="R517" s="604"/>
      <c r="S517" s="604"/>
      <c r="T517" s="604"/>
      <c r="U517" s="604"/>
      <c r="V517" s="604"/>
      <c r="W517" s="604"/>
      <c r="X517" s="604"/>
      <c r="Y517" s="604"/>
      <c r="Z517" s="604"/>
    </row>
    <row r="518" spans="1:26" ht="18.75" hidden="1">
      <c r="A518" s="614"/>
      <c r="B518" s="616"/>
      <c r="C518" s="616"/>
      <c r="D518" s="616"/>
      <c r="E518" s="616" t="s">
        <v>224</v>
      </c>
      <c r="F518" s="720"/>
      <c r="G518" s="366"/>
      <c r="H518" s="370" t="s">
        <v>35</v>
      </c>
      <c r="I518" s="617"/>
      <c r="J518" s="617"/>
      <c r="K518" s="167"/>
      <c r="L518" s="167"/>
      <c r="M518" s="167"/>
      <c r="N518" s="167"/>
      <c r="O518" s="167"/>
      <c r="P518" s="167"/>
      <c r="Q518" s="604"/>
      <c r="R518" s="604"/>
      <c r="S518" s="604"/>
      <c r="T518" s="604"/>
      <c r="U518" s="604"/>
      <c r="V518" s="604"/>
      <c r="W518" s="604"/>
      <c r="X518" s="604"/>
      <c r="Y518" s="604"/>
      <c r="Z518" s="604"/>
    </row>
    <row r="519" spans="1:26" ht="18.75" hidden="1">
      <c r="A519" s="614"/>
      <c r="B519" s="616"/>
      <c r="C519" s="616"/>
      <c r="D519" s="616"/>
      <c r="E519" s="616" t="s">
        <v>225</v>
      </c>
      <c r="F519" s="720"/>
      <c r="G519" s="366"/>
      <c r="H519" s="653" t="s">
        <v>35</v>
      </c>
      <c r="I519" s="617"/>
      <c r="J519" s="617"/>
      <c r="K519" s="167"/>
      <c r="L519" s="167"/>
      <c r="M519" s="167"/>
      <c r="N519" s="167"/>
      <c r="O519" s="167"/>
      <c r="P519" s="167"/>
      <c r="Q519" s="604"/>
      <c r="R519" s="604"/>
      <c r="S519" s="604"/>
      <c r="T519" s="604"/>
      <c r="U519" s="604"/>
      <c r="V519" s="604"/>
      <c r="W519" s="604"/>
      <c r="X519" s="604"/>
      <c r="Y519" s="604"/>
      <c r="Z519" s="604"/>
    </row>
    <row r="520" spans="1:26" ht="19.5">
      <c r="A520" s="657" t="s">
        <v>137</v>
      </c>
      <c r="B520" s="658"/>
      <c r="C520" s="658"/>
      <c r="D520" s="659"/>
      <c r="E520" s="659"/>
      <c r="F520" s="659"/>
      <c r="G520" s="660"/>
      <c r="H520" s="661"/>
      <c r="I520" s="662"/>
      <c r="J520" s="662"/>
      <c r="K520" s="663"/>
      <c r="L520" s="663"/>
      <c r="M520" s="663"/>
      <c r="N520" s="663"/>
      <c r="O520" s="663"/>
      <c r="P520" s="663"/>
    </row>
    <row r="521" spans="1:26" ht="19.5" hidden="1">
      <c r="A521" s="664">
        <v>5</v>
      </c>
      <c r="B521" s="665" t="s">
        <v>226</v>
      </c>
      <c r="C521" s="666"/>
      <c r="D521" s="667"/>
      <c r="E521" s="667"/>
      <c r="F521" s="667"/>
      <c r="G521" s="667"/>
      <c r="H521" s="668"/>
      <c r="I521" s="669"/>
      <c r="J521" s="669"/>
      <c r="K521" s="670"/>
      <c r="L521" s="670"/>
      <c r="M521" s="670"/>
      <c r="N521" s="670"/>
      <c r="O521" s="670"/>
      <c r="P521" s="670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</row>
    <row r="522" spans="1:26" ht="19.5" hidden="1">
      <c r="A522" s="671"/>
      <c r="B522" s="672" t="s">
        <v>227</v>
      </c>
      <c r="C522" s="673"/>
      <c r="D522" s="673"/>
      <c r="E522" s="673"/>
      <c r="F522" s="673"/>
      <c r="G522" s="674"/>
      <c r="H522" s="675" t="s">
        <v>35</v>
      </c>
      <c r="I522" s="708">
        <f t="shared" ref="I522:J522" ca="1" si="225">I537</f>
        <v>0</v>
      </c>
      <c r="J522" s="708">
        <f t="shared" ca="1" si="225"/>
        <v>0</v>
      </c>
      <c r="K522" s="677">
        <f ca="1">IF(I522&gt;0,J522*100/I522,0)</f>
        <v>0</v>
      </c>
      <c r="L522" s="678"/>
      <c r="M522" s="678"/>
      <c r="N522" s="678"/>
      <c r="O522" s="678"/>
      <c r="P522" s="6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</row>
    <row r="523" spans="1:26" ht="19.5" hidden="1">
      <c r="A523" s="597"/>
      <c r="B523" s="763"/>
      <c r="C523" s="763" t="s">
        <v>16</v>
      </c>
      <c r="D523" s="863" t="s">
        <v>17</v>
      </c>
      <c r="E523" s="857"/>
      <c r="F523" s="857"/>
      <c r="G523" s="189"/>
      <c r="H523" s="598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</row>
    <row r="524" spans="1:26" ht="18.75" hidden="1">
      <c r="A524" s="599"/>
      <c r="B524" s="759"/>
      <c r="C524" s="759"/>
      <c r="D524" s="720"/>
      <c r="E524" s="759" t="s">
        <v>185</v>
      </c>
      <c r="F524" s="759"/>
      <c r="G524" s="603"/>
      <c r="H524" s="165" t="s">
        <v>12</v>
      </c>
      <c r="I524" s="617"/>
      <c r="J524" s="617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4"/>
      <c r="R524" s="604"/>
      <c r="S524" s="604"/>
      <c r="T524" s="604"/>
      <c r="U524" s="604"/>
      <c r="V524" s="604"/>
      <c r="W524" s="604"/>
      <c r="X524" s="604"/>
      <c r="Y524" s="604"/>
      <c r="Z524" s="604"/>
    </row>
    <row r="525" spans="1:26" ht="18.75" hidden="1">
      <c r="A525" s="599"/>
      <c r="B525" s="607"/>
      <c r="C525" s="759"/>
      <c r="D525" s="720"/>
      <c r="E525" s="759" t="s">
        <v>186</v>
      </c>
      <c r="F525" s="759"/>
      <c r="G525" s="603"/>
      <c r="H525" s="165" t="s">
        <v>12</v>
      </c>
      <c r="I525" s="617"/>
      <c r="J525" s="617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4"/>
      <c r="R525" s="604"/>
      <c r="S525" s="604"/>
      <c r="T525" s="604"/>
      <c r="U525" s="604"/>
      <c r="V525" s="604"/>
      <c r="W525" s="604"/>
      <c r="X525" s="604"/>
      <c r="Y525" s="604"/>
      <c r="Z525" s="604"/>
    </row>
    <row r="526" spans="1:26" ht="18.75" hidden="1">
      <c r="A526" s="597"/>
      <c r="B526" s="575"/>
      <c r="C526" s="763"/>
      <c r="D526" s="606" t="s">
        <v>20</v>
      </c>
      <c r="E526" s="763"/>
      <c r="F526" s="763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</row>
    <row r="527" spans="1:26" ht="18.75" hidden="1">
      <c r="A527" s="599"/>
      <c r="B527" s="607"/>
      <c r="C527" s="759"/>
      <c r="D527" s="720"/>
      <c r="E527" s="759" t="s">
        <v>185</v>
      </c>
      <c r="F527" s="759"/>
      <c r="G527" s="603"/>
      <c r="H527" s="165" t="s">
        <v>12</v>
      </c>
      <c r="I527" s="617"/>
      <c r="J527" s="617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4"/>
      <c r="R527" s="604"/>
      <c r="S527" s="604"/>
      <c r="T527" s="604"/>
      <c r="U527" s="604"/>
      <c r="V527" s="604"/>
      <c r="W527" s="604"/>
      <c r="X527" s="604"/>
      <c r="Y527" s="604"/>
      <c r="Z527" s="604"/>
    </row>
    <row r="528" spans="1:26" ht="18.75" hidden="1">
      <c r="A528" s="599"/>
      <c r="B528" s="607"/>
      <c r="C528" s="759"/>
      <c r="D528" s="720"/>
      <c r="E528" s="759" t="s">
        <v>186</v>
      </c>
      <c r="F528" s="759"/>
      <c r="G528" s="603"/>
      <c r="H528" s="165" t="s">
        <v>12</v>
      </c>
      <c r="I528" s="617"/>
      <c r="J528" s="617"/>
      <c r="K528" s="93"/>
      <c r="L528" s="93">
        <f ca="1">IFERROR(__xludf.DUMMYFUNCTION("IMPORTRANGE(""https://docs.google.com/spreadsheets/d/1QqKyyYR6Q21VydFLVH3TRQUabQu_ym0Zz7PgGX0-kHA/edit?usp=sharing"",""แผน!GQ43"")"),0)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4"/>
      <c r="R528" s="604"/>
      <c r="S528" s="604"/>
      <c r="T528" s="604"/>
      <c r="U528" s="604"/>
      <c r="V528" s="604"/>
      <c r="W528" s="604"/>
      <c r="X528" s="604"/>
      <c r="Y528" s="604"/>
      <c r="Z528" s="604"/>
    </row>
    <row r="529" spans="1:26" ht="18.75" hidden="1">
      <c r="A529" s="574"/>
      <c r="B529" s="575"/>
      <c r="C529" s="763"/>
      <c r="D529" s="763"/>
      <c r="E529" s="763"/>
      <c r="F529" s="763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40">
        <v>0</v>
      </c>
      <c r="O529" s="498"/>
      <c r="P529" s="49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</row>
    <row r="530" spans="1:26" ht="18.75" hidden="1">
      <c r="A530" s="574"/>
      <c r="B530" s="575"/>
      <c r="C530" s="763"/>
      <c r="D530" s="763"/>
      <c r="E530" s="763"/>
      <c r="F530" s="763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40">
        <v>0</v>
      </c>
      <c r="O530" s="498"/>
      <c r="P530" s="49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</row>
    <row r="531" spans="1:26" ht="18.75" hidden="1">
      <c r="A531" s="574"/>
      <c r="B531" s="575"/>
      <c r="C531" s="763"/>
      <c r="D531" s="763"/>
      <c r="E531" s="763"/>
      <c r="F531" s="763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40">
        <v>0</v>
      </c>
      <c r="O531" s="498"/>
      <c r="P531" s="49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</row>
    <row r="532" spans="1:26" ht="18.75" hidden="1">
      <c r="A532" s="574"/>
      <c r="B532" s="575"/>
      <c r="C532" s="763"/>
      <c r="D532" s="763"/>
      <c r="E532" s="763"/>
      <c r="F532" s="763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40">
        <v>0</v>
      </c>
      <c r="O532" s="498"/>
      <c r="P532" s="49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</row>
    <row r="533" spans="1:26" ht="18.75" hidden="1">
      <c r="A533" s="597"/>
      <c r="B533" s="575"/>
      <c r="C533" s="763"/>
      <c r="D533" s="606" t="s">
        <v>21</v>
      </c>
      <c r="E533" s="763"/>
      <c r="F533" s="763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</row>
    <row r="534" spans="1:26" ht="18.75" hidden="1">
      <c r="A534" s="599"/>
      <c r="B534" s="607"/>
      <c r="C534" s="759"/>
      <c r="D534" s="759"/>
      <c r="E534" s="759" t="s">
        <v>18</v>
      </c>
      <c r="F534" s="759"/>
      <c r="G534" s="603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4"/>
      <c r="R534" s="604"/>
      <c r="S534" s="604"/>
      <c r="T534" s="604"/>
      <c r="U534" s="604"/>
      <c r="V534" s="604"/>
      <c r="W534" s="604"/>
      <c r="X534" s="604"/>
      <c r="Y534" s="604"/>
      <c r="Z534" s="604"/>
    </row>
    <row r="535" spans="1:26" ht="18.75" hidden="1">
      <c r="A535" s="599"/>
      <c r="B535" s="607"/>
      <c r="C535" s="759"/>
      <c r="D535" s="759"/>
      <c r="E535" s="759" t="s">
        <v>19</v>
      </c>
      <c r="F535" s="759"/>
      <c r="G535" s="603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4"/>
      <c r="R535" s="604"/>
      <c r="S535" s="604"/>
      <c r="T535" s="604"/>
      <c r="U535" s="604"/>
      <c r="V535" s="604"/>
      <c r="W535" s="604"/>
      <c r="X535" s="604"/>
      <c r="Y535" s="604"/>
      <c r="Z535" s="604"/>
    </row>
    <row r="536" spans="1:26" ht="19.5" hidden="1">
      <c r="A536" s="608"/>
      <c r="B536" s="618"/>
      <c r="C536" s="763" t="s">
        <v>16</v>
      </c>
      <c r="D536" s="896" t="s">
        <v>38</v>
      </c>
      <c r="E536" s="761"/>
      <c r="F536" s="761"/>
      <c r="G536" s="613"/>
      <c r="H536" s="762"/>
      <c r="I536" s="184"/>
      <c r="J536" s="184"/>
      <c r="K536" s="163"/>
      <c r="L536" s="163"/>
      <c r="M536" s="163"/>
      <c r="N536" s="163"/>
      <c r="O536" s="163"/>
      <c r="P536" s="163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</row>
    <row r="537" spans="1:26" ht="19.5" hidden="1">
      <c r="A537" s="574"/>
      <c r="B537" s="575"/>
      <c r="C537" s="763"/>
      <c r="D537" s="763" t="s">
        <v>228</v>
      </c>
      <c r="E537" s="763"/>
      <c r="F537" s="763"/>
      <c r="G537" s="189"/>
      <c r="H537" s="623" t="s">
        <v>35</v>
      </c>
      <c r="I537" s="681">
        <f ca="1">IFERROR(__xludf.DUMMYFUNCTION("IMPORTRANGE(""https://docs.google.com/spreadsheets/d/1QqKyyYR6Q21VydFLVH3TRQUabQu_ym0Zz7PgGX0-kHA/edit?usp=sharing"",""แผน!GU43"")"),0)</f>
        <v>0</v>
      </c>
      <c r="J537" s="681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2"/>
      <c r="R537" s="682"/>
      <c r="S537" s="682"/>
      <c r="T537" s="682"/>
      <c r="U537" s="682"/>
      <c r="V537" s="682"/>
      <c r="W537" s="682"/>
      <c r="X537" s="682"/>
      <c r="Y537" s="682"/>
      <c r="Z537" s="682"/>
    </row>
    <row r="538" spans="1:26" ht="18.75" hidden="1">
      <c r="A538" s="574"/>
      <c r="B538" s="575"/>
      <c r="C538" s="763"/>
      <c r="D538" s="763"/>
      <c r="E538" s="763" t="s">
        <v>229</v>
      </c>
      <c r="F538" s="763"/>
      <c r="G538" s="189"/>
      <c r="H538" s="623" t="s">
        <v>35</v>
      </c>
      <c r="I538" s="270">
        <f ca="1">IFERROR(__xludf.DUMMYFUNCTION("IMPORTRANGE(""https://docs.google.com/spreadsheets/d/1QqKyyYR6Q21VydFLVH3TRQUabQu_ym0Zz7PgGX0-kHA/edit?usp=sharing"",""แผน!GV43"")"),0)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2"/>
      <c r="R538" s="682"/>
      <c r="S538" s="682"/>
      <c r="T538" s="682"/>
      <c r="U538" s="682"/>
      <c r="V538" s="682"/>
      <c r="W538" s="682"/>
      <c r="X538" s="682"/>
      <c r="Y538" s="682"/>
      <c r="Z538" s="682"/>
    </row>
    <row r="539" spans="1:26" ht="18.75" hidden="1">
      <c r="A539" s="574"/>
      <c r="B539" s="575"/>
      <c r="C539" s="763"/>
      <c r="D539" s="763"/>
      <c r="E539" s="763" t="s">
        <v>230</v>
      </c>
      <c r="F539" s="763"/>
      <c r="G539" s="189"/>
      <c r="H539" s="623" t="s">
        <v>35</v>
      </c>
      <c r="I539" s="270">
        <f ca="1">IFERROR(__xludf.DUMMYFUNCTION("IMPORTRANGE(""https://docs.google.com/spreadsheets/d/1QqKyyYR6Q21VydFLVH3TRQUabQu_ym0Zz7PgGX0-kHA/edit?usp=sharing"",""แผน!GW43"")"),0)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2"/>
      <c r="R539" s="682"/>
      <c r="S539" s="682"/>
      <c r="T539" s="682"/>
      <c r="U539" s="682"/>
      <c r="V539" s="682"/>
      <c r="W539" s="682"/>
      <c r="X539" s="682"/>
      <c r="Y539" s="682"/>
      <c r="Z539" s="682"/>
    </row>
    <row r="540" spans="1:26" ht="18.75" hidden="1">
      <c r="A540" s="574"/>
      <c r="B540" s="575"/>
      <c r="C540" s="763"/>
      <c r="D540" s="763"/>
      <c r="E540" s="763" t="s">
        <v>231</v>
      </c>
      <c r="F540" s="763"/>
      <c r="G540" s="189"/>
      <c r="H540" s="623" t="s">
        <v>35</v>
      </c>
      <c r="I540" s="270">
        <f ca="1">IFERROR(__xludf.DUMMYFUNCTION("IMPORTRANGE(""https://docs.google.com/spreadsheets/d/1QqKyyYR6Q21VydFLVH3TRQUabQu_ym0Zz7PgGX0-kHA/edit?usp=sharing"",""แผน!GX43"")"),0)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2"/>
      <c r="R540" s="682"/>
      <c r="S540" s="682"/>
      <c r="T540" s="682"/>
      <c r="U540" s="682"/>
      <c r="V540" s="682"/>
      <c r="W540" s="682"/>
      <c r="X540" s="682"/>
      <c r="Y540" s="682"/>
      <c r="Z540" s="682"/>
    </row>
    <row r="541" spans="1:26" ht="18.75" hidden="1">
      <c r="A541" s="574"/>
      <c r="B541" s="575"/>
      <c r="C541" s="763"/>
      <c r="D541" s="763"/>
      <c r="E541" s="769" t="s">
        <v>232</v>
      </c>
      <c r="F541" s="763"/>
      <c r="G541" s="189"/>
      <c r="H541" s="623" t="s">
        <v>35</v>
      </c>
      <c r="I541" s="270">
        <f ca="1">IFERROR(__xludf.DUMMYFUNCTION("IMPORTRANGE(""https://docs.google.com/spreadsheets/d/1QqKyyYR6Q21VydFLVH3TRQUabQu_ym0Zz7PgGX0-kHA/edit?usp=sharing"",""แผน!GY43"")"),0)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2"/>
      <c r="R541" s="682"/>
      <c r="S541" s="682"/>
      <c r="T541" s="682"/>
      <c r="U541" s="682"/>
      <c r="V541" s="682"/>
      <c r="W541" s="682"/>
      <c r="X541" s="682"/>
      <c r="Y541" s="682"/>
      <c r="Z541" s="682"/>
    </row>
    <row r="542" spans="1:26" ht="18.75" hidden="1">
      <c r="A542" s="574"/>
      <c r="B542" s="575"/>
      <c r="C542" s="763"/>
      <c r="D542" s="763" t="s">
        <v>59</v>
      </c>
      <c r="E542" s="763"/>
      <c r="F542" s="763"/>
      <c r="G542" s="189"/>
      <c r="H542" s="623" t="s">
        <v>35</v>
      </c>
      <c r="I542" s="270">
        <f ca="1">IFERROR(__xludf.DUMMYFUNCTION("IMPORTRANGE(""https://docs.google.com/spreadsheets/d/1QqKyyYR6Q21VydFLVH3TRQUabQu_ym0Zz7PgGX0-kHA/edit?usp=sharing"",""แผน!GZ43"")"),0)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2"/>
      <c r="R542" s="682"/>
      <c r="S542" s="682"/>
      <c r="T542" s="682"/>
      <c r="U542" s="682"/>
      <c r="V542" s="682"/>
      <c r="W542" s="682"/>
      <c r="X542" s="682"/>
      <c r="Y542" s="682"/>
      <c r="Z542" s="682"/>
    </row>
    <row r="543" spans="1:26" ht="19.5">
      <c r="A543" s="664">
        <v>6</v>
      </c>
      <c r="B543" s="685" t="s">
        <v>233</v>
      </c>
      <c r="C543" s="667"/>
      <c r="D543" s="667"/>
      <c r="E543" s="667"/>
      <c r="F543" s="667"/>
      <c r="G543" s="668"/>
      <c r="H543" s="686" t="s">
        <v>46</v>
      </c>
      <c r="I543" s="687">
        <f t="shared" ref="I543:J543" ca="1" si="235">I559</f>
        <v>87155.557499999995</v>
      </c>
      <c r="J543" s="687">
        <f t="shared" si="235"/>
        <v>87155.30750000001</v>
      </c>
      <c r="K543" s="688">
        <f t="shared" ca="1" si="234"/>
        <v>99.99971315655921</v>
      </c>
      <c r="L543" s="670"/>
      <c r="M543" s="670"/>
      <c r="N543" s="670"/>
      <c r="O543" s="670"/>
      <c r="P543" s="670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</row>
    <row r="544" spans="1:26" ht="19.5">
      <c r="A544" s="689"/>
      <c r="B544" s="690"/>
      <c r="C544" s="690" t="s">
        <v>16</v>
      </c>
      <c r="D544" s="897" t="s">
        <v>17</v>
      </c>
      <c r="E544" s="862"/>
      <c r="F544" s="862"/>
      <c r="G544" s="691"/>
      <c r="H544" s="275" t="s">
        <v>12</v>
      </c>
      <c r="I544" s="420"/>
      <c r="J544" s="420"/>
      <c r="K544" s="154"/>
      <c r="L544" s="155">
        <f t="shared" ref="L544:N544" ca="1" si="236">L545+L546</f>
        <v>432979</v>
      </c>
      <c r="M544" s="155">
        <f t="shared" ca="1" si="236"/>
        <v>429504.99</v>
      </c>
      <c r="N544" s="155">
        <f t="shared" si="236"/>
        <v>429504.99</v>
      </c>
      <c r="O544" s="155">
        <f t="shared" ref="O544:O549" ca="1" si="237">IF(L544&gt;0,N544*100/L544,0)</f>
        <v>99.197649308626978</v>
      </c>
      <c r="P544" s="155">
        <f t="shared" ref="P544:P549" ca="1" si="238">IF(M544&gt;0,N544*100/M544,0)</f>
        <v>100</v>
      </c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</row>
    <row r="545" spans="1:26" ht="18.75" hidden="1">
      <c r="A545" s="599"/>
      <c r="B545" s="759"/>
      <c r="C545" s="759"/>
      <c r="D545" s="759"/>
      <c r="E545" s="759" t="s">
        <v>185</v>
      </c>
      <c r="F545" s="759"/>
      <c r="G545" s="603"/>
      <c r="H545" s="165" t="s">
        <v>12</v>
      </c>
      <c r="I545" s="617"/>
      <c r="J545" s="617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4"/>
      <c r="R545" s="604"/>
      <c r="S545" s="604"/>
      <c r="T545" s="604"/>
      <c r="U545" s="604"/>
      <c r="V545" s="604"/>
      <c r="W545" s="604"/>
      <c r="X545" s="604"/>
      <c r="Y545" s="604"/>
      <c r="Z545" s="604"/>
    </row>
    <row r="546" spans="1:26" ht="18.75" hidden="1">
      <c r="A546" s="599"/>
      <c r="B546" s="607"/>
      <c r="C546" s="759"/>
      <c r="D546" s="759"/>
      <c r="E546" s="759" t="s">
        <v>186</v>
      </c>
      <c r="F546" s="759"/>
      <c r="G546" s="603"/>
      <c r="H546" s="165" t="s">
        <v>12</v>
      </c>
      <c r="I546" s="617"/>
      <c r="J546" s="617"/>
      <c r="K546" s="93"/>
      <c r="L546" s="93">
        <f t="shared" ca="1" si="239"/>
        <v>432979</v>
      </c>
      <c r="M546" s="93">
        <f t="shared" ca="1" si="240"/>
        <v>429504.99</v>
      </c>
      <c r="N546" s="93">
        <f t="shared" si="240"/>
        <v>429504.99</v>
      </c>
      <c r="O546" s="93">
        <f t="shared" ca="1" si="237"/>
        <v>99.197649308626978</v>
      </c>
      <c r="P546" s="93">
        <f t="shared" ca="1" si="238"/>
        <v>100</v>
      </c>
      <c r="Q546" s="604"/>
      <c r="R546" s="604"/>
      <c r="S546" s="604"/>
      <c r="T546" s="604"/>
      <c r="U546" s="604"/>
      <c r="V546" s="604"/>
      <c r="W546" s="604"/>
      <c r="X546" s="604"/>
      <c r="Y546" s="604"/>
      <c r="Z546" s="604"/>
    </row>
    <row r="547" spans="1:26" ht="18.75">
      <c r="A547" s="597"/>
      <c r="B547" s="575"/>
      <c r="C547" s="763"/>
      <c r="D547" s="606" t="s">
        <v>20</v>
      </c>
      <c r="E547" s="763"/>
      <c r="F547" s="763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432979</v>
      </c>
      <c r="M547" s="498">
        <f t="shared" ca="1" si="241"/>
        <v>429504.99</v>
      </c>
      <c r="N547" s="498">
        <f t="shared" si="241"/>
        <v>429504.99</v>
      </c>
      <c r="O547" s="498">
        <f t="shared" ca="1" si="237"/>
        <v>99.197649308626978</v>
      </c>
      <c r="P547" s="498">
        <f t="shared" ca="1" si="238"/>
        <v>100</v>
      </c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</row>
    <row r="548" spans="1:26" ht="18.75" hidden="1">
      <c r="A548" s="599"/>
      <c r="B548" s="607"/>
      <c r="C548" s="759"/>
      <c r="D548" s="720"/>
      <c r="E548" s="759" t="s">
        <v>185</v>
      </c>
      <c r="F548" s="759"/>
      <c r="G548" s="603"/>
      <c r="H548" s="165" t="s">
        <v>12</v>
      </c>
      <c r="I548" s="617"/>
      <c r="J548" s="617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4"/>
      <c r="R548" s="604"/>
      <c r="S548" s="604"/>
      <c r="T548" s="604"/>
      <c r="U548" s="604"/>
      <c r="V548" s="604"/>
      <c r="W548" s="604"/>
      <c r="X548" s="604"/>
      <c r="Y548" s="604"/>
      <c r="Z548" s="604"/>
    </row>
    <row r="549" spans="1:26" ht="18.75" hidden="1">
      <c r="A549" s="599"/>
      <c r="B549" s="607"/>
      <c r="C549" s="759"/>
      <c r="D549" s="720"/>
      <c r="E549" s="759" t="s">
        <v>186</v>
      </c>
      <c r="F549" s="759"/>
      <c r="G549" s="603"/>
      <c r="H549" s="165" t="s">
        <v>12</v>
      </c>
      <c r="I549" s="617"/>
      <c r="J549" s="617"/>
      <c r="K549" s="93"/>
      <c r="L549" s="93">
        <f ca="1">IFERROR(__xludf.DUMMYFUNCTION("IMPORTRANGE(""https://docs.google.com/spreadsheets/d/1QqKyyYR6Q21VydFLVH3TRQUabQu_ym0Zz7PgGX0-kHA/edit?usp=sharing"",""แผน!HB43"")"),432979)</f>
        <v>432979</v>
      </c>
      <c r="M549" s="93">
        <f ca="1">L549-3474.01</f>
        <v>429504.99</v>
      </c>
      <c r="N549" s="93">
        <f>N550+N551+N552+N553+N554</f>
        <v>429504.99</v>
      </c>
      <c r="O549" s="93">
        <f t="shared" ca="1" si="237"/>
        <v>99.197649308626978</v>
      </c>
      <c r="P549" s="93">
        <f t="shared" ca="1" si="238"/>
        <v>100</v>
      </c>
      <c r="Q549" s="604"/>
      <c r="R549" s="604"/>
      <c r="S549" s="604"/>
      <c r="T549" s="604"/>
      <c r="U549" s="604"/>
      <c r="V549" s="604"/>
      <c r="W549" s="604"/>
      <c r="X549" s="604"/>
      <c r="Y549" s="604"/>
      <c r="Z549" s="604"/>
    </row>
    <row r="550" spans="1:26" ht="18.75">
      <c r="A550" s="574"/>
      <c r="B550" s="575"/>
      <c r="C550" s="763"/>
      <c r="D550" s="763"/>
      <c r="E550" s="763"/>
      <c r="F550" s="763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40">
        <v>0</v>
      </c>
      <c r="O550" s="498"/>
      <c r="P550" s="49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</row>
    <row r="551" spans="1:26" ht="18.75">
      <c r="A551" s="574"/>
      <c r="B551" s="575"/>
      <c r="C551" s="575"/>
      <c r="D551" s="575"/>
      <c r="E551" s="763"/>
      <c r="F551" s="763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40">
        <v>0</v>
      </c>
      <c r="O551" s="498"/>
      <c r="P551" s="49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</row>
    <row r="552" spans="1:26" ht="18.75">
      <c r="A552" s="574"/>
      <c r="B552" s="575"/>
      <c r="C552" s="763"/>
      <c r="D552" s="763"/>
      <c r="E552" s="763"/>
      <c r="F552" s="763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40">
        <v>139526</v>
      </c>
      <c r="O552" s="498"/>
      <c r="P552" s="498"/>
      <c r="Q552" s="578"/>
      <c r="R552" s="578"/>
      <c r="S552" s="578"/>
      <c r="T552" s="578"/>
      <c r="U552" s="578"/>
      <c r="V552" s="578"/>
      <c r="W552" s="578"/>
      <c r="X552" s="578"/>
      <c r="Y552" s="578"/>
      <c r="Z552" s="578"/>
    </row>
    <row r="553" spans="1:26" ht="18.75">
      <c r="A553" s="574"/>
      <c r="B553" s="575"/>
      <c r="C553" s="575"/>
      <c r="D553" s="575"/>
      <c r="E553" s="763"/>
      <c r="F553" s="763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40">
        <f>423895.99+5609-N552</f>
        <v>289978.99</v>
      </c>
      <c r="O553" s="498"/>
      <c r="P553" s="49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</row>
    <row r="554" spans="1:26" ht="18.75">
      <c r="A554" s="574"/>
      <c r="B554" s="575"/>
      <c r="C554" s="575"/>
      <c r="D554" s="575"/>
      <c r="E554" s="763"/>
      <c r="F554" s="763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40">
        <v>0</v>
      </c>
      <c r="O554" s="498"/>
      <c r="P554" s="49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</row>
    <row r="555" spans="1:26" ht="18.75">
      <c r="A555" s="597"/>
      <c r="B555" s="575"/>
      <c r="C555" s="575"/>
      <c r="D555" s="606" t="s">
        <v>21</v>
      </c>
      <c r="E555" s="763"/>
      <c r="F555" s="763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</row>
    <row r="556" spans="1:26" ht="18.75" hidden="1">
      <c r="A556" s="599"/>
      <c r="B556" s="607"/>
      <c r="C556" s="607"/>
      <c r="D556" s="759"/>
      <c r="E556" s="759" t="s">
        <v>18</v>
      </c>
      <c r="F556" s="759"/>
      <c r="G556" s="603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4"/>
      <c r="R556" s="604"/>
      <c r="S556" s="604"/>
      <c r="T556" s="604"/>
      <c r="U556" s="604"/>
      <c r="V556" s="604"/>
      <c r="W556" s="604"/>
      <c r="X556" s="604"/>
      <c r="Y556" s="604"/>
      <c r="Z556" s="604"/>
    </row>
    <row r="557" spans="1:26" ht="18.75" hidden="1">
      <c r="A557" s="599"/>
      <c r="B557" s="607"/>
      <c r="C557" s="607"/>
      <c r="D557" s="759"/>
      <c r="E557" s="759" t="s">
        <v>19</v>
      </c>
      <c r="F557" s="759"/>
      <c r="G557" s="603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4"/>
      <c r="R557" s="604"/>
      <c r="S557" s="604"/>
      <c r="T557" s="604"/>
      <c r="U557" s="604"/>
      <c r="V557" s="604"/>
      <c r="W557" s="604"/>
      <c r="X557" s="604"/>
      <c r="Y557" s="604"/>
      <c r="Z557" s="604"/>
    </row>
    <row r="558" spans="1:26" ht="19.5">
      <c r="A558" s="608"/>
      <c r="B558" s="618"/>
      <c r="C558" s="575" t="s">
        <v>16</v>
      </c>
      <c r="D558" s="896" t="s">
        <v>38</v>
      </c>
      <c r="E558" s="761"/>
      <c r="F558" s="761"/>
      <c r="G558" s="613"/>
      <c r="H558" s="762"/>
      <c r="I558" s="184"/>
      <c r="J558" s="184"/>
      <c r="K558" s="163"/>
      <c r="L558" s="163"/>
      <c r="M558" s="163"/>
      <c r="N558" s="163"/>
      <c r="O558" s="163"/>
      <c r="P558" s="163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</row>
    <row r="559" spans="1:26" ht="19.5">
      <c r="A559" s="692"/>
      <c r="B559" s="693" t="s">
        <v>235</v>
      </c>
      <c r="C559" s="694"/>
      <c r="D559" s="694"/>
      <c r="E559" s="673"/>
      <c r="F559" s="673"/>
      <c r="G559" s="674"/>
      <c r="H559" s="695" t="s">
        <v>46</v>
      </c>
      <c r="I559" s="708">
        <f t="shared" ref="I559:J559" ca="1" si="245">I576</f>
        <v>87155.557499999995</v>
      </c>
      <c r="J559" s="708">
        <f t="shared" si="245"/>
        <v>87155.30750000001</v>
      </c>
      <c r="K559" s="677">
        <f t="shared" ref="K559:K561" ca="1" si="246">IF(I559&gt;0,J559*100/I559,0)</f>
        <v>99.99971315655921</v>
      </c>
      <c r="L559" s="678"/>
      <c r="M559" s="678"/>
      <c r="N559" s="678"/>
      <c r="O559" s="678"/>
      <c r="P559" s="6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</row>
    <row r="560" spans="1:26" ht="19.5">
      <c r="A560" s="608"/>
      <c r="B560" s="618"/>
      <c r="C560" s="625" t="s">
        <v>236</v>
      </c>
      <c r="D560" s="618"/>
      <c r="E560" s="626"/>
      <c r="F560" s="626"/>
      <c r="G560" s="762"/>
      <c r="H560" s="767" t="s">
        <v>46</v>
      </c>
      <c r="I560" s="193">
        <f ca="1">IFERROR(__xludf.DUMMYFUNCTION("IMPORTRANGE(""https://docs.google.com/spreadsheets/d/1QqKyyYR6Q21VydFLVH3TRQUabQu_ym0Zz7PgGX0-kHA/edit?usp=sharing"",""แผน!HH43"")"),87155.5575)</f>
        <v>87155.557499999995</v>
      </c>
      <c r="J560" s="193">
        <f t="shared" ref="J560:J561" si="247">J562+J564+J566</f>
        <v>87155</v>
      </c>
      <c r="K560" s="411">
        <f t="shared" ca="1" si="246"/>
        <v>99.99936033912698</v>
      </c>
      <c r="L560" s="163"/>
      <c r="M560" s="163"/>
      <c r="N560" s="163"/>
      <c r="O560" s="163"/>
      <c r="P560" s="163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</row>
    <row r="561" spans="1:26" ht="19.5">
      <c r="A561" s="608"/>
      <c r="B561" s="618"/>
      <c r="C561" s="618"/>
      <c r="D561" s="626"/>
      <c r="E561" s="626"/>
      <c r="F561" s="626"/>
      <c r="G561" s="762"/>
      <c r="H561" s="767" t="s">
        <v>34</v>
      </c>
      <c r="I561" s="193">
        <f ca="1">IFERROR(__xludf.DUMMYFUNCTION("IMPORTRANGE(""https://docs.google.com/spreadsheets/d/1QqKyyYR6Q21VydFLVH3TRQUabQu_ym0Zz7PgGX0-kHA/edit?usp=sharing"",""แผน!HG43"")"),9269)</f>
        <v>9269</v>
      </c>
      <c r="J561" s="193">
        <f t="shared" si="247"/>
        <v>9250</v>
      </c>
      <c r="K561" s="411">
        <f t="shared" ca="1" si="246"/>
        <v>99.795015643542996</v>
      </c>
      <c r="L561" s="163"/>
      <c r="M561" s="163"/>
      <c r="N561" s="163"/>
      <c r="O561" s="163"/>
      <c r="P561" s="163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</row>
    <row r="562" spans="1:26" ht="18.75">
      <c r="A562" s="608"/>
      <c r="B562" s="618"/>
      <c r="C562" s="618"/>
      <c r="D562" s="626" t="s">
        <v>237</v>
      </c>
      <c r="E562" s="626"/>
      <c r="F562" s="626"/>
      <c r="G562" s="762"/>
      <c r="H562" s="764" t="s">
        <v>46</v>
      </c>
      <c r="I562" s="184"/>
      <c r="J562" s="215">
        <v>77490</v>
      </c>
      <c r="K562" s="163"/>
      <c r="L562" s="163"/>
      <c r="M562" s="163"/>
      <c r="N562" s="163"/>
      <c r="O562" s="163"/>
      <c r="P562" s="163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</row>
    <row r="563" spans="1:26" ht="18.75">
      <c r="A563" s="608"/>
      <c r="B563" s="618"/>
      <c r="C563" s="618"/>
      <c r="D563" s="618"/>
      <c r="E563" s="626"/>
      <c r="F563" s="626"/>
      <c r="G563" s="762"/>
      <c r="H563" s="764" t="s">
        <v>34</v>
      </c>
      <c r="I563" s="184"/>
      <c r="J563" s="215">
        <v>8474</v>
      </c>
      <c r="K563" s="163"/>
      <c r="L563" s="163"/>
      <c r="M563" s="163"/>
      <c r="N563" s="163"/>
      <c r="O563" s="163"/>
      <c r="P563" s="163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</row>
    <row r="564" spans="1:26" ht="18.75">
      <c r="A564" s="608"/>
      <c r="B564" s="618"/>
      <c r="C564" s="618"/>
      <c r="D564" s="626" t="s">
        <v>238</v>
      </c>
      <c r="E564" s="626"/>
      <c r="F564" s="626"/>
      <c r="G564" s="762"/>
      <c r="H564" s="764" t="s">
        <v>46</v>
      </c>
      <c r="I564" s="184"/>
      <c r="J564" s="215">
        <v>8915</v>
      </c>
      <c r="K564" s="163"/>
      <c r="L564" s="163"/>
      <c r="M564" s="163"/>
      <c r="N564" s="163"/>
      <c r="O564" s="163"/>
      <c r="P564" s="163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</row>
    <row r="565" spans="1:26" ht="18.75">
      <c r="A565" s="608"/>
      <c r="B565" s="618"/>
      <c r="C565" s="618"/>
      <c r="D565" s="626"/>
      <c r="E565" s="626"/>
      <c r="F565" s="626"/>
      <c r="G565" s="762"/>
      <c r="H565" s="764" t="s">
        <v>34</v>
      </c>
      <c r="I565" s="184"/>
      <c r="J565" s="215">
        <v>692</v>
      </c>
      <c r="K565" s="163"/>
      <c r="L565" s="163"/>
      <c r="M565" s="163"/>
      <c r="N565" s="163"/>
      <c r="O565" s="163"/>
      <c r="P565" s="163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</row>
    <row r="566" spans="1:26" ht="18.75">
      <c r="A566" s="608"/>
      <c r="B566" s="618"/>
      <c r="C566" s="618"/>
      <c r="D566" s="626" t="s">
        <v>239</v>
      </c>
      <c r="E566" s="626"/>
      <c r="F566" s="626"/>
      <c r="G566" s="762"/>
      <c r="H566" s="764" t="s">
        <v>46</v>
      </c>
      <c r="I566" s="184"/>
      <c r="J566" s="215">
        <v>750</v>
      </c>
      <c r="K566" s="163"/>
      <c r="L566" s="163"/>
      <c r="M566" s="163"/>
      <c r="N566" s="163"/>
      <c r="O566" s="163"/>
      <c r="P566" s="163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</row>
    <row r="567" spans="1:26" ht="18.75">
      <c r="A567" s="608"/>
      <c r="B567" s="618"/>
      <c r="C567" s="618"/>
      <c r="D567" s="626"/>
      <c r="E567" s="626"/>
      <c r="F567" s="626"/>
      <c r="G567" s="762"/>
      <c r="H567" s="764" t="s">
        <v>34</v>
      </c>
      <c r="I567" s="184"/>
      <c r="J567" s="215">
        <v>84</v>
      </c>
      <c r="K567" s="163"/>
      <c r="L567" s="163"/>
      <c r="M567" s="163"/>
      <c r="N567" s="163"/>
      <c r="O567" s="163"/>
      <c r="P567" s="163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</row>
    <row r="568" spans="1:26" ht="19.5">
      <c r="A568" s="608"/>
      <c r="B568" s="618"/>
      <c r="C568" s="625" t="s">
        <v>240</v>
      </c>
      <c r="D568" s="626"/>
      <c r="E568" s="626"/>
      <c r="F568" s="626"/>
      <c r="G568" s="762"/>
      <c r="H568" s="767" t="s">
        <v>46</v>
      </c>
      <c r="I568" s="193">
        <f ca="1">IFERROR(__xludf.DUMMYFUNCTION("IMPORTRANGE(""https://docs.google.com/spreadsheets/d/1QqKyyYR6Q21VydFLVH3TRQUabQu_ym0Zz7PgGX0-kHA/edit?usp=sharing"",""แผน!HH43"")"),87155.5575)</f>
        <v>87155.557499999995</v>
      </c>
      <c r="J568" s="681">
        <f t="shared" ref="J568:J569" si="248">J570+J572+J574</f>
        <v>87155.307499999995</v>
      </c>
      <c r="K568" s="411">
        <f t="shared" ref="K568:K569" ca="1" si="249">IF(I568&gt;0,J568*100/I568,0)</f>
        <v>99.999713156559181</v>
      </c>
      <c r="L568" s="163"/>
      <c r="M568" s="163"/>
      <c r="N568" s="163"/>
      <c r="O568" s="163"/>
      <c r="P568" s="163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</row>
    <row r="569" spans="1:26" ht="19.5">
      <c r="A569" s="608"/>
      <c r="B569" s="618"/>
      <c r="C569" s="618"/>
      <c r="D569" s="618"/>
      <c r="E569" s="626"/>
      <c r="F569" s="626"/>
      <c r="G569" s="762"/>
      <c r="H569" s="767" t="s">
        <v>34</v>
      </c>
      <c r="I569" s="193">
        <f ca="1">IFERROR(__xludf.DUMMYFUNCTION("IMPORTRANGE(""https://docs.google.com/spreadsheets/d/1QqKyyYR6Q21VydFLVH3TRQUabQu_ym0Zz7PgGX0-kHA/edit?usp=sharing"",""แผน!HG43"")"),9269)</f>
        <v>9269</v>
      </c>
      <c r="J569" s="681">
        <f t="shared" si="248"/>
        <v>9250</v>
      </c>
      <c r="K569" s="411">
        <f t="shared" ca="1" si="249"/>
        <v>99.795015643542996</v>
      </c>
      <c r="L569" s="163"/>
      <c r="M569" s="163"/>
      <c r="N569" s="163"/>
      <c r="O569" s="163"/>
      <c r="P569" s="163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</row>
    <row r="570" spans="1:26" ht="18.75">
      <c r="A570" s="608"/>
      <c r="B570" s="618"/>
      <c r="C570" s="618"/>
      <c r="D570" s="626" t="s">
        <v>241</v>
      </c>
      <c r="E570" s="618"/>
      <c r="F570" s="626"/>
      <c r="G570" s="762"/>
      <c r="H570" s="764" t="s">
        <v>46</v>
      </c>
      <c r="I570" s="184"/>
      <c r="J570" s="215">
        <v>78529.372499999998</v>
      </c>
      <c r="K570" s="163"/>
      <c r="L570" s="163"/>
      <c r="M570" s="163"/>
      <c r="N570" s="163"/>
      <c r="O570" s="163"/>
      <c r="P570" s="163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</row>
    <row r="571" spans="1:26" ht="18.75">
      <c r="A571" s="608"/>
      <c r="B571" s="618"/>
      <c r="C571" s="618"/>
      <c r="D571" s="618"/>
      <c r="E571" s="626"/>
      <c r="F571" s="626"/>
      <c r="G571" s="762"/>
      <c r="H571" s="764" t="s">
        <v>34</v>
      </c>
      <c r="I571" s="184"/>
      <c r="J571" s="215">
        <v>8546</v>
      </c>
      <c r="K571" s="163"/>
      <c r="L571" s="163"/>
      <c r="M571" s="163"/>
      <c r="N571" s="163"/>
      <c r="O571" s="163"/>
      <c r="P571" s="163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</row>
    <row r="572" spans="1:26" ht="18.75">
      <c r="A572" s="608"/>
      <c r="B572" s="618"/>
      <c r="C572" s="618"/>
      <c r="D572" s="626" t="s">
        <v>242</v>
      </c>
      <c r="E572" s="626"/>
      <c r="F572" s="626"/>
      <c r="G572" s="762"/>
      <c r="H572" s="764" t="s">
        <v>46</v>
      </c>
      <c r="I572" s="184"/>
      <c r="J572" s="215">
        <v>6754.8050000000003</v>
      </c>
      <c r="K572" s="163"/>
      <c r="L572" s="163"/>
      <c r="M572" s="163"/>
      <c r="N572" s="163"/>
      <c r="O572" s="163"/>
      <c r="P572" s="163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</row>
    <row r="573" spans="1:26" ht="18.75">
      <c r="A573" s="608"/>
      <c r="B573" s="618"/>
      <c r="C573" s="618"/>
      <c r="D573" s="626"/>
      <c r="E573" s="626"/>
      <c r="F573" s="626"/>
      <c r="G573" s="762"/>
      <c r="H573" s="764" t="s">
        <v>34</v>
      </c>
      <c r="I573" s="184"/>
      <c r="J573" s="215">
        <v>483</v>
      </c>
      <c r="K573" s="163"/>
      <c r="L573" s="163"/>
      <c r="M573" s="163"/>
      <c r="N573" s="163"/>
      <c r="O573" s="163"/>
      <c r="P573" s="163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</row>
    <row r="574" spans="1:26" ht="18.75">
      <c r="A574" s="608"/>
      <c r="B574" s="618"/>
      <c r="C574" s="618"/>
      <c r="D574" s="626" t="s">
        <v>243</v>
      </c>
      <c r="E574" s="626"/>
      <c r="F574" s="626"/>
      <c r="G574" s="762"/>
      <c r="H574" s="764" t="s">
        <v>46</v>
      </c>
      <c r="I574" s="184"/>
      <c r="J574" s="215">
        <v>1871.13</v>
      </c>
      <c r="K574" s="163"/>
      <c r="L574" s="163"/>
      <c r="M574" s="163"/>
      <c r="N574" s="163"/>
      <c r="O574" s="163"/>
      <c r="P574" s="163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</row>
    <row r="575" spans="1:26" ht="18.75">
      <c r="A575" s="608"/>
      <c r="B575" s="618"/>
      <c r="C575" s="618"/>
      <c r="D575" s="618"/>
      <c r="E575" s="626"/>
      <c r="F575" s="626"/>
      <c r="G575" s="762"/>
      <c r="H575" s="764" t="s">
        <v>34</v>
      </c>
      <c r="I575" s="184"/>
      <c r="J575" s="215">
        <v>221</v>
      </c>
      <c r="K575" s="163"/>
      <c r="L575" s="163"/>
      <c r="M575" s="163"/>
      <c r="N575" s="163"/>
      <c r="O575" s="163"/>
      <c r="P575" s="163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</row>
    <row r="576" spans="1:26" ht="19.5">
      <c r="A576" s="608"/>
      <c r="B576" s="618"/>
      <c r="C576" s="625" t="s">
        <v>244</v>
      </c>
      <c r="D576" s="618"/>
      <c r="E576" s="618"/>
      <c r="F576" s="626"/>
      <c r="G576" s="762"/>
      <c r="H576" s="767" t="s">
        <v>46</v>
      </c>
      <c r="I576" s="193">
        <f ca="1">IFERROR(__xludf.DUMMYFUNCTION("IMPORTRANGE(""https://docs.google.com/spreadsheets/d/1QqKyyYR6Q21VydFLVH3TRQUabQu_ym0Zz7PgGX0-kHA/edit?usp=sharing"",""แผน!HH43"")"),87155.5575)</f>
        <v>87155.557499999995</v>
      </c>
      <c r="J576" s="681">
        <f t="shared" ref="J576:J577" si="250">J578+J580+J582+J588+J590</f>
        <v>87155.30750000001</v>
      </c>
      <c r="K576" s="411">
        <f t="shared" ref="K576:K577" ca="1" si="251">IF(I576&gt;0,J576*100/I576,0)</f>
        <v>99.99971315655921</v>
      </c>
      <c r="L576" s="163"/>
      <c r="M576" s="163"/>
      <c r="N576" s="163"/>
      <c r="O576" s="163"/>
      <c r="P576" s="163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</row>
    <row r="577" spans="1:26" ht="19.5">
      <c r="A577" s="608"/>
      <c r="B577" s="618"/>
      <c r="C577" s="618"/>
      <c r="D577" s="618"/>
      <c r="E577" s="626"/>
      <c r="F577" s="626"/>
      <c r="G577" s="762"/>
      <c r="H577" s="767" t="s">
        <v>34</v>
      </c>
      <c r="I577" s="193">
        <f ca="1">IFERROR(__xludf.DUMMYFUNCTION("IMPORTRANGE(""https://docs.google.com/spreadsheets/d/1QqKyyYR6Q21VydFLVH3TRQUabQu_ym0Zz7PgGX0-kHA/edit?usp=sharing"",""แผน!HG43"")"),9269)</f>
        <v>9269</v>
      </c>
      <c r="J577" s="681">
        <f t="shared" si="250"/>
        <v>9250</v>
      </c>
      <c r="K577" s="411">
        <f t="shared" ca="1" si="251"/>
        <v>99.795015643542996</v>
      </c>
      <c r="L577" s="163"/>
      <c r="M577" s="163"/>
      <c r="N577" s="163"/>
      <c r="O577" s="163"/>
      <c r="P577" s="163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</row>
    <row r="578" spans="1:26" ht="18.75">
      <c r="A578" s="608"/>
      <c r="B578" s="618"/>
      <c r="C578" s="618"/>
      <c r="D578" s="626" t="s">
        <v>245</v>
      </c>
      <c r="E578" s="626"/>
      <c r="F578" s="626"/>
      <c r="G578" s="762"/>
      <c r="H578" s="764" t="s">
        <v>46</v>
      </c>
      <c r="I578" s="184"/>
      <c r="J578" s="215">
        <v>80585.8125</v>
      </c>
      <c r="K578" s="163"/>
      <c r="L578" s="163"/>
      <c r="M578" s="163"/>
      <c r="N578" s="163"/>
      <c r="O578" s="163"/>
      <c r="P578" s="163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</row>
    <row r="579" spans="1:26" ht="18.75">
      <c r="A579" s="608"/>
      <c r="B579" s="618"/>
      <c r="C579" s="618"/>
      <c r="D579" s="618"/>
      <c r="E579" s="626"/>
      <c r="F579" s="626"/>
      <c r="G579" s="762"/>
      <c r="H579" s="764" t="s">
        <v>34</v>
      </c>
      <c r="I579" s="184"/>
      <c r="J579" s="215">
        <v>8692</v>
      </c>
      <c r="K579" s="163"/>
      <c r="L579" s="163"/>
      <c r="M579" s="163"/>
      <c r="N579" s="163"/>
      <c r="O579" s="163"/>
      <c r="P579" s="163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</row>
    <row r="580" spans="1:26" ht="18.75">
      <c r="A580" s="608"/>
      <c r="B580" s="618"/>
      <c r="C580" s="618"/>
      <c r="D580" s="626" t="s">
        <v>246</v>
      </c>
      <c r="E580" s="626"/>
      <c r="F580" s="626"/>
      <c r="G580" s="762"/>
      <c r="H580" s="764" t="s">
        <v>46</v>
      </c>
      <c r="I580" s="184"/>
      <c r="J580" s="215">
        <v>11.085000000000001</v>
      </c>
      <c r="K580" s="163"/>
      <c r="L580" s="163"/>
      <c r="M580" s="163"/>
      <c r="N580" s="163"/>
      <c r="O580" s="163"/>
      <c r="P580" s="163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</row>
    <row r="581" spans="1:26" ht="18.75">
      <c r="A581" s="608"/>
      <c r="B581" s="618"/>
      <c r="C581" s="618"/>
      <c r="D581" s="618"/>
      <c r="E581" s="626"/>
      <c r="F581" s="626"/>
      <c r="G581" s="762"/>
      <c r="H581" s="764" t="s">
        <v>34</v>
      </c>
      <c r="I581" s="184"/>
      <c r="J581" s="215">
        <v>2</v>
      </c>
      <c r="K581" s="163"/>
      <c r="L581" s="163"/>
      <c r="M581" s="163"/>
      <c r="N581" s="163"/>
      <c r="O581" s="163"/>
      <c r="P581" s="163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</row>
    <row r="582" spans="1:26" ht="19.5">
      <c r="A582" s="608"/>
      <c r="B582" s="618"/>
      <c r="C582" s="618"/>
      <c r="D582" s="626" t="s">
        <v>247</v>
      </c>
      <c r="E582" s="626"/>
      <c r="F582" s="626"/>
      <c r="G582" s="762"/>
      <c r="H582" s="764" t="s">
        <v>46</v>
      </c>
      <c r="I582" s="184"/>
      <c r="J582" s="681">
        <f t="shared" ref="J582:J583" si="252">J584+J586</f>
        <v>1918.71</v>
      </c>
      <c r="K582" s="411"/>
      <c r="L582" s="163"/>
      <c r="M582" s="163"/>
      <c r="N582" s="163"/>
      <c r="O582" s="163"/>
      <c r="P582" s="163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</row>
    <row r="583" spans="1:26" ht="19.5">
      <c r="A583" s="608"/>
      <c r="B583" s="618"/>
      <c r="C583" s="618"/>
      <c r="D583" s="618"/>
      <c r="E583" s="626"/>
      <c r="F583" s="626"/>
      <c r="G583" s="762"/>
      <c r="H583" s="764" t="s">
        <v>34</v>
      </c>
      <c r="I583" s="184"/>
      <c r="J583" s="681">
        <f t="shared" si="252"/>
        <v>222</v>
      </c>
      <c r="K583" s="411"/>
      <c r="L583" s="163"/>
      <c r="M583" s="163"/>
      <c r="N583" s="163"/>
      <c r="O583" s="163"/>
      <c r="P583" s="163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</row>
    <row r="584" spans="1:26" ht="18.75">
      <c r="A584" s="608"/>
      <c r="B584" s="618"/>
      <c r="C584" s="618"/>
      <c r="D584" s="618"/>
      <c r="E584" s="626" t="s">
        <v>248</v>
      </c>
      <c r="F584" s="626"/>
      <c r="G584" s="762"/>
      <c r="H584" s="764" t="s">
        <v>46</v>
      </c>
      <c r="I584" s="184"/>
      <c r="J584" s="215">
        <v>1918.71</v>
      </c>
      <c r="K584" s="163"/>
      <c r="L584" s="163"/>
      <c r="M584" s="163"/>
      <c r="N584" s="163"/>
      <c r="O584" s="163"/>
      <c r="P584" s="163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</row>
    <row r="585" spans="1:26" ht="18.75">
      <c r="A585" s="608"/>
      <c r="B585" s="618"/>
      <c r="C585" s="618"/>
      <c r="D585" s="618"/>
      <c r="E585" s="626"/>
      <c r="F585" s="626"/>
      <c r="G585" s="762"/>
      <c r="H585" s="764" t="s">
        <v>34</v>
      </c>
      <c r="I585" s="184"/>
      <c r="J585" s="215">
        <v>222</v>
      </c>
      <c r="K585" s="163"/>
      <c r="L585" s="163"/>
      <c r="M585" s="163"/>
      <c r="N585" s="163"/>
      <c r="O585" s="163"/>
      <c r="P585" s="163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</row>
    <row r="586" spans="1:26" ht="18.75">
      <c r="A586" s="608"/>
      <c r="B586" s="618"/>
      <c r="C586" s="618"/>
      <c r="D586" s="618"/>
      <c r="E586" s="626" t="s">
        <v>249</v>
      </c>
      <c r="F586" s="626"/>
      <c r="G586" s="762"/>
      <c r="H586" s="76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</row>
    <row r="587" spans="1:26" ht="18.75">
      <c r="A587" s="608"/>
      <c r="B587" s="618"/>
      <c r="C587" s="618"/>
      <c r="D587" s="618"/>
      <c r="E587" s="618"/>
      <c r="F587" s="626"/>
      <c r="G587" s="762"/>
      <c r="H587" s="76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</row>
    <row r="588" spans="1:26" ht="18.75">
      <c r="A588" s="608"/>
      <c r="B588" s="618"/>
      <c r="C588" s="618"/>
      <c r="D588" s="626" t="s">
        <v>250</v>
      </c>
      <c r="E588" s="626"/>
      <c r="F588" s="626"/>
      <c r="G588" s="762"/>
      <c r="H588" s="764" t="s">
        <v>46</v>
      </c>
      <c r="I588" s="184"/>
      <c r="J588" s="215">
        <v>4639.7</v>
      </c>
      <c r="K588" s="163"/>
      <c r="L588" s="163"/>
      <c r="M588" s="163"/>
      <c r="N588" s="163"/>
      <c r="O588" s="163"/>
      <c r="P588" s="163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</row>
    <row r="589" spans="1:26" ht="18.75">
      <c r="A589" s="608"/>
      <c r="B589" s="618"/>
      <c r="C589" s="618"/>
      <c r="D589" s="618"/>
      <c r="E589" s="618"/>
      <c r="F589" s="626"/>
      <c r="G589" s="762"/>
      <c r="H589" s="764" t="s">
        <v>34</v>
      </c>
      <c r="I589" s="184"/>
      <c r="J589" s="215">
        <v>334</v>
      </c>
      <c r="K589" s="163"/>
      <c r="L589" s="163"/>
      <c r="M589" s="163"/>
      <c r="N589" s="163"/>
      <c r="O589" s="163"/>
      <c r="P589" s="163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</row>
    <row r="590" spans="1:26" ht="18.75">
      <c r="A590" s="608"/>
      <c r="B590" s="618"/>
      <c r="C590" s="618"/>
      <c r="D590" s="626" t="s">
        <v>251</v>
      </c>
      <c r="E590" s="626"/>
      <c r="F590" s="626"/>
      <c r="G590" s="762"/>
      <c r="H590" s="76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</row>
    <row r="591" spans="1:26" ht="18.75">
      <c r="A591" s="696"/>
      <c r="B591" s="697"/>
      <c r="C591" s="697"/>
      <c r="D591" s="697"/>
      <c r="E591" s="578"/>
      <c r="F591" s="578"/>
      <c r="G591" s="698"/>
      <c r="H591" s="699" t="s">
        <v>34</v>
      </c>
      <c r="I591" s="700"/>
      <c r="J591" s="701">
        <v>0</v>
      </c>
      <c r="K591" s="702"/>
      <c r="L591" s="702"/>
      <c r="M591" s="702"/>
      <c r="N591" s="702"/>
      <c r="O591" s="702"/>
      <c r="P591" s="702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</row>
    <row r="592" spans="1:26" ht="19.5">
      <c r="A592" s="692"/>
      <c r="B592" s="693" t="s">
        <v>252</v>
      </c>
      <c r="C592" s="694"/>
      <c r="D592" s="694"/>
      <c r="E592" s="673"/>
      <c r="F592" s="673"/>
      <c r="G592" s="674"/>
      <c r="H592" s="695" t="s">
        <v>46</v>
      </c>
      <c r="I592" s="703">
        <f t="shared" ref="I592:J592" ca="1" si="253">I593</f>
        <v>705.7</v>
      </c>
      <c r="J592" s="708">
        <f t="shared" si="253"/>
        <v>705.69749999999999</v>
      </c>
      <c r="K592" s="677">
        <f t="shared" ref="K592:K594" ca="1" si="254">IF(I592&gt;0,J592*100/I592,0)</f>
        <v>99.999645741816636</v>
      </c>
      <c r="L592" s="678"/>
      <c r="M592" s="678"/>
      <c r="N592" s="678"/>
      <c r="O592" s="678"/>
      <c r="P592" s="6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</row>
    <row r="593" spans="1:26" ht="19.5">
      <c r="A593" s="608"/>
      <c r="B593" s="618"/>
      <c r="C593" s="625" t="s">
        <v>253</v>
      </c>
      <c r="D593" s="618"/>
      <c r="E593" s="618"/>
      <c r="F593" s="626"/>
      <c r="G593" s="762"/>
      <c r="H593" s="767" t="s">
        <v>46</v>
      </c>
      <c r="I593" s="704">
        <f ca="1">IFERROR(__xludf.DUMMYFUNCTION("IMPORTRANGE(""https://docs.google.com/spreadsheets/d/1QqKyyYR6Q21VydFLVH3TRQUabQu_ym0Zz7PgGX0-kHA/edit?usp=sharing"",""แผน!HJ43"")"),705.7)</f>
        <v>705.7</v>
      </c>
      <c r="J593" s="193">
        <f t="shared" ref="J593:J594" si="255">J595+J603+J609</f>
        <v>705.69749999999999</v>
      </c>
      <c r="K593" s="411">
        <f t="shared" ca="1" si="254"/>
        <v>99.999645741816636</v>
      </c>
      <c r="L593" s="163"/>
      <c r="M593" s="163"/>
      <c r="N593" s="163"/>
      <c r="O593" s="163"/>
      <c r="P593" s="163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</row>
    <row r="594" spans="1:26" ht="19.5">
      <c r="A594" s="608"/>
      <c r="B594" s="618"/>
      <c r="C594" s="618"/>
      <c r="D594" s="618"/>
      <c r="E594" s="626"/>
      <c r="F594" s="626"/>
      <c r="G594" s="762"/>
      <c r="H594" s="767" t="s">
        <v>34</v>
      </c>
      <c r="I594" s="193">
        <f ca="1">IFERROR(__xludf.DUMMYFUNCTION("IMPORTRANGE(""https://docs.google.com/spreadsheets/d/1QqKyyYR6Q21VydFLVH3TRQUabQu_ym0Zz7PgGX0-kHA/edit?usp=sharing"",""แผน!HI43"")"),32)</f>
        <v>32</v>
      </c>
      <c r="J594" s="193">
        <f t="shared" si="255"/>
        <v>32</v>
      </c>
      <c r="K594" s="411">
        <f t="shared" ca="1" si="254"/>
        <v>100</v>
      </c>
      <c r="L594" s="163"/>
      <c r="M594" s="163"/>
      <c r="N594" s="163"/>
      <c r="O594" s="163"/>
      <c r="P594" s="163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</row>
    <row r="595" spans="1:26" ht="18.75">
      <c r="A595" s="608"/>
      <c r="B595" s="618"/>
      <c r="C595" s="618" t="s">
        <v>254</v>
      </c>
      <c r="D595" s="618"/>
      <c r="E595" s="618"/>
      <c r="F595" s="626"/>
      <c r="G595" s="762"/>
      <c r="H595" s="764" t="s">
        <v>46</v>
      </c>
      <c r="I595" s="184"/>
      <c r="J595" s="184">
        <f t="shared" ref="J595:J596" si="256">J597+J599</f>
        <v>705.69749999999999</v>
      </c>
      <c r="K595" s="163"/>
      <c r="L595" s="163"/>
      <c r="M595" s="163"/>
      <c r="N595" s="163"/>
      <c r="O595" s="163"/>
      <c r="P595" s="163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</row>
    <row r="596" spans="1:26" ht="18.75">
      <c r="A596" s="608"/>
      <c r="B596" s="618"/>
      <c r="C596" s="618"/>
      <c r="D596" s="618"/>
      <c r="E596" s="626"/>
      <c r="F596" s="626"/>
      <c r="G596" s="762"/>
      <c r="H596" s="764" t="s">
        <v>34</v>
      </c>
      <c r="I596" s="184"/>
      <c r="J596" s="184">
        <f t="shared" si="256"/>
        <v>32</v>
      </c>
      <c r="K596" s="163"/>
      <c r="L596" s="163"/>
      <c r="M596" s="163"/>
      <c r="N596" s="163"/>
      <c r="O596" s="163"/>
      <c r="P596" s="163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</row>
    <row r="597" spans="1:26" ht="18.75">
      <c r="A597" s="608"/>
      <c r="B597" s="618"/>
      <c r="C597" s="618"/>
      <c r="D597" s="746" t="s">
        <v>255</v>
      </c>
      <c r="E597" s="626"/>
      <c r="F597" s="626"/>
      <c r="G597" s="762"/>
      <c r="H597" s="764" t="s">
        <v>46</v>
      </c>
      <c r="I597" s="184"/>
      <c r="J597" s="215">
        <v>662.8075</v>
      </c>
      <c r="K597" s="163"/>
      <c r="L597" s="163"/>
      <c r="M597" s="163"/>
      <c r="N597" s="163"/>
      <c r="O597" s="163"/>
      <c r="P597" s="163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</row>
    <row r="598" spans="1:26" ht="18.75">
      <c r="A598" s="608"/>
      <c r="B598" s="618"/>
      <c r="C598" s="618"/>
      <c r="D598" s="618"/>
      <c r="E598" s="626"/>
      <c r="F598" s="626"/>
      <c r="G598" s="762"/>
      <c r="H598" s="764" t="s">
        <v>34</v>
      </c>
      <c r="I598" s="270"/>
      <c r="J598" s="215">
        <v>31</v>
      </c>
      <c r="K598" s="163"/>
      <c r="L598" s="163"/>
      <c r="M598" s="163"/>
      <c r="N598" s="163"/>
      <c r="O598" s="163"/>
      <c r="P598" s="163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</row>
    <row r="599" spans="1:26" ht="18.75">
      <c r="A599" s="608"/>
      <c r="B599" s="618"/>
      <c r="C599" s="618"/>
      <c r="D599" s="746" t="s">
        <v>256</v>
      </c>
      <c r="E599" s="626"/>
      <c r="F599" s="626"/>
      <c r="G599" s="762"/>
      <c r="H599" s="764" t="s">
        <v>46</v>
      </c>
      <c r="I599" s="270"/>
      <c r="J599" s="215">
        <v>42.89</v>
      </c>
      <c r="K599" s="163"/>
      <c r="L599" s="163"/>
      <c r="M599" s="163"/>
      <c r="N599" s="163"/>
      <c r="O599" s="163"/>
      <c r="P599" s="163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</row>
    <row r="600" spans="1:26" ht="18.75">
      <c r="A600" s="608"/>
      <c r="B600" s="618"/>
      <c r="C600" s="618"/>
      <c r="D600" s="618"/>
      <c r="E600" s="626"/>
      <c r="F600" s="626"/>
      <c r="G600" s="762"/>
      <c r="H600" s="764" t="s">
        <v>34</v>
      </c>
      <c r="I600" s="270"/>
      <c r="J600" s="215">
        <v>1</v>
      </c>
      <c r="K600" s="163"/>
      <c r="L600" s="163"/>
      <c r="M600" s="163"/>
      <c r="N600" s="163"/>
      <c r="O600" s="163"/>
      <c r="P600" s="163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</row>
    <row r="601" spans="1:26" ht="18.75">
      <c r="A601" s="608"/>
      <c r="B601" s="618"/>
      <c r="C601" s="618"/>
      <c r="D601" s="746" t="s">
        <v>257</v>
      </c>
      <c r="E601" s="626"/>
      <c r="F601" s="626"/>
      <c r="G601" s="762"/>
      <c r="H601" s="76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</row>
    <row r="602" spans="1:26" ht="18.75">
      <c r="A602" s="608"/>
      <c r="B602" s="618"/>
      <c r="C602" s="618"/>
      <c r="D602" s="618"/>
      <c r="E602" s="626"/>
      <c r="F602" s="626"/>
      <c r="G602" s="762"/>
      <c r="H602" s="76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</row>
    <row r="603" spans="1:26" ht="18.75">
      <c r="A603" s="608"/>
      <c r="B603" s="618"/>
      <c r="C603" s="705" t="s">
        <v>258</v>
      </c>
      <c r="D603" s="618"/>
      <c r="E603" s="618"/>
      <c r="F603" s="626"/>
      <c r="G603" s="762"/>
      <c r="H603" s="764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</row>
    <row r="604" spans="1:26" ht="18.75">
      <c r="A604" s="608"/>
      <c r="B604" s="618"/>
      <c r="C604" s="618"/>
      <c r="D604" s="618"/>
      <c r="E604" s="626"/>
      <c r="F604" s="626"/>
      <c r="G604" s="762"/>
      <c r="H604" s="764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</row>
    <row r="605" spans="1:26" ht="18.75">
      <c r="A605" s="608"/>
      <c r="B605" s="618"/>
      <c r="C605" s="618"/>
      <c r="D605" s="705" t="s">
        <v>259</v>
      </c>
      <c r="E605" s="626"/>
      <c r="F605" s="626"/>
      <c r="G605" s="762"/>
      <c r="H605" s="764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</row>
    <row r="606" spans="1:26" ht="18.75">
      <c r="A606" s="608"/>
      <c r="B606" s="618"/>
      <c r="C606" s="618"/>
      <c r="D606" s="618"/>
      <c r="E606" s="618"/>
      <c r="F606" s="626"/>
      <c r="G606" s="762"/>
      <c r="H606" s="764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</row>
    <row r="607" spans="1:26" ht="18.75">
      <c r="A607" s="608"/>
      <c r="B607" s="618"/>
      <c r="C607" s="618"/>
      <c r="D607" s="705" t="s">
        <v>260</v>
      </c>
      <c r="E607" s="618"/>
      <c r="F607" s="626"/>
      <c r="G607" s="762"/>
      <c r="H607" s="764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</row>
    <row r="608" spans="1:26" ht="18.75">
      <c r="A608" s="608"/>
      <c r="B608" s="618"/>
      <c r="C608" s="618"/>
      <c r="D608" s="618"/>
      <c r="E608" s="626"/>
      <c r="F608" s="626"/>
      <c r="G608" s="762"/>
      <c r="H608" s="764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</row>
    <row r="609" spans="1:26" ht="18.75">
      <c r="A609" s="608"/>
      <c r="B609" s="618"/>
      <c r="C609" s="618" t="s">
        <v>261</v>
      </c>
      <c r="D609" s="618"/>
      <c r="E609" s="618"/>
      <c r="F609" s="626"/>
      <c r="G609" s="762"/>
      <c r="H609" s="764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</row>
    <row r="610" spans="1:26" ht="18.75">
      <c r="A610" s="608"/>
      <c r="B610" s="618"/>
      <c r="C610" s="618"/>
      <c r="D610" s="618"/>
      <c r="E610" s="626"/>
      <c r="F610" s="626"/>
      <c r="G610" s="762"/>
      <c r="H610" s="764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</row>
    <row r="611" spans="1:26" ht="19.5">
      <c r="A611" s="692"/>
      <c r="B611" s="706" t="s">
        <v>262</v>
      </c>
      <c r="C611" s="694"/>
      <c r="D611" s="694"/>
      <c r="E611" s="673"/>
      <c r="F611" s="673"/>
      <c r="G611" s="674"/>
      <c r="H611" s="707" t="s">
        <v>46</v>
      </c>
      <c r="I611" s="708">
        <v>0</v>
      </c>
      <c r="J611" s="708">
        <f>J614+J616</f>
        <v>0</v>
      </c>
      <c r="K611" s="677">
        <f t="shared" ref="K611:K613" si="258">IF(I611&gt;0,J611*100/I611,0)</f>
        <v>0</v>
      </c>
      <c r="L611" s="678"/>
      <c r="M611" s="678"/>
      <c r="N611" s="678"/>
      <c r="O611" s="678"/>
      <c r="P611" s="6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</row>
    <row r="612" spans="1:26" ht="19.5" hidden="1">
      <c r="A612" s="709"/>
      <c r="B612" s="719"/>
      <c r="C612" s="711" t="s">
        <v>263</v>
      </c>
      <c r="D612" s="719"/>
      <c r="E612" s="719"/>
      <c r="F612" s="712"/>
      <c r="G612" s="713"/>
      <c r="H612" s="714" t="s">
        <v>46</v>
      </c>
      <c r="I612" s="716">
        <v>0</v>
      </c>
      <c r="J612" s="716">
        <f t="shared" ref="J612:J613" si="259">J614+J616</f>
        <v>0</v>
      </c>
      <c r="K612" s="717">
        <f t="shared" si="258"/>
        <v>0</v>
      </c>
      <c r="L612" s="718"/>
      <c r="M612" s="718"/>
      <c r="N612" s="718"/>
      <c r="O612" s="718"/>
      <c r="P612" s="718"/>
      <c r="Q612" s="604"/>
      <c r="R612" s="604"/>
      <c r="S612" s="604"/>
      <c r="T612" s="604"/>
      <c r="U612" s="604"/>
      <c r="V612" s="604"/>
      <c r="W612" s="604"/>
      <c r="X612" s="604"/>
      <c r="Y612" s="604"/>
      <c r="Z612" s="604"/>
    </row>
    <row r="613" spans="1:26" ht="19.5" hidden="1">
      <c r="A613" s="709"/>
      <c r="B613" s="719"/>
      <c r="C613" s="719" t="s">
        <v>264</v>
      </c>
      <c r="D613" s="719"/>
      <c r="E613" s="719"/>
      <c r="F613" s="712"/>
      <c r="G613" s="713"/>
      <c r="H613" s="714" t="s">
        <v>34</v>
      </c>
      <c r="I613" s="716">
        <v>0</v>
      </c>
      <c r="J613" s="716">
        <f t="shared" si="259"/>
        <v>0</v>
      </c>
      <c r="K613" s="717">
        <f t="shared" si="258"/>
        <v>0</v>
      </c>
      <c r="L613" s="718"/>
      <c r="M613" s="718"/>
      <c r="N613" s="718"/>
      <c r="O613" s="718"/>
      <c r="P613" s="718"/>
      <c r="Q613" s="604"/>
      <c r="R613" s="604"/>
      <c r="S613" s="604"/>
      <c r="T613" s="604"/>
      <c r="U613" s="604"/>
      <c r="V613" s="604"/>
      <c r="W613" s="604"/>
      <c r="X613" s="604"/>
      <c r="Y613" s="604"/>
      <c r="Z613" s="604"/>
    </row>
    <row r="614" spans="1:26" ht="18.75" hidden="1">
      <c r="A614" s="614"/>
      <c r="B614" s="616"/>
      <c r="C614" s="616"/>
      <c r="D614" s="720" t="s">
        <v>265</v>
      </c>
      <c r="E614" s="616"/>
      <c r="F614" s="720"/>
      <c r="G614" s="366"/>
      <c r="H614" s="370" t="s">
        <v>46</v>
      </c>
      <c r="I614" s="617"/>
      <c r="J614" s="617">
        <v>0</v>
      </c>
      <c r="K614" s="167"/>
      <c r="L614" s="167"/>
      <c r="M614" s="167"/>
      <c r="N614" s="167"/>
      <c r="O614" s="167"/>
      <c r="P614" s="167"/>
      <c r="Q614" s="604"/>
      <c r="R614" s="604"/>
      <c r="S614" s="604"/>
      <c r="T614" s="604"/>
      <c r="U614" s="604"/>
      <c r="V614" s="604"/>
      <c r="W614" s="604"/>
      <c r="X614" s="604"/>
      <c r="Y614" s="604"/>
      <c r="Z614" s="604"/>
    </row>
    <row r="615" spans="1:26" ht="18.75" hidden="1">
      <c r="A615" s="614"/>
      <c r="B615" s="616"/>
      <c r="C615" s="616"/>
      <c r="D615" s="616"/>
      <c r="E615" s="616"/>
      <c r="F615" s="720"/>
      <c r="G615" s="366"/>
      <c r="H615" s="370" t="s">
        <v>34</v>
      </c>
      <c r="I615" s="617"/>
      <c r="J615" s="617">
        <v>0</v>
      </c>
      <c r="K615" s="167"/>
      <c r="L615" s="167"/>
      <c r="M615" s="167"/>
      <c r="N615" s="167"/>
      <c r="O615" s="167"/>
      <c r="P615" s="167"/>
      <c r="Q615" s="604"/>
      <c r="R615" s="604"/>
      <c r="S615" s="604"/>
      <c r="T615" s="604"/>
      <c r="U615" s="604"/>
      <c r="V615" s="604"/>
      <c r="W615" s="604"/>
      <c r="X615" s="604"/>
      <c r="Y615" s="604"/>
      <c r="Z615" s="604"/>
    </row>
    <row r="616" spans="1:26" ht="18.75" hidden="1">
      <c r="A616" s="614"/>
      <c r="B616" s="616"/>
      <c r="C616" s="616"/>
      <c r="D616" s="721" t="s">
        <v>265</v>
      </c>
      <c r="E616" s="720"/>
      <c r="F616" s="720"/>
      <c r="G616" s="366"/>
      <c r="H616" s="370" t="s">
        <v>46</v>
      </c>
      <c r="I616" s="617"/>
      <c r="J616" s="617">
        <v>0</v>
      </c>
      <c r="K616" s="167"/>
      <c r="L616" s="167"/>
      <c r="M616" s="167"/>
      <c r="N616" s="167"/>
      <c r="O616" s="167"/>
      <c r="P616" s="167"/>
      <c r="Q616" s="604"/>
      <c r="R616" s="604"/>
      <c r="S616" s="604"/>
      <c r="T616" s="604"/>
      <c r="U616" s="604"/>
      <c r="V616" s="604"/>
      <c r="W616" s="604"/>
      <c r="X616" s="604"/>
      <c r="Y616" s="604"/>
      <c r="Z616" s="604"/>
    </row>
    <row r="617" spans="1:26" ht="18.75" hidden="1">
      <c r="A617" s="614"/>
      <c r="B617" s="616"/>
      <c r="C617" s="616"/>
      <c r="D617" s="616"/>
      <c r="E617" s="720"/>
      <c r="F617" s="720"/>
      <c r="G617" s="366"/>
      <c r="H617" s="370" t="s">
        <v>34</v>
      </c>
      <c r="I617" s="617"/>
      <c r="J617" s="617">
        <v>0</v>
      </c>
      <c r="K617" s="167"/>
      <c r="L617" s="167"/>
      <c r="M617" s="167"/>
      <c r="N617" s="167"/>
      <c r="O617" s="167"/>
      <c r="P617" s="167"/>
      <c r="Q617" s="604"/>
      <c r="R617" s="604"/>
      <c r="S617" s="604"/>
      <c r="T617" s="604"/>
      <c r="U617" s="604"/>
      <c r="V617" s="604"/>
      <c r="W617" s="604"/>
      <c r="X617" s="604"/>
      <c r="Y617" s="604"/>
      <c r="Z617" s="604"/>
    </row>
    <row r="618" spans="1:26" ht="18.75" hidden="1">
      <c r="A618" s="614"/>
      <c r="B618" s="616"/>
      <c r="C618" s="616"/>
      <c r="D618" s="721" t="s">
        <v>266</v>
      </c>
      <c r="E618" s="720"/>
      <c r="F618" s="720"/>
      <c r="G618" s="366"/>
      <c r="H618" s="370" t="s">
        <v>46</v>
      </c>
      <c r="I618" s="617"/>
      <c r="J618" s="617">
        <v>0</v>
      </c>
      <c r="K618" s="167"/>
      <c r="L618" s="167"/>
      <c r="M618" s="167"/>
      <c r="N618" s="167"/>
      <c r="O618" s="167"/>
      <c r="P618" s="167"/>
      <c r="Q618" s="604"/>
      <c r="R618" s="604"/>
      <c r="S618" s="604"/>
      <c r="T618" s="604"/>
      <c r="U618" s="604"/>
      <c r="V618" s="604"/>
      <c r="W618" s="604"/>
      <c r="X618" s="604"/>
      <c r="Y618" s="604"/>
      <c r="Z618" s="604"/>
    </row>
    <row r="619" spans="1:26" ht="18.75" hidden="1">
      <c r="A619" s="614"/>
      <c r="B619" s="616"/>
      <c r="C619" s="616"/>
      <c r="D619" s="616"/>
      <c r="E619" s="720"/>
      <c r="F619" s="720"/>
      <c r="G619" s="366"/>
      <c r="H619" s="370" t="s">
        <v>34</v>
      </c>
      <c r="I619" s="617"/>
      <c r="J619" s="617">
        <v>0</v>
      </c>
      <c r="K619" s="167"/>
      <c r="L619" s="167"/>
      <c r="M619" s="167"/>
      <c r="N619" s="167"/>
      <c r="O619" s="167"/>
      <c r="P619" s="167"/>
      <c r="Q619" s="604"/>
      <c r="R619" s="604"/>
      <c r="S619" s="604"/>
      <c r="T619" s="604"/>
      <c r="U619" s="604"/>
      <c r="V619" s="604"/>
      <c r="W619" s="604"/>
      <c r="X619" s="604"/>
      <c r="Y619" s="604"/>
      <c r="Z619" s="604"/>
    </row>
    <row r="620" spans="1:26" ht="19.5">
      <c r="A620" s="722"/>
      <c r="B620" s="731"/>
      <c r="C620" s="724" t="s">
        <v>267</v>
      </c>
      <c r="D620" s="731"/>
      <c r="E620" s="731"/>
      <c r="F620" s="725"/>
      <c r="G620" s="726"/>
      <c r="H620" s="727" t="s">
        <v>46</v>
      </c>
      <c r="I620" s="728">
        <f ca="1">IFERROR(__xludf.DUMMYFUNCTION("IMPORTRANGE(""https://docs.google.com/spreadsheets/d/1QqKyyYR6Q21VydFLVH3TRQUabQu_ym0Zz7PgGX0-kHA/edit?usp=sharing"",""แผน!HL43"")"),465)</f>
        <v>465</v>
      </c>
      <c r="J620" s="728">
        <f t="shared" ref="J620:J621" si="260">J622+J624+J626</f>
        <v>465</v>
      </c>
      <c r="K620" s="729">
        <f t="shared" ref="K620:K621" ca="1" si="261">IF(I620&gt;0,J620*100/I620,0)</f>
        <v>100</v>
      </c>
      <c r="L620" s="730"/>
      <c r="M620" s="730"/>
      <c r="N620" s="730"/>
      <c r="O620" s="730"/>
      <c r="P620" s="730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</row>
    <row r="621" spans="1:26" ht="19.5">
      <c r="A621" s="722"/>
      <c r="B621" s="731"/>
      <c r="C621" s="731" t="s">
        <v>268</v>
      </c>
      <c r="D621" s="731"/>
      <c r="E621" s="731"/>
      <c r="F621" s="725"/>
      <c r="G621" s="726"/>
      <c r="H621" s="727" t="s">
        <v>34</v>
      </c>
      <c r="I621" s="728">
        <f ca="1">IFERROR(__xludf.DUMMYFUNCTION("IMPORTRANGE(""https://docs.google.com/spreadsheets/d/1QqKyyYR6Q21VydFLVH3TRQUabQu_ym0Zz7PgGX0-kHA/edit?usp=sharing"",""แผน!HK43"")"),37)</f>
        <v>37</v>
      </c>
      <c r="J621" s="728">
        <f t="shared" si="260"/>
        <v>37</v>
      </c>
      <c r="K621" s="729">
        <f t="shared" ca="1" si="261"/>
        <v>100</v>
      </c>
      <c r="L621" s="730"/>
      <c r="M621" s="730"/>
      <c r="N621" s="730"/>
      <c r="O621" s="730"/>
      <c r="P621" s="730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</row>
    <row r="622" spans="1:26" ht="18.75">
      <c r="A622" s="608"/>
      <c r="B622" s="618"/>
      <c r="C622" s="618"/>
      <c r="D622" s="746" t="s">
        <v>269</v>
      </c>
      <c r="E622" s="626"/>
      <c r="F622" s="626"/>
      <c r="G622" s="762"/>
      <c r="H622" s="764" t="s">
        <v>46</v>
      </c>
      <c r="I622" s="270"/>
      <c r="J622" s="215">
        <v>74</v>
      </c>
      <c r="K622" s="163"/>
      <c r="L622" s="163"/>
      <c r="M622" s="163"/>
      <c r="N622" s="163"/>
      <c r="O622" s="163"/>
      <c r="P622" s="163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</row>
    <row r="623" spans="1:26" ht="18.75">
      <c r="A623" s="608"/>
      <c r="B623" s="618"/>
      <c r="C623" s="618"/>
      <c r="D623" s="618"/>
      <c r="E623" s="626"/>
      <c r="F623" s="626"/>
      <c r="G623" s="762"/>
      <c r="H623" s="764" t="s">
        <v>34</v>
      </c>
      <c r="I623" s="270"/>
      <c r="J623" s="215">
        <v>5</v>
      </c>
      <c r="K623" s="163"/>
      <c r="L623" s="163"/>
      <c r="M623" s="163"/>
      <c r="N623" s="163"/>
      <c r="O623" s="163"/>
      <c r="P623" s="163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</row>
    <row r="624" spans="1:26" ht="18.75">
      <c r="A624" s="608"/>
      <c r="B624" s="618"/>
      <c r="C624" s="618"/>
      <c r="D624" s="746" t="s">
        <v>265</v>
      </c>
      <c r="E624" s="626"/>
      <c r="F624" s="626"/>
      <c r="G624" s="762"/>
      <c r="H624" s="764" t="s">
        <v>46</v>
      </c>
      <c r="I624" s="270"/>
      <c r="J624" s="215">
        <v>389</v>
      </c>
      <c r="K624" s="163"/>
      <c r="L624" s="163"/>
      <c r="M624" s="163"/>
      <c r="N624" s="163"/>
      <c r="O624" s="163"/>
      <c r="P624" s="163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</row>
    <row r="625" spans="1:26" ht="18.75">
      <c r="A625" s="608"/>
      <c r="B625" s="618"/>
      <c r="C625" s="618"/>
      <c r="D625" s="618"/>
      <c r="E625" s="626"/>
      <c r="F625" s="626"/>
      <c r="G625" s="762"/>
      <c r="H625" s="764" t="s">
        <v>34</v>
      </c>
      <c r="I625" s="270"/>
      <c r="J625" s="215">
        <v>31</v>
      </c>
      <c r="K625" s="163"/>
      <c r="L625" s="163"/>
      <c r="M625" s="163"/>
      <c r="N625" s="163"/>
      <c r="O625" s="163"/>
      <c r="P625" s="163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</row>
    <row r="626" spans="1:26" ht="18.75">
      <c r="A626" s="608"/>
      <c r="B626" s="618"/>
      <c r="C626" s="618"/>
      <c r="D626" s="746" t="s">
        <v>270</v>
      </c>
      <c r="E626" s="626"/>
      <c r="F626" s="626"/>
      <c r="G626" s="762"/>
      <c r="H626" s="764" t="s">
        <v>46</v>
      </c>
      <c r="I626" s="270"/>
      <c r="J626" s="215">
        <v>2</v>
      </c>
      <c r="K626" s="163"/>
      <c r="L626" s="163"/>
      <c r="M626" s="163"/>
      <c r="N626" s="163"/>
      <c r="O626" s="163"/>
      <c r="P626" s="163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</row>
    <row r="627" spans="1:26" ht="18.75">
      <c r="A627" s="732"/>
      <c r="B627" s="733"/>
      <c r="C627" s="733"/>
      <c r="D627" s="733"/>
      <c r="E627" s="734"/>
      <c r="F627" s="734"/>
      <c r="G627" s="735"/>
      <c r="H627" s="422" t="s">
        <v>34</v>
      </c>
      <c r="I627" s="506"/>
      <c r="J627" s="424">
        <v>1</v>
      </c>
      <c r="K627" s="385"/>
      <c r="L627" s="385"/>
      <c r="M627" s="385"/>
      <c r="N627" s="385"/>
      <c r="O627" s="385"/>
      <c r="P627" s="385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</row>
    <row r="628" spans="1:26" ht="19.5">
      <c r="A628" s="736">
        <v>7</v>
      </c>
      <c r="B628" s="737" t="s">
        <v>271</v>
      </c>
      <c r="C628" s="738"/>
      <c r="D628" s="738"/>
      <c r="E628" s="738"/>
      <c r="F628" s="738"/>
      <c r="G628" s="739"/>
      <c r="H628" s="740" t="s">
        <v>35</v>
      </c>
      <c r="I628" s="741">
        <f t="shared" ref="I628:J628" ca="1" si="262">I651</f>
        <v>250</v>
      </c>
      <c r="J628" s="741">
        <f t="shared" ca="1" si="262"/>
        <v>233</v>
      </c>
      <c r="K628" s="742">
        <f ca="1">IF(I628&gt;0,J628*100/I628,0)</f>
        <v>93.2</v>
      </c>
      <c r="L628" s="743"/>
      <c r="M628" s="743"/>
      <c r="N628" s="743"/>
      <c r="O628" s="743"/>
      <c r="P628" s="743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</row>
    <row r="629" spans="1:26" ht="19.5">
      <c r="A629" s="597"/>
      <c r="B629" s="763"/>
      <c r="C629" s="763" t="s">
        <v>16</v>
      </c>
      <c r="D629" s="863" t="s">
        <v>17</v>
      </c>
      <c r="E629" s="857"/>
      <c r="F629" s="857"/>
      <c r="G629" s="189"/>
      <c r="H629" s="598" t="s">
        <v>12</v>
      </c>
      <c r="I629" s="270"/>
      <c r="J629" s="270"/>
      <c r="K629" s="498"/>
      <c r="L629" s="195">
        <f t="shared" ref="L629:N629" ca="1" si="263">L630+L631</f>
        <v>454240</v>
      </c>
      <c r="M629" s="195">
        <f t="shared" ca="1" si="263"/>
        <v>435634.82</v>
      </c>
      <c r="N629" s="195">
        <f t="shared" si="263"/>
        <v>435634.82</v>
      </c>
      <c r="O629" s="195">
        <f t="shared" ref="O629:O634" ca="1" si="264">IF(L629&gt;0,N629*100/L629,0)</f>
        <v>95.904107960549496</v>
      </c>
      <c r="P629" s="195">
        <f t="shared" ref="P629:P634" ca="1" si="265">IF(M629&gt;0,N629*100/M629,0)</f>
        <v>100</v>
      </c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</row>
    <row r="630" spans="1:26" ht="18.75" hidden="1">
      <c r="A630" s="599"/>
      <c r="B630" s="759"/>
      <c r="C630" s="759"/>
      <c r="D630" s="720"/>
      <c r="E630" s="759" t="s">
        <v>185</v>
      </c>
      <c r="F630" s="759"/>
      <c r="G630" s="603"/>
      <c r="H630" s="165" t="s">
        <v>12</v>
      </c>
      <c r="I630" s="617"/>
      <c r="J630" s="617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4"/>
      <c r="R630" s="604"/>
      <c r="S630" s="604"/>
      <c r="T630" s="604"/>
      <c r="U630" s="604"/>
      <c r="V630" s="604"/>
      <c r="W630" s="604"/>
      <c r="X630" s="604"/>
      <c r="Y630" s="604"/>
      <c r="Z630" s="604"/>
    </row>
    <row r="631" spans="1:26" ht="18.75" hidden="1">
      <c r="A631" s="599"/>
      <c r="B631" s="607"/>
      <c r="C631" s="759"/>
      <c r="D631" s="720"/>
      <c r="E631" s="759" t="s">
        <v>186</v>
      </c>
      <c r="F631" s="759"/>
      <c r="G631" s="603"/>
      <c r="H631" s="165" t="s">
        <v>12</v>
      </c>
      <c r="I631" s="617"/>
      <c r="J631" s="617"/>
      <c r="K631" s="93"/>
      <c r="L631" s="93">
        <f t="shared" ca="1" si="266"/>
        <v>454240</v>
      </c>
      <c r="M631" s="93">
        <f t="shared" ca="1" si="266"/>
        <v>435634.82</v>
      </c>
      <c r="N631" s="93">
        <f t="shared" si="266"/>
        <v>435634.82</v>
      </c>
      <c r="O631" s="93">
        <f t="shared" ca="1" si="264"/>
        <v>95.904107960549496</v>
      </c>
      <c r="P631" s="93">
        <f t="shared" ca="1" si="265"/>
        <v>100</v>
      </c>
      <c r="Q631" s="604"/>
      <c r="R631" s="604"/>
      <c r="S631" s="604"/>
      <c r="T631" s="604"/>
      <c r="U631" s="604"/>
      <c r="V631" s="604"/>
      <c r="W631" s="604"/>
      <c r="X631" s="604"/>
      <c r="Y631" s="604"/>
      <c r="Z631" s="604"/>
    </row>
    <row r="632" spans="1:26" ht="18.75">
      <c r="A632" s="597"/>
      <c r="B632" s="575"/>
      <c r="C632" s="763"/>
      <c r="D632" s="606" t="s">
        <v>20</v>
      </c>
      <c r="E632" s="763"/>
      <c r="F632" s="763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454240</v>
      </c>
      <c r="M632" s="498">
        <f t="shared" ca="1" si="267"/>
        <v>435634.82</v>
      </c>
      <c r="N632" s="498">
        <f t="shared" si="267"/>
        <v>435634.82</v>
      </c>
      <c r="O632" s="498">
        <f t="shared" ca="1" si="264"/>
        <v>95.904107960549496</v>
      </c>
      <c r="P632" s="498">
        <f t="shared" ca="1" si="265"/>
        <v>100</v>
      </c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</row>
    <row r="633" spans="1:26" ht="18.75" hidden="1">
      <c r="A633" s="599"/>
      <c r="B633" s="607"/>
      <c r="C633" s="759"/>
      <c r="D633" s="720"/>
      <c r="E633" s="759" t="s">
        <v>185</v>
      </c>
      <c r="F633" s="759"/>
      <c r="G633" s="603"/>
      <c r="H633" s="165" t="s">
        <v>12</v>
      </c>
      <c r="I633" s="617"/>
      <c r="J633" s="617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4"/>
      <c r="R633" s="604"/>
      <c r="S633" s="604"/>
      <c r="T633" s="604"/>
      <c r="U633" s="604"/>
      <c r="V633" s="604"/>
      <c r="W633" s="604"/>
      <c r="X633" s="604"/>
      <c r="Y633" s="604"/>
      <c r="Z633" s="604"/>
    </row>
    <row r="634" spans="1:26" ht="18.75" hidden="1">
      <c r="A634" s="599"/>
      <c r="B634" s="607"/>
      <c r="C634" s="759"/>
      <c r="D634" s="720"/>
      <c r="E634" s="759" t="s">
        <v>186</v>
      </c>
      <c r="F634" s="759"/>
      <c r="G634" s="603"/>
      <c r="H634" s="165" t="s">
        <v>12</v>
      </c>
      <c r="I634" s="617"/>
      <c r="J634" s="617"/>
      <c r="K634" s="93"/>
      <c r="L634" s="93">
        <f ca="1">IFERROR(__xludf.DUMMYFUNCTION("IMPORTRANGE(""https://docs.google.com/spreadsheets/d/1QqKyyYR6Q21VydFLVH3TRQUabQu_ym0Zz7PgGX0-kHA/edit?usp=sharing"",""แผน!HN43"")"),454240)</f>
        <v>454240</v>
      </c>
      <c r="M634" s="93">
        <f ca="1">L634-18605.18</f>
        <v>435634.82</v>
      </c>
      <c r="N634" s="93">
        <f>N635+N636+N637+N638</f>
        <v>435634.82</v>
      </c>
      <c r="O634" s="93">
        <f t="shared" ca="1" si="264"/>
        <v>95.904107960549496</v>
      </c>
      <c r="P634" s="93">
        <f t="shared" ca="1" si="265"/>
        <v>100</v>
      </c>
      <c r="Q634" s="604"/>
      <c r="R634" s="604"/>
      <c r="S634" s="604"/>
      <c r="T634" s="604"/>
      <c r="U634" s="604"/>
      <c r="V634" s="604"/>
      <c r="W634" s="604"/>
      <c r="X634" s="604"/>
      <c r="Y634" s="604"/>
      <c r="Z634" s="604"/>
    </row>
    <row r="635" spans="1:26" ht="18.75">
      <c r="A635" s="574"/>
      <c r="B635" s="575"/>
      <c r="C635" s="763"/>
      <c r="D635" s="763"/>
      <c r="E635" s="763"/>
      <c r="F635" s="763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40">
        <v>0</v>
      </c>
      <c r="O635" s="498"/>
      <c r="P635" s="49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</row>
    <row r="636" spans="1:26" ht="18.75">
      <c r="A636" s="574"/>
      <c r="B636" s="575"/>
      <c r="C636" s="763"/>
      <c r="D636" s="763"/>
      <c r="E636" s="763"/>
      <c r="F636" s="763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40">
        <v>0</v>
      </c>
      <c r="O636" s="498"/>
      <c r="P636" s="49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</row>
    <row r="637" spans="1:26" ht="18.75">
      <c r="A637" s="574"/>
      <c r="B637" s="575"/>
      <c r="C637" s="763"/>
      <c r="D637" s="763"/>
      <c r="E637" s="763"/>
      <c r="F637" s="763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40">
        <v>141268</v>
      </c>
      <c r="O637" s="498"/>
      <c r="P637" s="498"/>
      <c r="Q637" s="578"/>
      <c r="R637" s="578"/>
      <c r="S637" s="578"/>
      <c r="T637" s="578"/>
      <c r="U637" s="578"/>
      <c r="V637" s="578"/>
      <c r="W637" s="578"/>
      <c r="X637" s="578"/>
      <c r="Y637" s="578"/>
      <c r="Z637" s="578"/>
    </row>
    <row r="638" spans="1:26" ht="18.75">
      <c r="A638" s="574"/>
      <c r="B638" s="575"/>
      <c r="C638" s="763"/>
      <c r="D638" s="763"/>
      <c r="E638" s="763"/>
      <c r="F638" s="763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40">
        <f>436067.82-N637-433</f>
        <v>294366.82</v>
      </c>
      <c r="O638" s="498"/>
      <c r="P638" s="49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</row>
    <row r="639" spans="1:26" ht="18.75">
      <c r="A639" s="597"/>
      <c r="B639" s="575"/>
      <c r="C639" s="763"/>
      <c r="D639" s="606" t="s">
        <v>21</v>
      </c>
      <c r="E639" s="763"/>
      <c r="F639" s="763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</row>
    <row r="640" spans="1:26" ht="18.75" hidden="1">
      <c r="A640" s="599"/>
      <c r="B640" s="607"/>
      <c r="C640" s="759"/>
      <c r="D640" s="759"/>
      <c r="E640" s="759" t="s">
        <v>18</v>
      </c>
      <c r="F640" s="759"/>
      <c r="G640" s="603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4"/>
      <c r="R640" s="604"/>
      <c r="S640" s="604"/>
      <c r="T640" s="604"/>
      <c r="U640" s="604"/>
      <c r="V640" s="604"/>
      <c r="W640" s="604"/>
      <c r="X640" s="604"/>
      <c r="Y640" s="604"/>
      <c r="Z640" s="604"/>
    </row>
    <row r="641" spans="1:26" ht="18.75" hidden="1">
      <c r="A641" s="599"/>
      <c r="B641" s="607"/>
      <c r="C641" s="759"/>
      <c r="D641" s="759"/>
      <c r="E641" s="759" t="s">
        <v>19</v>
      </c>
      <c r="F641" s="759"/>
      <c r="G641" s="603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4"/>
      <c r="R641" s="604"/>
      <c r="S641" s="604"/>
      <c r="T641" s="604"/>
      <c r="U641" s="604"/>
      <c r="V641" s="604"/>
      <c r="W641" s="604"/>
      <c r="X641" s="604"/>
      <c r="Y641" s="604"/>
      <c r="Z641" s="604"/>
    </row>
    <row r="642" spans="1:26" ht="19.5">
      <c r="A642" s="608"/>
      <c r="B642" s="618"/>
      <c r="C642" s="763" t="s">
        <v>16</v>
      </c>
      <c r="D642" s="896" t="s">
        <v>38</v>
      </c>
      <c r="E642" s="761"/>
      <c r="F642" s="761"/>
      <c r="G642" s="613"/>
      <c r="H642" s="762"/>
      <c r="I642" s="184"/>
      <c r="J642" s="184"/>
      <c r="K642" s="163"/>
      <c r="L642" s="163"/>
      <c r="M642" s="163"/>
      <c r="N642" s="163"/>
      <c r="O642" s="163"/>
      <c r="P642" s="163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</row>
    <row r="643" spans="1:26" ht="18.75">
      <c r="A643" s="744"/>
      <c r="B643" s="575"/>
      <c r="C643" s="763"/>
      <c r="D643" s="626"/>
      <c r="E643" s="746" t="s">
        <v>272</v>
      </c>
      <c r="F643" s="626"/>
      <c r="G643" s="762"/>
      <c r="H643" s="764" t="s">
        <v>273</v>
      </c>
      <c r="I643" s="270">
        <f ca="1">IFERROR(__xludf.DUMMYFUNCTION("IMPORTRANGE(""https://docs.google.com/spreadsheets/d/1QqKyyYR6Q21VydFLVH3TRQUabQu_ym0Zz7PgGX0-kHA/edit?usp=sharing"",""แผน!HR43"")"),0)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</row>
    <row r="644" spans="1:26" ht="18.75">
      <c r="A644" s="744"/>
      <c r="B644" s="575"/>
      <c r="C644" s="763"/>
      <c r="D644" s="626"/>
      <c r="E644" s="746" t="s">
        <v>274</v>
      </c>
      <c r="F644" s="626"/>
      <c r="G644" s="762"/>
      <c r="H644" s="764" t="s">
        <v>275</v>
      </c>
      <c r="I644" s="270">
        <f ca="1">IFERROR(__xludf.DUMMYFUNCTION("IMPORTRANGE(""https://docs.google.com/spreadsheets/d/1QqKyyYR6Q21VydFLVH3TRQUabQu_ym0Zz7PgGX0-kHA/edit?usp=sharing"",""แผน!HR43"")"),0)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</row>
    <row r="645" spans="1:26" ht="18.75">
      <c r="A645" s="744"/>
      <c r="B645" s="575"/>
      <c r="C645" s="763"/>
      <c r="D645" s="626"/>
      <c r="E645" s="746" t="s">
        <v>276</v>
      </c>
      <c r="F645" s="626"/>
      <c r="G645" s="762"/>
      <c r="H645" s="76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IFERROR(__xludf.DUMMYFUNCTION("IMPORTRANGE(""https://docs.google.com/spreadsheets/d/1XWAQStnk-4SwqDmLtmXYiTMKHgktTP8We1SCoS47DrQ/edit?usp=sharing"",""จัดที่ดิน!AS43"")"),274)</f>
        <v>274</v>
      </c>
      <c r="K645" s="163">
        <f t="shared" si="271"/>
        <v>0</v>
      </c>
      <c r="L645" s="163"/>
      <c r="M645" s="163"/>
      <c r="N645" s="498"/>
      <c r="O645" s="163"/>
      <c r="P645" s="163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</row>
    <row r="646" spans="1:26" ht="18.75">
      <c r="A646" s="744"/>
      <c r="B646" s="575"/>
      <c r="C646" s="763"/>
      <c r="D646" s="626"/>
      <c r="E646" s="626"/>
      <c r="F646" s="626"/>
      <c r="G646" s="762"/>
      <c r="H646" s="76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IFERROR(__xludf.DUMMYFUNCTION("IMPORTRANGE(""https://docs.google.com/spreadsheets/d/1XWAQStnk-4SwqDmLtmXYiTMKHgktTP8We1SCoS47DrQ/edit?usp=sharing"",""จัดที่ดิน!AT43"")"),137.22)</f>
        <v>137.22</v>
      </c>
      <c r="K646" s="498">
        <f t="shared" si="271"/>
        <v>0</v>
      </c>
      <c r="L646" s="163"/>
      <c r="M646" s="163"/>
      <c r="N646" s="498"/>
      <c r="O646" s="163"/>
      <c r="P646" s="163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</row>
    <row r="647" spans="1:26" ht="18.75">
      <c r="A647" s="744"/>
      <c r="B647" s="575"/>
      <c r="C647" s="763"/>
      <c r="D647" s="626"/>
      <c r="E647" s="746" t="s">
        <v>162</v>
      </c>
      <c r="F647" s="626"/>
      <c r="G647" s="762"/>
      <c r="H647" s="764" t="s">
        <v>35</v>
      </c>
      <c r="I647" s="270">
        <f ca="1">IFERROR(__xludf.DUMMYFUNCTION("IMPORTRANGE(""https://docs.google.com/spreadsheets/d/1QqKyyYR6Q21VydFLVH3TRQUabQu_ym0Zz7PgGX0-kHA/edit?usp=sharing"",""แผน!HS43"")"),250)</f>
        <v>250</v>
      </c>
      <c r="J647" s="270">
        <f ca="1">IFERROR(__xludf.DUMMYFUNCTION("IMPORTRANGE(""https://docs.google.com/spreadsheets/d/1XWAQStnk-4SwqDmLtmXYiTMKHgktTP8We1SCoS47DrQ/edit?usp=sharing"",""จัดที่ดิน!AU43"")"),374)</f>
        <v>374</v>
      </c>
      <c r="K647" s="163">
        <f t="shared" ca="1" si="271"/>
        <v>149.6</v>
      </c>
      <c r="L647" s="163"/>
      <c r="M647" s="163"/>
      <c r="N647" s="163"/>
      <c r="O647" s="163"/>
      <c r="P647" s="163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</row>
    <row r="648" spans="1:26" ht="18.75">
      <c r="A648" s="744"/>
      <c r="B648" s="575"/>
      <c r="C648" s="763"/>
      <c r="D648" s="626"/>
      <c r="E648" s="626"/>
      <c r="F648" s="626"/>
      <c r="G648" s="762"/>
      <c r="H648" s="76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IFERROR(__xludf.DUMMYFUNCTION("IMPORTRANGE(""https://docs.google.com/spreadsheets/d/1XWAQStnk-4SwqDmLtmXYiTMKHgktTP8We1SCoS47DrQ/edit?usp=sharing"",""จัดที่ดิน!AV43"")"),197.57)</f>
        <v>197.57</v>
      </c>
      <c r="K648" s="498">
        <f t="shared" si="271"/>
        <v>0</v>
      </c>
      <c r="L648" s="163"/>
      <c r="M648" s="163"/>
      <c r="N648" s="163"/>
      <c r="O648" s="163"/>
      <c r="P648" s="163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</row>
    <row r="649" spans="1:26" ht="18.75">
      <c r="A649" s="744"/>
      <c r="B649" s="575"/>
      <c r="C649" s="763"/>
      <c r="D649" s="626"/>
      <c r="E649" s="746" t="s">
        <v>277</v>
      </c>
      <c r="F649" s="626"/>
      <c r="G649" s="762"/>
      <c r="H649" s="764" t="s">
        <v>35</v>
      </c>
      <c r="I649" s="270">
        <f ca="1">IFERROR(__xludf.DUMMYFUNCTION("IMPORTRANGE(""https://docs.google.com/spreadsheets/d/1QqKyyYR6Q21VydFLVH3TRQUabQu_ym0Zz7PgGX0-kHA/edit?usp=sharing"",""แผน!HS43"")"),250)</f>
        <v>250</v>
      </c>
      <c r="J649" s="270">
        <f ca="1">IFERROR(__xludf.DUMMYFUNCTION("IMPORTRANGE(""https://docs.google.com/spreadsheets/d/1XWAQStnk-4SwqDmLtmXYiTMKHgktTP8We1SCoS47DrQ/edit?usp=sharing"",""จัดที่ดิน!AW43"")"),326)</f>
        <v>326</v>
      </c>
      <c r="K649" s="163">
        <f t="shared" ca="1" si="271"/>
        <v>130.4</v>
      </c>
      <c r="L649" s="163"/>
      <c r="M649" s="163"/>
      <c r="N649" s="163"/>
      <c r="O649" s="163"/>
      <c r="P649" s="163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</row>
    <row r="650" spans="1:26" ht="18.75">
      <c r="A650" s="744"/>
      <c r="B650" s="575"/>
      <c r="C650" s="763"/>
      <c r="D650" s="626"/>
      <c r="E650" s="626"/>
      <c r="F650" s="626"/>
      <c r="G650" s="762"/>
      <c r="H650" s="76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IFERROR(__xludf.DUMMYFUNCTION("IMPORTRANGE(""https://docs.google.com/spreadsheets/d/1XWAQStnk-4SwqDmLtmXYiTMKHgktTP8We1SCoS47DrQ/edit?usp=sharing"",""จัดที่ดิน!AX43"")"),169.7)</f>
        <v>169.7</v>
      </c>
      <c r="K650" s="498">
        <f t="shared" si="271"/>
        <v>0</v>
      </c>
      <c r="L650" s="163"/>
      <c r="M650" s="163"/>
      <c r="N650" s="163"/>
      <c r="O650" s="163"/>
      <c r="P650" s="163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</row>
    <row r="651" spans="1:26" ht="18.75">
      <c r="A651" s="744"/>
      <c r="B651" s="575"/>
      <c r="C651" s="763"/>
      <c r="D651" s="626"/>
      <c r="E651" s="746" t="s">
        <v>278</v>
      </c>
      <c r="F651" s="626"/>
      <c r="G651" s="762"/>
      <c r="H651" s="764" t="s">
        <v>35</v>
      </c>
      <c r="I651" s="270">
        <f ca="1">IFERROR(__xludf.DUMMYFUNCTION("IMPORTRANGE(""https://docs.google.com/spreadsheets/d/1QqKyyYR6Q21VydFLVH3TRQUabQu_ym0Zz7PgGX0-kHA/edit?usp=sharing"",""แผน!HS43"")"),250)</f>
        <v>250</v>
      </c>
      <c r="J651" s="270">
        <f ca="1">IFERROR(__xludf.DUMMYFUNCTION("IMPORTRANGE(""https://docs.google.com/spreadsheets/d/1XWAQStnk-4SwqDmLtmXYiTMKHgktTP8We1SCoS47DrQ/edit?usp=sharing"",""จัดที่ดิน!AY43"")"),233)</f>
        <v>233</v>
      </c>
      <c r="K651" s="163">
        <f t="shared" ca="1" si="271"/>
        <v>93.2</v>
      </c>
      <c r="L651" s="163"/>
      <c r="M651" s="163"/>
      <c r="N651" s="163"/>
      <c r="O651" s="163"/>
      <c r="P651" s="163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</row>
    <row r="652" spans="1:26" ht="18.75">
      <c r="A652" s="74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8"/>
      <c r="C652" s="749"/>
      <c r="D652" s="734"/>
      <c r="E652" s="734"/>
      <c r="F652" s="734"/>
      <c r="G652" s="735"/>
      <c r="H652" s="505" t="s">
        <v>46</v>
      </c>
      <c r="I652" s="506">
        <v>0</v>
      </c>
      <c r="J652" s="506">
        <f ca="1">IFERROR(__xludf.DUMMYFUNCTION("IMPORTRANGE(""https://docs.google.com/spreadsheets/d/1XWAQStnk-4SwqDmLtmXYiTMKHgktTP8We1SCoS47DrQ/edit?usp=sharing"",""จัดที่ดิน!AZ43"")"),133.605)</f>
        <v>133.60499999999999</v>
      </c>
      <c r="K652" s="507">
        <f t="shared" si="271"/>
        <v>0</v>
      </c>
      <c r="L652" s="385"/>
      <c r="M652" s="385"/>
      <c r="N652" s="385"/>
      <c r="O652" s="385"/>
      <c r="P652" s="385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</row>
    <row r="653" spans="1:26" ht="19.5">
      <c r="A653" s="750">
        <v>8</v>
      </c>
      <c r="B653" s="737" t="s">
        <v>279</v>
      </c>
      <c r="C653" s="738"/>
      <c r="D653" s="738"/>
      <c r="E653" s="738"/>
      <c r="F653" s="738"/>
      <c r="G653" s="739"/>
      <c r="H653" s="739"/>
      <c r="I653" s="751"/>
      <c r="J653" s="751"/>
      <c r="K653" s="743"/>
      <c r="L653" s="743"/>
      <c r="M653" s="743"/>
      <c r="N653" s="743"/>
      <c r="O653" s="743"/>
      <c r="P653" s="743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</row>
    <row r="654" spans="1:26" ht="19.5">
      <c r="A654" s="673"/>
      <c r="B654" s="672" t="s">
        <v>280</v>
      </c>
      <c r="C654" s="673"/>
      <c r="D654" s="673"/>
      <c r="E654" s="673"/>
      <c r="F654" s="673"/>
      <c r="G654" s="674"/>
      <c r="H654" s="707" t="s">
        <v>46</v>
      </c>
      <c r="I654" s="708">
        <f t="shared" ref="I654:J654" ca="1" si="272">I669</f>
        <v>100</v>
      </c>
      <c r="J654" s="708">
        <f t="shared" si="272"/>
        <v>0</v>
      </c>
      <c r="K654" s="677">
        <f ca="1">IF(I654&gt;0,J654*100/I654,0)</f>
        <v>0</v>
      </c>
      <c r="L654" s="678"/>
      <c r="M654" s="678"/>
      <c r="N654" s="678"/>
      <c r="O654" s="678"/>
      <c r="P654" s="6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</row>
    <row r="655" spans="1:26" ht="19.5">
      <c r="A655" s="597"/>
      <c r="B655" s="763"/>
      <c r="C655" s="763" t="s">
        <v>16</v>
      </c>
      <c r="D655" s="863" t="s">
        <v>17</v>
      </c>
      <c r="E655" s="857"/>
      <c r="F655" s="857"/>
      <c r="G655" s="189"/>
      <c r="H655" s="598" t="s">
        <v>12</v>
      </c>
      <c r="I655" s="270"/>
      <c r="J655" s="270"/>
      <c r="K655" s="498"/>
      <c r="L655" s="195">
        <f t="shared" ref="L655:N655" ca="1" si="273">L656+L657</f>
        <v>14000</v>
      </c>
      <c r="M655" s="195">
        <f t="shared" ca="1" si="273"/>
        <v>14000</v>
      </c>
      <c r="N655" s="195">
        <f t="shared" si="273"/>
        <v>14000</v>
      </c>
      <c r="O655" s="195">
        <f t="shared" ref="O655:O660" ca="1" si="274">IF(L655&gt;0,N655*100/L655,0)</f>
        <v>100</v>
      </c>
      <c r="P655" s="195">
        <f t="shared" ref="P655:P660" ca="1" si="275">IF(M655&gt;0,N655*100/M655,0)</f>
        <v>100</v>
      </c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</row>
    <row r="656" spans="1:26" ht="18.75" hidden="1">
      <c r="A656" s="599"/>
      <c r="B656" s="759"/>
      <c r="C656" s="759"/>
      <c r="D656" s="720"/>
      <c r="E656" s="759" t="s">
        <v>185</v>
      </c>
      <c r="F656" s="759"/>
      <c r="G656" s="603"/>
      <c r="H656" s="165" t="s">
        <v>12</v>
      </c>
      <c r="I656" s="617"/>
      <c r="J656" s="617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4"/>
      <c r="R656" s="604"/>
      <c r="S656" s="604"/>
      <c r="T656" s="604"/>
      <c r="U656" s="604"/>
      <c r="V656" s="604"/>
      <c r="W656" s="604"/>
      <c r="X656" s="604"/>
      <c r="Y656" s="604"/>
      <c r="Z656" s="604"/>
    </row>
    <row r="657" spans="1:26" ht="18.75" hidden="1">
      <c r="A657" s="599"/>
      <c r="B657" s="607"/>
      <c r="C657" s="759"/>
      <c r="D657" s="720"/>
      <c r="E657" s="759" t="s">
        <v>186</v>
      </c>
      <c r="F657" s="759"/>
      <c r="G657" s="603"/>
      <c r="H657" s="165" t="s">
        <v>12</v>
      </c>
      <c r="I657" s="617"/>
      <c r="J657" s="617"/>
      <c r="K657" s="93"/>
      <c r="L657" s="93">
        <f t="shared" ca="1" si="276"/>
        <v>14000</v>
      </c>
      <c r="M657" s="93">
        <f t="shared" ca="1" si="276"/>
        <v>14000</v>
      </c>
      <c r="N657" s="93">
        <f t="shared" si="276"/>
        <v>14000</v>
      </c>
      <c r="O657" s="93">
        <f t="shared" ca="1" si="274"/>
        <v>100</v>
      </c>
      <c r="P657" s="93">
        <f t="shared" ca="1" si="275"/>
        <v>100</v>
      </c>
      <c r="Q657" s="604"/>
      <c r="R657" s="604"/>
      <c r="S657" s="604"/>
      <c r="T657" s="604"/>
      <c r="U657" s="604"/>
      <c r="V657" s="604"/>
      <c r="W657" s="604"/>
      <c r="X657" s="604"/>
      <c r="Y657" s="604"/>
      <c r="Z657" s="604"/>
    </row>
    <row r="658" spans="1:26" ht="18.75">
      <c r="A658" s="597"/>
      <c r="B658" s="575"/>
      <c r="C658" s="763"/>
      <c r="D658" s="606" t="s">
        <v>20</v>
      </c>
      <c r="E658" s="763"/>
      <c r="F658" s="763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14000</v>
      </c>
      <c r="M658" s="498">
        <f t="shared" ca="1" si="277"/>
        <v>14000</v>
      </c>
      <c r="N658" s="498">
        <f t="shared" si="277"/>
        <v>14000</v>
      </c>
      <c r="O658" s="498">
        <f t="shared" ca="1" si="274"/>
        <v>100</v>
      </c>
      <c r="P658" s="498">
        <f t="shared" ca="1" si="275"/>
        <v>100</v>
      </c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</row>
    <row r="659" spans="1:26" ht="18.75" hidden="1">
      <c r="A659" s="599"/>
      <c r="B659" s="607"/>
      <c r="C659" s="759"/>
      <c r="D659" s="720"/>
      <c r="E659" s="759" t="s">
        <v>185</v>
      </c>
      <c r="F659" s="759"/>
      <c r="G659" s="603"/>
      <c r="H659" s="165" t="s">
        <v>12</v>
      </c>
      <c r="I659" s="617"/>
      <c r="J659" s="617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4"/>
      <c r="R659" s="604"/>
      <c r="S659" s="604"/>
      <c r="T659" s="604"/>
      <c r="U659" s="604"/>
      <c r="V659" s="604"/>
      <c r="W659" s="604"/>
      <c r="X659" s="604"/>
      <c r="Y659" s="604"/>
      <c r="Z659" s="604"/>
    </row>
    <row r="660" spans="1:26" ht="18.75" hidden="1">
      <c r="A660" s="599"/>
      <c r="B660" s="607"/>
      <c r="C660" s="759"/>
      <c r="D660" s="720"/>
      <c r="E660" s="759" t="s">
        <v>186</v>
      </c>
      <c r="F660" s="759"/>
      <c r="G660" s="603"/>
      <c r="H660" s="165" t="s">
        <v>12</v>
      </c>
      <c r="I660" s="617"/>
      <c r="J660" s="617"/>
      <c r="K660" s="93"/>
      <c r="L660" s="93">
        <f ca="1">IFERROR(__xludf.DUMMYFUNCTION("IMPORTRANGE(""https://docs.google.com/spreadsheets/d/1QqKyyYR6Q21VydFLVH3TRQUabQu_ym0Zz7PgGX0-kHA/edit?usp=sharing"",""แผน!HV43"")"),14000)</f>
        <v>14000</v>
      </c>
      <c r="M660" s="93">
        <f ca="1">L660</f>
        <v>14000</v>
      </c>
      <c r="N660" s="93">
        <f>N661+N662+N663+N664</f>
        <v>14000</v>
      </c>
      <c r="O660" s="93">
        <f t="shared" ca="1" si="274"/>
        <v>100</v>
      </c>
      <c r="P660" s="93">
        <f t="shared" ca="1" si="275"/>
        <v>100</v>
      </c>
      <c r="Q660" s="604"/>
      <c r="R660" s="604"/>
      <c r="S660" s="604"/>
      <c r="T660" s="604"/>
      <c r="U660" s="604"/>
      <c r="V660" s="604"/>
      <c r="W660" s="604"/>
      <c r="X660" s="604"/>
      <c r="Y660" s="604"/>
      <c r="Z660" s="604"/>
    </row>
    <row r="661" spans="1:26" ht="18.75">
      <c r="A661" s="574"/>
      <c r="B661" s="575"/>
      <c r="C661" s="763"/>
      <c r="D661" s="763"/>
      <c r="E661" s="763"/>
      <c r="F661" s="763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40">
        <v>0</v>
      </c>
      <c r="O661" s="498"/>
      <c r="P661" s="49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</row>
    <row r="662" spans="1:26" ht="18.75">
      <c r="A662" s="574"/>
      <c r="B662" s="575"/>
      <c r="C662" s="763"/>
      <c r="D662" s="763"/>
      <c r="E662" s="763"/>
      <c r="F662" s="763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40">
        <v>0</v>
      </c>
      <c r="O662" s="498"/>
      <c r="P662" s="49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</row>
    <row r="663" spans="1:26" ht="18.75">
      <c r="A663" s="574"/>
      <c r="B663" s="575"/>
      <c r="C663" s="575"/>
      <c r="D663" s="763"/>
      <c r="E663" s="763"/>
      <c r="F663" s="763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40">
        <v>0</v>
      </c>
      <c r="O663" s="498"/>
      <c r="P663" s="49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</row>
    <row r="664" spans="1:26" ht="18.75">
      <c r="A664" s="574"/>
      <c r="B664" s="575"/>
      <c r="C664" s="575"/>
      <c r="D664" s="575"/>
      <c r="E664" s="763"/>
      <c r="F664" s="763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40">
        <v>14000</v>
      </c>
      <c r="O664" s="498"/>
      <c r="P664" s="49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</row>
    <row r="665" spans="1:26" ht="18.75">
      <c r="A665" s="597"/>
      <c r="B665" s="575"/>
      <c r="C665" s="575"/>
      <c r="D665" s="606" t="s">
        <v>21</v>
      </c>
      <c r="E665" s="763"/>
      <c r="F665" s="763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</row>
    <row r="666" spans="1:26" ht="18.75" hidden="1">
      <c r="A666" s="599"/>
      <c r="B666" s="607"/>
      <c r="C666" s="607"/>
      <c r="D666" s="607"/>
      <c r="E666" s="759" t="s">
        <v>18</v>
      </c>
      <c r="F666" s="759"/>
      <c r="G666" s="603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4"/>
      <c r="R666" s="604"/>
      <c r="S666" s="604"/>
      <c r="T666" s="604"/>
      <c r="U666" s="604"/>
      <c r="V666" s="604"/>
      <c r="W666" s="604"/>
      <c r="X666" s="604"/>
      <c r="Y666" s="604"/>
      <c r="Z666" s="604"/>
    </row>
    <row r="667" spans="1:26" ht="18.75" hidden="1">
      <c r="A667" s="599"/>
      <c r="B667" s="607"/>
      <c r="C667" s="607"/>
      <c r="D667" s="607"/>
      <c r="E667" s="759" t="s">
        <v>19</v>
      </c>
      <c r="F667" s="759"/>
      <c r="G667" s="603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4"/>
      <c r="R667" s="604"/>
      <c r="S667" s="604"/>
      <c r="T667" s="604"/>
      <c r="U667" s="604"/>
      <c r="V667" s="604"/>
      <c r="W667" s="604"/>
      <c r="X667" s="604"/>
      <c r="Y667" s="604"/>
      <c r="Z667" s="604"/>
    </row>
    <row r="668" spans="1:26" ht="19.5">
      <c r="A668" s="608"/>
      <c r="B668" s="618"/>
      <c r="C668" s="575" t="s">
        <v>16</v>
      </c>
      <c r="D668" s="893" t="s">
        <v>38</v>
      </c>
      <c r="E668" s="761"/>
      <c r="F668" s="761"/>
      <c r="G668" s="613"/>
      <c r="H668" s="762"/>
      <c r="I668" s="184"/>
      <c r="J668" s="184"/>
      <c r="K668" s="163"/>
      <c r="L668" s="163"/>
      <c r="M668" s="163"/>
      <c r="N668" s="163"/>
      <c r="O668" s="163"/>
      <c r="P668" s="163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</row>
    <row r="669" spans="1:26" ht="19.5">
      <c r="A669" s="608"/>
      <c r="B669" s="618"/>
      <c r="C669" s="618"/>
      <c r="D669" s="618" t="s">
        <v>281</v>
      </c>
      <c r="E669" s="626"/>
      <c r="F669" s="626"/>
      <c r="G669" s="762"/>
      <c r="H669" s="767" t="s">
        <v>46</v>
      </c>
      <c r="I669" s="681">
        <f ca="1">IFERROR(__xludf.DUMMYFUNCTION("IMPORTRANGE(""https://docs.google.com/spreadsheets/d/1QqKyyYR6Q21VydFLVH3TRQUabQu_ym0Zz7PgGX0-kHA/edit?usp=sharing"",""แผน!IA43"")"),100)</f>
        <v>100</v>
      </c>
      <c r="J669" s="681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</row>
    <row r="670" spans="1:26" ht="18.75">
      <c r="A670" s="608"/>
      <c r="B670" s="618"/>
      <c r="C670" s="618"/>
      <c r="D670" s="618"/>
      <c r="E670" s="626" t="s">
        <v>282</v>
      </c>
      <c r="F670" s="626"/>
      <c r="G670" s="762"/>
      <c r="H670" s="764" t="s">
        <v>66</v>
      </c>
      <c r="I670" s="270">
        <f ca="1">IFERROR(__xludf.DUMMYFUNCTION("IMPORTRANGE(""https://docs.google.com/spreadsheets/d/1QqKyyYR6Q21VydFLVH3TRQUabQu_ym0Zz7PgGX0-kHA/edit?usp=sharing"",""แผน!HZ43"")"),5)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</row>
    <row r="671" spans="1:26" ht="18.75">
      <c r="A671" s="608"/>
      <c r="B671" s="618"/>
      <c r="C671" s="618"/>
      <c r="D671" s="618"/>
      <c r="E671" s="626" t="s">
        <v>283</v>
      </c>
      <c r="F671" s="626"/>
      <c r="G671" s="762"/>
      <c r="H671" s="764" t="s">
        <v>66</v>
      </c>
      <c r="I671" s="270">
        <f ca="1">IFERROR(__xludf.DUMMYFUNCTION("IMPORTRANGE(""https://docs.google.com/spreadsheets/d/1QqKyyYR6Q21VydFLVH3TRQUabQu_ym0Zz7PgGX0-kHA/edit?usp=sharing"",""แผน!HZ43"")"),5)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</row>
    <row r="672" spans="1:26" ht="18.75">
      <c r="A672" s="608"/>
      <c r="B672" s="618"/>
      <c r="C672" s="618"/>
      <c r="D672" s="618"/>
      <c r="E672" s="626" t="s">
        <v>284</v>
      </c>
      <c r="F672" s="626"/>
      <c r="G672" s="762"/>
      <c r="H672" s="764" t="s">
        <v>46</v>
      </c>
      <c r="I672" s="270"/>
      <c r="J672" s="215">
        <v>8</v>
      </c>
      <c r="K672" s="498">
        <f t="shared" ref="K672:K675" ca="1" si="281">IF(I$669&gt;0,J672*100/I$669,0)</f>
        <v>8</v>
      </c>
      <c r="L672" s="163"/>
      <c r="M672" s="163"/>
      <c r="N672" s="163"/>
      <c r="O672" s="163"/>
      <c r="P672" s="163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</row>
    <row r="673" spans="1:26" ht="18.75">
      <c r="A673" s="608"/>
      <c r="B673" s="618"/>
      <c r="C673" s="618"/>
      <c r="D673" s="618"/>
      <c r="E673" s="626" t="s">
        <v>285</v>
      </c>
      <c r="F673" s="626"/>
      <c r="G673" s="762"/>
      <c r="H673" s="764" t="s">
        <v>46</v>
      </c>
      <c r="I673" s="270"/>
      <c r="J673" s="215">
        <v>8</v>
      </c>
      <c r="K673" s="498">
        <f t="shared" ca="1" si="281"/>
        <v>8</v>
      </c>
      <c r="L673" s="163"/>
      <c r="M673" s="163"/>
      <c r="N673" s="163"/>
      <c r="O673" s="163"/>
      <c r="P673" s="163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</row>
    <row r="674" spans="1:26" ht="18.75">
      <c r="A674" s="608"/>
      <c r="B674" s="618"/>
      <c r="C674" s="618"/>
      <c r="D674" s="618"/>
      <c r="E674" s="626" t="s">
        <v>286</v>
      </c>
      <c r="F674" s="626"/>
      <c r="G674" s="762"/>
      <c r="H674" s="764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</row>
    <row r="675" spans="1:26" ht="19.5">
      <c r="A675" s="608"/>
      <c r="B675" s="618"/>
      <c r="C675" s="618"/>
      <c r="D675" s="618"/>
      <c r="E675" s="626" t="s">
        <v>287</v>
      </c>
      <c r="F675" s="626"/>
      <c r="G675" s="762"/>
      <c r="H675" s="764" t="s">
        <v>46</v>
      </c>
      <c r="I675" s="270"/>
      <c r="J675" s="681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</row>
    <row r="676" spans="1:26" ht="18.75">
      <c r="A676" s="608"/>
      <c r="B676" s="618"/>
      <c r="C676" s="618"/>
      <c r="D676" s="618"/>
      <c r="E676" s="626"/>
      <c r="F676" s="626" t="s">
        <v>288</v>
      </c>
      <c r="G676" s="762"/>
      <c r="H676" s="764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</row>
    <row r="677" spans="1:26" ht="18.75">
      <c r="A677" s="608"/>
      <c r="B677" s="618"/>
      <c r="C677" s="618"/>
      <c r="D677" s="618"/>
      <c r="E677" s="626"/>
      <c r="F677" s="626" t="s">
        <v>289</v>
      </c>
      <c r="G677" s="762"/>
      <c r="H677" s="764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</row>
    <row r="678" spans="1:26" ht="19.5">
      <c r="A678" s="608"/>
      <c r="B678" s="618"/>
      <c r="C678" s="618"/>
      <c r="D678" s="618" t="s">
        <v>290</v>
      </c>
      <c r="E678" s="626"/>
      <c r="F678" s="626"/>
      <c r="G678" s="762"/>
      <c r="H678" s="764" t="s">
        <v>46</v>
      </c>
      <c r="I678" s="681">
        <f ca="1">IFERROR(__xludf.DUMMYFUNCTION("IMPORTRANGE(""https://docs.google.com/spreadsheets/d/1QqKyyYR6Q21VydFLVH3TRQUabQu_ym0Zz7PgGX0-kHA/edit?usp=sharing"",""แผน!IB43"")"),0)</f>
        <v>0</v>
      </c>
      <c r="J678" s="681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</row>
    <row r="679" spans="1:26" ht="18.75">
      <c r="A679" s="608"/>
      <c r="B679" s="618"/>
      <c r="C679" s="618"/>
      <c r="D679" s="618"/>
      <c r="E679" s="626" t="s">
        <v>291</v>
      </c>
      <c r="F679" s="626"/>
      <c r="G679" s="762"/>
      <c r="H679" s="764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</row>
    <row r="680" spans="1:26" ht="18.75">
      <c r="A680" s="608"/>
      <c r="B680" s="618"/>
      <c r="C680" s="618"/>
      <c r="D680" s="618"/>
      <c r="E680" s="626"/>
      <c r="F680" s="626" t="s">
        <v>288</v>
      </c>
      <c r="G680" s="762"/>
      <c r="H680" s="764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</row>
    <row r="681" spans="1:26" ht="18.75">
      <c r="A681" s="608"/>
      <c r="B681" s="618"/>
      <c r="C681" s="618"/>
      <c r="D681" s="618"/>
      <c r="E681" s="626"/>
      <c r="F681" s="626" t="s">
        <v>289</v>
      </c>
      <c r="G681" s="762"/>
      <c r="H681" s="764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</row>
    <row r="682" spans="1:26" ht="18.75">
      <c r="A682" s="608"/>
      <c r="B682" s="618"/>
      <c r="C682" s="618"/>
      <c r="D682" s="618"/>
      <c r="E682" s="626" t="s">
        <v>292</v>
      </c>
      <c r="F682" s="626"/>
      <c r="G682" s="762"/>
      <c r="H682" s="764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</row>
    <row r="683" spans="1:26" ht="18.75">
      <c r="A683" s="608"/>
      <c r="B683" s="618"/>
      <c r="C683" s="618"/>
      <c r="D683" s="618"/>
      <c r="E683" s="626"/>
      <c r="F683" s="626" t="s">
        <v>293</v>
      </c>
      <c r="G683" s="762"/>
      <c r="H683" s="764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</row>
    <row r="684" spans="1:26" ht="19.5">
      <c r="A684" s="753"/>
      <c r="B684" s="754" t="s">
        <v>294</v>
      </c>
      <c r="C684" s="753"/>
      <c r="D684" s="753"/>
      <c r="E684" s="753"/>
      <c r="F684" s="753"/>
      <c r="G684" s="755"/>
      <c r="H684" s="755"/>
      <c r="I684" s="756"/>
      <c r="J684" s="756"/>
      <c r="K684" s="757"/>
      <c r="L684" s="757"/>
      <c r="M684" s="757"/>
      <c r="N684" s="757"/>
      <c r="O684" s="757"/>
      <c r="P684" s="757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</row>
    <row r="685" spans="1:26" ht="19.5">
      <c r="A685" s="597"/>
      <c r="B685" s="763"/>
      <c r="C685" s="763" t="s">
        <v>16</v>
      </c>
      <c r="D685" s="863" t="s">
        <v>17</v>
      </c>
      <c r="E685" s="857"/>
      <c r="F685" s="857"/>
      <c r="G685" s="189"/>
      <c r="H685" s="598" t="s">
        <v>12</v>
      </c>
      <c r="I685" s="270"/>
      <c r="J685" s="270"/>
      <c r="K685" s="498"/>
      <c r="L685" s="195">
        <f t="shared" ref="L685:N685" ca="1" si="282">L686+L687</f>
        <v>1480</v>
      </c>
      <c r="M685" s="195">
        <f t="shared" ca="1" si="282"/>
        <v>1480</v>
      </c>
      <c r="N685" s="195">
        <f t="shared" si="282"/>
        <v>1480</v>
      </c>
      <c r="O685" s="195">
        <f t="shared" ref="O685:O688" ca="1" si="283">IF(L685&gt;0,N685*100/L685,0)</f>
        <v>100</v>
      </c>
      <c r="P685" s="195">
        <f t="shared" ref="P685:P688" ca="1" si="284">IF(M685&gt;0,N685*100/M685,0)</f>
        <v>100</v>
      </c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</row>
    <row r="686" spans="1:26" ht="18.75" hidden="1">
      <c r="A686" s="599"/>
      <c r="B686" s="759"/>
      <c r="C686" s="759"/>
      <c r="D686" s="720"/>
      <c r="E686" s="759" t="s">
        <v>185</v>
      </c>
      <c r="F686" s="759"/>
      <c r="G686" s="603"/>
      <c r="H686" s="165" t="s">
        <v>12</v>
      </c>
      <c r="I686" s="617"/>
      <c r="J686" s="617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4"/>
      <c r="R686" s="604"/>
      <c r="S686" s="604"/>
      <c r="T686" s="604"/>
      <c r="U686" s="604"/>
      <c r="V686" s="604"/>
      <c r="W686" s="604"/>
      <c r="X686" s="604"/>
      <c r="Y686" s="604"/>
      <c r="Z686" s="604"/>
    </row>
    <row r="687" spans="1:26" ht="18.75" hidden="1">
      <c r="A687" s="599"/>
      <c r="B687" s="607"/>
      <c r="C687" s="759"/>
      <c r="D687" s="720"/>
      <c r="E687" s="759" t="s">
        <v>186</v>
      </c>
      <c r="F687" s="759"/>
      <c r="G687" s="603"/>
      <c r="H687" s="165" t="s">
        <v>12</v>
      </c>
      <c r="I687" s="617"/>
      <c r="J687" s="617"/>
      <c r="K687" s="93"/>
      <c r="L687" s="93">
        <f t="shared" ca="1" si="285"/>
        <v>1480</v>
      </c>
      <c r="M687" s="93">
        <f t="shared" ca="1" si="285"/>
        <v>1480</v>
      </c>
      <c r="N687" s="93">
        <f t="shared" si="285"/>
        <v>1480</v>
      </c>
      <c r="O687" s="93">
        <f t="shared" ca="1" si="283"/>
        <v>100</v>
      </c>
      <c r="P687" s="93">
        <f t="shared" ca="1" si="284"/>
        <v>100</v>
      </c>
      <c r="Q687" s="604"/>
      <c r="R687" s="604"/>
      <c r="S687" s="604"/>
      <c r="T687" s="604"/>
      <c r="U687" s="604"/>
      <c r="V687" s="604"/>
      <c r="W687" s="604"/>
      <c r="X687" s="604"/>
      <c r="Y687" s="604"/>
      <c r="Z687" s="604"/>
    </row>
    <row r="688" spans="1:26" ht="18.75">
      <c r="A688" s="597"/>
      <c r="B688" s="575"/>
      <c r="C688" s="763"/>
      <c r="D688" s="606" t="s">
        <v>20</v>
      </c>
      <c r="E688" s="763"/>
      <c r="F688" s="763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1480</v>
      </c>
      <c r="M688" s="498">
        <f t="shared" ca="1" si="286"/>
        <v>1480</v>
      </c>
      <c r="N688" s="498">
        <f t="shared" si="286"/>
        <v>1480</v>
      </c>
      <c r="O688" s="498">
        <f t="shared" ca="1" si="283"/>
        <v>100</v>
      </c>
      <c r="P688" s="498">
        <f t="shared" ca="1" si="284"/>
        <v>100</v>
      </c>
      <c r="Q688" s="578"/>
      <c r="R688" s="578"/>
      <c r="S688" s="578"/>
      <c r="T688" s="578"/>
      <c r="U688" s="578"/>
      <c r="V688" s="578"/>
      <c r="W688" s="578"/>
      <c r="X688" s="578"/>
      <c r="Y688" s="578"/>
      <c r="Z688" s="578"/>
    </row>
    <row r="689" spans="1:26" ht="18.75" hidden="1">
      <c r="A689" s="599"/>
      <c r="B689" s="607"/>
      <c r="C689" s="759"/>
      <c r="D689" s="720"/>
      <c r="E689" s="759" t="s">
        <v>185</v>
      </c>
      <c r="F689" s="759"/>
      <c r="G689" s="603"/>
      <c r="H689" s="165" t="s">
        <v>12</v>
      </c>
      <c r="I689" s="617"/>
      <c r="J689" s="617"/>
      <c r="K689" s="93"/>
      <c r="L689" s="93">
        <v>0</v>
      </c>
      <c r="M689" s="93">
        <v>0</v>
      </c>
      <c r="N689" s="93">
        <v>0</v>
      </c>
      <c r="O689" s="93"/>
      <c r="P689" s="93"/>
      <c r="Q689" s="604"/>
      <c r="R689" s="604"/>
      <c r="S689" s="604"/>
      <c r="T689" s="604"/>
      <c r="U689" s="604"/>
      <c r="V689" s="604"/>
      <c r="W689" s="604"/>
      <c r="X689" s="604"/>
      <c r="Y689" s="604"/>
      <c r="Z689" s="604"/>
    </row>
    <row r="690" spans="1:26" ht="18.75" hidden="1">
      <c r="A690" s="599"/>
      <c r="B690" s="607"/>
      <c r="C690" s="759"/>
      <c r="D690" s="720"/>
      <c r="E690" s="759" t="s">
        <v>186</v>
      </c>
      <c r="F690" s="759"/>
      <c r="G690" s="603"/>
      <c r="H690" s="165" t="s">
        <v>12</v>
      </c>
      <c r="I690" s="617"/>
      <c r="J690" s="617"/>
      <c r="K690" s="93"/>
      <c r="L690" s="93">
        <f ca="1">IFERROR(__xludf.DUMMYFUNCTION("IMPORTRANGE(""https://docs.google.com/spreadsheets/d/1QqKyyYR6Q21VydFLVH3TRQUabQu_ym0Zz7PgGX0-kHA/edit?usp=sharing"",""แผน!HW43"")"),1480)</f>
        <v>1480</v>
      </c>
      <c r="M690" s="93">
        <f ca="1">L690</f>
        <v>1480</v>
      </c>
      <c r="N690" s="93">
        <f>N691+N692+N693+N694</f>
        <v>1480</v>
      </c>
      <c r="O690" s="93">
        <f ca="1">IF(L690&gt;0,N690*100/L690,0)</f>
        <v>100</v>
      </c>
      <c r="P690" s="93">
        <f ca="1">IF(M690&gt;0,N690*100/M690,0)</f>
        <v>100</v>
      </c>
      <c r="Q690" s="604"/>
      <c r="R690" s="604"/>
      <c r="S690" s="604"/>
      <c r="T690" s="604"/>
      <c r="U690" s="604"/>
      <c r="V690" s="604"/>
      <c r="W690" s="604"/>
      <c r="X690" s="604"/>
      <c r="Y690" s="604"/>
      <c r="Z690" s="604"/>
    </row>
    <row r="691" spans="1:26" ht="18.75">
      <c r="A691" s="574"/>
      <c r="B691" s="575"/>
      <c r="C691" s="763"/>
      <c r="D691" s="763"/>
      <c r="E691" s="763"/>
      <c r="F691" s="763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40">
        <v>0</v>
      </c>
      <c r="O691" s="498"/>
      <c r="P691" s="49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</row>
    <row r="692" spans="1:26" ht="18.75">
      <c r="A692" s="574"/>
      <c r="B692" s="575"/>
      <c r="C692" s="763"/>
      <c r="D692" s="763"/>
      <c r="E692" s="763"/>
      <c r="F692" s="763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40">
        <v>0</v>
      </c>
      <c r="O692" s="498"/>
      <c r="P692" s="49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</row>
    <row r="693" spans="1:26" ht="18.75">
      <c r="A693" s="574"/>
      <c r="B693" s="575"/>
      <c r="C693" s="763"/>
      <c r="D693" s="763"/>
      <c r="E693" s="763"/>
      <c r="F693" s="763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40">
        <v>0</v>
      </c>
      <c r="O693" s="498"/>
      <c r="P693" s="49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</row>
    <row r="694" spans="1:26" ht="18.75">
      <c r="A694" s="574"/>
      <c r="B694" s="575"/>
      <c r="C694" s="763"/>
      <c r="D694" s="763"/>
      <c r="E694" s="763"/>
      <c r="F694" s="763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40">
        <v>1480</v>
      </c>
      <c r="O694" s="498"/>
      <c r="P694" s="49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</row>
    <row r="695" spans="1:26" ht="18.75">
      <c r="A695" s="597"/>
      <c r="B695" s="575"/>
      <c r="C695" s="763"/>
      <c r="D695" s="606" t="s">
        <v>21</v>
      </c>
      <c r="E695" s="763"/>
      <c r="F695" s="763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</row>
    <row r="696" spans="1:26" ht="18.75" hidden="1">
      <c r="A696" s="599"/>
      <c r="B696" s="607"/>
      <c r="C696" s="759"/>
      <c r="D696" s="759"/>
      <c r="E696" s="759" t="s">
        <v>18</v>
      </c>
      <c r="F696" s="759"/>
      <c r="G696" s="603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4"/>
      <c r="R696" s="604"/>
      <c r="S696" s="604"/>
      <c r="T696" s="604"/>
      <c r="U696" s="604"/>
      <c r="V696" s="604"/>
      <c r="W696" s="604"/>
      <c r="X696" s="604"/>
      <c r="Y696" s="604"/>
      <c r="Z696" s="604"/>
    </row>
    <row r="697" spans="1:26" ht="18.75" hidden="1">
      <c r="A697" s="599"/>
      <c r="B697" s="607"/>
      <c r="C697" s="759"/>
      <c r="D697" s="759"/>
      <c r="E697" s="759" t="s">
        <v>19</v>
      </c>
      <c r="F697" s="759"/>
      <c r="G697" s="603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4"/>
      <c r="R697" s="604"/>
      <c r="S697" s="604"/>
      <c r="T697" s="604"/>
      <c r="U697" s="604"/>
      <c r="V697" s="604"/>
      <c r="W697" s="604"/>
      <c r="X697" s="604"/>
      <c r="Y697" s="604"/>
      <c r="Z697" s="604"/>
    </row>
    <row r="698" spans="1:26" ht="19.5">
      <c r="A698" s="608"/>
      <c r="B698" s="618"/>
      <c r="C698" s="763" t="s">
        <v>16</v>
      </c>
      <c r="D698" s="898" t="s">
        <v>38</v>
      </c>
      <c r="E698" s="761"/>
      <c r="F698" s="761"/>
      <c r="G698" s="613"/>
      <c r="H698" s="762"/>
      <c r="I698" s="184"/>
      <c r="J698" s="184"/>
      <c r="K698" s="163"/>
      <c r="L698" s="163"/>
      <c r="M698" s="163"/>
      <c r="N698" s="163"/>
      <c r="O698" s="163"/>
      <c r="P698" s="163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</row>
    <row r="699" spans="1:26" ht="18.75">
      <c r="A699" s="744"/>
      <c r="B699" s="763"/>
      <c r="C699" s="763"/>
      <c r="D699" s="763" t="s">
        <v>295</v>
      </c>
      <c r="E699" s="763"/>
      <c r="F699" s="763"/>
      <c r="G699" s="189"/>
      <c r="H699" s="764" t="s">
        <v>46</v>
      </c>
      <c r="I699" s="765">
        <f ca="1">IFERROR(__xludf.DUMMYFUNCTION("IMPORTRANGE(""https://docs.google.com/spreadsheets/d/1QqKyyYR6Q21VydFLVH3TRQUabQu_ym0Zz7PgGX0-kHA/edit?usp=sharing"",""แผน!IC43"")"),0)</f>
        <v>0</v>
      </c>
      <c r="J699" s="270">
        <f ca="1">IFERROR(__xludf.DUMMYFUNCTION("IMPORTRANGE(""https://docs.google.com/spreadsheets/d/1XWAQStnk-4SwqDmLtmXYiTMKHgktTP8We1SCoS47DrQ/edit?usp=sharing"",""จัดที่ดิน!BB43"")"),0)</f>
        <v>0</v>
      </c>
      <c r="K699" s="498">
        <f t="shared" ref="K699:K701" ca="1" si="290">IF(I699&gt;0,J699*100/I699,0)</f>
        <v>0</v>
      </c>
      <c r="L699" s="498"/>
      <c r="M699" s="189"/>
      <c r="N699" s="766"/>
      <c r="O699" s="498"/>
      <c r="P699" s="49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</row>
    <row r="700" spans="1:26" ht="18.75">
      <c r="A700" s="744"/>
      <c r="B700" s="763"/>
      <c r="C700" s="763"/>
      <c r="D700" s="763" t="s">
        <v>296</v>
      </c>
      <c r="E700" s="763"/>
      <c r="F700" s="763"/>
      <c r="G700" s="189"/>
      <c r="H700" s="764" t="s">
        <v>35</v>
      </c>
      <c r="I700" s="765">
        <f ca="1">IFERROR(__xludf.DUMMYFUNCTION("IMPORTRANGE(""https://docs.google.com/spreadsheets/d/1QqKyyYR6Q21VydFLVH3TRQUabQu_ym0Zz7PgGX0-kHA/edit?usp=sharing"",""แผน!ID43"")"),0)</f>
        <v>0</v>
      </c>
      <c r="J700" s="270">
        <f ca="1">IFERROR(__xludf.DUMMYFUNCTION("IMPORTRANGE(""https://docs.google.com/spreadsheets/d/1XWAQStnk-4SwqDmLtmXYiTMKHgktTP8We1SCoS47DrQ/edit?usp=sharing"",""จัดที่ดิน!BD43"")"),0)</f>
        <v>0</v>
      </c>
      <c r="K700" s="498">
        <f t="shared" ca="1" si="290"/>
        <v>0</v>
      </c>
      <c r="L700" s="498"/>
      <c r="M700" s="189"/>
      <c r="N700" s="766"/>
      <c r="O700" s="498"/>
      <c r="P700" s="49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</row>
    <row r="701" spans="1:26" ht="19.5">
      <c r="A701" s="744"/>
      <c r="B701" s="763"/>
      <c r="C701" s="763"/>
      <c r="D701" s="763" t="s">
        <v>297</v>
      </c>
      <c r="E701" s="763"/>
      <c r="F701" s="763"/>
      <c r="G701" s="189"/>
      <c r="H701" s="767" t="s">
        <v>46</v>
      </c>
      <c r="I701" s="768">
        <f ca="1">IFERROR(__xludf.DUMMYFUNCTION("IMPORTRANGE(""https://docs.google.com/spreadsheets/d/1QqKyyYR6Q21VydFLVH3TRQUabQu_ym0Zz7PgGX0-kHA/edit?usp=sharing"",""แผน!IE43"")"),0)</f>
        <v>0</v>
      </c>
      <c r="J701" s="681">
        <f>J704+J707</f>
        <v>0</v>
      </c>
      <c r="K701" s="195">
        <f t="shared" ca="1" si="290"/>
        <v>0</v>
      </c>
      <c r="L701" s="498"/>
      <c r="M701" s="189"/>
      <c r="N701" s="766"/>
      <c r="O701" s="498"/>
      <c r="P701" s="49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</row>
    <row r="702" spans="1:26" ht="18.75">
      <c r="A702" s="744"/>
      <c r="B702" s="763"/>
      <c r="C702" s="763"/>
      <c r="D702" s="763"/>
      <c r="E702" s="763" t="s">
        <v>298</v>
      </c>
      <c r="F702" s="763"/>
      <c r="G702" s="189"/>
      <c r="H702" s="764" t="s">
        <v>35</v>
      </c>
      <c r="I702" s="765"/>
      <c r="J702" s="215">
        <v>0</v>
      </c>
      <c r="K702" s="498"/>
      <c r="L702" s="498"/>
      <c r="M702" s="189"/>
      <c r="N702" s="766"/>
      <c r="O702" s="498"/>
      <c r="P702" s="49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</row>
    <row r="703" spans="1:26" ht="18.75">
      <c r="A703" s="744"/>
      <c r="B703" s="763"/>
      <c r="C703" s="763"/>
      <c r="D703" s="763"/>
      <c r="E703" s="763"/>
      <c r="F703" s="763"/>
      <c r="G703" s="189"/>
      <c r="H703" s="764" t="s">
        <v>34</v>
      </c>
      <c r="I703" s="765"/>
      <c r="J703" s="215">
        <v>0</v>
      </c>
      <c r="K703" s="498"/>
      <c r="L703" s="498"/>
      <c r="M703" s="189"/>
      <c r="N703" s="766"/>
      <c r="O703" s="498"/>
      <c r="P703" s="49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</row>
    <row r="704" spans="1:26" ht="18.75">
      <c r="A704" s="744"/>
      <c r="B704" s="763"/>
      <c r="C704" s="763"/>
      <c r="D704" s="763"/>
      <c r="E704" s="763"/>
      <c r="F704" s="763"/>
      <c r="G704" s="189"/>
      <c r="H704" s="764" t="s">
        <v>46</v>
      </c>
      <c r="I704" s="765">
        <f ca="1">IFERROR(__xludf.DUMMYFUNCTION("IMPORTRANGE(""https://docs.google.com/spreadsheets/d/1QqKyyYR6Q21VydFLVH3TRQUabQu_ym0Zz7PgGX0-kHA/edit?usp=sharing"",""แผน!IF43"")"),0)</f>
        <v>0</v>
      </c>
      <c r="J704" s="215">
        <v>0</v>
      </c>
      <c r="K704" s="498"/>
      <c r="L704" s="498"/>
      <c r="M704" s="189"/>
      <c r="N704" s="766"/>
      <c r="O704" s="498"/>
      <c r="P704" s="49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</row>
    <row r="705" spans="1:26" ht="18.75">
      <c r="A705" s="744"/>
      <c r="B705" s="763"/>
      <c r="C705" s="763"/>
      <c r="D705" s="763"/>
      <c r="E705" s="763" t="s">
        <v>299</v>
      </c>
      <c r="F705" s="763"/>
      <c r="G705" s="189"/>
      <c r="H705" s="764" t="s">
        <v>35</v>
      </c>
      <c r="I705" s="765"/>
      <c r="J705" s="215">
        <v>0</v>
      </c>
      <c r="K705" s="498"/>
      <c r="L705" s="498"/>
      <c r="M705" s="189"/>
      <c r="N705" s="766"/>
      <c r="O705" s="498"/>
      <c r="P705" s="49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</row>
    <row r="706" spans="1:26" ht="18.75">
      <c r="A706" s="744"/>
      <c r="B706" s="763"/>
      <c r="C706" s="763"/>
      <c r="D706" s="763"/>
      <c r="E706" s="763"/>
      <c r="F706" s="763"/>
      <c r="G706" s="189"/>
      <c r="H706" s="764" t="s">
        <v>34</v>
      </c>
      <c r="I706" s="765"/>
      <c r="J706" s="215">
        <v>0</v>
      </c>
      <c r="K706" s="498"/>
      <c r="L706" s="498"/>
      <c r="M706" s="189"/>
      <c r="N706" s="766"/>
      <c r="O706" s="498"/>
      <c r="P706" s="49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</row>
    <row r="707" spans="1:26" ht="18.75">
      <c r="A707" s="744"/>
      <c r="B707" s="763"/>
      <c r="C707" s="763"/>
      <c r="D707" s="763"/>
      <c r="E707" s="763"/>
      <c r="F707" s="763"/>
      <c r="G707" s="189"/>
      <c r="H707" s="764" t="s">
        <v>46</v>
      </c>
      <c r="I707" s="765">
        <f ca="1">IFERROR(__xludf.DUMMYFUNCTION("IMPORTRANGE(""https://docs.google.com/spreadsheets/d/1QqKyyYR6Q21VydFLVH3TRQUabQu_ym0Zz7PgGX0-kHA/edit?usp=sharing"",""แผน!IG43"")"),0)</f>
        <v>0</v>
      </c>
      <c r="J707" s="215">
        <v>0</v>
      </c>
      <c r="K707" s="498"/>
      <c r="L707" s="498"/>
      <c r="M707" s="189"/>
      <c r="N707" s="766"/>
      <c r="O707" s="498"/>
      <c r="P707" s="49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</row>
    <row r="708" spans="1:26" ht="19.5">
      <c r="A708" s="744"/>
      <c r="B708" s="763"/>
      <c r="C708" s="763"/>
      <c r="D708" s="769" t="s">
        <v>300</v>
      </c>
      <c r="E708" s="763"/>
      <c r="F708" s="763"/>
      <c r="G708" s="189"/>
      <c r="H708" s="767" t="s">
        <v>46</v>
      </c>
      <c r="I708" s="768">
        <f ca="1">IFERROR(__xludf.DUMMYFUNCTION("IMPORTRANGE(""https://docs.google.com/spreadsheets/d/1QqKyyYR6Q21VydFLVH3TRQUabQu_ym0Zz7PgGX0-kHA/edit?usp=sharing"",""แผน!IH43"")"),12)</f>
        <v>12</v>
      </c>
      <c r="J708" s="681">
        <f>J714+J717</f>
        <v>0</v>
      </c>
      <c r="K708" s="195">
        <f ca="1">IF(I708&gt;0,J708*100/I708,0)</f>
        <v>0</v>
      </c>
      <c r="L708" s="498"/>
      <c r="M708" s="189"/>
      <c r="N708" s="766"/>
      <c r="O708" s="498"/>
      <c r="P708" s="49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</row>
    <row r="709" spans="1:26" ht="18.75">
      <c r="A709" s="744"/>
      <c r="B709" s="763"/>
      <c r="C709" s="763"/>
      <c r="D709" s="763"/>
      <c r="E709" s="763" t="s">
        <v>301</v>
      </c>
      <c r="F709" s="763"/>
      <c r="G709" s="189"/>
      <c r="H709" s="764" t="s">
        <v>34</v>
      </c>
      <c r="I709" s="765"/>
      <c r="J709" s="215">
        <v>0</v>
      </c>
      <c r="K709" s="498"/>
      <c r="L709" s="766"/>
      <c r="M709" s="189"/>
      <c r="N709" s="766"/>
      <c r="O709" s="498"/>
      <c r="P709" s="49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</row>
    <row r="710" spans="1:26" ht="18.75">
      <c r="A710" s="744"/>
      <c r="B710" s="763"/>
      <c r="C710" s="763"/>
      <c r="D710" s="763"/>
      <c r="E710" s="763"/>
      <c r="F710" s="763"/>
      <c r="G710" s="189"/>
      <c r="H710" s="764" t="s">
        <v>46</v>
      </c>
      <c r="I710" s="765"/>
      <c r="J710" s="215">
        <v>0</v>
      </c>
      <c r="K710" s="498"/>
      <c r="L710" s="766"/>
      <c r="M710" s="189"/>
      <c r="N710" s="766"/>
      <c r="O710" s="498"/>
      <c r="P710" s="49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</row>
    <row r="711" spans="1:26" ht="18.75">
      <c r="A711" s="744"/>
      <c r="B711" s="763"/>
      <c r="C711" s="763"/>
      <c r="D711" s="763"/>
      <c r="E711" s="763" t="s">
        <v>302</v>
      </c>
      <c r="F711" s="763"/>
      <c r="G711" s="189"/>
      <c r="H711" s="762"/>
      <c r="I711" s="765"/>
      <c r="J711" s="270"/>
      <c r="K711" s="498"/>
      <c r="L711" s="766"/>
      <c r="M711" s="189"/>
      <c r="N711" s="766"/>
      <c r="O711" s="498"/>
      <c r="P711" s="49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</row>
    <row r="712" spans="1:26" ht="18.75">
      <c r="A712" s="744"/>
      <c r="B712" s="763"/>
      <c r="C712" s="763"/>
      <c r="D712" s="763"/>
      <c r="E712" s="763"/>
      <c r="F712" s="763" t="s">
        <v>303</v>
      </c>
      <c r="G712" s="189"/>
      <c r="H712" s="764" t="s">
        <v>35</v>
      </c>
      <c r="I712" s="765"/>
      <c r="J712" s="215">
        <v>0</v>
      </c>
      <c r="K712" s="498"/>
      <c r="L712" s="766"/>
      <c r="M712" s="189"/>
      <c r="N712" s="766"/>
      <c r="O712" s="498"/>
      <c r="P712" s="49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</row>
    <row r="713" spans="1:26" ht="18.75">
      <c r="A713" s="744"/>
      <c r="B713" s="763"/>
      <c r="C713" s="763"/>
      <c r="D713" s="763"/>
      <c r="E713" s="763"/>
      <c r="F713" s="763"/>
      <c r="G713" s="189"/>
      <c r="H713" s="764" t="s">
        <v>34</v>
      </c>
      <c r="I713" s="765"/>
      <c r="J713" s="215">
        <v>0</v>
      </c>
      <c r="K713" s="498"/>
      <c r="L713" s="766"/>
      <c r="M713" s="189"/>
      <c r="N713" s="766"/>
      <c r="O713" s="498"/>
      <c r="P713" s="49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</row>
    <row r="714" spans="1:26" ht="18.75">
      <c r="A714" s="744"/>
      <c r="B714" s="763"/>
      <c r="C714" s="763"/>
      <c r="D714" s="763"/>
      <c r="E714" s="763"/>
      <c r="F714" s="763"/>
      <c r="G714" s="189"/>
      <c r="H714" s="764" t="s">
        <v>46</v>
      </c>
      <c r="I714" s="765"/>
      <c r="J714" s="215">
        <v>0</v>
      </c>
      <c r="K714" s="498"/>
      <c r="L714" s="766"/>
      <c r="M714" s="189"/>
      <c r="N714" s="766"/>
      <c r="O714" s="498"/>
      <c r="P714" s="49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</row>
    <row r="715" spans="1:26" ht="18.75">
      <c r="A715" s="744"/>
      <c r="B715" s="763"/>
      <c r="C715" s="763"/>
      <c r="D715" s="763"/>
      <c r="E715" s="763"/>
      <c r="F715" s="763" t="s">
        <v>304</v>
      </c>
      <c r="G715" s="189"/>
      <c r="H715" s="764" t="s">
        <v>35</v>
      </c>
      <c r="I715" s="765"/>
      <c r="J715" s="215">
        <v>0</v>
      </c>
      <c r="K715" s="498"/>
      <c r="L715" s="766"/>
      <c r="M715" s="189"/>
      <c r="N715" s="766"/>
      <c r="O715" s="498"/>
      <c r="P715" s="49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</row>
    <row r="716" spans="1:26" ht="18.75">
      <c r="A716" s="744"/>
      <c r="B716" s="763"/>
      <c r="C716" s="763"/>
      <c r="D716" s="763"/>
      <c r="E716" s="763"/>
      <c r="F716" s="763"/>
      <c r="G716" s="189"/>
      <c r="H716" s="764" t="s">
        <v>34</v>
      </c>
      <c r="I716" s="765"/>
      <c r="J716" s="215">
        <v>0</v>
      </c>
      <c r="K716" s="498"/>
      <c r="L716" s="766"/>
      <c r="M716" s="189"/>
      <c r="N716" s="766"/>
      <c r="O716" s="498"/>
      <c r="P716" s="49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</row>
    <row r="717" spans="1:26" ht="18.75">
      <c r="A717" s="744"/>
      <c r="B717" s="763"/>
      <c r="C717" s="763"/>
      <c r="D717" s="763"/>
      <c r="E717" s="763"/>
      <c r="F717" s="763"/>
      <c r="G717" s="189"/>
      <c r="H717" s="764" t="s">
        <v>46</v>
      </c>
      <c r="I717" s="765"/>
      <c r="J717" s="215">
        <v>0</v>
      </c>
      <c r="K717" s="498"/>
      <c r="L717" s="766"/>
      <c r="M717" s="189"/>
      <c r="N717" s="766"/>
      <c r="O717" s="498"/>
      <c r="P717" s="49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</row>
    <row r="718" spans="1:26" ht="18.75">
      <c r="A718" s="744"/>
      <c r="B718" s="763"/>
      <c r="C718" s="763"/>
      <c r="D718" s="763" t="s">
        <v>305</v>
      </c>
      <c r="E718" s="763"/>
      <c r="F718" s="763"/>
      <c r="G718" s="189"/>
      <c r="H718" s="764" t="s">
        <v>35</v>
      </c>
      <c r="I718" s="765"/>
      <c r="J718" s="270">
        <f ca="1">IFERROR(__xludf.DUMMYFUNCTION("IMPORTRANGE(""https://docs.google.com/spreadsheets/d/1XWAQStnk-4SwqDmLtmXYiTMKHgktTP8We1SCoS47DrQ/edit?usp=sharing"",""จัดที่ดิน!BF43"")"),0)</f>
        <v>0</v>
      </c>
      <c r="K718" s="498"/>
      <c r="L718" s="498"/>
      <c r="M718" s="189"/>
      <c r="N718" s="766"/>
      <c r="O718" s="498"/>
      <c r="P718" s="49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</row>
    <row r="719" spans="1:26" ht="18.75">
      <c r="A719" s="744"/>
      <c r="B719" s="763"/>
      <c r="C719" s="763"/>
      <c r="D719" s="763"/>
      <c r="E719" s="763"/>
      <c r="F719" s="763"/>
      <c r="G719" s="189"/>
      <c r="H719" s="764" t="s">
        <v>34</v>
      </c>
      <c r="I719" s="765"/>
      <c r="J719" s="270">
        <f ca="1">IFERROR(__xludf.DUMMYFUNCTION("IMPORTRANGE(""https://docs.google.com/spreadsheets/d/1XWAQStnk-4SwqDmLtmXYiTMKHgktTP8We1SCoS47DrQ/edit?usp=sharing"",""จัดที่ดิน!BG43"")"),0)</f>
        <v>0</v>
      </c>
      <c r="K719" s="498"/>
      <c r="L719" s="766"/>
      <c r="M719" s="189"/>
      <c r="N719" s="766"/>
      <c r="O719" s="498"/>
      <c r="P719" s="49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</row>
    <row r="720" spans="1:26" ht="18.75">
      <c r="A720" s="744"/>
      <c r="B720" s="763"/>
      <c r="C720" s="763"/>
      <c r="D720" s="763"/>
      <c r="E720" s="763"/>
      <c r="F720" s="763"/>
      <c r="G720" s="189"/>
      <c r="H720" s="764" t="s">
        <v>46</v>
      </c>
      <c r="I720" s="765">
        <f ca="1">IFERROR(__xludf.DUMMYFUNCTION("IMPORTRANGE(""https://docs.google.com/spreadsheets/d/1QqKyyYR6Q21VydFLVH3TRQUabQu_ym0Zz7PgGX0-kHA/edit?usp=sharing"",""แผน!II43"")"),0)</f>
        <v>0</v>
      </c>
      <c r="J720" s="270">
        <f ca="1">IFERROR(__xludf.DUMMYFUNCTION("IMPORTRANGE(""https://docs.google.com/spreadsheets/d/1XWAQStnk-4SwqDmLtmXYiTMKHgktTP8We1SCoS47DrQ/edit?usp=sharing"",""จัดที่ดิน!BH43"")"),0)</f>
        <v>0</v>
      </c>
      <c r="K720" s="498">
        <f t="shared" ref="K720:K723" ca="1" si="291">IF(I720&gt;0,J720*100/I720,0)</f>
        <v>0</v>
      </c>
      <c r="L720" s="766"/>
      <c r="M720" s="189"/>
      <c r="N720" s="766"/>
      <c r="O720" s="498"/>
      <c r="P720" s="49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</row>
    <row r="721" spans="1:26" ht="19.5">
      <c r="A721" s="744"/>
      <c r="B721" s="763"/>
      <c r="C721" s="763"/>
      <c r="D721" s="763" t="s">
        <v>306</v>
      </c>
      <c r="E721" s="763"/>
      <c r="F721" s="763"/>
      <c r="G721" s="189"/>
      <c r="H721" s="767" t="s">
        <v>35</v>
      </c>
      <c r="I721" s="768">
        <f ca="1">IFERROR(__xludf.DUMMYFUNCTION("IMPORTRANGE(""https://docs.google.com/spreadsheets/d/1QqKyyYR6Q21VydFLVH3TRQUabQu_ym0Zz7PgGX0-kHA/edit?usp=sharing"",""แผน!IJ43"")"),2)</f>
        <v>2</v>
      </c>
      <c r="J721" s="681">
        <f ca="1">J723+J726</f>
        <v>0</v>
      </c>
      <c r="K721" s="195">
        <f t="shared" ca="1" si="291"/>
        <v>0</v>
      </c>
      <c r="L721" s="766"/>
      <c r="M721" s="189"/>
      <c r="N721" s="766"/>
      <c r="O721" s="498"/>
      <c r="P721" s="49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</row>
    <row r="722" spans="1:26" ht="19.5">
      <c r="A722" s="744"/>
      <c r="B722" s="763"/>
      <c r="C722" s="763"/>
      <c r="D722" s="763"/>
      <c r="E722" s="763"/>
      <c r="F722" s="763"/>
      <c r="G722" s="189"/>
      <c r="H722" s="767" t="s">
        <v>46</v>
      </c>
      <c r="I722" s="768">
        <f ca="1">IFERROR(__xludf.DUMMYFUNCTION("IMPORTRANGE(""https://docs.google.com/spreadsheets/d/1QqKyyYR6Q21VydFLVH3TRQUabQu_ym0Zz7PgGX0-kHA/edit?usp=sharing"",""แผน!IK43"")"),12)</f>
        <v>12</v>
      </c>
      <c r="J722" s="681">
        <f ca="1">J725+J728</f>
        <v>0</v>
      </c>
      <c r="K722" s="195">
        <f t="shared" ca="1" si="291"/>
        <v>0</v>
      </c>
      <c r="L722" s="498"/>
      <c r="M722" s="189"/>
      <c r="N722" s="766"/>
      <c r="O722" s="498"/>
      <c r="P722" s="49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</row>
    <row r="723" spans="1:26" ht="18.75">
      <c r="A723" s="744"/>
      <c r="B723" s="763"/>
      <c r="C723" s="763"/>
      <c r="D723" s="763"/>
      <c r="E723" s="763" t="s">
        <v>307</v>
      </c>
      <c r="F723" s="763"/>
      <c r="G723" s="189"/>
      <c r="H723" s="764" t="s">
        <v>35</v>
      </c>
      <c r="I723" s="765">
        <f ca="1">IFERROR(__xludf.DUMMYFUNCTION("IMPORTRANGE(""https://docs.google.com/spreadsheets/d/1QqKyyYR6Q21VydFLVH3TRQUabQu_ym0Zz7PgGX0-kHA/edit?usp=sharing"",""แผน!IL43"")"),2)</f>
        <v>2</v>
      </c>
      <c r="J723" s="270">
        <f ca="1">IFERROR(__xludf.DUMMYFUNCTION("IMPORTRANGE(""https://docs.google.com/spreadsheets/d/1XWAQStnk-4SwqDmLtmXYiTMKHgktTP8We1SCoS47DrQ/edit?usp=sharing"",""จัดที่ดิน!BM43"")"),0)</f>
        <v>0</v>
      </c>
      <c r="K723" s="498">
        <f t="shared" ca="1" si="291"/>
        <v>0</v>
      </c>
      <c r="L723" s="498"/>
      <c r="M723" s="189"/>
      <c r="N723" s="766"/>
      <c r="O723" s="498"/>
      <c r="P723" s="49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</row>
    <row r="724" spans="1:26" ht="18.75">
      <c r="A724" s="744"/>
      <c r="B724" s="763"/>
      <c r="C724" s="763"/>
      <c r="D724" s="763"/>
      <c r="E724" s="763"/>
      <c r="F724" s="763"/>
      <c r="G724" s="189"/>
      <c r="H724" s="764" t="s">
        <v>34</v>
      </c>
      <c r="I724" s="765"/>
      <c r="J724" s="270">
        <f ca="1">IFERROR(__xludf.DUMMYFUNCTION("IMPORTRANGE(""https://docs.google.com/spreadsheets/d/1XWAQStnk-4SwqDmLtmXYiTMKHgktTP8We1SCoS47DrQ/edit?usp=sharing"",""จัดที่ดิน!BN43"")"),0)</f>
        <v>0</v>
      </c>
      <c r="K724" s="498"/>
      <c r="L724" s="766"/>
      <c r="M724" s="189"/>
      <c r="N724" s="766"/>
      <c r="O724" s="498"/>
      <c r="P724" s="49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</row>
    <row r="725" spans="1:26" ht="18.75">
      <c r="A725" s="744"/>
      <c r="B725" s="763"/>
      <c r="C725" s="763"/>
      <c r="D725" s="763"/>
      <c r="E725" s="763"/>
      <c r="F725" s="763"/>
      <c r="G725" s="189"/>
      <c r="H725" s="764" t="s">
        <v>46</v>
      </c>
      <c r="I725" s="765">
        <f ca="1">IFERROR(__xludf.DUMMYFUNCTION("IMPORTRANGE(""https://docs.google.com/spreadsheets/d/1QqKyyYR6Q21VydFLVH3TRQUabQu_ym0Zz7PgGX0-kHA/edit?usp=sharing"",""แผน!IM43"")"),12)</f>
        <v>12</v>
      </c>
      <c r="J725" s="270">
        <f ca="1">IFERROR(__xludf.DUMMYFUNCTION("IMPORTRANGE(""https://docs.google.com/spreadsheets/d/1XWAQStnk-4SwqDmLtmXYiTMKHgktTP8We1SCoS47DrQ/edit?usp=sharing"",""จัดที่ดิน!BO43"")"),0)</f>
        <v>0</v>
      </c>
      <c r="K725" s="498">
        <f t="shared" ref="K725:K726" ca="1" si="292">IF(I725&gt;0,J725*100/I725,0)</f>
        <v>0</v>
      </c>
      <c r="L725" s="766"/>
      <c r="M725" s="189"/>
      <c r="N725" s="766"/>
      <c r="O725" s="498"/>
      <c r="P725" s="49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</row>
    <row r="726" spans="1:26" ht="18.75">
      <c r="A726" s="744"/>
      <c r="B726" s="763"/>
      <c r="C726" s="763"/>
      <c r="D726" s="763"/>
      <c r="E726" s="763" t="s">
        <v>308</v>
      </c>
      <c r="F726" s="763"/>
      <c r="G726" s="189"/>
      <c r="H726" s="764" t="s">
        <v>35</v>
      </c>
      <c r="I726" s="765">
        <f ca="1">IFERROR(__xludf.DUMMYFUNCTION("IMPORTRANGE(""https://docs.google.com/spreadsheets/d/1QqKyyYR6Q21VydFLVH3TRQUabQu_ym0Zz7PgGX0-kHA/edit?usp=sharing"",""แผน!IN43"")"),0)</f>
        <v>0</v>
      </c>
      <c r="J726" s="270">
        <f ca="1">IFERROR(__xludf.DUMMYFUNCTION("IMPORTRANGE(""https://docs.google.com/spreadsheets/d/1XWAQStnk-4SwqDmLtmXYiTMKHgktTP8We1SCoS47DrQ/edit?usp=sharing"",""จัดที่ดิน!BR43"")"),0)</f>
        <v>0</v>
      </c>
      <c r="K726" s="498">
        <f t="shared" ca="1" si="292"/>
        <v>0</v>
      </c>
      <c r="L726" s="498"/>
      <c r="M726" s="189"/>
      <c r="N726" s="766"/>
      <c r="O726" s="498"/>
      <c r="P726" s="49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</row>
    <row r="727" spans="1:26" ht="18.75">
      <c r="A727" s="744"/>
      <c r="B727" s="763"/>
      <c r="C727" s="763"/>
      <c r="D727" s="763"/>
      <c r="E727" s="763"/>
      <c r="F727" s="763"/>
      <c r="G727" s="189"/>
      <c r="H727" s="764" t="s">
        <v>34</v>
      </c>
      <c r="I727" s="765"/>
      <c r="J727" s="270">
        <f ca="1">IFERROR(__xludf.DUMMYFUNCTION("IMPORTRANGE(""https://docs.google.com/spreadsheets/d/1XWAQStnk-4SwqDmLtmXYiTMKHgktTP8We1SCoS47DrQ/edit?usp=sharing"",""จัดที่ดิน!BS43"")"),0)</f>
        <v>0</v>
      </c>
      <c r="K727" s="498"/>
      <c r="L727" s="766"/>
      <c r="M727" s="189"/>
      <c r="N727" s="766"/>
      <c r="O727" s="498"/>
      <c r="P727" s="49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</row>
    <row r="728" spans="1:26" ht="18.75">
      <c r="A728" s="744"/>
      <c r="B728" s="763"/>
      <c r="C728" s="763"/>
      <c r="D728" s="763"/>
      <c r="E728" s="763"/>
      <c r="F728" s="763"/>
      <c r="G728" s="189"/>
      <c r="H728" s="764" t="s">
        <v>46</v>
      </c>
      <c r="I728" s="765">
        <f ca="1">IFERROR(__xludf.DUMMYFUNCTION("IMPORTRANGE(""https://docs.google.com/spreadsheets/d/1QqKyyYR6Q21VydFLVH3TRQUabQu_ym0Zz7PgGX0-kHA/edit?usp=sharing"",""แผน!IO43"")"),0)</f>
        <v>0</v>
      </c>
      <c r="J728" s="270">
        <f ca="1">IFERROR(__xludf.DUMMYFUNCTION("IMPORTRANGE(""https://docs.google.com/spreadsheets/d/1XWAQStnk-4SwqDmLtmXYiTMKHgktTP8We1SCoS47DrQ/edit?usp=sharing"",""จัดที่ดิน!BT43"")"),0)</f>
        <v>0</v>
      </c>
      <c r="K728" s="498">
        <f t="shared" ref="K728:K729" ca="1" si="293">IF(I728&gt;0,J728*100/I728,0)</f>
        <v>0</v>
      </c>
      <c r="L728" s="766"/>
      <c r="M728" s="189"/>
      <c r="N728" s="766"/>
      <c r="O728" s="498"/>
      <c r="P728" s="49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</row>
    <row r="729" spans="1:26" ht="19.5">
      <c r="A729" s="744"/>
      <c r="B729" s="763"/>
      <c r="C729" s="763"/>
      <c r="D729" s="763" t="s">
        <v>309</v>
      </c>
      <c r="E729" s="763"/>
      <c r="F729" s="763"/>
      <c r="G729" s="189"/>
      <c r="H729" s="767" t="s">
        <v>46</v>
      </c>
      <c r="I729" s="768">
        <f ca="1">IFERROR(__xludf.DUMMYFUNCTION("IMPORTRANGE(""https://docs.google.com/spreadsheets/d/1QqKyyYR6Q21VydFLVH3TRQUabQu_ym0Zz7PgGX0-kHA/edit?usp=sharing"",""แผน!IP43"")"),0)</f>
        <v>0</v>
      </c>
      <c r="J729" s="681">
        <f>J732+J735</f>
        <v>0</v>
      </c>
      <c r="K729" s="195">
        <f t="shared" ca="1" si="293"/>
        <v>0</v>
      </c>
      <c r="L729" s="498"/>
      <c r="M729" s="189"/>
      <c r="N729" s="766"/>
      <c r="O729" s="498"/>
      <c r="P729" s="49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</row>
    <row r="730" spans="1:26" ht="18.75">
      <c r="A730" s="744"/>
      <c r="B730" s="763"/>
      <c r="C730" s="763"/>
      <c r="D730" s="763"/>
      <c r="E730" s="763" t="s">
        <v>310</v>
      </c>
      <c r="F730" s="763"/>
      <c r="G730" s="189"/>
      <c r="H730" s="764" t="s">
        <v>35</v>
      </c>
      <c r="I730" s="765"/>
      <c r="J730" s="215">
        <v>0</v>
      </c>
      <c r="K730" s="498"/>
      <c r="L730" s="766"/>
      <c r="M730" s="498"/>
      <c r="N730" s="766"/>
      <c r="O730" s="498"/>
      <c r="P730" s="49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</row>
    <row r="731" spans="1:26" ht="18.75">
      <c r="A731" s="744"/>
      <c r="B731" s="763"/>
      <c r="C731" s="763"/>
      <c r="D731" s="763"/>
      <c r="E731" s="763"/>
      <c r="F731" s="763"/>
      <c r="G731" s="189"/>
      <c r="H731" s="764" t="s">
        <v>34</v>
      </c>
      <c r="I731" s="765"/>
      <c r="J731" s="215">
        <v>0</v>
      </c>
      <c r="K731" s="498"/>
      <c r="L731" s="766"/>
      <c r="M731" s="498"/>
      <c r="N731" s="766"/>
      <c r="O731" s="498"/>
      <c r="P731" s="49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</row>
    <row r="732" spans="1:26" ht="18.75">
      <c r="A732" s="744"/>
      <c r="B732" s="763"/>
      <c r="C732" s="763"/>
      <c r="D732" s="763"/>
      <c r="E732" s="763"/>
      <c r="F732" s="763"/>
      <c r="G732" s="189"/>
      <c r="H732" s="764" t="s">
        <v>46</v>
      </c>
      <c r="I732" s="765"/>
      <c r="J732" s="215">
        <v>0</v>
      </c>
      <c r="K732" s="498"/>
      <c r="L732" s="766"/>
      <c r="M732" s="498"/>
      <c r="N732" s="766"/>
      <c r="O732" s="498"/>
      <c r="P732" s="49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</row>
    <row r="733" spans="1:26" ht="18.75">
      <c r="A733" s="744"/>
      <c r="B733" s="763"/>
      <c r="C733" s="763"/>
      <c r="D733" s="763"/>
      <c r="E733" s="763" t="s">
        <v>311</v>
      </c>
      <c r="F733" s="763"/>
      <c r="G733" s="189"/>
      <c r="H733" s="764" t="s">
        <v>35</v>
      </c>
      <c r="I733" s="765"/>
      <c r="J733" s="215">
        <v>0</v>
      </c>
      <c r="K733" s="498"/>
      <c r="L733" s="766"/>
      <c r="M733" s="498"/>
      <c r="N733" s="766"/>
      <c r="O733" s="498"/>
      <c r="P733" s="49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</row>
    <row r="734" spans="1:26" ht="18.75">
      <c r="A734" s="744"/>
      <c r="B734" s="763"/>
      <c r="C734" s="763"/>
      <c r="D734" s="763"/>
      <c r="E734" s="763"/>
      <c r="F734" s="763"/>
      <c r="G734" s="189"/>
      <c r="H734" s="764" t="s">
        <v>34</v>
      </c>
      <c r="I734" s="765"/>
      <c r="J734" s="215">
        <v>0</v>
      </c>
      <c r="K734" s="498"/>
      <c r="L734" s="766"/>
      <c r="M734" s="498"/>
      <c r="N734" s="766"/>
      <c r="O734" s="498"/>
      <c r="P734" s="49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</row>
    <row r="735" spans="1:26" ht="19.5">
      <c r="A735" s="770"/>
      <c r="B735" s="771" t="s">
        <v>312</v>
      </c>
      <c r="C735" s="734"/>
      <c r="D735" s="734"/>
      <c r="E735" s="734"/>
      <c r="F735" s="734"/>
      <c r="G735" s="735"/>
      <c r="H735" s="422" t="s">
        <v>46</v>
      </c>
      <c r="I735" s="772"/>
      <c r="J735" s="424">
        <v>0</v>
      </c>
      <c r="K735" s="507"/>
      <c r="L735" s="773"/>
      <c r="M735" s="507"/>
      <c r="N735" s="773"/>
      <c r="O735" s="507"/>
      <c r="P735" s="507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</row>
    <row r="736" spans="1:26" ht="19.5" hidden="1">
      <c r="A736" s="774">
        <v>9</v>
      </c>
      <c r="B736" s="775" t="s">
        <v>313</v>
      </c>
      <c r="C736" s="776"/>
      <c r="D736" s="776"/>
      <c r="E736" s="776"/>
      <c r="F736" s="776"/>
      <c r="G736" s="777"/>
      <c r="H736" s="778" t="s">
        <v>46</v>
      </c>
      <c r="I736" s="779"/>
      <c r="J736" s="779">
        <f>J751</f>
        <v>0</v>
      </c>
      <c r="K736" s="780">
        <f>IF(I736&gt;0,J736*100/I736,0)</f>
        <v>0</v>
      </c>
      <c r="L736" s="781"/>
      <c r="M736" s="781"/>
      <c r="N736" s="781"/>
      <c r="O736" s="781"/>
      <c r="P736" s="781"/>
      <c r="Q736" s="604"/>
      <c r="R736" s="604"/>
      <c r="S736" s="604"/>
      <c r="T736" s="604"/>
      <c r="U736" s="604"/>
      <c r="V736" s="604"/>
      <c r="W736" s="604"/>
      <c r="X736" s="604"/>
      <c r="Y736" s="604"/>
      <c r="Z736" s="604"/>
    </row>
    <row r="737" spans="1:26" ht="19.5" hidden="1">
      <c r="A737" s="599"/>
      <c r="B737" s="759"/>
      <c r="C737" s="759" t="s">
        <v>16</v>
      </c>
      <c r="D737" s="864" t="s">
        <v>17</v>
      </c>
      <c r="E737" s="857"/>
      <c r="F737" s="857"/>
      <c r="G737" s="603"/>
      <c r="H737" s="646" t="s">
        <v>12</v>
      </c>
      <c r="I737" s="617"/>
      <c r="J737" s="617"/>
      <c r="K737" s="93"/>
      <c r="L737" s="647">
        <f t="shared" ref="L737:N737" si="294">L738+L739</f>
        <v>0</v>
      </c>
      <c r="M737" s="647">
        <f t="shared" si="294"/>
        <v>0</v>
      </c>
      <c r="N737" s="647">
        <f t="shared" si="294"/>
        <v>0</v>
      </c>
      <c r="O737" s="647">
        <f t="shared" ref="O737:O742" si="295">IF(L737&gt;0,N737*100/L737,0)</f>
        <v>0</v>
      </c>
      <c r="P737" s="647">
        <f t="shared" ref="P737:P742" si="296">IF(M737&gt;0,N737*100/M737,0)</f>
        <v>0</v>
      </c>
      <c r="Q737" s="604"/>
      <c r="R737" s="604"/>
      <c r="S737" s="604"/>
      <c r="T737" s="604"/>
      <c r="U737" s="604"/>
      <c r="V737" s="604"/>
      <c r="W737" s="604"/>
      <c r="X737" s="604"/>
      <c r="Y737" s="604"/>
      <c r="Z737" s="604"/>
    </row>
    <row r="738" spans="1:26" ht="18.75" hidden="1">
      <c r="A738" s="599"/>
      <c r="B738" s="759"/>
      <c r="C738" s="759"/>
      <c r="D738" s="720"/>
      <c r="E738" s="759" t="s">
        <v>185</v>
      </c>
      <c r="F738" s="759"/>
      <c r="G738" s="603"/>
      <c r="H738" s="165" t="s">
        <v>12</v>
      </c>
      <c r="I738" s="617"/>
      <c r="J738" s="617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4"/>
      <c r="R738" s="604"/>
      <c r="S738" s="604"/>
      <c r="T738" s="604"/>
      <c r="U738" s="604"/>
      <c r="V738" s="604"/>
      <c r="W738" s="604"/>
      <c r="X738" s="604"/>
      <c r="Y738" s="604"/>
      <c r="Z738" s="604"/>
    </row>
    <row r="739" spans="1:26" ht="18.75" hidden="1">
      <c r="A739" s="599"/>
      <c r="B739" s="607"/>
      <c r="C739" s="759"/>
      <c r="D739" s="720"/>
      <c r="E739" s="759" t="s">
        <v>186</v>
      </c>
      <c r="F739" s="759"/>
      <c r="G739" s="603"/>
      <c r="H739" s="165" t="s">
        <v>12</v>
      </c>
      <c r="I739" s="617"/>
      <c r="J739" s="617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4"/>
      <c r="R739" s="604"/>
      <c r="S739" s="604"/>
      <c r="T739" s="604"/>
      <c r="U739" s="604"/>
      <c r="V739" s="604"/>
      <c r="W739" s="604"/>
      <c r="X739" s="604"/>
      <c r="Y739" s="604"/>
      <c r="Z739" s="604"/>
    </row>
    <row r="740" spans="1:26" ht="19.5" hidden="1">
      <c r="A740" s="599"/>
      <c r="B740" s="607"/>
      <c r="C740" s="759"/>
      <c r="D740" s="645" t="s">
        <v>20</v>
      </c>
      <c r="E740" s="759"/>
      <c r="F740" s="759"/>
      <c r="G740" s="603"/>
      <c r="H740" s="646" t="s">
        <v>12</v>
      </c>
      <c r="I740" s="166"/>
      <c r="J740" s="166"/>
      <c r="K740" s="167"/>
      <c r="L740" s="647">
        <f t="shared" ref="L740:N740" si="298">L741+L742</f>
        <v>0</v>
      </c>
      <c r="M740" s="647">
        <f t="shared" si="298"/>
        <v>0</v>
      </c>
      <c r="N740" s="647">
        <f t="shared" si="298"/>
        <v>0</v>
      </c>
      <c r="O740" s="647">
        <f t="shared" si="295"/>
        <v>0</v>
      </c>
      <c r="P740" s="647">
        <f t="shared" si="296"/>
        <v>0</v>
      </c>
      <c r="Q740" s="604"/>
      <c r="R740" s="604"/>
      <c r="S740" s="604"/>
      <c r="T740" s="604"/>
      <c r="U740" s="604"/>
      <c r="V740" s="604"/>
      <c r="W740" s="604"/>
      <c r="X740" s="604"/>
      <c r="Y740" s="604"/>
      <c r="Z740" s="604"/>
    </row>
    <row r="741" spans="1:26" ht="18.75" hidden="1">
      <c r="A741" s="599"/>
      <c r="B741" s="607"/>
      <c r="C741" s="759"/>
      <c r="D741" s="720"/>
      <c r="E741" s="759" t="s">
        <v>185</v>
      </c>
      <c r="F741" s="759"/>
      <c r="G741" s="603"/>
      <c r="H741" s="165" t="s">
        <v>12</v>
      </c>
      <c r="I741" s="617"/>
      <c r="J741" s="617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4"/>
      <c r="R741" s="604"/>
      <c r="S741" s="604"/>
      <c r="T741" s="604"/>
      <c r="U741" s="604"/>
      <c r="V741" s="604"/>
      <c r="W741" s="604"/>
      <c r="X741" s="604"/>
      <c r="Y741" s="604"/>
      <c r="Z741" s="604"/>
    </row>
    <row r="742" spans="1:26" ht="18.75" hidden="1">
      <c r="A742" s="599"/>
      <c r="B742" s="607"/>
      <c r="C742" s="759"/>
      <c r="D742" s="720"/>
      <c r="E742" s="759" t="s">
        <v>186</v>
      </c>
      <c r="F742" s="759"/>
      <c r="G742" s="603"/>
      <c r="H742" s="165" t="s">
        <v>12</v>
      </c>
      <c r="I742" s="617"/>
      <c r="J742" s="617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4"/>
      <c r="R742" s="604"/>
      <c r="S742" s="604"/>
      <c r="T742" s="604"/>
      <c r="U742" s="604"/>
      <c r="V742" s="604"/>
      <c r="W742" s="604"/>
      <c r="X742" s="604"/>
      <c r="Y742" s="604"/>
      <c r="Z742" s="604"/>
    </row>
    <row r="743" spans="1:26" ht="18.75" hidden="1">
      <c r="A743" s="649"/>
      <c r="B743" s="607"/>
      <c r="C743" s="759"/>
      <c r="D743" s="759"/>
      <c r="E743" s="759"/>
      <c r="F743" s="759" t="s">
        <v>187</v>
      </c>
      <c r="G743" s="603"/>
      <c r="H743" s="165" t="s">
        <v>12</v>
      </c>
      <c r="I743" s="617"/>
      <c r="J743" s="617"/>
      <c r="K743" s="93"/>
      <c r="L743" s="93"/>
      <c r="M743" s="93"/>
      <c r="N743" s="93"/>
      <c r="O743" s="93"/>
      <c r="P743" s="93"/>
      <c r="Q743" s="604"/>
      <c r="R743" s="604"/>
      <c r="S743" s="604"/>
      <c r="T743" s="604"/>
      <c r="U743" s="604"/>
      <c r="V743" s="604"/>
      <c r="W743" s="604"/>
      <c r="X743" s="604"/>
      <c r="Y743" s="604"/>
      <c r="Z743" s="604"/>
    </row>
    <row r="744" spans="1:26" ht="18.75" hidden="1">
      <c r="A744" s="649"/>
      <c r="B744" s="607"/>
      <c r="C744" s="759"/>
      <c r="D744" s="759"/>
      <c r="E744" s="759"/>
      <c r="F744" s="759" t="s">
        <v>188</v>
      </c>
      <c r="G744" s="603"/>
      <c r="H744" s="165" t="s">
        <v>12</v>
      </c>
      <c r="I744" s="617"/>
      <c r="J744" s="617"/>
      <c r="K744" s="93"/>
      <c r="L744" s="93"/>
      <c r="M744" s="93"/>
      <c r="N744" s="93"/>
      <c r="O744" s="93"/>
      <c r="P744" s="93"/>
      <c r="Q744" s="604"/>
      <c r="R744" s="604"/>
      <c r="S744" s="604"/>
      <c r="T744" s="604"/>
      <c r="U744" s="604"/>
      <c r="V744" s="604"/>
      <c r="W744" s="604"/>
      <c r="X744" s="604"/>
      <c r="Y744" s="604"/>
      <c r="Z744" s="604"/>
    </row>
    <row r="745" spans="1:26" ht="18.75" hidden="1">
      <c r="A745" s="649"/>
      <c r="B745" s="607"/>
      <c r="C745" s="759"/>
      <c r="D745" s="759"/>
      <c r="E745" s="759"/>
      <c r="F745" s="759" t="s">
        <v>189</v>
      </c>
      <c r="G745" s="603"/>
      <c r="H745" s="165" t="s">
        <v>12</v>
      </c>
      <c r="I745" s="617"/>
      <c r="J745" s="617"/>
      <c r="K745" s="93"/>
      <c r="L745" s="93"/>
      <c r="M745" s="93"/>
      <c r="N745" s="93"/>
      <c r="O745" s="93"/>
      <c r="P745" s="93"/>
      <c r="Q745" s="604"/>
      <c r="R745" s="604"/>
      <c r="S745" s="604"/>
      <c r="T745" s="604"/>
      <c r="U745" s="604"/>
      <c r="V745" s="604"/>
      <c r="W745" s="604"/>
      <c r="X745" s="604"/>
      <c r="Y745" s="604"/>
      <c r="Z745" s="604"/>
    </row>
    <row r="746" spans="1:26" ht="18.75" hidden="1">
      <c r="A746" s="649"/>
      <c r="B746" s="607"/>
      <c r="C746" s="759"/>
      <c r="D746" s="759"/>
      <c r="E746" s="759"/>
      <c r="F746" s="759" t="s">
        <v>190</v>
      </c>
      <c r="G746" s="603"/>
      <c r="H746" s="165" t="s">
        <v>12</v>
      </c>
      <c r="I746" s="617"/>
      <c r="J746" s="617"/>
      <c r="K746" s="93"/>
      <c r="L746" s="93"/>
      <c r="M746" s="93"/>
      <c r="N746" s="93"/>
      <c r="O746" s="93"/>
      <c r="P746" s="93"/>
      <c r="Q746" s="604"/>
      <c r="R746" s="604"/>
      <c r="S746" s="604"/>
      <c r="T746" s="604"/>
      <c r="U746" s="604"/>
      <c r="V746" s="604"/>
      <c r="W746" s="604"/>
      <c r="X746" s="604"/>
      <c r="Y746" s="604"/>
      <c r="Z746" s="604"/>
    </row>
    <row r="747" spans="1:26" ht="19.5" hidden="1">
      <c r="A747" s="599"/>
      <c r="B747" s="607"/>
      <c r="C747" s="759"/>
      <c r="D747" s="645" t="s">
        <v>21</v>
      </c>
      <c r="E747" s="759"/>
      <c r="F747" s="759"/>
      <c r="G747" s="603"/>
      <c r="H747" s="783" t="s">
        <v>12</v>
      </c>
      <c r="I747" s="166"/>
      <c r="J747" s="166"/>
      <c r="K747" s="167"/>
      <c r="L747" s="647">
        <f t="shared" ref="L747:N747" si="299">L748+L749</f>
        <v>0</v>
      </c>
      <c r="M747" s="647">
        <f t="shared" si="299"/>
        <v>0</v>
      </c>
      <c r="N747" s="647">
        <f t="shared" si="299"/>
        <v>0</v>
      </c>
      <c r="O747" s="647">
        <f t="shared" ref="O747:O749" si="300">IF(L747&gt;0,N747*100/L747,0)</f>
        <v>0</v>
      </c>
      <c r="P747" s="647">
        <f t="shared" ref="P747:P749" si="301">IF(M747&gt;0,N747*100/M747,0)</f>
        <v>0</v>
      </c>
      <c r="Q747" s="604"/>
      <c r="R747" s="604"/>
      <c r="S747" s="604"/>
      <c r="T747" s="604"/>
      <c r="U747" s="604"/>
      <c r="V747" s="604"/>
      <c r="W747" s="604"/>
      <c r="X747" s="604"/>
      <c r="Y747" s="604"/>
      <c r="Z747" s="604"/>
    </row>
    <row r="748" spans="1:26" ht="18.75" hidden="1">
      <c r="A748" s="599"/>
      <c r="B748" s="607"/>
      <c r="C748" s="759"/>
      <c r="D748" s="759"/>
      <c r="E748" s="759" t="s">
        <v>18</v>
      </c>
      <c r="F748" s="759"/>
      <c r="G748" s="603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4"/>
      <c r="R748" s="604"/>
      <c r="S748" s="604"/>
      <c r="T748" s="604"/>
      <c r="U748" s="604"/>
      <c r="V748" s="604"/>
      <c r="W748" s="604"/>
      <c r="X748" s="604"/>
      <c r="Y748" s="604"/>
      <c r="Z748" s="604"/>
    </row>
    <row r="749" spans="1:26" ht="18.75" hidden="1">
      <c r="A749" s="599"/>
      <c r="B749" s="607"/>
      <c r="C749" s="759"/>
      <c r="D749" s="759"/>
      <c r="E749" s="759" t="s">
        <v>19</v>
      </c>
      <c r="F749" s="759"/>
      <c r="G749" s="603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4"/>
      <c r="R749" s="604"/>
      <c r="S749" s="604"/>
      <c r="T749" s="604"/>
      <c r="U749" s="604"/>
      <c r="V749" s="604"/>
      <c r="W749" s="604"/>
      <c r="X749" s="604"/>
      <c r="Y749" s="604"/>
      <c r="Z749" s="604"/>
    </row>
    <row r="750" spans="1:26" ht="19.5" hidden="1">
      <c r="A750" s="614"/>
      <c r="B750" s="616"/>
      <c r="C750" s="759" t="s">
        <v>16</v>
      </c>
      <c r="D750" s="899" t="s">
        <v>38</v>
      </c>
      <c r="E750" s="651"/>
      <c r="F750" s="651"/>
      <c r="G750" s="652"/>
      <c r="H750" s="366"/>
      <c r="I750" s="166"/>
      <c r="J750" s="166"/>
      <c r="K750" s="167"/>
      <c r="L750" s="167"/>
      <c r="M750" s="167"/>
      <c r="N750" s="167"/>
      <c r="O750" s="167"/>
      <c r="P750" s="167"/>
      <c r="Q750" s="604"/>
      <c r="R750" s="604"/>
      <c r="S750" s="604"/>
      <c r="T750" s="604"/>
      <c r="U750" s="604"/>
      <c r="V750" s="604"/>
      <c r="W750" s="604"/>
      <c r="X750" s="604"/>
      <c r="Y750" s="604"/>
      <c r="Z750" s="604"/>
    </row>
    <row r="751" spans="1:26" ht="18.75" hidden="1">
      <c r="A751" s="649"/>
      <c r="B751" s="607"/>
      <c r="C751" s="759"/>
      <c r="D751" s="759"/>
      <c r="E751" s="759" t="s">
        <v>314</v>
      </c>
      <c r="F751" s="759"/>
      <c r="G751" s="603"/>
      <c r="H751" s="165" t="s">
        <v>46</v>
      </c>
      <c r="I751" s="617"/>
      <c r="J751" s="617"/>
      <c r="K751" s="93"/>
      <c r="L751" s="93"/>
      <c r="M751" s="93"/>
      <c r="N751" s="93"/>
      <c r="O751" s="93"/>
      <c r="P751" s="93"/>
      <c r="Q751" s="604"/>
      <c r="R751" s="604"/>
      <c r="S751" s="604"/>
      <c r="T751" s="604"/>
      <c r="U751" s="604"/>
      <c r="V751" s="604"/>
      <c r="W751" s="604"/>
      <c r="X751" s="604"/>
      <c r="Y751" s="604"/>
      <c r="Z751" s="604"/>
    </row>
    <row r="752" spans="1:26" ht="18.75" hidden="1">
      <c r="A752" s="649"/>
      <c r="B752" s="607"/>
      <c r="C752" s="759"/>
      <c r="D752" s="759"/>
      <c r="E752" s="759"/>
      <c r="F752" s="759"/>
      <c r="G752" s="603"/>
      <c r="H752" s="165" t="s">
        <v>315</v>
      </c>
      <c r="I752" s="617"/>
      <c r="J752" s="617"/>
      <c r="K752" s="93"/>
      <c r="L752" s="93"/>
      <c r="M752" s="93"/>
      <c r="N752" s="93"/>
      <c r="O752" s="93"/>
      <c r="P752" s="93"/>
      <c r="Q752" s="604"/>
      <c r="R752" s="604"/>
      <c r="S752" s="604"/>
      <c r="T752" s="604"/>
      <c r="U752" s="604"/>
      <c r="V752" s="604"/>
      <c r="W752" s="604"/>
      <c r="X752" s="604"/>
      <c r="Y752" s="604"/>
      <c r="Z752" s="604"/>
    </row>
    <row r="753" spans="1:26" ht="19.5" hidden="1">
      <c r="A753" s="785">
        <v>10</v>
      </c>
      <c r="B753" s="786" t="s">
        <v>316</v>
      </c>
      <c r="C753" s="787"/>
      <c r="D753" s="787"/>
      <c r="E753" s="787"/>
      <c r="F753" s="787"/>
      <c r="G753" s="788"/>
      <c r="H753" s="789" t="s">
        <v>46</v>
      </c>
      <c r="I753" s="790"/>
      <c r="J753" s="790">
        <f>J768</f>
        <v>0</v>
      </c>
      <c r="K753" s="791">
        <f>IF(I753&gt;0,J753*100/I753,0)</f>
        <v>0</v>
      </c>
      <c r="L753" s="792"/>
      <c r="M753" s="792"/>
      <c r="N753" s="792"/>
      <c r="O753" s="792"/>
      <c r="P753" s="792"/>
      <c r="Q753" s="604"/>
      <c r="R753" s="604"/>
      <c r="S753" s="604"/>
      <c r="T753" s="604"/>
      <c r="U753" s="604"/>
      <c r="V753" s="604"/>
      <c r="W753" s="604"/>
      <c r="X753" s="604"/>
      <c r="Y753" s="604"/>
      <c r="Z753" s="604"/>
    </row>
    <row r="754" spans="1:26" ht="19.5" hidden="1">
      <c r="A754" s="599"/>
      <c r="B754" s="759"/>
      <c r="C754" s="759" t="s">
        <v>16</v>
      </c>
      <c r="D754" s="864" t="s">
        <v>17</v>
      </c>
      <c r="E754" s="857"/>
      <c r="F754" s="857"/>
      <c r="G754" s="603"/>
      <c r="H754" s="646" t="s">
        <v>12</v>
      </c>
      <c r="I754" s="617"/>
      <c r="J754" s="617"/>
      <c r="K754" s="93"/>
      <c r="L754" s="647">
        <f t="shared" ref="L754:N754" si="302">L755+L756</f>
        <v>0</v>
      </c>
      <c r="M754" s="647">
        <f t="shared" si="302"/>
        <v>0</v>
      </c>
      <c r="N754" s="647">
        <f t="shared" si="302"/>
        <v>0</v>
      </c>
      <c r="O754" s="647">
        <f t="shared" ref="O754:O759" si="303">IF(L754&gt;0,N754*100/L754,0)</f>
        <v>0</v>
      </c>
      <c r="P754" s="647">
        <f t="shared" ref="P754:P759" si="304">IF(M754&gt;0,N754*100/M754,0)</f>
        <v>0</v>
      </c>
      <c r="Q754" s="604"/>
      <c r="R754" s="604"/>
      <c r="S754" s="604"/>
      <c r="T754" s="604"/>
      <c r="U754" s="604"/>
      <c r="V754" s="604"/>
      <c r="W754" s="604"/>
      <c r="X754" s="604"/>
      <c r="Y754" s="604"/>
      <c r="Z754" s="604"/>
    </row>
    <row r="755" spans="1:26" ht="18.75" hidden="1">
      <c r="A755" s="599"/>
      <c r="B755" s="759"/>
      <c r="C755" s="759"/>
      <c r="D755" s="720"/>
      <c r="E755" s="759" t="s">
        <v>185</v>
      </c>
      <c r="F755" s="759"/>
      <c r="G755" s="603"/>
      <c r="H755" s="165" t="s">
        <v>12</v>
      </c>
      <c r="I755" s="617"/>
      <c r="J755" s="617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4"/>
      <c r="R755" s="604"/>
      <c r="S755" s="604"/>
      <c r="T755" s="604"/>
      <c r="U755" s="604"/>
      <c r="V755" s="604"/>
      <c r="W755" s="604"/>
      <c r="X755" s="604"/>
      <c r="Y755" s="604"/>
      <c r="Z755" s="604"/>
    </row>
    <row r="756" spans="1:26" ht="18.75" hidden="1">
      <c r="A756" s="599"/>
      <c r="B756" s="607"/>
      <c r="C756" s="759"/>
      <c r="D756" s="720"/>
      <c r="E756" s="759" t="s">
        <v>186</v>
      </c>
      <c r="F756" s="759"/>
      <c r="G756" s="603"/>
      <c r="H756" s="165" t="s">
        <v>12</v>
      </c>
      <c r="I756" s="617"/>
      <c r="J756" s="617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4"/>
      <c r="R756" s="604"/>
      <c r="S756" s="604"/>
      <c r="T756" s="604"/>
      <c r="U756" s="604"/>
      <c r="V756" s="604"/>
      <c r="W756" s="604"/>
      <c r="X756" s="604"/>
      <c r="Y756" s="604"/>
      <c r="Z756" s="604"/>
    </row>
    <row r="757" spans="1:26" ht="19.5" hidden="1">
      <c r="A757" s="599"/>
      <c r="B757" s="607"/>
      <c r="C757" s="759"/>
      <c r="D757" s="645" t="s">
        <v>20</v>
      </c>
      <c r="E757" s="759"/>
      <c r="F757" s="759"/>
      <c r="G757" s="603"/>
      <c r="H757" s="646" t="s">
        <v>12</v>
      </c>
      <c r="I757" s="166"/>
      <c r="J757" s="166"/>
      <c r="K757" s="167"/>
      <c r="L757" s="647">
        <f t="shared" ref="L757:N757" si="306">L758+L759</f>
        <v>0</v>
      </c>
      <c r="M757" s="647">
        <f t="shared" si="306"/>
        <v>0</v>
      </c>
      <c r="N757" s="647">
        <f t="shared" si="306"/>
        <v>0</v>
      </c>
      <c r="O757" s="647">
        <f t="shared" si="303"/>
        <v>0</v>
      </c>
      <c r="P757" s="647">
        <f t="shared" si="304"/>
        <v>0</v>
      </c>
      <c r="Q757" s="604"/>
      <c r="R757" s="604"/>
      <c r="S757" s="604"/>
      <c r="T757" s="604"/>
      <c r="U757" s="604"/>
      <c r="V757" s="604"/>
      <c r="W757" s="604"/>
      <c r="X757" s="604"/>
      <c r="Y757" s="604"/>
      <c r="Z757" s="604"/>
    </row>
    <row r="758" spans="1:26" ht="18.75" hidden="1">
      <c r="A758" s="599"/>
      <c r="B758" s="607"/>
      <c r="C758" s="759"/>
      <c r="D758" s="720"/>
      <c r="E758" s="759" t="s">
        <v>185</v>
      </c>
      <c r="F758" s="759"/>
      <c r="G758" s="603"/>
      <c r="H758" s="165" t="s">
        <v>12</v>
      </c>
      <c r="I758" s="617"/>
      <c r="J758" s="617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4"/>
      <c r="R758" s="604"/>
      <c r="S758" s="604"/>
      <c r="T758" s="604"/>
      <c r="U758" s="604"/>
      <c r="V758" s="604"/>
      <c r="W758" s="604"/>
      <c r="X758" s="604"/>
      <c r="Y758" s="604"/>
      <c r="Z758" s="604"/>
    </row>
    <row r="759" spans="1:26" ht="18.75" hidden="1">
      <c r="A759" s="599"/>
      <c r="B759" s="607"/>
      <c r="C759" s="759"/>
      <c r="D759" s="720"/>
      <c r="E759" s="759" t="s">
        <v>186</v>
      </c>
      <c r="F759" s="759"/>
      <c r="G759" s="603"/>
      <c r="H759" s="165" t="s">
        <v>12</v>
      </c>
      <c r="I759" s="617"/>
      <c r="J759" s="617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4"/>
      <c r="R759" s="604"/>
      <c r="S759" s="604"/>
      <c r="T759" s="604"/>
      <c r="U759" s="604"/>
      <c r="V759" s="604"/>
      <c r="W759" s="604"/>
      <c r="X759" s="604"/>
      <c r="Y759" s="604"/>
      <c r="Z759" s="604"/>
    </row>
    <row r="760" spans="1:26" ht="18.75" hidden="1">
      <c r="A760" s="649"/>
      <c r="B760" s="607"/>
      <c r="C760" s="759"/>
      <c r="D760" s="759"/>
      <c r="E760" s="759"/>
      <c r="F760" s="759" t="s">
        <v>187</v>
      </c>
      <c r="G760" s="603"/>
      <c r="H760" s="165" t="s">
        <v>12</v>
      </c>
      <c r="I760" s="617"/>
      <c r="J760" s="617"/>
      <c r="K760" s="93"/>
      <c r="L760" s="93"/>
      <c r="M760" s="93"/>
      <c r="N760" s="93"/>
      <c r="O760" s="93"/>
      <c r="P760" s="93"/>
      <c r="Q760" s="604"/>
      <c r="R760" s="604"/>
      <c r="S760" s="604"/>
      <c r="T760" s="604"/>
      <c r="U760" s="604"/>
      <c r="V760" s="604"/>
      <c r="W760" s="604"/>
      <c r="X760" s="604"/>
      <c r="Y760" s="604"/>
      <c r="Z760" s="604"/>
    </row>
    <row r="761" spans="1:26" ht="18.75" hidden="1">
      <c r="A761" s="649"/>
      <c r="B761" s="607"/>
      <c r="C761" s="759"/>
      <c r="D761" s="759"/>
      <c r="E761" s="759"/>
      <c r="F761" s="759" t="s">
        <v>188</v>
      </c>
      <c r="G761" s="603"/>
      <c r="H761" s="165" t="s">
        <v>12</v>
      </c>
      <c r="I761" s="617"/>
      <c r="J761" s="617"/>
      <c r="K761" s="93"/>
      <c r="L761" s="93"/>
      <c r="M761" s="93"/>
      <c r="N761" s="93"/>
      <c r="O761" s="93"/>
      <c r="P761" s="93"/>
      <c r="Q761" s="604"/>
      <c r="R761" s="604"/>
      <c r="S761" s="604"/>
      <c r="T761" s="604"/>
      <c r="U761" s="604"/>
      <c r="V761" s="604"/>
      <c r="W761" s="604"/>
      <c r="X761" s="604"/>
      <c r="Y761" s="604"/>
      <c r="Z761" s="604"/>
    </row>
    <row r="762" spans="1:26" ht="18.75" hidden="1">
      <c r="A762" s="649"/>
      <c r="B762" s="607"/>
      <c r="C762" s="759"/>
      <c r="D762" s="759"/>
      <c r="E762" s="759"/>
      <c r="F762" s="759" t="s">
        <v>189</v>
      </c>
      <c r="G762" s="603"/>
      <c r="H762" s="165" t="s">
        <v>12</v>
      </c>
      <c r="I762" s="617"/>
      <c r="J762" s="617"/>
      <c r="K762" s="93"/>
      <c r="L762" s="93"/>
      <c r="M762" s="93"/>
      <c r="N762" s="93"/>
      <c r="O762" s="93"/>
      <c r="P762" s="93"/>
      <c r="Q762" s="604"/>
      <c r="R762" s="604"/>
      <c r="S762" s="604"/>
      <c r="T762" s="604"/>
      <c r="U762" s="604"/>
      <c r="V762" s="604"/>
      <c r="W762" s="604"/>
      <c r="X762" s="604"/>
      <c r="Y762" s="604"/>
      <c r="Z762" s="604"/>
    </row>
    <row r="763" spans="1:26" ht="18.75" hidden="1">
      <c r="A763" s="649"/>
      <c r="B763" s="607"/>
      <c r="C763" s="759"/>
      <c r="D763" s="759"/>
      <c r="E763" s="759"/>
      <c r="F763" s="759" t="s">
        <v>190</v>
      </c>
      <c r="G763" s="603"/>
      <c r="H763" s="165" t="s">
        <v>12</v>
      </c>
      <c r="I763" s="617"/>
      <c r="J763" s="617"/>
      <c r="K763" s="93"/>
      <c r="L763" s="93"/>
      <c r="M763" s="93"/>
      <c r="N763" s="93"/>
      <c r="O763" s="93"/>
      <c r="P763" s="93"/>
      <c r="Q763" s="604"/>
      <c r="R763" s="604"/>
      <c r="S763" s="604"/>
      <c r="T763" s="604"/>
      <c r="U763" s="604"/>
      <c r="V763" s="604"/>
      <c r="W763" s="604"/>
      <c r="X763" s="604"/>
      <c r="Y763" s="604"/>
      <c r="Z763" s="604"/>
    </row>
    <row r="764" spans="1:26" ht="19.5" hidden="1">
      <c r="A764" s="599"/>
      <c r="B764" s="607"/>
      <c r="C764" s="759"/>
      <c r="D764" s="645" t="s">
        <v>21</v>
      </c>
      <c r="E764" s="759"/>
      <c r="F764" s="759"/>
      <c r="G764" s="603"/>
      <c r="H764" s="783" t="s">
        <v>12</v>
      </c>
      <c r="I764" s="166"/>
      <c r="J764" s="166"/>
      <c r="K764" s="167"/>
      <c r="L764" s="647">
        <f t="shared" ref="L764:N764" si="307">L765+L766</f>
        <v>0</v>
      </c>
      <c r="M764" s="647">
        <f t="shared" si="307"/>
        <v>0</v>
      </c>
      <c r="N764" s="647">
        <f t="shared" si="307"/>
        <v>0</v>
      </c>
      <c r="O764" s="647">
        <f t="shared" ref="O764:O766" si="308">IF(L764&gt;0,N764*100/L764,0)</f>
        <v>0</v>
      </c>
      <c r="P764" s="647">
        <f t="shared" ref="P764:P766" si="309">IF(M764&gt;0,N764*100/M764,0)</f>
        <v>0</v>
      </c>
      <c r="Q764" s="604"/>
      <c r="R764" s="604"/>
      <c r="S764" s="604"/>
      <c r="T764" s="604"/>
      <c r="U764" s="604"/>
      <c r="V764" s="604"/>
      <c r="W764" s="604"/>
      <c r="X764" s="604"/>
      <c r="Y764" s="604"/>
      <c r="Z764" s="604"/>
    </row>
    <row r="765" spans="1:26" ht="18.75" hidden="1">
      <c r="A765" s="599"/>
      <c r="B765" s="607"/>
      <c r="C765" s="759"/>
      <c r="D765" s="759"/>
      <c r="E765" s="759" t="s">
        <v>18</v>
      </c>
      <c r="F765" s="759"/>
      <c r="G765" s="603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4"/>
      <c r="R765" s="604"/>
      <c r="S765" s="604"/>
      <c r="T765" s="604"/>
      <c r="U765" s="604"/>
      <c r="V765" s="604"/>
      <c r="W765" s="604"/>
      <c r="X765" s="604"/>
      <c r="Y765" s="604"/>
      <c r="Z765" s="604"/>
    </row>
    <row r="766" spans="1:26" ht="18.75" hidden="1">
      <c r="A766" s="599"/>
      <c r="B766" s="607"/>
      <c r="C766" s="759"/>
      <c r="D766" s="759"/>
      <c r="E766" s="759" t="s">
        <v>19</v>
      </c>
      <c r="F766" s="759"/>
      <c r="G766" s="603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4"/>
      <c r="R766" s="604"/>
      <c r="S766" s="604"/>
      <c r="T766" s="604"/>
      <c r="U766" s="604"/>
      <c r="V766" s="604"/>
      <c r="W766" s="604"/>
      <c r="X766" s="604"/>
      <c r="Y766" s="604"/>
      <c r="Z766" s="604"/>
    </row>
    <row r="767" spans="1:26" ht="19.5" hidden="1">
      <c r="A767" s="614"/>
      <c r="B767" s="616"/>
      <c r="C767" s="759" t="s">
        <v>16</v>
      </c>
      <c r="D767" s="899" t="s">
        <v>38</v>
      </c>
      <c r="E767" s="651"/>
      <c r="F767" s="651"/>
      <c r="G767" s="652"/>
      <c r="H767" s="366"/>
      <c r="I767" s="166"/>
      <c r="J767" s="166"/>
      <c r="K767" s="167"/>
      <c r="L767" s="167"/>
      <c r="M767" s="167"/>
      <c r="N767" s="167"/>
      <c r="O767" s="167"/>
      <c r="P767" s="167"/>
      <c r="Q767" s="604"/>
      <c r="R767" s="604"/>
      <c r="S767" s="604"/>
      <c r="T767" s="604"/>
      <c r="U767" s="604"/>
      <c r="V767" s="604"/>
      <c r="W767" s="604"/>
      <c r="X767" s="604"/>
      <c r="Y767" s="604"/>
      <c r="Z767" s="604"/>
    </row>
    <row r="768" spans="1:26" ht="18.75" hidden="1">
      <c r="A768" s="649"/>
      <c r="B768" s="607"/>
      <c r="C768" s="759"/>
      <c r="D768" s="759"/>
      <c r="E768" s="759" t="s">
        <v>317</v>
      </c>
      <c r="F768" s="759"/>
      <c r="G768" s="603"/>
      <c r="H768" s="165" t="s">
        <v>46</v>
      </c>
      <c r="I768" s="617"/>
      <c r="J768" s="617"/>
      <c r="K768" s="93"/>
      <c r="L768" s="93"/>
      <c r="M768" s="93"/>
      <c r="N768" s="93"/>
      <c r="O768" s="93"/>
      <c r="P768" s="93"/>
      <c r="Q768" s="604"/>
      <c r="R768" s="604"/>
      <c r="S768" s="604"/>
      <c r="T768" s="604"/>
      <c r="U768" s="604"/>
      <c r="V768" s="604"/>
      <c r="W768" s="604"/>
      <c r="X768" s="604"/>
      <c r="Y768" s="604"/>
      <c r="Z768" s="604"/>
    </row>
    <row r="769" spans="1:26" ht="19.5" hidden="1">
      <c r="A769" s="793">
        <v>11</v>
      </c>
      <c r="B769" s="794" t="s">
        <v>318</v>
      </c>
      <c r="C769" s="795"/>
      <c r="D769" s="795"/>
      <c r="E769" s="795"/>
      <c r="F769" s="795"/>
      <c r="G769" s="796"/>
      <c r="H769" s="797" t="s">
        <v>46</v>
      </c>
      <c r="I769" s="798"/>
      <c r="J769" s="798">
        <f>J784</f>
        <v>0</v>
      </c>
      <c r="K769" s="799">
        <f>IF(I769&gt;0,J769*100/I769,0)</f>
        <v>0</v>
      </c>
      <c r="L769" s="800"/>
      <c r="M769" s="800"/>
      <c r="N769" s="800"/>
      <c r="O769" s="800"/>
      <c r="P769" s="800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</row>
    <row r="770" spans="1:26" ht="19.5" hidden="1">
      <c r="A770" s="599"/>
      <c r="B770" s="759"/>
      <c r="C770" s="759" t="s">
        <v>16</v>
      </c>
      <c r="D770" s="864" t="s">
        <v>17</v>
      </c>
      <c r="E770" s="857"/>
      <c r="F770" s="857"/>
      <c r="G770" s="603"/>
      <c r="H770" s="646" t="s">
        <v>12</v>
      </c>
      <c r="I770" s="617"/>
      <c r="J770" s="617"/>
      <c r="K770" s="93"/>
      <c r="L770" s="647">
        <f t="shared" ref="L770:N770" si="310">L771+L772</f>
        <v>0</v>
      </c>
      <c r="M770" s="647">
        <f t="shared" si="310"/>
        <v>0</v>
      </c>
      <c r="N770" s="647">
        <f t="shared" si="310"/>
        <v>0</v>
      </c>
      <c r="O770" s="647">
        <f t="shared" ref="O770:O775" si="311">IF(L770&gt;0,N770*100/L770,0)</f>
        <v>0</v>
      </c>
      <c r="P770" s="647">
        <f t="shared" ref="P770:P775" si="312">IF(M770&gt;0,N770*100/M770,0)</f>
        <v>0</v>
      </c>
      <c r="Q770" s="604"/>
      <c r="R770" s="604"/>
      <c r="S770" s="604"/>
      <c r="T770" s="604"/>
      <c r="U770" s="604"/>
      <c r="V770" s="604"/>
      <c r="W770" s="604"/>
      <c r="X770" s="604"/>
      <c r="Y770" s="604"/>
      <c r="Z770" s="604"/>
    </row>
    <row r="771" spans="1:26" ht="18.75" hidden="1">
      <c r="A771" s="599"/>
      <c r="B771" s="759"/>
      <c r="C771" s="759"/>
      <c r="D771" s="720"/>
      <c r="E771" s="759" t="s">
        <v>185</v>
      </c>
      <c r="F771" s="759"/>
      <c r="G771" s="603"/>
      <c r="H771" s="165" t="s">
        <v>12</v>
      </c>
      <c r="I771" s="617"/>
      <c r="J771" s="617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4"/>
      <c r="R771" s="604"/>
      <c r="S771" s="604"/>
      <c r="T771" s="604"/>
      <c r="U771" s="604"/>
      <c r="V771" s="604"/>
      <c r="W771" s="604"/>
      <c r="X771" s="604"/>
      <c r="Y771" s="604"/>
      <c r="Z771" s="604"/>
    </row>
    <row r="772" spans="1:26" ht="18.75" hidden="1">
      <c r="A772" s="599"/>
      <c r="B772" s="607"/>
      <c r="C772" s="759"/>
      <c r="D772" s="720"/>
      <c r="E772" s="759" t="s">
        <v>186</v>
      </c>
      <c r="F772" s="759"/>
      <c r="G772" s="603"/>
      <c r="H772" s="165" t="s">
        <v>12</v>
      </c>
      <c r="I772" s="617"/>
      <c r="J772" s="617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4"/>
      <c r="R772" s="604"/>
      <c r="S772" s="604"/>
      <c r="T772" s="604"/>
      <c r="U772" s="604"/>
      <c r="V772" s="604"/>
      <c r="W772" s="604"/>
      <c r="X772" s="604"/>
      <c r="Y772" s="604"/>
      <c r="Z772" s="604"/>
    </row>
    <row r="773" spans="1:26" ht="19.5" hidden="1">
      <c r="A773" s="599"/>
      <c r="B773" s="607"/>
      <c r="C773" s="759"/>
      <c r="D773" s="645" t="s">
        <v>20</v>
      </c>
      <c r="E773" s="759"/>
      <c r="F773" s="759"/>
      <c r="G773" s="603"/>
      <c r="H773" s="646" t="s">
        <v>12</v>
      </c>
      <c r="I773" s="166"/>
      <c r="J773" s="166"/>
      <c r="K773" s="167"/>
      <c r="L773" s="647">
        <f t="shared" ref="L773:N773" si="314">L774+L775</f>
        <v>0</v>
      </c>
      <c r="M773" s="647">
        <f t="shared" si="314"/>
        <v>0</v>
      </c>
      <c r="N773" s="647">
        <f t="shared" si="314"/>
        <v>0</v>
      </c>
      <c r="O773" s="647">
        <f t="shared" si="311"/>
        <v>0</v>
      </c>
      <c r="P773" s="647">
        <f t="shared" si="312"/>
        <v>0</v>
      </c>
      <c r="Q773" s="604"/>
      <c r="R773" s="604"/>
      <c r="S773" s="604"/>
      <c r="T773" s="604"/>
      <c r="U773" s="604"/>
      <c r="V773" s="604"/>
      <c r="W773" s="604"/>
      <c r="X773" s="604"/>
      <c r="Y773" s="604"/>
      <c r="Z773" s="604"/>
    </row>
    <row r="774" spans="1:26" ht="18.75" hidden="1">
      <c r="A774" s="599"/>
      <c r="B774" s="607"/>
      <c r="C774" s="759"/>
      <c r="D774" s="720"/>
      <c r="E774" s="759" t="s">
        <v>185</v>
      </c>
      <c r="F774" s="759"/>
      <c r="G774" s="603"/>
      <c r="H774" s="165" t="s">
        <v>12</v>
      </c>
      <c r="I774" s="617"/>
      <c r="J774" s="617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4"/>
      <c r="R774" s="604"/>
      <c r="S774" s="604"/>
      <c r="T774" s="604"/>
      <c r="U774" s="604"/>
      <c r="V774" s="604"/>
      <c r="W774" s="604"/>
      <c r="X774" s="604"/>
      <c r="Y774" s="604"/>
      <c r="Z774" s="604"/>
    </row>
    <row r="775" spans="1:26" ht="18.75" hidden="1">
      <c r="A775" s="599"/>
      <c r="B775" s="607"/>
      <c r="C775" s="759"/>
      <c r="D775" s="720"/>
      <c r="E775" s="759" t="s">
        <v>186</v>
      </c>
      <c r="F775" s="759"/>
      <c r="G775" s="603"/>
      <c r="H775" s="165" t="s">
        <v>12</v>
      </c>
      <c r="I775" s="617"/>
      <c r="J775" s="617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4"/>
      <c r="R775" s="604"/>
      <c r="S775" s="604"/>
      <c r="T775" s="604"/>
      <c r="U775" s="604"/>
      <c r="V775" s="604"/>
      <c r="W775" s="604"/>
      <c r="X775" s="604"/>
      <c r="Y775" s="604"/>
      <c r="Z775" s="604"/>
    </row>
    <row r="776" spans="1:26" ht="18.75" hidden="1">
      <c r="A776" s="649"/>
      <c r="B776" s="607"/>
      <c r="C776" s="759"/>
      <c r="D776" s="759"/>
      <c r="E776" s="759"/>
      <c r="F776" s="759" t="s">
        <v>187</v>
      </c>
      <c r="G776" s="603"/>
      <c r="H776" s="165" t="s">
        <v>12</v>
      </c>
      <c r="I776" s="617"/>
      <c r="J776" s="617"/>
      <c r="K776" s="93"/>
      <c r="L776" s="93"/>
      <c r="M776" s="93"/>
      <c r="N776" s="93"/>
      <c r="O776" s="93"/>
      <c r="P776" s="93"/>
      <c r="Q776" s="604"/>
      <c r="R776" s="604"/>
      <c r="S776" s="604"/>
      <c r="T776" s="604"/>
      <c r="U776" s="604"/>
      <c r="V776" s="604"/>
      <c r="W776" s="604"/>
      <c r="X776" s="604"/>
      <c r="Y776" s="604"/>
      <c r="Z776" s="604"/>
    </row>
    <row r="777" spans="1:26" ht="18.75" hidden="1">
      <c r="A777" s="649"/>
      <c r="B777" s="607"/>
      <c r="C777" s="759"/>
      <c r="D777" s="759"/>
      <c r="E777" s="759"/>
      <c r="F777" s="759" t="s">
        <v>188</v>
      </c>
      <c r="G777" s="603"/>
      <c r="H777" s="165" t="s">
        <v>12</v>
      </c>
      <c r="I777" s="617"/>
      <c r="J777" s="617"/>
      <c r="K777" s="93"/>
      <c r="L777" s="93"/>
      <c r="M777" s="93"/>
      <c r="N777" s="93"/>
      <c r="O777" s="93"/>
      <c r="P777" s="93"/>
      <c r="Q777" s="604"/>
      <c r="R777" s="604"/>
      <c r="S777" s="604"/>
      <c r="T777" s="604"/>
      <c r="U777" s="604"/>
      <c r="V777" s="604"/>
      <c r="W777" s="604"/>
      <c r="X777" s="604"/>
      <c r="Y777" s="604"/>
      <c r="Z777" s="604"/>
    </row>
    <row r="778" spans="1:26" ht="18.75" hidden="1">
      <c r="A778" s="649"/>
      <c r="B778" s="607"/>
      <c r="C778" s="759"/>
      <c r="D778" s="759"/>
      <c r="E778" s="759"/>
      <c r="F778" s="759" t="s">
        <v>189</v>
      </c>
      <c r="G778" s="603"/>
      <c r="H778" s="165" t="s">
        <v>12</v>
      </c>
      <c r="I778" s="617"/>
      <c r="J778" s="617"/>
      <c r="K778" s="93"/>
      <c r="L778" s="93"/>
      <c r="M778" s="93"/>
      <c r="N778" s="93"/>
      <c r="O778" s="93"/>
      <c r="P778" s="93"/>
      <c r="Q778" s="604"/>
      <c r="R778" s="604"/>
      <c r="S778" s="604"/>
      <c r="T778" s="604"/>
      <c r="U778" s="604"/>
      <c r="V778" s="604"/>
      <c r="W778" s="604"/>
      <c r="X778" s="604"/>
      <c r="Y778" s="604"/>
      <c r="Z778" s="604"/>
    </row>
    <row r="779" spans="1:26" ht="18.75" hidden="1">
      <c r="A779" s="649"/>
      <c r="B779" s="607"/>
      <c r="C779" s="759"/>
      <c r="D779" s="759"/>
      <c r="E779" s="759"/>
      <c r="F779" s="759" t="s">
        <v>190</v>
      </c>
      <c r="G779" s="603"/>
      <c r="H779" s="165" t="s">
        <v>12</v>
      </c>
      <c r="I779" s="617"/>
      <c r="J779" s="617"/>
      <c r="K779" s="93"/>
      <c r="L779" s="93"/>
      <c r="M779" s="93"/>
      <c r="N779" s="93"/>
      <c r="O779" s="93"/>
      <c r="P779" s="93"/>
      <c r="Q779" s="604"/>
      <c r="R779" s="604"/>
      <c r="S779" s="604"/>
      <c r="T779" s="604"/>
      <c r="U779" s="604"/>
      <c r="V779" s="604"/>
      <c r="W779" s="604"/>
      <c r="X779" s="604"/>
      <c r="Y779" s="604"/>
      <c r="Z779" s="604"/>
    </row>
    <row r="780" spans="1:26" ht="19.5" hidden="1">
      <c r="A780" s="599"/>
      <c r="B780" s="607"/>
      <c r="C780" s="759"/>
      <c r="D780" s="645" t="s">
        <v>21</v>
      </c>
      <c r="E780" s="759"/>
      <c r="F780" s="759"/>
      <c r="G780" s="603"/>
      <c r="H780" s="783" t="s">
        <v>12</v>
      </c>
      <c r="I780" s="166"/>
      <c r="J780" s="166"/>
      <c r="K780" s="167"/>
      <c r="L780" s="647">
        <f t="shared" ref="L780:N780" si="315">L781+L782</f>
        <v>0</v>
      </c>
      <c r="M780" s="647">
        <f t="shared" si="315"/>
        <v>0</v>
      </c>
      <c r="N780" s="647">
        <f t="shared" si="315"/>
        <v>0</v>
      </c>
      <c r="O780" s="647">
        <f t="shared" ref="O780:O782" si="316">IF(L780&gt;0,N780*100/L780,0)</f>
        <v>0</v>
      </c>
      <c r="P780" s="647">
        <f t="shared" ref="P780:P782" si="317">IF(M780&gt;0,N780*100/M780,0)</f>
        <v>0</v>
      </c>
      <c r="Q780" s="604"/>
      <c r="R780" s="604"/>
      <c r="S780" s="604"/>
      <c r="T780" s="604"/>
      <c r="U780" s="604"/>
      <c r="V780" s="604"/>
      <c r="W780" s="604"/>
      <c r="X780" s="604"/>
      <c r="Y780" s="604"/>
      <c r="Z780" s="604"/>
    </row>
    <row r="781" spans="1:26" ht="18.75" hidden="1">
      <c r="A781" s="599"/>
      <c r="B781" s="607"/>
      <c r="C781" s="759"/>
      <c r="D781" s="759"/>
      <c r="E781" s="759" t="s">
        <v>18</v>
      </c>
      <c r="F781" s="759"/>
      <c r="G781" s="603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4"/>
      <c r="R781" s="604"/>
      <c r="S781" s="604"/>
      <c r="T781" s="604"/>
      <c r="U781" s="604"/>
      <c r="V781" s="604"/>
      <c r="W781" s="604"/>
      <c r="X781" s="604"/>
      <c r="Y781" s="604"/>
      <c r="Z781" s="604"/>
    </row>
    <row r="782" spans="1:26" ht="18.75" hidden="1">
      <c r="A782" s="599"/>
      <c r="B782" s="607"/>
      <c r="C782" s="759"/>
      <c r="D782" s="759"/>
      <c r="E782" s="759" t="s">
        <v>19</v>
      </c>
      <c r="F782" s="759"/>
      <c r="G782" s="603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4"/>
      <c r="R782" s="604"/>
      <c r="S782" s="604"/>
      <c r="T782" s="604"/>
      <c r="U782" s="604"/>
      <c r="V782" s="604"/>
      <c r="W782" s="604"/>
      <c r="X782" s="604"/>
      <c r="Y782" s="604"/>
      <c r="Z782" s="604"/>
    </row>
    <row r="783" spans="1:26" ht="19.5" hidden="1">
      <c r="A783" s="614"/>
      <c r="B783" s="616"/>
      <c r="C783" s="759" t="s">
        <v>16</v>
      </c>
      <c r="D783" s="899" t="s">
        <v>38</v>
      </c>
      <c r="E783" s="651"/>
      <c r="F783" s="651"/>
      <c r="G783" s="652"/>
      <c r="H783" s="801"/>
      <c r="I783" s="166"/>
      <c r="J783" s="166"/>
      <c r="K783" s="167"/>
      <c r="L783" s="167"/>
      <c r="M783" s="167"/>
      <c r="N783" s="167"/>
      <c r="O783" s="167"/>
      <c r="P783" s="167"/>
      <c r="Q783" s="604"/>
      <c r="R783" s="604"/>
      <c r="S783" s="604"/>
      <c r="T783" s="604"/>
      <c r="U783" s="604"/>
      <c r="V783" s="604"/>
      <c r="W783" s="604"/>
      <c r="X783" s="604"/>
      <c r="Y783" s="604"/>
      <c r="Z783" s="604"/>
    </row>
    <row r="784" spans="1:26" ht="18.75" hidden="1">
      <c r="A784" s="649"/>
      <c r="B784" s="607"/>
      <c r="C784" s="759"/>
      <c r="D784" s="759"/>
      <c r="E784" s="759" t="s">
        <v>319</v>
      </c>
      <c r="F784" s="759"/>
      <c r="G784" s="603"/>
      <c r="H784" s="165" t="s">
        <v>46</v>
      </c>
      <c r="I784" s="617"/>
      <c r="J784" s="617"/>
      <c r="K784" s="93"/>
      <c r="L784" s="93"/>
      <c r="M784" s="93"/>
      <c r="N784" s="93"/>
      <c r="O784" s="93"/>
      <c r="P784" s="93"/>
      <c r="Q784" s="604"/>
      <c r="R784" s="604"/>
      <c r="S784" s="604"/>
      <c r="T784" s="604"/>
      <c r="U784" s="604"/>
      <c r="V784" s="604"/>
      <c r="W784" s="604"/>
      <c r="X784" s="604"/>
      <c r="Y784" s="604"/>
      <c r="Z784" s="604"/>
    </row>
    <row r="785" spans="1:26" ht="19.5">
      <c r="A785" s="802">
        <v>12</v>
      </c>
      <c r="B785" s="803" t="s">
        <v>320</v>
      </c>
      <c r="C785" s="804"/>
      <c r="D785" s="804"/>
      <c r="E785" s="804"/>
      <c r="F785" s="804"/>
      <c r="G785" s="805"/>
      <c r="H785" s="806" t="s">
        <v>46</v>
      </c>
      <c r="I785" s="807">
        <f t="shared" ref="I785:J785" ca="1" si="318">I801+I803</f>
        <v>5000</v>
      </c>
      <c r="J785" s="807">
        <f t="shared" ca="1" si="318"/>
        <v>4816</v>
      </c>
      <c r="K785" s="808">
        <f ca="1">IF(I785&gt;0,J785*100/I785,0)</f>
        <v>96.32</v>
      </c>
      <c r="L785" s="809"/>
      <c r="M785" s="809"/>
      <c r="N785" s="809"/>
      <c r="O785" s="809"/>
      <c r="P785" s="809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</row>
    <row r="786" spans="1:26" ht="19.5">
      <c r="A786" s="597"/>
      <c r="B786" s="575"/>
      <c r="C786" s="763" t="s">
        <v>16</v>
      </c>
      <c r="D786" s="863" t="s">
        <v>17</v>
      </c>
      <c r="E786" s="857"/>
      <c r="F786" s="857"/>
      <c r="G786" s="189"/>
      <c r="H786" s="810" t="s">
        <v>12</v>
      </c>
      <c r="I786" s="811"/>
      <c r="J786" s="811"/>
      <c r="K786" s="812"/>
      <c r="L786" s="195">
        <f t="shared" ref="L786:N786" ca="1" si="319">L787+L788</f>
        <v>327200</v>
      </c>
      <c r="M786" s="195">
        <f t="shared" ca="1" si="319"/>
        <v>374741.21</v>
      </c>
      <c r="N786" s="195">
        <f t="shared" si="319"/>
        <v>374741.21</v>
      </c>
      <c r="O786" s="195">
        <f t="shared" ref="O786:O791" ca="1" si="320">IF(L786&gt;0,N786*100/L786,0)</f>
        <v>114.52970965770172</v>
      </c>
      <c r="P786" s="195">
        <f t="shared" ref="P786:P791" ca="1" si="321">IF(M786&gt;0,N786*100/M786,0)</f>
        <v>100</v>
      </c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</row>
    <row r="787" spans="1:26" ht="18.75" hidden="1">
      <c r="A787" s="599"/>
      <c r="B787" s="607"/>
      <c r="C787" s="759"/>
      <c r="D787" s="720"/>
      <c r="E787" s="759" t="s">
        <v>185</v>
      </c>
      <c r="F787" s="759"/>
      <c r="G787" s="603"/>
      <c r="H787" s="813" t="s">
        <v>12</v>
      </c>
      <c r="I787" s="811"/>
      <c r="J787" s="811"/>
      <c r="K787" s="812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4"/>
      <c r="R787" s="604"/>
      <c r="S787" s="604"/>
      <c r="T787" s="604"/>
      <c r="U787" s="604"/>
      <c r="V787" s="604"/>
      <c r="W787" s="604"/>
      <c r="X787" s="604"/>
      <c r="Y787" s="604"/>
      <c r="Z787" s="604"/>
    </row>
    <row r="788" spans="1:26" ht="18.75" hidden="1">
      <c r="A788" s="599"/>
      <c r="B788" s="607"/>
      <c r="C788" s="607"/>
      <c r="D788" s="616"/>
      <c r="E788" s="759" t="s">
        <v>186</v>
      </c>
      <c r="F788" s="759"/>
      <c r="G788" s="603"/>
      <c r="H788" s="813" t="s">
        <v>12</v>
      </c>
      <c r="I788" s="811"/>
      <c r="J788" s="811"/>
      <c r="K788" s="812"/>
      <c r="L788" s="93">
        <f t="shared" ca="1" si="322"/>
        <v>327200</v>
      </c>
      <c r="M788" s="93">
        <f t="shared" ca="1" si="322"/>
        <v>374741.21</v>
      </c>
      <c r="N788" s="93">
        <f t="shared" si="322"/>
        <v>374741.21</v>
      </c>
      <c r="O788" s="93">
        <f t="shared" ca="1" si="320"/>
        <v>114.52970965770172</v>
      </c>
      <c r="P788" s="93">
        <f t="shared" ca="1" si="321"/>
        <v>100</v>
      </c>
      <c r="Q788" s="604"/>
      <c r="R788" s="604"/>
      <c r="S788" s="604"/>
      <c r="T788" s="604"/>
      <c r="U788" s="604"/>
      <c r="V788" s="604"/>
      <c r="W788" s="604"/>
      <c r="X788" s="604"/>
      <c r="Y788" s="604"/>
      <c r="Z788" s="604"/>
    </row>
    <row r="789" spans="1:26" ht="18.75">
      <c r="A789" s="597"/>
      <c r="B789" s="575"/>
      <c r="C789" s="575"/>
      <c r="D789" s="606" t="s">
        <v>20</v>
      </c>
      <c r="E789" s="763"/>
      <c r="F789" s="763"/>
      <c r="G789" s="189"/>
      <c r="H789" s="814" t="s">
        <v>12</v>
      </c>
      <c r="I789" s="815"/>
      <c r="J789" s="815"/>
      <c r="K789" s="816"/>
      <c r="L789" s="498">
        <f t="shared" ref="L789:N789" ca="1" si="323">L790+L791</f>
        <v>327200</v>
      </c>
      <c r="M789" s="498">
        <f t="shared" ca="1" si="323"/>
        <v>374741.21</v>
      </c>
      <c r="N789" s="498">
        <f t="shared" si="323"/>
        <v>374741.21</v>
      </c>
      <c r="O789" s="498">
        <f t="shared" ca="1" si="320"/>
        <v>114.52970965770172</v>
      </c>
      <c r="P789" s="498">
        <f t="shared" ca="1" si="321"/>
        <v>100</v>
      </c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</row>
    <row r="790" spans="1:26" ht="18.75" hidden="1">
      <c r="A790" s="599"/>
      <c r="B790" s="607"/>
      <c r="C790" s="607"/>
      <c r="D790" s="616"/>
      <c r="E790" s="759" t="s">
        <v>185</v>
      </c>
      <c r="F790" s="759"/>
      <c r="G790" s="603"/>
      <c r="H790" s="813" t="s">
        <v>12</v>
      </c>
      <c r="I790" s="811"/>
      <c r="J790" s="811"/>
      <c r="K790" s="812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4"/>
      <c r="R790" s="604"/>
      <c r="S790" s="604"/>
      <c r="T790" s="604"/>
      <c r="U790" s="604"/>
      <c r="V790" s="604"/>
      <c r="W790" s="604"/>
      <c r="X790" s="604"/>
      <c r="Y790" s="604"/>
      <c r="Z790" s="604"/>
    </row>
    <row r="791" spans="1:26" ht="18.75" hidden="1">
      <c r="A791" s="599"/>
      <c r="B791" s="607"/>
      <c r="C791" s="607"/>
      <c r="D791" s="616"/>
      <c r="E791" s="759" t="s">
        <v>186</v>
      </c>
      <c r="F791" s="759"/>
      <c r="G791" s="603"/>
      <c r="H791" s="813" t="s">
        <v>12</v>
      </c>
      <c r="I791" s="811"/>
      <c r="J791" s="811"/>
      <c r="K791" s="812"/>
      <c r="L791" s="93">
        <f ca="1">IFERROR(__xludf.DUMMYFUNCTION("IMPORTRANGE(""https://docs.google.com/spreadsheets/d/1QqKyyYR6Q21VydFLVH3TRQUabQu_ym0Zz7PgGX0-kHA/edit?usp=sharing"",""แผน!JJ43"")"),327200)</f>
        <v>327200</v>
      </c>
      <c r="M791" s="93">
        <f ca="1">L791+75000-27458.79</f>
        <v>374741.21</v>
      </c>
      <c r="N791" s="93">
        <f>N792+N793+N794+N795</f>
        <v>374741.21</v>
      </c>
      <c r="O791" s="93">
        <f t="shared" ca="1" si="320"/>
        <v>114.52970965770172</v>
      </c>
      <c r="P791" s="93">
        <f t="shared" ca="1" si="321"/>
        <v>100</v>
      </c>
      <c r="Q791" s="604"/>
      <c r="R791" s="604"/>
      <c r="S791" s="604"/>
      <c r="T791" s="604"/>
      <c r="U791" s="604"/>
      <c r="V791" s="604"/>
      <c r="W791" s="604"/>
      <c r="X791" s="604"/>
      <c r="Y791" s="604"/>
      <c r="Z791" s="604"/>
    </row>
    <row r="792" spans="1:26" ht="18.75">
      <c r="A792" s="574"/>
      <c r="B792" s="575"/>
      <c r="C792" s="763"/>
      <c r="D792" s="763"/>
      <c r="E792" s="763"/>
      <c r="F792" s="763" t="s">
        <v>187</v>
      </c>
      <c r="G792" s="189"/>
      <c r="H792" s="814" t="s">
        <v>12</v>
      </c>
      <c r="I792" s="811"/>
      <c r="J792" s="811"/>
      <c r="K792" s="812"/>
      <c r="L792" s="498"/>
      <c r="M792" s="498"/>
      <c r="N792" s="840">
        <v>0</v>
      </c>
      <c r="O792" s="498"/>
      <c r="P792" s="49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</row>
    <row r="793" spans="1:26" ht="18.75">
      <c r="A793" s="574"/>
      <c r="B793" s="575"/>
      <c r="C793" s="763"/>
      <c r="D793" s="763"/>
      <c r="E793" s="763"/>
      <c r="F793" s="763" t="s">
        <v>188</v>
      </c>
      <c r="G793" s="189"/>
      <c r="H793" s="814" t="s">
        <v>12</v>
      </c>
      <c r="I793" s="811"/>
      <c r="J793" s="811"/>
      <c r="K793" s="812"/>
      <c r="L793" s="498"/>
      <c r="M793" s="498"/>
      <c r="N793" s="840">
        <v>0</v>
      </c>
      <c r="O793" s="498"/>
      <c r="P793" s="49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</row>
    <row r="794" spans="1:26" ht="18.75">
      <c r="A794" s="574"/>
      <c r="B794" s="575"/>
      <c r="C794" s="763"/>
      <c r="D794" s="763"/>
      <c r="E794" s="763"/>
      <c r="F794" s="763" t="s">
        <v>189</v>
      </c>
      <c r="G794" s="189"/>
      <c r="H794" s="814" t="s">
        <v>12</v>
      </c>
      <c r="I794" s="811"/>
      <c r="J794" s="811"/>
      <c r="K794" s="812"/>
      <c r="L794" s="498"/>
      <c r="M794" s="498"/>
      <c r="N794" s="840">
        <v>131104</v>
      </c>
      <c r="O794" s="498"/>
      <c r="P794" s="49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</row>
    <row r="795" spans="1:26" ht="18.75">
      <c r="A795" s="574"/>
      <c r="B795" s="575"/>
      <c r="C795" s="763"/>
      <c r="D795" s="763"/>
      <c r="E795" s="763"/>
      <c r="F795" s="763" t="s">
        <v>190</v>
      </c>
      <c r="G795" s="189"/>
      <c r="H795" s="814" t="s">
        <v>12</v>
      </c>
      <c r="I795" s="811"/>
      <c r="J795" s="811"/>
      <c r="K795" s="812"/>
      <c r="L795" s="498"/>
      <c r="M795" s="498"/>
      <c r="N795" s="840">
        <f>374741.21-N794</f>
        <v>243637.21000000002</v>
      </c>
      <c r="O795" s="498"/>
      <c r="P795" s="49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</row>
    <row r="796" spans="1:26" ht="18.75">
      <c r="A796" s="597"/>
      <c r="B796" s="575"/>
      <c r="C796" s="763"/>
      <c r="D796" s="606" t="s">
        <v>21</v>
      </c>
      <c r="E796" s="763"/>
      <c r="F796" s="763"/>
      <c r="G796" s="189"/>
      <c r="H796" s="817" t="s">
        <v>12</v>
      </c>
      <c r="I796" s="815"/>
      <c r="J796" s="815"/>
      <c r="K796" s="816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</row>
    <row r="797" spans="1:26" ht="18.75" hidden="1">
      <c r="A797" s="599"/>
      <c r="B797" s="607"/>
      <c r="C797" s="759"/>
      <c r="D797" s="759"/>
      <c r="E797" s="759" t="s">
        <v>18</v>
      </c>
      <c r="F797" s="759"/>
      <c r="G797" s="603"/>
      <c r="H797" s="813" t="s">
        <v>12</v>
      </c>
      <c r="I797" s="815"/>
      <c r="J797" s="815"/>
      <c r="K797" s="816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4"/>
      <c r="R797" s="604"/>
      <c r="S797" s="604"/>
      <c r="T797" s="604"/>
      <c r="U797" s="604"/>
      <c r="V797" s="604"/>
      <c r="W797" s="604"/>
      <c r="X797" s="604"/>
      <c r="Y797" s="604"/>
      <c r="Z797" s="604"/>
    </row>
    <row r="798" spans="1:26" ht="18.75" hidden="1">
      <c r="A798" s="599"/>
      <c r="B798" s="607"/>
      <c r="C798" s="759"/>
      <c r="D798" s="759"/>
      <c r="E798" s="759" t="s">
        <v>19</v>
      </c>
      <c r="F798" s="759"/>
      <c r="G798" s="603"/>
      <c r="H798" s="818" t="s">
        <v>12</v>
      </c>
      <c r="I798" s="815"/>
      <c r="J798" s="815"/>
      <c r="K798" s="816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4"/>
      <c r="R798" s="604"/>
      <c r="S798" s="604"/>
      <c r="T798" s="604"/>
      <c r="U798" s="604"/>
      <c r="V798" s="604"/>
      <c r="W798" s="604"/>
      <c r="X798" s="604"/>
      <c r="Y798" s="604"/>
      <c r="Z798" s="604"/>
    </row>
    <row r="799" spans="1:26" ht="19.5">
      <c r="A799" s="608"/>
      <c r="B799" s="618"/>
      <c r="C799" s="763" t="s">
        <v>16</v>
      </c>
      <c r="D799" s="898" t="s">
        <v>38</v>
      </c>
      <c r="E799" s="761"/>
      <c r="F799" s="761"/>
      <c r="G799" s="613"/>
      <c r="H799" s="819"/>
      <c r="I799" s="815"/>
      <c r="J799" s="815"/>
      <c r="K799" s="816"/>
      <c r="L799" s="163"/>
      <c r="M799" s="163"/>
      <c r="N799" s="163"/>
      <c r="O799" s="163"/>
      <c r="P799" s="163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</row>
    <row r="800" spans="1:26" ht="18.75">
      <c r="A800" s="608"/>
      <c r="B800" s="618"/>
      <c r="C800" s="618"/>
      <c r="D800" s="618"/>
      <c r="E800" s="626"/>
      <c r="F800" s="626" t="s">
        <v>321</v>
      </c>
      <c r="G800" s="762"/>
      <c r="H800" s="820" t="s">
        <v>34</v>
      </c>
      <c r="I800" s="815"/>
      <c r="J800" s="821">
        <f ca="1">IFERROR(__xludf.DUMMYFUNCTION("IMPORTRANGE(""https://docs.google.com/spreadsheets/d/1MaWodYyGHDf7siQLGxnXhG4mBNTNIuy296niS2xXulU/edit?usp=sharing"",""RTK!H43"")"),329)</f>
        <v>329</v>
      </c>
      <c r="K800" s="812"/>
      <c r="L800" s="498"/>
      <c r="M800" s="498"/>
      <c r="N800" s="498"/>
      <c r="O800" s="163"/>
      <c r="P800" s="163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</row>
    <row r="801" spans="1:26" ht="18.75">
      <c r="A801" s="608"/>
      <c r="B801" s="618"/>
      <c r="C801" s="618"/>
      <c r="D801" s="618"/>
      <c r="E801" s="626"/>
      <c r="F801" s="626"/>
      <c r="G801" s="762"/>
      <c r="H801" s="814" t="s">
        <v>46</v>
      </c>
      <c r="I801" s="821">
        <f ca="1">IFERROR(__xludf.DUMMYFUNCTION("IMPORTRANGE(""https://docs.google.com/spreadsheets/d/1MaWodYyGHDf7siQLGxnXhG4mBNTNIuy296niS2xXulU/edit?usp=sharing"",""RTK!G43"")"),5000)</f>
        <v>5000</v>
      </c>
      <c r="J801" s="822">
        <f ca="1">IFERROR(__xludf.DUMMYFUNCTION("IMPORTRANGE(""https://docs.google.com/spreadsheets/d/1MaWodYyGHDf7siQLGxnXhG4mBNTNIuy296niS2xXulU/edit?usp=sharing"",""RTK!I43"")"),4816)</f>
        <v>4816</v>
      </c>
      <c r="K801" s="823">
        <f ca="1">IF(I801&gt;0,J801*100/I801,0)</f>
        <v>96.32</v>
      </c>
      <c r="L801" s="498"/>
      <c r="M801" s="498"/>
      <c r="N801" s="498"/>
      <c r="O801" s="163"/>
      <c r="P801" s="163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</row>
    <row r="802" spans="1:26" ht="18.75">
      <c r="A802" s="614"/>
      <c r="B802" s="616"/>
      <c r="C802" s="616"/>
      <c r="D802" s="616"/>
      <c r="E802" s="720"/>
      <c r="F802" s="824" t="s">
        <v>322</v>
      </c>
      <c r="G802" s="366"/>
      <c r="H802" s="820" t="s">
        <v>34</v>
      </c>
      <c r="I802" s="815"/>
      <c r="J802" s="821">
        <f ca="1">IFERROR(__xludf.DUMMYFUNCTION("IMPORTRANGE(""https://docs.google.com/spreadsheets/d/1MaWodYyGHDf7siQLGxnXhG4mBNTNIuy296niS2xXulU/edit?usp=sharing"",""RTK!L43"")"),0)</f>
        <v>0</v>
      </c>
      <c r="K802" s="812"/>
      <c r="L802" s="167"/>
      <c r="M802" s="167"/>
      <c r="N802" s="167"/>
      <c r="O802" s="167"/>
      <c r="P802" s="167"/>
      <c r="Q802" s="604"/>
      <c r="R802" s="604"/>
      <c r="S802" s="604"/>
      <c r="T802" s="604"/>
      <c r="U802" s="604"/>
      <c r="V802" s="604"/>
      <c r="W802" s="604"/>
      <c r="X802" s="604"/>
      <c r="Y802" s="604"/>
      <c r="Z802" s="604"/>
    </row>
    <row r="803" spans="1:26" ht="18.75">
      <c r="A803" s="614"/>
      <c r="B803" s="616"/>
      <c r="C803" s="616"/>
      <c r="D803" s="616"/>
      <c r="E803" s="720"/>
      <c r="F803" s="720"/>
      <c r="G803" s="366"/>
      <c r="H803" s="820" t="s">
        <v>46</v>
      </c>
      <c r="I803" s="821">
        <f ca="1">IFERROR(__xludf.DUMMYFUNCTION("IMPORTRANGE(""https://docs.google.com/spreadsheets/d/1MaWodYyGHDf7siQLGxnXhG4mBNTNIuy296niS2xXulU/edit?usp=sharing"",""RTK!K43"")"),0)</f>
        <v>0</v>
      </c>
      <c r="J803" s="822">
        <f ca="1">IFERROR(__xludf.DUMMYFUNCTION("IMPORTRANGE(""https://docs.google.com/spreadsheets/d/1MaWodYyGHDf7siQLGxnXhG4mBNTNIuy296niS2xXulU/edit?usp=sharing"",""RTK!M43"")"),0)</f>
        <v>0</v>
      </c>
      <c r="K803" s="823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4"/>
      <c r="R803" s="604"/>
      <c r="S803" s="604"/>
      <c r="T803" s="604"/>
      <c r="U803" s="604"/>
      <c r="V803" s="604"/>
      <c r="W803" s="604"/>
      <c r="X803" s="604"/>
      <c r="Y803" s="604"/>
      <c r="Z803" s="604"/>
    </row>
    <row r="804" spans="1:26" ht="19.5" hidden="1">
      <c r="A804" s="793">
        <v>13</v>
      </c>
      <c r="B804" s="794" t="s">
        <v>323</v>
      </c>
      <c r="C804" s="795"/>
      <c r="D804" s="825"/>
      <c r="E804" s="795"/>
      <c r="F804" s="795"/>
      <c r="G804" s="796"/>
      <c r="H804" s="797" t="s">
        <v>46</v>
      </c>
      <c r="I804" s="798"/>
      <c r="J804" s="798">
        <f>J819</f>
        <v>0</v>
      </c>
      <c r="K804" s="799">
        <f t="shared" si="327"/>
        <v>0</v>
      </c>
      <c r="L804" s="800"/>
      <c r="M804" s="800"/>
      <c r="N804" s="800"/>
      <c r="O804" s="800"/>
      <c r="P804" s="800"/>
      <c r="Q804" s="604"/>
      <c r="R804" s="604"/>
      <c r="S804" s="604"/>
      <c r="T804" s="604"/>
      <c r="U804" s="604"/>
      <c r="V804" s="604"/>
      <c r="W804" s="604"/>
      <c r="X804" s="604"/>
      <c r="Y804" s="604"/>
      <c r="Z804" s="604"/>
    </row>
    <row r="805" spans="1:26" ht="19.5" hidden="1">
      <c r="A805" s="599"/>
      <c r="B805" s="759"/>
      <c r="C805" s="759" t="s">
        <v>16</v>
      </c>
      <c r="D805" s="864" t="s">
        <v>17</v>
      </c>
      <c r="E805" s="857"/>
      <c r="F805" s="857"/>
      <c r="G805" s="603"/>
      <c r="H805" s="646" t="s">
        <v>12</v>
      </c>
      <c r="I805" s="617"/>
      <c r="J805" s="617"/>
      <c r="K805" s="93"/>
      <c r="L805" s="647">
        <f t="shared" ref="L805:N805" si="328">L806+L807</f>
        <v>0</v>
      </c>
      <c r="M805" s="647">
        <f t="shared" si="328"/>
        <v>0</v>
      </c>
      <c r="N805" s="647">
        <f t="shared" si="328"/>
        <v>0</v>
      </c>
      <c r="O805" s="647">
        <f t="shared" ref="O805:O810" si="329">IF(L805&gt;0,N805*100/L805,0)</f>
        <v>0</v>
      </c>
      <c r="P805" s="647">
        <f t="shared" ref="P805:P810" si="330">IF(M805&gt;0,N805*100/M805,0)</f>
        <v>0</v>
      </c>
      <c r="Q805" s="604"/>
      <c r="R805" s="604"/>
      <c r="S805" s="604"/>
      <c r="T805" s="604"/>
      <c r="U805" s="604"/>
      <c r="V805" s="604"/>
      <c r="W805" s="604"/>
      <c r="X805" s="604"/>
      <c r="Y805" s="604"/>
      <c r="Z805" s="604"/>
    </row>
    <row r="806" spans="1:26" ht="18.75" hidden="1">
      <c r="A806" s="599"/>
      <c r="B806" s="759"/>
      <c r="C806" s="759"/>
      <c r="D806" s="616"/>
      <c r="E806" s="759" t="s">
        <v>185</v>
      </c>
      <c r="F806" s="759"/>
      <c r="G806" s="603"/>
      <c r="H806" s="165" t="s">
        <v>12</v>
      </c>
      <c r="I806" s="617"/>
      <c r="J806" s="617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4"/>
      <c r="R806" s="604"/>
      <c r="S806" s="604"/>
      <c r="T806" s="604"/>
      <c r="U806" s="604"/>
      <c r="V806" s="604"/>
      <c r="W806" s="604"/>
      <c r="X806" s="604"/>
      <c r="Y806" s="604"/>
      <c r="Z806" s="604"/>
    </row>
    <row r="807" spans="1:26" ht="18.75" hidden="1">
      <c r="A807" s="599"/>
      <c r="B807" s="759"/>
      <c r="C807" s="759"/>
      <c r="D807" s="616"/>
      <c r="E807" s="759" t="s">
        <v>186</v>
      </c>
      <c r="F807" s="759"/>
      <c r="G807" s="603"/>
      <c r="H807" s="165" t="s">
        <v>12</v>
      </c>
      <c r="I807" s="617"/>
      <c r="J807" s="617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4"/>
      <c r="R807" s="604"/>
      <c r="S807" s="604"/>
      <c r="T807" s="604"/>
      <c r="U807" s="604"/>
      <c r="V807" s="604"/>
      <c r="W807" s="604"/>
      <c r="X807" s="604"/>
      <c r="Y807" s="604"/>
      <c r="Z807" s="604"/>
    </row>
    <row r="808" spans="1:26" ht="19.5" hidden="1">
      <c r="A808" s="599"/>
      <c r="B808" s="607"/>
      <c r="C808" s="759"/>
      <c r="D808" s="905" t="s">
        <v>20</v>
      </c>
      <c r="E808" s="857"/>
      <c r="F808" s="857"/>
      <c r="G808" s="603"/>
      <c r="H808" s="646" t="s">
        <v>12</v>
      </c>
      <c r="I808" s="166"/>
      <c r="J808" s="166"/>
      <c r="K808" s="167"/>
      <c r="L808" s="647">
        <f t="shared" ref="L808:N808" si="332">L809+L810</f>
        <v>0</v>
      </c>
      <c r="M808" s="647">
        <f t="shared" si="332"/>
        <v>0</v>
      </c>
      <c r="N808" s="647">
        <f t="shared" si="332"/>
        <v>0</v>
      </c>
      <c r="O808" s="647">
        <f t="shared" si="329"/>
        <v>0</v>
      </c>
      <c r="P808" s="647">
        <f t="shared" si="330"/>
        <v>0</v>
      </c>
      <c r="Q808" s="604"/>
      <c r="R808" s="604"/>
      <c r="S808" s="604"/>
      <c r="T808" s="604"/>
      <c r="U808" s="604"/>
      <c r="V808" s="604"/>
      <c r="W808" s="604"/>
      <c r="X808" s="604"/>
      <c r="Y808" s="604"/>
      <c r="Z808" s="604"/>
    </row>
    <row r="809" spans="1:26" ht="18.75" hidden="1">
      <c r="A809" s="599"/>
      <c r="B809" s="759"/>
      <c r="C809" s="759"/>
      <c r="D809" s="616"/>
      <c r="E809" s="759" t="s">
        <v>185</v>
      </c>
      <c r="F809" s="759"/>
      <c r="G809" s="603"/>
      <c r="H809" s="165" t="s">
        <v>12</v>
      </c>
      <c r="I809" s="617"/>
      <c r="J809" s="617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4"/>
      <c r="R809" s="604"/>
      <c r="S809" s="604"/>
      <c r="T809" s="604"/>
      <c r="U809" s="604"/>
      <c r="V809" s="604"/>
      <c r="W809" s="604"/>
      <c r="X809" s="604"/>
      <c r="Y809" s="604"/>
      <c r="Z809" s="604"/>
    </row>
    <row r="810" spans="1:26" ht="18.75" hidden="1">
      <c r="A810" s="599"/>
      <c r="B810" s="759"/>
      <c r="C810" s="759"/>
      <c r="D810" s="616"/>
      <c r="E810" s="759" t="s">
        <v>186</v>
      </c>
      <c r="F810" s="759"/>
      <c r="G810" s="603"/>
      <c r="H810" s="165" t="s">
        <v>12</v>
      </c>
      <c r="I810" s="617"/>
      <c r="J810" s="617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4"/>
      <c r="R810" s="604"/>
      <c r="S810" s="604"/>
      <c r="T810" s="604"/>
      <c r="U810" s="604"/>
      <c r="V810" s="604"/>
      <c r="W810" s="604"/>
      <c r="X810" s="604"/>
      <c r="Y810" s="604"/>
      <c r="Z810" s="604"/>
    </row>
    <row r="811" spans="1:26" ht="18.75" hidden="1">
      <c r="A811" s="649"/>
      <c r="B811" s="607"/>
      <c r="C811" s="759"/>
      <c r="D811" s="607"/>
      <c r="E811" s="759"/>
      <c r="F811" s="759" t="s">
        <v>187</v>
      </c>
      <c r="G811" s="603"/>
      <c r="H811" s="165" t="s">
        <v>12</v>
      </c>
      <c r="I811" s="617"/>
      <c r="J811" s="617"/>
      <c r="K811" s="93"/>
      <c r="L811" s="93"/>
      <c r="M811" s="93"/>
      <c r="N811" s="93"/>
      <c r="O811" s="93"/>
      <c r="P811" s="93"/>
      <c r="Q811" s="604"/>
      <c r="R811" s="604"/>
      <c r="S811" s="604"/>
      <c r="T811" s="604"/>
      <c r="U811" s="604"/>
      <c r="V811" s="604"/>
      <c r="W811" s="604"/>
      <c r="X811" s="604"/>
      <c r="Y811" s="604"/>
      <c r="Z811" s="604"/>
    </row>
    <row r="812" spans="1:26" ht="18.75" hidden="1">
      <c r="A812" s="649"/>
      <c r="B812" s="607"/>
      <c r="C812" s="759"/>
      <c r="D812" s="607"/>
      <c r="E812" s="759"/>
      <c r="F812" s="759" t="s">
        <v>188</v>
      </c>
      <c r="G812" s="603"/>
      <c r="H812" s="165" t="s">
        <v>12</v>
      </c>
      <c r="I812" s="617"/>
      <c r="J812" s="617"/>
      <c r="K812" s="93"/>
      <c r="L812" s="93"/>
      <c r="M812" s="93"/>
      <c r="N812" s="93"/>
      <c r="O812" s="93"/>
      <c r="P812" s="93"/>
      <c r="Q812" s="604"/>
      <c r="R812" s="604"/>
      <c r="S812" s="604"/>
      <c r="T812" s="604"/>
      <c r="U812" s="604"/>
      <c r="V812" s="604"/>
      <c r="W812" s="604"/>
      <c r="X812" s="604"/>
      <c r="Y812" s="604"/>
      <c r="Z812" s="604"/>
    </row>
    <row r="813" spans="1:26" ht="18.75" hidden="1">
      <c r="A813" s="649"/>
      <c r="B813" s="607"/>
      <c r="C813" s="759"/>
      <c r="D813" s="607"/>
      <c r="E813" s="759"/>
      <c r="F813" s="759" t="s">
        <v>189</v>
      </c>
      <c r="G813" s="603"/>
      <c r="H813" s="165" t="s">
        <v>12</v>
      </c>
      <c r="I813" s="617"/>
      <c r="J813" s="617"/>
      <c r="K813" s="93"/>
      <c r="L813" s="93"/>
      <c r="M813" s="93"/>
      <c r="N813" s="93"/>
      <c r="O813" s="93"/>
      <c r="P813" s="93"/>
      <c r="Q813" s="604"/>
      <c r="R813" s="604"/>
      <c r="S813" s="604"/>
      <c r="T813" s="604"/>
      <c r="U813" s="604"/>
      <c r="V813" s="604"/>
      <c r="W813" s="604"/>
      <c r="X813" s="604"/>
      <c r="Y813" s="604"/>
      <c r="Z813" s="604"/>
    </row>
    <row r="814" spans="1:26" ht="18.75" hidden="1">
      <c r="A814" s="649"/>
      <c r="B814" s="607"/>
      <c r="C814" s="759"/>
      <c r="D814" s="607"/>
      <c r="E814" s="759"/>
      <c r="F814" s="759" t="s">
        <v>190</v>
      </c>
      <c r="G814" s="603"/>
      <c r="H814" s="165" t="s">
        <v>12</v>
      </c>
      <c r="I814" s="617"/>
      <c r="J814" s="617"/>
      <c r="K814" s="93"/>
      <c r="L814" s="93"/>
      <c r="M814" s="93"/>
      <c r="N814" s="93"/>
      <c r="O814" s="93"/>
      <c r="P814" s="93"/>
      <c r="Q814" s="604"/>
      <c r="R814" s="604"/>
      <c r="S814" s="604"/>
      <c r="T814" s="604"/>
      <c r="U814" s="604"/>
      <c r="V814" s="604"/>
      <c r="W814" s="604"/>
      <c r="X814" s="604"/>
      <c r="Y814" s="604"/>
      <c r="Z814" s="604"/>
    </row>
    <row r="815" spans="1:26" ht="19.5" hidden="1">
      <c r="A815" s="599"/>
      <c r="B815" s="607"/>
      <c r="C815" s="759"/>
      <c r="D815" s="905" t="s">
        <v>21</v>
      </c>
      <c r="E815" s="857"/>
      <c r="F815" s="857"/>
      <c r="G815" s="603"/>
      <c r="H815" s="783" t="s">
        <v>12</v>
      </c>
      <c r="I815" s="166"/>
      <c r="J815" s="166"/>
      <c r="K815" s="167"/>
      <c r="L815" s="647">
        <f t="shared" ref="L815:N815" si="333">L816+L817</f>
        <v>0</v>
      </c>
      <c r="M815" s="647">
        <f t="shared" si="333"/>
        <v>0</v>
      </c>
      <c r="N815" s="647">
        <f t="shared" si="333"/>
        <v>0</v>
      </c>
      <c r="O815" s="647">
        <f t="shared" ref="O815:O817" si="334">IF(L815&gt;0,N815*100/L815,0)</f>
        <v>0</v>
      </c>
      <c r="P815" s="647">
        <f t="shared" ref="P815:P817" si="335">IF(M815&gt;0,N815*100/M815,0)</f>
        <v>0</v>
      </c>
      <c r="Q815" s="604"/>
      <c r="R815" s="604"/>
      <c r="S815" s="604"/>
      <c r="T815" s="604"/>
      <c r="U815" s="604"/>
      <c r="V815" s="604"/>
      <c r="W815" s="604"/>
      <c r="X815" s="604"/>
      <c r="Y815" s="604"/>
      <c r="Z815" s="604"/>
    </row>
    <row r="816" spans="1:26" ht="18.75" hidden="1">
      <c r="A816" s="599"/>
      <c r="B816" s="607"/>
      <c r="C816" s="759"/>
      <c r="D816" s="607"/>
      <c r="E816" s="759" t="s">
        <v>18</v>
      </c>
      <c r="F816" s="759"/>
      <c r="G816" s="603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4"/>
      <c r="R816" s="604"/>
      <c r="S816" s="604"/>
      <c r="T816" s="604"/>
      <c r="U816" s="604"/>
      <c r="V816" s="604"/>
      <c r="W816" s="604"/>
      <c r="X816" s="604"/>
      <c r="Y816" s="604"/>
      <c r="Z816" s="604"/>
    </row>
    <row r="817" spans="1:26" ht="18.75" hidden="1">
      <c r="A817" s="599"/>
      <c r="B817" s="607"/>
      <c r="C817" s="759"/>
      <c r="D817" s="607"/>
      <c r="E817" s="759" t="s">
        <v>19</v>
      </c>
      <c r="F817" s="759"/>
      <c r="G817" s="603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4"/>
      <c r="R817" s="604"/>
      <c r="S817" s="604"/>
      <c r="T817" s="604"/>
      <c r="U817" s="604"/>
      <c r="V817" s="604"/>
      <c r="W817" s="604"/>
      <c r="X817" s="604"/>
      <c r="Y817" s="604"/>
      <c r="Z817" s="604"/>
    </row>
    <row r="818" spans="1:26" ht="19.5" hidden="1">
      <c r="A818" s="614"/>
      <c r="B818" s="616"/>
      <c r="C818" s="759" t="s">
        <v>16</v>
      </c>
      <c r="D818" s="906" t="s">
        <v>38</v>
      </c>
      <c r="E818" s="651"/>
      <c r="F818" s="651"/>
      <c r="G818" s="652"/>
      <c r="H818" s="366"/>
      <c r="I818" s="166"/>
      <c r="J818" s="166"/>
      <c r="K818" s="167"/>
      <c r="L818" s="167"/>
      <c r="M818" s="167"/>
      <c r="N818" s="167"/>
      <c r="O818" s="167"/>
      <c r="P818" s="167"/>
      <c r="Q818" s="604"/>
      <c r="R818" s="604"/>
      <c r="S818" s="604"/>
      <c r="T818" s="604"/>
      <c r="U818" s="604"/>
      <c r="V818" s="604"/>
      <c r="W818" s="604"/>
      <c r="X818" s="604"/>
      <c r="Y818" s="604"/>
      <c r="Z818" s="604"/>
    </row>
    <row r="819" spans="1:26" ht="19.5" hidden="1" thickBot="1">
      <c r="A819" s="827"/>
      <c r="B819" s="828"/>
      <c r="C819" s="830"/>
      <c r="D819" s="828"/>
      <c r="E819" s="830" t="s">
        <v>324</v>
      </c>
      <c r="F819" s="830"/>
      <c r="G819" s="831"/>
      <c r="H819" s="832" t="s">
        <v>46</v>
      </c>
      <c r="I819" s="833"/>
      <c r="J819" s="833"/>
      <c r="K819" s="834"/>
      <c r="L819" s="834"/>
      <c r="M819" s="834"/>
      <c r="N819" s="834"/>
      <c r="O819" s="834"/>
      <c r="P819" s="834"/>
      <c r="Q819" s="604"/>
      <c r="R819" s="604"/>
      <c r="S819" s="604"/>
      <c r="T819" s="604"/>
      <c r="U819" s="604"/>
      <c r="V819" s="604"/>
      <c r="W819" s="604"/>
      <c r="X819" s="604"/>
      <c r="Y819" s="604"/>
      <c r="Z819" s="604"/>
    </row>
    <row r="820" spans="1:26" ht="19.5">
      <c r="A820" s="907" t="s">
        <v>337</v>
      </c>
      <c r="B820" s="908"/>
      <c r="C820" s="908"/>
      <c r="D820" s="909"/>
      <c r="E820" s="908"/>
      <c r="F820" s="908"/>
      <c r="G820" s="910"/>
      <c r="H820" s="91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912"/>
      <c r="J820" s="912"/>
      <c r="K820" s="913"/>
      <c r="L820" s="913"/>
      <c r="M820" s="913"/>
      <c r="N820" s="913"/>
      <c r="O820" s="913"/>
      <c r="P820" s="913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</row>
    <row r="821" spans="1:26" ht="18.75">
      <c r="A821" s="744"/>
      <c r="B821" s="763" t="s">
        <v>326</v>
      </c>
      <c r="C821" s="763"/>
      <c r="D821" s="575"/>
      <c r="E821" s="763"/>
      <c r="F821" s="763"/>
      <c r="G821" s="189"/>
      <c r="H821" s="623" t="s">
        <v>12</v>
      </c>
      <c r="I821" s="270">
        <f ca="1">IFERROR(__xludf.DUMMYFUNCTION("IMPORTRANGE(""https://docs.google.com/spreadsheets/d/19vJNZY_5yjcGF2XGBMNZRCAIB0Kwfpjp8YEOfu-bneM/edit?usp=sharing"",""งานกองทุน!D43"")"),14225690.22)</f>
        <v>14225690.220000001</v>
      </c>
      <c r="J821" s="270">
        <f ca="1">IFERROR(__xludf.DUMMYFUNCTION("IMPORTRANGE(""https://docs.google.com/spreadsheets/d/19vJNZY_5yjcGF2XGBMNZRCAIB0Kwfpjp8YEOfu-bneM/edit?usp=sharing"",""งานกองทุน!F43"")"),14225690.22)</f>
        <v>14225690.220000001</v>
      </c>
      <c r="K821" s="498">
        <f t="shared" ref="K821:K828" ca="1" si="336">IF(I821&gt;0,J821*100/I821,0)</f>
        <v>100</v>
      </c>
      <c r="L821" s="498"/>
      <c r="M821" s="498"/>
      <c r="N821" s="498"/>
      <c r="O821" s="498"/>
      <c r="P821" s="49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</row>
    <row r="822" spans="1:26" ht="18.75">
      <c r="A822" s="744"/>
      <c r="B822" s="763"/>
      <c r="C822" s="763"/>
      <c r="D822" s="575"/>
      <c r="E822" s="763"/>
      <c r="F822" s="763"/>
      <c r="G822" s="189"/>
      <c r="H822" s="623" t="s">
        <v>35</v>
      </c>
      <c r="I822" s="270">
        <f ca="1">IFERROR(__xludf.DUMMYFUNCTION("IMPORTRANGE(""https://docs.google.com/spreadsheets/d/19vJNZY_5yjcGF2XGBMNZRCAIB0Kwfpjp8YEOfu-bneM/edit?usp=sharing"",""งานกองทุน!C43"")"),297)</f>
        <v>297</v>
      </c>
      <c r="J822" s="270">
        <f ca="1">IFERROR(__xludf.DUMMYFUNCTION("IMPORTRANGE(""https://docs.google.com/spreadsheets/d/19vJNZY_5yjcGF2XGBMNZRCAIB0Kwfpjp8YEOfu-bneM/edit?usp=sharing"",""งานกองทุน!E43"")"),297)</f>
        <v>297</v>
      </c>
      <c r="K822" s="498">
        <f t="shared" ca="1" si="336"/>
        <v>100</v>
      </c>
      <c r="L822" s="498"/>
      <c r="M822" s="498"/>
      <c r="N822" s="498"/>
      <c r="O822" s="498"/>
      <c r="P822" s="49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</row>
    <row r="823" spans="1:26" ht="18.75">
      <c r="A823" s="744"/>
      <c r="B823" s="763" t="s">
        <v>327</v>
      </c>
      <c r="C823" s="763"/>
      <c r="D823" s="575"/>
      <c r="E823" s="763"/>
      <c r="F823" s="763"/>
      <c r="G823" s="189"/>
      <c r="H823" s="623" t="s">
        <v>12</v>
      </c>
      <c r="I823" s="270">
        <f ca="1">IFERROR(__xludf.DUMMYFUNCTION("IMPORTRANGE(""https://docs.google.com/spreadsheets/d/19vJNZY_5yjcGF2XGBMNZRCAIB0Kwfpjp8YEOfu-bneM/edit?usp=sharing"",""งานกองทุน!I43"")"),14341886.8)</f>
        <v>14341886.800000001</v>
      </c>
      <c r="J823" s="270">
        <f ca="1">IFERROR(__xludf.DUMMYFUNCTION("IMPORTRANGE(""https://docs.google.com/spreadsheets/d/19vJNZY_5yjcGF2XGBMNZRCAIB0Kwfpjp8YEOfu-bneM/edit?usp=sharing"",""งานกองทุน!K43"")"),1713495.14)</f>
        <v>1713495.14</v>
      </c>
      <c r="K823" s="498">
        <f t="shared" ca="1" si="336"/>
        <v>11.947487550940647</v>
      </c>
      <c r="L823" s="498"/>
      <c r="M823" s="498"/>
      <c r="N823" s="498"/>
      <c r="O823" s="498"/>
      <c r="P823" s="49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</row>
    <row r="824" spans="1:26" ht="18.75">
      <c r="A824" s="744"/>
      <c r="B824" s="763"/>
      <c r="C824" s="763"/>
      <c r="D824" s="575"/>
      <c r="E824" s="763"/>
      <c r="F824" s="763"/>
      <c r="G824" s="189"/>
      <c r="H824" s="623" t="s">
        <v>35</v>
      </c>
      <c r="I824" s="270">
        <f ca="1">IFERROR(__xludf.DUMMYFUNCTION("IMPORTRANGE(""https://docs.google.com/spreadsheets/d/19vJNZY_5yjcGF2XGBMNZRCAIB0Kwfpjp8YEOfu-bneM/edit?usp=sharing"",""งานกองทุน!H43"")"),407)</f>
        <v>407</v>
      </c>
      <c r="J824" s="270">
        <f ca="1">IFERROR(__xludf.DUMMYFUNCTION("IMPORTRANGE(""https://docs.google.com/spreadsheets/d/19vJNZY_5yjcGF2XGBMNZRCAIB0Kwfpjp8YEOfu-bneM/edit?usp=sharing"",""งานกองทุน!J43"")"),193)</f>
        <v>193</v>
      </c>
      <c r="K824" s="498">
        <f t="shared" ca="1" si="336"/>
        <v>47.420147420147423</v>
      </c>
      <c r="L824" s="498"/>
      <c r="M824" s="498"/>
      <c r="N824" s="498"/>
      <c r="O824" s="498"/>
      <c r="P824" s="49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</row>
    <row r="825" spans="1:26" ht="18.75">
      <c r="A825" s="744"/>
      <c r="B825" s="763" t="s">
        <v>328</v>
      </c>
      <c r="C825" s="763"/>
      <c r="D825" s="575"/>
      <c r="E825" s="763"/>
      <c r="F825" s="763"/>
      <c r="G825" s="189"/>
      <c r="H825" s="623" t="s">
        <v>12</v>
      </c>
      <c r="I825" s="270">
        <f ca="1">IFERROR(__xludf.DUMMYFUNCTION("IMPORTRANGE(""https://docs.google.com/spreadsheets/d/19vJNZY_5yjcGF2XGBMNZRCAIB0Kwfpjp8YEOfu-bneM/edit?usp=sharing"",""งานกองทุน!N43"")"),6779.25)</f>
        <v>6779.25</v>
      </c>
      <c r="J825" s="270">
        <f ca="1">IFERROR(__xludf.DUMMYFUNCTION("IMPORTRANGE(""https://docs.google.com/spreadsheets/d/19vJNZY_5yjcGF2XGBMNZRCAIB0Kwfpjp8YEOfu-bneM/edit?usp=sharing"",""งานกองทุน!P43"")"),6779.25)</f>
        <v>6779.25</v>
      </c>
      <c r="K825" s="498">
        <f t="shared" ca="1" si="336"/>
        <v>100</v>
      </c>
      <c r="L825" s="498"/>
      <c r="M825" s="498"/>
      <c r="N825" s="498"/>
      <c r="O825" s="498"/>
      <c r="P825" s="49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</row>
    <row r="826" spans="1:26" ht="18.75">
      <c r="A826" s="744"/>
      <c r="B826" s="763"/>
      <c r="C826" s="763"/>
      <c r="D826" s="575"/>
      <c r="E826" s="763"/>
      <c r="F826" s="763"/>
      <c r="G826" s="189"/>
      <c r="H826" s="623" t="s">
        <v>35</v>
      </c>
      <c r="I826" s="270">
        <f ca="1">IFERROR(__xludf.DUMMYFUNCTION("IMPORTRANGE(""https://docs.google.com/spreadsheets/d/19vJNZY_5yjcGF2XGBMNZRCAIB0Kwfpjp8YEOfu-bneM/edit?usp=sharing"",""งานกองทุน!M43"")"),4)</f>
        <v>4</v>
      </c>
      <c r="J826" s="270">
        <f ca="1">IFERROR(__xludf.DUMMYFUNCTION("IMPORTRANGE(""https://docs.google.com/spreadsheets/d/19vJNZY_5yjcGF2XGBMNZRCAIB0Kwfpjp8YEOfu-bneM/edit?usp=sharing"",""งานกองทุน!O43"")"),4)</f>
        <v>4</v>
      </c>
      <c r="K826" s="498">
        <f t="shared" ca="1" si="336"/>
        <v>100</v>
      </c>
      <c r="L826" s="498"/>
      <c r="M826" s="498"/>
      <c r="N826" s="498"/>
      <c r="O826" s="498"/>
      <c r="P826" s="49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</row>
    <row r="827" spans="1:26" ht="18.75">
      <c r="A827" s="744"/>
      <c r="B827" s="763" t="s">
        <v>329</v>
      </c>
      <c r="C827" s="763"/>
      <c r="D827" s="575"/>
      <c r="E827" s="763"/>
      <c r="F827" s="763"/>
      <c r="G827" s="189"/>
      <c r="H827" s="623" t="s">
        <v>12</v>
      </c>
      <c r="I827" s="270">
        <f ca="1">IFERROR(__xludf.DUMMYFUNCTION("IMPORTRANGE(""https://docs.google.com/spreadsheets/d/19vJNZY_5yjcGF2XGBMNZRCAIB0Kwfpjp8YEOfu-bneM/edit?usp=sharing"",""งานกองทุน!S43"")"),13430000)</f>
        <v>13430000</v>
      </c>
      <c r="J827" s="270">
        <f ca="1">IFERROR(__xludf.DUMMYFUNCTION("IMPORTRANGE(""https://docs.google.com/spreadsheets/d/19vJNZY_5yjcGF2XGBMNZRCAIB0Kwfpjp8YEOfu-bneM/edit?usp=sharing"",""งานกองทุน!U43"")"),13430000)</f>
        <v>13430000</v>
      </c>
      <c r="K827" s="498">
        <f t="shared" ca="1" si="336"/>
        <v>100</v>
      </c>
      <c r="L827" s="498"/>
      <c r="M827" s="498"/>
      <c r="N827" s="498"/>
      <c r="O827" s="498"/>
      <c r="P827" s="49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</row>
    <row r="828" spans="1:26" ht="18.75">
      <c r="A828" s="841"/>
      <c r="B828" s="749"/>
      <c r="C828" s="749"/>
      <c r="D828" s="748"/>
      <c r="E828" s="749"/>
      <c r="F828" s="749"/>
      <c r="G828" s="842"/>
      <c r="H828" s="843" t="s">
        <v>35</v>
      </c>
      <c r="I828" s="506">
        <f ca="1">IFERROR(__xludf.DUMMYFUNCTION("IMPORTRANGE(""https://docs.google.com/spreadsheets/d/19vJNZY_5yjcGF2XGBMNZRCAIB0Kwfpjp8YEOfu-bneM/edit?usp=sharing"",""งานกองทุน!R43"")"),537)</f>
        <v>537</v>
      </c>
      <c r="J828" s="506">
        <f ca="1">IFERROR(__xludf.DUMMYFUNCTION("IMPORTRANGE(""https://docs.google.com/spreadsheets/d/19vJNZY_5yjcGF2XGBMNZRCAIB0Kwfpjp8YEOfu-bneM/edit?usp=sharing"",""งานกองทุน!T43"")"),273)</f>
        <v>273</v>
      </c>
      <c r="K828" s="507">
        <f t="shared" ca="1" si="336"/>
        <v>50.837988826815639</v>
      </c>
      <c r="L828" s="507"/>
      <c r="M828" s="507"/>
      <c r="N828" s="507"/>
      <c r="O828" s="507"/>
      <c r="P828" s="507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ADADE-2653-4BD2-815B-FC03738E3B7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3" bestFit="1" customWidth="1"/>
    <col min="15" max="15" width="20.140625" bestFit="1" customWidth="1"/>
    <col min="16" max="16" width="22" bestFit="1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353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364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11585534</v>
      </c>
      <c r="M8" s="22">
        <f t="shared" ca="1" si="0"/>
        <v>10449597.640000001</v>
      </c>
      <c r="N8" s="22">
        <f t="shared" ca="1" si="0"/>
        <v>10678597.640000001</v>
      </c>
      <c r="O8" s="22">
        <f t="shared" ref="O8:O16" ca="1" si="1">IF(L8&gt;0,N8*100/L8,0)</f>
        <v>92.171820824141548</v>
      </c>
      <c r="P8" s="22">
        <f t="shared" ref="P8:P16" ca="1" si="2">IF(M8&gt;0,N8*100/M8,0)</f>
        <v>102.19147193881811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11585534</v>
      </c>
      <c r="M10" s="30">
        <f t="shared" ca="1" si="3"/>
        <v>10449597.640000001</v>
      </c>
      <c r="N10" s="30">
        <f t="shared" ca="1" si="3"/>
        <v>10678597.640000001</v>
      </c>
      <c r="O10" s="30">
        <f t="shared" ca="1" si="1"/>
        <v>92.171820824141548</v>
      </c>
      <c r="P10" s="30">
        <f t="shared" ca="1" si="2"/>
        <v>102.19147193881811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3" t="s">
        <v>12</v>
      </c>
      <c r="I11" s="270"/>
      <c r="J11" s="270"/>
      <c r="K11" s="498"/>
      <c r="L11" s="498">
        <f t="shared" ref="L11:N11" ca="1" si="4">L12+L13</f>
        <v>7445134</v>
      </c>
      <c r="M11" s="498">
        <f t="shared" ca="1" si="4"/>
        <v>7312902.8300000001</v>
      </c>
      <c r="N11" s="498">
        <f t="shared" ca="1" si="4"/>
        <v>7312902.8300000001</v>
      </c>
      <c r="O11" s="498">
        <f t="shared" ca="1" si="1"/>
        <v>98.223924915253377</v>
      </c>
      <c r="P11" s="498">
        <f t="shared" ca="1" si="2"/>
        <v>100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7"/>
      <c r="J12" s="617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7"/>
      <c r="J13" s="617"/>
      <c r="K13" s="93"/>
      <c r="L13" s="93">
        <f t="shared" ca="1" si="5"/>
        <v>7445134</v>
      </c>
      <c r="M13" s="93">
        <f t="shared" ca="1" si="5"/>
        <v>7312902.8300000001</v>
      </c>
      <c r="N13" s="93">
        <f t="shared" ca="1" si="5"/>
        <v>7312902.8300000001</v>
      </c>
      <c r="O13" s="93">
        <f t="shared" ca="1" si="1"/>
        <v>98.223924915253377</v>
      </c>
      <c r="P13" s="93">
        <f t="shared" ca="1" si="2"/>
        <v>100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3" t="s">
        <v>12</v>
      </c>
      <c r="I14" s="270"/>
      <c r="J14" s="270"/>
      <c r="K14" s="498"/>
      <c r="L14" s="498">
        <f t="shared" ref="L14:N14" ca="1" si="6">L15+L16</f>
        <v>4140400</v>
      </c>
      <c r="M14" s="498">
        <f t="shared" ca="1" si="6"/>
        <v>3136694.81</v>
      </c>
      <c r="N14" s="498">
        <f t="shared" ca="1" si="6"/>
        <v>3365694.81</v>
      </c>
      <c r="O14" s="498">
        <f t="shared" ca="1" si="1"/>
        <v>81.289122065500919</v>
      </c>
      <c r="P14" s="498">
        <f t="shared" ca="1" si="2"/>
        <v>107.30067838509287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7"/>
      <c r="J15" s="617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4140400</v>
      </c>
      <c r="M16" s="52">
        <f t="shared" ca="1" si="7"/>
        <v>3136694.81</v>
      </c>
      <c r="N16" s="52">
        <f t="shared" ca="1" si="7"/>
        <v>3365694.81</v>
      </c>
      <c r="O16" s="52">
        <f t="shared" ca="1" si="1"/>
        <v>81.289122065500919</v>
      </c>
      <c r="P16" s="52">
        <f t="shared" ca="1" si="2"/>
        <v>107.30067838509287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9264283</v>
      </c>
      <c r="M18" s="22">
        <f t="shared" ca="1" si="8"/>
        <v>8642584.4100000001</v>
      </c>
      <c r="N18" s="22">
        <f t="shared" ca="1" si="8"/>
        <v>8871584.4100000001</v>
      </c>
      <c r="O18" s="22">
        <f t="shared" ref="O18:O26" ca="1" si="9">IF(L18&gt;0,N18*100/L18,0)</f>
        <v>95.761155072659164</v>
      </c>
      <c r="P18" s="22">
        <f t="shared" ref="P18:P26" ca="1" si="10">IF(M18&gt;0,N18*100/M18,0)</f>
        <v>102.64967038950795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9264283</v>
      </c>
      <c r="M20" s="30">
        <f t="shared" ca="1" si="11"/>
        <v>8642584.4100000001</v>
      </c>
      <c r="N20" s="30">
        <f t="shared" ca="1" si="11"/>
        <v>8871584.4100000001</v>
      </c>
      <c r="O20" s="30">
        <f t="shared" ca="1" si="9"/>
        <v>95.761155072659164</v>
      </c>
      <c r="P20" s="30">
        <f t="shared" ca="1" si="10"/>
        <v>102.64967038950795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3" t="s">
        <v>12</v>
      </c>
      <c r="I21" s="270"/>
      <c r="J21" s="270"/>
      <c r="K21" s="498"/>
      <c r="L21" s="498">
        <f t="shared" ref="L21:N21" ca="1" si="12">L22+L23</f>
        <v>5123883</v>
      </c>
      <c r="M21" s="498">
        <f t="shared" ca="1" si="12"/>
        <v>5505889.5999999996</v>
      </c>
      <c r="N21" s="498">
        <f t="shared" ca="1" si="12"/>
        <v>5505889.5999999996</v>
      </c>
      <c r="O21" s="498">
        <f t="shared" ca="1" si="9"/>
        <v>107.45541223326137</v>
      </c>
      <c r="P21" s="498">
        <f t="shared" ca="1" si="10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7"/>
      <c r="J22" s="617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7"/>
      <c r="J23" s="617"/>
      <c r="K23" s="93"/>
      <c r="L23" s="93">
        <f t="shared" ca="1" si="13"/>
        <v>5123883</v>
      </c>
      <c r="M23" s="93">
        <f t="shared" ca="1" si="13"/>
        <v>5505889.5999999996</v>
      </c>
      <c r="N23" s="93">
        <f t="shared" ca="1" si="13"/>
        <v>5505889.5999999996</v>
      </c>
      <c r="O23" s="93">
        <f t="shared" ca="1" si="9"/>
        <v>107.45541223326137</v>
      </c>
      <c r="P23" s="93">
        <f t="shared" ca="1" si="10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3" t="s">
        <v>12</v>
      </c>
      <c r="I24" s="270"/>
      <c r="J24" s="270"/>
      <c r="K24" s="498"/>
      <c r="L24" s="498">
        <f t="shared" ref="L24:N24" ca="1" si="14">L25+L26</f>
        <v>4140400</v>
      </c>
      <c r="M24" s="498">
        <f t="shared" ca="1" si="14"/>
        <v>3136694.81</v>
      </c>
      <c r="N24" s="498">
        <f t="shared" ca="1" si="14"/>
        <v>3365694.81</v>
      </c>
      <c r="O24" s="498">
        <f t="shared" ca="1" si="9"/>
        <v>81.289122065500919</v>
      </c>
      <c r="P24" s="498">
        <f t="shared" ca="1" si="10"/>
        <v>107.30067838509287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7"/>
      <c r="J25" s="617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4140400</v>
      </c>
      <c r="M26" s="52">
        <f t="shared" ca="1" si="15"/>
        <v>3136694.81</v>
      </c>
      <c r="N26" s="52">
        <f t="shared" ca="1" si="15"/>
        <v>3365694.81</v>
      </c>
      <c r="O26" s="52">
        <f t="shared" ca="1" si="9"/>
        <v>81.289122065500919</v>
      </c>
      <c r="P26" s="52">
        <f t="shared" ca="1" si="10"/>
        <v>107.30067838509287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2321251</v>
      </c>
      <c r="M28" s="22">
        <f t="shared" ca="1" si="16"/>
        <v>1807013.23</v>
      </c>
      <c r="N28" s="22">
        <f t="shared" si="16"/>
        <v>1807013.23</v>
      </c>
      <c r="O28" s="22">
        <f t="shared" ref="O28:O37" ca="1" si="17">IF(L28&gt;0,N28*100/L28,0)</f>
        <v>77.846524568002337</v>
      </c>
      <c r="P28" s="22">
        <f t="shared" ref="P28:P37" ca="1" si="18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2321251</v>
      </c>
      <c r="M30" s="30">
        <f t="shared" ca="1" si="19"/>
        <v>1807013.23</v>
      </c>
      <c r="N30" s="30">
        <f t="shared" si="19"/>
        <v>1807013.23</v>
      </c>
      <c r="O30" s="30">
        <f t="shared" ca="1" si="17"/>
        <v>77.846524568002337</v>
      </c>
      <c r="P30" s="30">
        <f t="shared" ca="1" si="18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3" t="s">
        <v>12</v>
      </c>
      <c r="I31" s="270"/>
      <c r="J31" s="270"/>
      <c r="K31" s="498"/>
      <c r="L31" s="498">
        <f t="shared" ref="L31:N31" ca="1" si="20">L32+L33</f>
        <v>2321251</v>
      </c>
      <c r="M31" s="498">
        <f t="shared" ca="1" si="20"/>
        <v>1807013.23</v>
      </c>
      <c r="N31" s="498">
        <f t="shared" si="20"/>
        <v>1807013.23</v>
      </c>
      <c r="O31" s="498">
        <f t="shared" ca="1" si="17"/>
        <v>77.846524568002337</v>
      </c>
      <c r="P31" s="498">
        <f t="shared" ca="1" si="18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7"/>
      <c r="J32" s="617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7"/>
      <c r="J33" s="617"/>
      <c r="K33" s="93"/>
      <c r="L33" s="93">
        <f t="shared" ca="1" si="21"/>
        <v>2321251</v>
      </c>
      <c r="M33" s="93">
        <f t="shared" ca="1" si="21"/>
        <v>1807013.23</v>
      </c>
      <c r="N33" s="93">
        <f t="shared" si="21"/>
        <v>1807013.23</v>
      </c>
      <c r="O33" s="93">
        <f t="shared" ca="1" si="17"/>
        <v>77.846524568002337</v>
      </c>
      <c r="P33" s="93">
        <f t="shared" ca="1" si="18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3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7"/>
      <c r="J35" s="617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7" t="s">
        <v>24</v>
      </c>
      <c r="B37" s="868"/>
      <c r="C37" s="868"/>
      <c r="D37" s="868"/>
      <c r="E37" s="868"/>
      <c r="F37" s="868"/>
      <c r="G37" s="869"/>
      <c r="H37" s="870"/>
      <c r="I37" s="871"/>
      <c r="J37" s="871"/>
      <c r="K37" s="872"/>
      <c r="L37" s="873">
        <f t="shared" ref="L37:N37" ca="1" si="24">L41+L53+L66+L88+L119+L132+L149+L165+L181+L261+L277+L298+L315+L328+L345+L389+L402</f>
        <v>9264283</v>
      </c>
      <c r="M37" s="873">
        <f t="shared" ca="1" si="24"/>
        <v>8642584.4100000001</v>
      </c>
      <c r="N37" s="873">
        <f t="shared" ca="1" si="24"/>
        <v>8871584.4100000001</v>
      </c>
      <c r="O37" s="873">
        <f t="shared" ca="1" si="17"/>
        <v>95.761155072659164</v>
      </c>
      <c r="P37" s="873">
        <f t="shared" ca="1" si="18"/>
        <v>102.64967038950795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704288</v>
      </c>
      <c r="M41" s="85">
        <f t="shared" ca="1" si="25"/>
        <v>853674.66</v>
      </c>
      <c r="N41" s="85">
        <f t="shared" ca="1" si="25"/>
        <v>853674.66</v>
      </c>
      <c r="O41" s="85">
        <f t="shared" ref="O41:O49" ca="1" si="26">IF(L41&gt;0,N41*100/L41,0)</f>
        <v>121.21101878776864</v>
      </c>
      <c r="P41" s="85">
        <f t="shared" ref="P41:P49" ca="1" si="27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704288</v>
      </c>
      <c r="M43" s="92">
        <f t="shared" ca="1" si="28"/>
        <v>853674.66</v>
      </c>
      <c r="N43" s="92">
        <f t="shared" ca="1" si="28"/>
        <v>853674.66</v>
      </c>
      <c r="O43" s="92">
        <f t="shared" ca="1" si="26"/>
        <v>121.21101878776864</v>
      </c>
      <c r="P43" s="92">
        <f t="shared" ca="1" si="27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3" t="s">
        <v>12</v>
      </c>
      <c r="I44" s="270"/>
      <c r="J44" s="270"/>
      <c r="K44" s="498"/>
      <c r="L44" s="498">
        <f t="shared" ref="L44:N44" ca="1" si="29">L45+L46</f>
        <v>704288</v>
      </c>
      <c r="M44" s="498">
        <f t="shared" ca="1" si="29"/>
        <v>853674.66</v>
      </c>
      <c r="N44" s="498">
        <f t="shared" ca="1" si="29"/>
        <v>853674.66</v>
      </c>
      <c r="O44" s="498">
        <f t="shared" ca="1" si="26"/>
        <v>121.21101878776864</v>
      </c>
      <c r="P44" s="498">
        <f t="shared" ca="1" si="27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7"/>
      <c r="J45" s="617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7"/>
      <c r="J46" s="617"/>
      <c r="K46" s="93"/>
      <c r="L46" s="93">
        <f ca="1">IFERROR(__xludf.DUMMYFUNCTION("IMPORTRANGE(""https://docs.google.com/spreadsheets/d/1MeEWN-I1oV_STSDYn1IFDPWt_1FKiwhDph83XaGc0o0/edit?usp=sharing"",""งบพรบ!M44"")"),704288)</f>
        <v>704288</v>
      </c>
      <c r="M46" s="93">
        <f ca="1">IFERROR(__xludf.DUMMYFUNCTION("IMPORTRANGE(""https://docs.google.com/spreadsheets/d/1MeEWN-I1oV_STSDYn1IFDPWt_1FKiwhDph83XaGc0o0/edit?usp=sharing"",""งบพรบ!R44"")"),853674.66)</f>
        <v>853674.66</v>
      </c>
      <c r="N46" s="93">
        <f ca="1">IFERROR(__xludf.DUMMYFUNCTION("IMPORTRANGE(""https://docs.google.com/spreadsheets/d/1MeEWN-I1oV_STSDYn1IFDPWt_1FKiwhDph83XaGc0o0/edit?usp=sharing"",""งบพรบ!T44"")"),853674.66)</f>
        <v>853674.66</v>
      </c>
      <c r="O46" s="93">
        <f t="shared" ca="1" si="26"/>
        <v>121.21101878776864</v>
      </c>
      <c r="P46" s="93">
        <f t="shared" ca="1" si="27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3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7"/>
      <c r="J48" s="617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IFERROR(__xludf.DUMMYFUNCTION("IMPORTRANGE(""https://docs.google.com/spreadsheets/d/1MeEWN-I1oV_STSDYn1IFDPWt_1FKiwhDph83XaGc0o0/edit?usp=sharing"",""งบพรบ!P44"")"),0)</f>
        <v>0</v>
      </c>
      <c r="M49" s="52">
        <f ca="1">IFERROR(__xludf.DUMMYFUNCTION("IMPORTRANGE(""https://docs.google.com/spreadsheets/d/1MeEWN-I1oV_STSDYn1IFDPWt_1FKiwhDph83XaGc0o0/edit?usp=sharing"",""งบพรบ!S44"")"),0)</f>
        <v>0</v>
      </c>
      <c r="N49" s="52">
        <f ca="1">IFERROR(__xludf.DUMMYFUNCTION("IMPORTRANGE(""https://docs.google.com/spreadsheets/d/1MeEWN-I1oV_STSDYn1IFDPWt_1FKiwhDph83XaGc0o0/edit?usp=sharing"",""งบพรบ!U44"")"),0)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4849400</v>
      </c>
      <c r="M53" s="116">
        <f t="shared" ca="1" si="31"/>
        <v>3879398.75</v>
      </c>
      <c r="N53" s="116">
        <f t="shared" ca="1" si="31"/>
        <v>4108398.75</v>
      </c>
      <c r="O53" s="116">
        <f t="shared" ref="O53:O61" ca="1" si="32">IF(L53&gt;0,N53*100/L53,0)</f>
        <v>84.719733369076593</v>
      </c>
      <c r="P53" s="116">
        <f t="shared" ref="P53:P61" ca="1" si="33">IF(M53&gt;0,N53*100/M53,0)</f>
        <v>105.90297658883351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4849400</v>
      </c>
      <c r="M55" s="123">
        <f t="shared" ca="1" si="34"/>
        <v>3879398.75</v>
      </c>
      <c r="N55" s="123">
        <f t="shared" ca="1" si="34"/>
        <v>4108398.75</v>
      </c>
      <c r="O55" s="123">
        <f t="shared" ca="1" si="32"/>
        <v>84.719733369076593</v>
      </c>
      <c r="P55" s="123">
        <f t="shared" ca="1" si="33"/>
        <v>105.90297658883351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3" t="s">
        <v>12</v>
      </c>
      <c r="I56" s="270"/>
      <c r="J56" s="270"/>
      <c r="K56" s="498"/>
      <c r="L56" s="498">
        <f t="shared" ref="L56:N56" ca="1" si="35">L57+L58</f>
        <v>835400</v>
      </c>
      <c r="M56" s="498">
        <f t="shared" ca="1" si="35"/>
        <v>949403.94</v>
      </c>
      <c r="N56" s="498">
        <f t="shared" ca="1" si="35"/>
        <v>949403.94</v>
      </c>
      <c r="O56" s="498">
        <f t="shared" ca="1" si="32"/>
        <v>113.64662915968398</v>
      </c>
      <c r="P56" s="498">
        <f t="shared" ca="1" si="33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7"/>
      <c r="J57" s="617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7"/>
      <c r="J58" s="617"/>
      <c r="K58" s="93"/>
      <c r="L58" s="93">
        <f ca="1">IFERROR(__xludf.DUMMYFUNCTION("IMPORTRANGE(""https://docs.google.com/spreadsheets/d/1MeEWN-I1oV_STSDYn1IFDPWt_1FKiwhDph83XaGc0o0/edit?usp=sharing"",""งบพรบ!W44"")"),835400)</f>
        <v>835400</v>
      </c>
      <c r="M58" s="93">
        <f ca="1">IFERROR(__xludf.DUMMYFUNCTION("IMPORTRANGE(""https://docs.google.com/spreadsheets/d/1MeEWN-I1oV_STSDYn1IFDPWt_1FKiwhDph83XaGc0o0/edit?usp=sharing"",""งบพรบ!AB44"")"),949403.94)</f>
        <v>949403.94</v>
      </c>
      <c r="N58" s="93">
        <f ca="1">IFERROR(__xludf.DUMMYFUNCTION("IMPORTRANGE(""https://docs.google.com/spreadsheets/d/1MeEWN-I1oV_STSDYn1IFDPWt_1FKiwhDph83XaGc0o0/edit?usp=sharing"",""งบพรบ!AD44"")"),949403.94)</f>
        <v>949403.94</v>
      </c>
      <c r="O58" s="93">
        <f t="shared" ca="1" si="32"/>
        <v>113.64662915968398</v>
      </c>
      <c r="P58" s="93">
        <f t="shared" ca="1" si="33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3" t="s">
        <v>12</v>
      </c>
      <c r="I59" s="270"/>
      <c r="J59" s="270"/>
      <c r="K59" s="498"/>
      <c r="L59" s="498">
        <f t="shared" ref="L59:N59" ca="1" si="36">L60+L61</f>
        <v>4014000</v>
      </c>
      <c r="M59" s="498">
        <f t="shared" ca="1" si="36"/>
        <v>2929994.81</v>
      </c>
      <c r="N59" s="498">
        <f t="shared" ca="1" si="36"/>
        <v>3158994.81</v>
      </c>
      <c r="O59" s="498">
        <f t="shared" ca="1" si="32"/>
        <v>78.699422272047826</v>
      </c>
      <c r="P59" s="498">
        <f t="shared" ca="1" si="33"/>
        <v>107.81571350291914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7"/>
      <c r="J60" s="617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IFERROR(__xludf.DUMMYFUNCTION("IMPORTRANGE(""https://docs.google.com/spreadsheets/d/1MeEWN-I1oV_STSDYn1IFDPWt_1FKiwhDph83XaGc0o0/edit?usp=sharing"",""งบพรบ!Z44"")"),4014000)</f>
        <v>4014000</v>
      </c>
      <c r="M61" s="52">
        <f ca="1">IFERROR(__xludf.DUMMYFUNCTION("IMPORTRANGE(""https://docs.google.com/spreadsheets/d/1MeEWN-I1oV_STSDYn1IFDPWt_1FKiwhDph83XaGc0o0/edit?usp=sharing"",""งบพรบ!AC44"")"),2929994.81)</f>
        <v>2929994.81</v>
      </c>
      <c r="N61" s="52">
        <f ca="1">IFERROR(__xludf.DUMMYFUNCTION("IMPORTRANGE(""https://docs.google.com/spreadsheets/d/1MeEWN-I1oV_STSDYn1IFDPWt_1FKiwhDph83XaGc0o0/edit?usp=sharing"",""งบพรบ!AE44"")"),3158994.81)</f>
        <v>3158994.81</v>
      </c>
      <c r="O61" s="52">
        <f t="shared" ca="1" si="32"/>
        <v>78.699422272047826</v>
      </c>
      <c r="P61" s="52">
        <f t="shared" ca="1" si="33"/>
        <v>107.81571350291914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71</v>
      </c>
      <c r="J65" s="144">
        <f t="shared" si="37"/>
        <v>71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937300</v>
      </c>
      <c r="M66" s="155">
        <f t="shared" ca="1" si="39"/>
        <v>952880</v>
      </c>
      <c r="N66" s="155">
        <f t="shared" ca="1" si="39"/>
        <v>952880</v>
      </c>
      <c r="O66" s="155">
        <f t="shared" ref="O66:O74" ca="1" si="40">IF(L66&gt;0,N66*100/L66,0)</f>
        <v>101.66222127387176</v>
      </c>
      <c r="P66" s="155">
        <f t="shared" ref="P66:P74" ca="1" si="41">IF(M66&gt;0,N66*100/M66,0)</f>
        <v>100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7"/>
      <c r="J67" s="617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7"/>
      <c r="J68" s="617"/>
      <c r="K68" s="93"/>
      <c r="L68" s="93">
        <f t="shared" ca="1" si="42"/>
        <v>937300</v>
      </c>
      <c r="M68" s="93">
        <f t="shared" ca="1" si="42"/>
        <v>952880</v>
      </c>
      <c r="N68" s="93">
        <f t="shared" ca="1" si="42"/>
        <v>952880</v>
      </c>
      <c r="O68" s="93">
        <f t="shared" ca="1" si="40"/>
        <v>101.66222127387176</v>
      </c>
      <c r="P68" s="93">
        <f t="shared" ca="1" si="41"/>
        <v>100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937300</v>
      </c>
      <c r="M69" s="498">
        <f t="shared" ca="1" si="43"/>
        <v>952880</v>
      </c>
      <c r="N69" s="498">
        <f t="shared" ca="1" si="43"/>
        <v>952880</v>
      </c>
      <c r="O69" s="498">
        <f t="shared" ca="1" si="40"/>
        <v>101.66222127387176</v>
      </c>
      <c r="P69" s="498">
        <f t="shared" ca="1" si="41"/>
        <v>100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IFERROR(__xludf.DUMMYFUNCTION("IMPORTRANGE(""https://docs.google.com/spreadsheets/d/1MeEWN-I1oV_STSDYn1IFDPWt_1FKiwhDph83XaGc0o0/edit?usp=sharing"",""งบพรบ!AG44"")"),937300)</f>
        <v>937300</v>
      </c>
      <c r="M71" s="93">
        <f ca="1">IFERROR(__xludf.DUMMYFUNCTION("IMPORTRANGE(""https://docs.google.com/spreadsheets/d/1MeEWN-I1oV_STSDYn1IFDPWt_1FKiwhDph83XaGc0o0/edit?usp=sharing"",""งบพรบ!AL44"")"),952880)</f>
        <v>952880</v>
      </c>
      <c r="N71" s="93">
        <f ca="1">IFERROR(__xludf.DUMMYFUNCTION("IMPORTRANGE(""https://docs.google.com/spreadsheets/d/1MeEWN-I1oV_STSDYn1IFDPWt_1FKiwhDph83XaGc0o0/edit?usp=sharing"",""งบพรบ!AN44"")"),952880)</f>
        <v>952880</v>
      </c>
      <c r="O71" s="93">
        <f t="shared" ca="1" si="40"/>
        <v>101.66222127387176</v>
      </c>
      <c r="P71" s="93">
        <f t="shared" ca="1" si="41"/>
        <v>100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IFERROR(__xludf.DUMMYFUNCTION("IMPORTRANGE(""https://docs.google.com/spreadsheets/d/1MeEWN-I1oV_STSDYn1IFDPWt_1FKiwhDph83XaGc0o0/edit?usp=sharing"",""งบพรบ!AJ44"")"),0)</f>
        <v>0</v>
      </c>
      <c r="M74" s="93">
        <f ca="1">IFERROR(__xludf.DUMMYFUNCTION("IMPORTRANGE(""https://docs.google.com/spreadsheets/d/1MeEWN-I1oV_STSDYn1IFDPWt_1FKiwhDph83XaGc0o0/edit?usp=sharing"",""งบพรบ!AM44"")"),0)</f>
        <v>0</v>
      </c>
      <c r="N74" s="93">
        <f ca="1">IFERROR(__xludf.DUMMYFUNCTION("IMPORTRANGE(""https://docs.google.com/spreadsheets/d/1MeEWN-I1oV_STSDYn1IFDPWt_1FKiwhDph83XaGc0o0/edit?usp=sharing"",""งบพรบ!AO44"")"),0)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7" t="s">
        <v>38</v>
      </c>
      <c r="E75" s="173"/>
      <c r="F75" s="173"/>
      <c r="G75" s="174"/>
      <c r="H75" s="76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71</v>
      </c>
      <c r="J77" s="270">
        <f t="shared" si="45"/>
        <v>71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4" t="s">
        <v>34</v>
      </c>
      <c r="I78" s="184">
        <f ca="1">IFERROR(__xludf.DUMMYFUNCTION("IMPORTRANGE(""https://docs.google.com/spreadsheets/d/1QqKyyYR6Q21VydFLVH3TRQUabQu_ym0Zz7PgGX0-kHA/edit?usp=sharing"",""แผน!H44"")"),0)</f>
        <v>0</v>
      </c>
      <c r="J78" s="18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4" t="s">
        <v>35</v>
      </c>
      <c r="I79" s="184">
        <f ca="1">IFERROR(__xludf.DUMMYFUNCTION("IMPORTRANGE(""https://docs.google.com/spreadsheets/d/1QqKyyYR6Q21VydFLVH3TRQUabQu_ym0Zz7PgGX0-kHA/edit?usp=sharing"",""แผน!I44"")"),0)</f>
        <v>0</v>
      </c>
      <c r="J79" s="18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4" t="s">
        <v>34</v>
      </c>
      <c r="I80" s="184">
        <f ca="1">IFERROR(__xludf.DUMMYFUNCTION("IMPORTRANGE(""https://docs.google.com/spreadsheets/d/1QqKyyYR6Q21VydFLVH3TRQUabQu_ym0Zz7PgGX0-kHA/edit?usp=sharing"",""แผน!F44"")"),0)</f>
        <v>0</v>
      </c>
      <c r="J80" s="18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4" t="s">
        <v>35</v>
      </c>
      <c r="I81" s="184">
        <f ca="1">IFERROR(__xludf.DUMMYFUNCTION("IMPORTRANGE(""https://docs.google.com/spreadsheets/d/1QqKyyYR6Q21VydFLVH3TRQUabQu_ym0Zz7PgGX0-kHA/edit?usp=sharing"",""แผน!G44"")"),0)</f>
        <v>0</v>
      </c>
      <c r="J81" s="18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4" t="s">
        <v>34</v>
      </c>
      <c r="I82" s="184">
        <f ca="1">IFERROR(__xludf.DUMMYFUNCTION("IMPORTRANGE(""https://docs.google.com/spreadsheets/d/1QqKyyYR6Q21VydFLVH3TRQUabQu_ym0Zz7PgGX0-kHA/edit?usp=sharing"",""แผน!D44"")"),1)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4" t="s">
        <v>35</v>
      </c>
      <c r="I83" s="184">
        <f ca="1">IFERROR(__xludf.DUMMYFUNCTION("IMPORTRANGE(""https://docs.google.com/spreadsheets/d/1QqKyyYR6Q21VydFLVH3TRQUabQu_ym0Zz7PgGX0-kHA/edit?usp=sharing"",""แผน!E44"")"),71)</f>
        <v>71</v>
      </c>
      <c r="J83" s="215">
        <v>71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IFERROR(__xludf.DUMMYFUNCTION("IMPORTRANGE(""https://docs.google.com/spreadsheets/d/1QqKyyYR6Q21VydFLVH3TRQUabQu_ym0Zz7PgGX0-kHA/edit?usp=sharing"",""แผน!J44"")"),1)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38860</v>
      </c>
      <c r="M88" s="155">
        <f t="shared" ca="1" si="49"/>
        <v>38860</v>
      </c>
      <c r="N88" s="155">
        <f t="shared" ca="1" si="49"/>
        <v>38860</v>
      </c>
      <c r="O88" s="155">
        <f t="shared" ref="O88:O96" ca="1" si="50">IF(L88&gt;0,N88*100/L88,0)</f>
        <v>100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7"/>
      <c r="J89" s="617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7"/>
      <c r="J90" s="617"/>
      <c r="K90" s="93"/>
      <c r="L90" s="93">
        <f t="shared" ca="1" si="52"/>
        <v>38860</v>
      </c>
      <c r="M90" s="93">
        <f t="shared" ca="1" si="52"/>
        <v>38860</v>
      </c>
      <c r="N90" s="93">
        <f t="shared" ca="1" si="52"/>
        <v>38860</v>
      </c>
      <c r="O90" s="93">
        <f t="shared" ca="1" si="50"/>
        <v>100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38860</v>
      </c>
      <c r="M91" s="498">
        <f t="shared" ca="1" si="53"/>
        <v>38860</v>
      </c>
      <c r="N91" s="498">
        <f t="shared" ca="1" si="53"/>
        <v>38860</v>
      </c>
      <c r="O91" s="498">
        <f t="shared" ca="1" si="50"/>
        <v>100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IFERROR(__xludf.DUMMYFUNCTION("IMPORTRANGE(""https://docs.google.com/spreadsheets/d/1MeEWN-I1oV_STSDYn1IFDPWt_1FKiwhDph83XaGc0o0/edit?usp=sharing"",""งบพรบ!AQ44"")"),38860)</f>
        <v>38860</v>
      </c>
      <c r="M93" s="93">
        <f ca="1">IFERROR(__xludf.DUMMYFUNCTION("IMPORTRANGE(""https://docs.google.com/spreadsheets/d/1MeEWN-I1oV_STSDYn1IFDPWt_1FKiwhDph83XaGc0o0/edit?usp=sharing"",""งบพรบ!AV44"")"),38860)</f>
        <v>38860</v>
      </c>
      <c r="N93" s="93">
        <f ca="1">IFERROR(__xludf.DUMMYFUNCTION("IMPORTRANGE(""https://docs.google.com/spreadsheets/d/1MeEWN-I1oV_STSDYn1IFDPWt_1FKiwhDph83XaGc0o0/edit?usp=sharing"",""งบพรบ!AX44"")"),38860)</f>
        <v>38860</v>
      </c>
      <c r="O93" s="93">
        <f t="shared" ca="1" si="50"/>
        <v>100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IFERROR(__xludf.DUMMYFUNCTION("IMPORTRANGE(""https://docs.google.com/spreadsheets/d/1MeEWN-I1oV_STSDYn1IFDPWt_1FKiwhDph83XaGc0o0/edit?usp=sharing"",""งบพรบ!AT44"")"),0)</f>
        <v>0</v>
      </c>
      <c r="M96" s="93">
        <f ca="1">IFERROR(__xludf.DUMMYFUNCTION("IMPORTRANGE(""https://docs.google.com/spreadsheets/d/1MeEWN-I1oV_STSDYn1IFDPWt_1FKiwhDph83XaGc0o0/edit?usp=sharing"",""งบพรบ!AW44"")"),0)</f>
        <v>0</v>
      </c>
      <c r="N96" s="93">
        <f ca="1">IFERROR(__xludf.DUMMYFUNCTION("IMPORTRANGE(""https://docs.google.com/spreadsheets/d/1MeEWN-I1oV_STSDYn1IFDPWt_1FKiwhDph83XaGc0o0/edit?usp=sharing"",""งบพรบ!AY44"")"),0)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7" t="s">
        <v>38</v>
      </c>
      <c r="E97" s="173"/>
      <c r="F97" s="173"/>
      <c r="G97" s="174"/>
      <c r="H97" s="762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3" t="s">
        <v>46</v>
      </c>
      <c r="I98" s="270">
        <f ca="1">IFERROR(__xludf.DUMMYFUNCTION("IMPORTRANGE(""https://docs.google.com/spreadsheets/d/1QqKyyYR6Q21VydFLVH3TRQUabQu_ym0Zz7PgGX0-kHA/edit?usp=sharing"",""แผน!K44"")"),45)</f>
        <v>45</v>
      </c>
      <c r="J98" s="270">
        <f>J102</f>
        <v>45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3" t="s">
        <v>35</v>
      </c>
      <c r="I99" s="270">
        <f ca="1">IFERROR(__xludf.DUMMYFUNCTION("IMPORTRANGE(""https://docs.google.com/spreadsheets/d/1QqKyyYR6Q21VydFLVH3TRQUabQu_ym0Zz7PgGX0-kHA/edit?usp=sharing"",""แผน!L44"")"),15)</f>
        <v>15</v>
      </c>
      <c r="J99" s="270">
        <f>J104</f>
        <v>15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3" t="s">
        <v>49</v>
      </c>
      <c r="I100" s="270">
        <f ca="1">IFERROR(__xludf.DUMMYFUNCTION("IMPORTRANGE(""https://docs.google.com/spreadsheets/d/1QqKyyYR6Q21VydFLVH3TRQUabQu_ym0Zz7PgGX0-kHA/edit?usp=sharing"",""แผน!M44"")"),0)</f>
        <v>0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3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6" t="s">
        <v>47</v>
      </c>
      <c r="F102" s="178"/>
      <c r="G102" s="179"/>
      <c r="H102" s="623" t="s">
        <v>46</v>
      </c>
      <c r="I102" s="270">
        <f ca="1">IFERROR(__xludf.DUMMYFUNCTION("IMPORTRANGE(""https://docs.google.com/spreadsheets/d/1QqKyyYR6Q21VydFLVH3TRQUabQu_ym0Zz7PgGX0-kHA/edit?usp=sharing"",""แผน!N44"")"),45)</f>
        <v>45</v>
      </c>
      <c r="J102" s="215">
        <v>45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3" t="s">
        <v>35</v>
      </c>
      <c r="I103" s="270">
        <f ca="1">IFERROR(__xludf.DUMMYFUNCTION("IMPORTRANGE(""https://docs.google.com/spreadsheets/d/1QqKyyYR6Q21VydFLVH3TRQUabQu_ym0Zz7PgGX0-kHA/edit?usp=sharing"",""แผน!O44"")"),15)</f>
        <v>15</v>
      </c>
      <c r="J103" s="215">
        <v>15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3" t="s">
        <v>35</v>
      </c>
      <c r="I104" s="270">
        <f ca="1">IFERROR(__xludf.DUMMYFUNCTION("IMPORTRANGE(""https://docs.google.com/spreadsheets/d/1QqKyyYR6Q21VydFLVH3TRQUabQu_ym0Zz7PgGX0-kHA/edit?usp=sharing"",""แผน!O44"")"),15)</f>
        <v>15</v>
      </c>
      <c r="J104" s="215">
        <v>15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3" t="s">
        <v>49</v>
      </c>
      <c r="I106" s="270">
        <f ca="1">IFERROR(__xludf.DUMMYFUNCTION("IMPORTRANGE(""https://docs.google.com/spreadsheets/d/1QqKyyYR6Q21VydFLVH3TRQUabQu_ym0Zz7PgGX0-kHA/edit?usp=sharing"",""แผน!P44"")"),0)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3" t="s">
        <v>49</v>
      </c>
      <c r="I107" s="270">
        <f ca="1">IFERROR(__xludf.DUMMYFUNCTION("IMPORTRANGE(""https://docs.google.com/spreadsheets/d/1QqKyyYR6Q21VydFLVH3TRQUabQu_ym0Zz7PgGX0-kHA/edit?usp=sharing"",""แผน!P44"")"),0)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3" t="s">
        <v>49</v>
      </c>
      <c r="I109" s="270">
        <f ca="1">IFERROR(__xludf.DUMMYFUNCTION("IMPORTRANGE(""https://docs.google.com/spreadsheets/d/1QqKyyYR6Q21VydFLVH3TRQUabQu_ym0Zz7PgGX0-kHA/edit?usp=sharing"",""แผน!Q44"")"),0)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3" t="s">
        <v>49</v>
      </c>
      <c r="I110" s="270">
        <f ca="1">IFERROR(__xludf.DUMMYFUNCTION("IMPORTRANGE(""https://docs.google.com/spreadsheets/d/1QqKyyYR6Q21VydFLVH3TRQUabQu_ym0Zz7PgGX0-kHA/edit?usp=sharing"",""แผน!Q44"")"),0)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7" t="s">
        <v>35</v>
      </c>
      <c r="I111" s="193">
        <f ca="1">IFERROR(__xludf.DUMMYFUNCTION("IMPORTRANGE(""https://docs.google.com/spreadsheets/d/1QqKyyYR6Q21VydFLVH3TRQUabQu_ym0Zz7PgGX0-kHA/edit?usp=sharing"",""แผน!R44"")"),15)</f>
        <v>15</v>
      </c>
      <c r="J111" s="681">
        <f>J114</f>
        <v>15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81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2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IFERROR(__xludf.DUMMYFUNCTION("IMPORTRANGE(""https://docs.google.com/spreadsheets/d/1QqKyyYR6Q21VydFLVH3TRQUabQu_ym0Zz7PgGX0-kHA/edit?usp=sharing"",""แผน!R44"")"),15)</f>
        <v>15</v>
      </c>
      <c r="J113" s="215">
        <v>15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IFERROR(__xludf.DUMMYFUNCTION("IMPORTRANGE(""https://docs.google.com/spreadsheets/d/1QqKyyYR6Q21VydFLVH3TRQUabQu_ym0Zz7PgGX0-kHA/edit?usp=sharing"",""แผน!R44"")"),15)</f>
        <v>15</v>
      </c>
      <c r="J114" s="215">
        <v>15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IFERROR(__xludf.DUMMYFUNCTION("IMPORTRANGE(""https://docs.google.com/spreadsheets/d/1QqKyyYR6Q21VydFLVH3TRQUabQu_ym0Zz7PgGX0-kHA/edit?usp=sharing"",""แผน!S44"")"),0)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IFERROR(__xludf.DUMMYFUNCTION("IMPORTRANGE(""https://docs.google.com/spreadsheets/d/1QqKyyYR6Q21VydFLVH3TRQUabQu_ym0Zz7PgGX0-kHA/edit?usp=sharing"",""แผน!T44"")"),0)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7"/>
      <c r="J120" s="617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7"/>
      <c r="J121" s="617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IFERROR(__xludf.DUMMYFUNCTION("IMPORTRANGE(""https://docs.google.com/spreadsheets/d/1MeEWN-I1oV_STSDYn1IFDPWt_1FKiwhDph83XaGc0o0/edit?usp=sharing"",""งบพรบ!BA44"")"),0)</f>
        <v>0</v>
      </c>
      <c r="M124" s="93">
        <f ca="1">IFERROR(__xludf.DUMMYFUNCTION("IMPORTRANGE(""https://docs.google.com/spreadsheets/d/1MeEWN-I1oV_STSDYn1IFDPWt_1FKiwhDph83XaGc0o0/edit?usp=sharing"",""งบพรบ!BF44"")"),0)</f>
        <v>0</v>
      </c>
      <c r="N124" s="93">
        <f ca="1">IFERROR(__xludf.DUMMYFUNCTION("IMPORTRANGE(""https://docs.google.com/spreadsheets/d/1MeEWN-I1oV_STSDYn1IFDPWt_1FKiwhDph83XaGc0o0/edit?usp=sharing"",""งบพรบ!BH44"")"),0)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IFERROR(__xludf.DUMMYFUNCTION("IMPORTRANGE(""https://docs.google.com/spreadsheets/d/1MeEWN-I1oV_STSDYn1IFDPWt_1FKiwhDph83XaGc0o0/edit?usp=sharing"",""งบพรบ!BD44"")"),0)</f>
        <v>0</v>
      </c>
      <c r="M127" s="93">
        <f ca="1">IFERROR(__xludf.DUMMYFUNCTION("IMPORTRANGE(""https://docs.google.com/spreadsheets/d/1MeEWN-I1oV_STSDYn1IFDPWt_1FKiwhDph83XaGc0o0/edit?usp=sharing"",""งบพรบ!BG44"")"),0)</f>
        <v>0</v>
      </c>
      <c r="N127" s="93">
        <f ca="1">IFERROR(__xludf.DUMMYFUNCTION("IMPORTRANGE(""https://docs.google.com/spreadsheets/d/1MeEWN-I1oV_STSDYn1IFDPWt_1FKiwhDph83XaGc0o0/edit?usp=sharing"",""งบพรบ!BI44"")"),0)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7"/>
      <c r="J133" s="617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7"/>
      <c r="J134" s="617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IFERROR(__xludf.DUMMYFUNCTION("IMPORTRANGE(""https://docs.google.com/spreadsheets/d/1MeEWN-I1oV_STSDYn1IFDPWt_1FKiwhDph83XaGc0o0/edit?usp=sharing"",""งบพรบ!BK44"")"),0)</f>
        <v>0</v>
      </c>
      <c r="M137" s="93">
        <f ca="1">IFERROR(__xludf.DUMMYFUNCTION("IMPORTRANGE(""https://docs.google.com/spreadsheets/d/1MeEWN-I1oV_STSDYn1IFDPWt_1FKiwhDph83XaGc0o0/edit?usp=sharing"",""งบพรบ!BP44"")"),0)</f>
        <v>0</v>
      </c>
      <c r="N137" s="93">
        <f ca="1">IFERROR(__xludf.DUMMYFUNCTION("IMPORTRANGE(""https://docs.google.com/spreadsheets/d/1MeEWN-I1oV_STSDYn1IFDPWt_1FKiwhDph83XaGc0o0/edit?usp=sharing"",""งบพรบ!BR44"")"),0)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IFERROR(__xludf.DUMMYFUNCTION("IMPORTRANGE(""https://docs.google.com/spreadsheets/d/1MeEWN-I1oV_STSDYn1IFDPWt_1FKiwhDph83XaGc0o0/edit?usp=sharing"",""งบพรบ!BN44"")"),0)</f>
        <v>0</v>
      </c>
      <c r="M140" s="93">
        <f ca="1">IFERROR(__xludf.DUMMYFUNCTION("IMPORTRANGE(""https://docs.google.com/spreadsheets/d/1MeEWN-I1oV_STSDYn1IFDPWt_1FKiwhDph83XaGc0o0/edit?usp=sharing"",""งบพรบ!BQ44"")"),0)</f>
        <v>0</v>
      </c>
      <c r="N140" s="93">
        <f ca="1">IFERROR(__xludf.DUMMYFUNCTION("IMPORTRANGE(""https://docs.google.com/spreadsheets/d/1MeEWN-I1oV_STSDYn1IFDPWt_1FKiwhDph83XaGc0o0/edit?usp=sharing"",""งบพรบ!BS44"")"),0)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IFERROR(__xludf.DUMMYFUNCTION("IMPORTRANGE(""https://docs.google.com/spreadsheets/d/1QqKyyYR6Q21VydFLVH3TRQUabQu_ym0Zz7PgGX0-kHA/edit?usp=sharing"",""แผน!U44"")"),0)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IFERROR(__xludf.DUMMYFUNCTION("IMPORTRANGE(""https://docs.google.com/spreadsheets/d/1QqKyyYR6Q21VydFLVH3TRQUabQu_ym0Zz7PgGX0-kHA/edit?usp=sharing"",""แผน!V44"")"),0)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IFERROR(__xludf.DUMMYFUNCTION("IMPORTRANGE(""https://docs.google.com/spreadsheets/d/1QqKyyYR6Q21VydFLVH3TRQUabQu_ym0Zz7PgGX0-kHA/edit?usp=sharing"",""แผน!W44"")"),0)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23176</v>
      </c>
      <c r="N149" s="155">
        <f t="shared" ca="1" si="77"/>
        <v>23176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7"/>
      <c r="J150" s="617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7"/>
      <c r="J151" s="617"/>
      <c r="K151" s="93"/>
      <c r="L151" s="93">
        <f t="shared" ca="1" si="80"/>
        <v>0</v>
      </c>
      <c r="M151" s="93">
        <f t="shared" ca="1" si="80"/>
        <v>23176</v>
      </c>
      <c r="N151" s="93">
        <f t="shared" ca="1" si="80"/>
        <v>23176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23176</v>
      </c>
      <c r="N152" s="498">
        <f t="shared" ca="1" si="81"/>
        <v>23176</v>
      </c>
      <c r="O152" s="498">
        <f t="shared" ca="1" si="78"/>
        <v>0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IFERROR(__xludf.DUMMYFUNCTION("IMPORTRANGE(""https://docs.google.com/spreadsheets/d/1MeEWN-I1oV_STSDYn1IFDPWt_1FKiwhDph83XaGc0o0/edit?usp=sharing"",""งบพรบ!BU44"")"),0)</f>
        <v>0</v>
      </c>
      <c r="M154" s="93">
        <f ca="1">IFERROR(__xludf.DUMMYFUNCTION("IMPORTRANGE(""https://docs.google.com/spreadsheets/d/1MeEWN-I1oV_STSDYn1IFDPWt_1FKiwhDph83XaGc0o0/edit?usp=sharing"",""งบพรบ!BZ44"")"),23176)</f>
        <v>23176</v>
      </c>
      <c r="N154" s="93">
        <f ca="1">IFERROR(__xludf.DUMMYFUNCTION("IMPORTRANGE(""https://docs.google.com/spreadsheets/d/1MeEWN-I1oV_STSDYn1IFDPWt_1FKiwhDph83XaGc0o0/edit?usp=sharing"",""งบพรบ!CB44"")"),23176)</f>
        <v>23176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IFERROR(__xludf.DUMMYFUNCTION("IMPORTRANGE(""https://docs.google.com/spreadsheets/d/1MeEWN-I1oV_STSDYn1IFDPWt_1FKiwhDph83XaGc0o0/edit?usp=sharing"",""งบพรบ!BX44"")"),0)</f>
        <v>0</v>
      </c>
      <c r="M157" s="93">
        <f ca="1">IFERROR(__xludf.DUMMYFUNCTION("IMPORTRANGE(""https://docs.google.com/spreadsheets/d/1MeEWN-I1oV_STSDYn1IFDPWt_1FKiwhDph83XaGc0o0/edit?usp=sharing"",""งบพรบ!CA44"")"),0)</f>
        <v>0</v>
      </c>
      <c r="N157" s="93">
        <f ca="1">IFERROR(__xludf.DUMMYFUNCTION("IMPORTRANGE(""https://docs.google.com/spreadsheets/d/1MeEWN-I1oV_STSDYn1IFDPWt_1FKiwhDph83XaGc0o0/edit?usp=sharing"",""งบพรบ!CC44"")"),0)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IFERROR(__xludf.DUMMYFUNCTION("IMPORTRANGE(""https://docs.google.com/spreadsheets/d/1QqKyyYR6Q21VydFLVH3TRQUabQu_ym0Zz7PgGX0-kHA/edit?usp=sharing"",""แผน!X44"")"),0)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7"/>
      <c r="J160" s="617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38555</v>
      </c>
      <c r="N165" s="155">
        <f t="shared" ca="1" si="84"/>
        <v>38555</v>
      </c>
      <c r="O165" s="155">
        <f t="shared" ref="O165:O173" ca="1" si="85">IF(L165&gt;0,N165*100/L165,0)</f>
        <v>174.81296758104739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7"/>
      <c r="J166" s="617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7"/>
      <c r="J167" s="617"/>
      <c r="K167" s="93"/>
      <c r="L167" s="93">
        <f t="shared" ca="1" si="87"/>
        <v>22055</v>
      </c>
      <c r="M167" s="93">
        <f t="shared" ca="1" si="87"/>
        <v>38555</v>
      </c>
      <c r="N167" s="93">
        <f t="shared" ca="1" si="87"/>
        <v>38555</v>
      </c>
      <c r="O167" s="93">
        <f t="shared" ca="1" si="85"/>
        <v>174.81296758104739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38555</v>
      </c>
      <c r="N168" s="498">
        <f t="shared" ca="1" si="88"/>
        <v>38555</v>
      </c>
      <c r="O168" s="498">
        <f t="shared" ca="1" si="85"/>
        <v>174.81296758104739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IFERROR(__xludf.DUMMYFUNCTION("IMPORTRANGE(""https://docs.google.com/spreadsheets/d/1MeEWN-I1oV_STSDYn1IFDPWt_1FKiwhDph83XaGc0o0/edit?usp=sharing"",""งบพรบ!CE44"")"),22055)</f>
        <v>22055</v>
      </c>
      <c r="M170" s="93">
        <f ca="1">IFERROR(__xludf.DUMMYFUNCTION("IMPORTRANGE(""https://docs.google.com/spreadsheets/d/1MeEWN-I1oV_STSDYn1IFDPWt_1FKiwhDph83XaGc0o0/edit?usp=sharing"",""งบพรบ!CJ44"")"),38555)</f>
        <v>38555</v>
      </c>
      <c r="N170" s="93">
        <f ca="1">IFERROR(__xludf.DUMMYFUNCTION("IMPORTRANGE(""https://docs.google.com/spreadsheets/d/1MeEWN-I1oV_STSDYn1IFDPWt_1FKiwhDph83XaGc0o0/edit?usp=sharing"",""งบพรบ!CL44"")"),38555)</f>
        <v>38555</v>
      </c>
      <c r="O170" s="93">
        <f t="shared" ca="1" si="85"/>
        <v>174.81296758104739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IFERROR(__xludf.DUMMYFUNCTION("IMPORTRANGE(""https://docs.google.com/spreadsheets/d/1MeEWN-I1oV_STSDYn1IFDPWt_1FKiwhDph83XaGc0o0/edit?usp=sharing"",""งบพรบ!CH44"")"),0)</f>
        <v>0</v>
      </c>
      <c r="M173" s="93">
        <f ca="1">IFERROR(__xludf.DUMMYFUNCTION("IMPORTRANGE(""https://docs.google.com/spreadsheets/d/1MeEWN-I1oV_STSDYn1IFDPWt_1FKiwhDph83XaGc0o0/edit?usp=sharing"",""งบพรบ!CK44"")"),0)</f>
        <v>0</v>
      </c>
      <c r="N173" s="93">
        <f ca="1">IFERROR(__xludf.DUMMYFUNCTION("IMPORTRANGE(""https://docs.google.com/spreadsheets/d/1MeEWN-I1oV_STSDYn1IFDPWt_1FKiwhDph83XaGc0o0/edit?usp=sharing"",""งบพรบ!CM44"")"),0)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7" t="s">
        <v>38</v>
      </c>
      <c r="E175" s="173"/>
      <c r="F175" s="173"/>
      <c r="G175" s="174"/>
      <c r="H175" s="76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6" t="s">
        <v>85</v>
      </c>
      <c r="E176" s="178"/>
      <c r="F176" s="178"/>
      <c r="G176" s="179"/>
      <c r="H176" s="623" t="s">
        <v>35</v>
      </c>
      <c r="I176" s="270">
        <f ca="1">IFERROR(__xludf.DUMMYFUNCTION("IMPORTRANGE(""https://docs.google.com/spreadsheets/d/1QqKyyYR6Q21VydFLVH3TRQUabQu_ym0Zz7PgGX0-kHA/edit?usp=sharing"",""แผน!Y44"")"),11)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78500</v>
      </c>
      <c r="M181" s="155">
        <f t="shared" ca="1" si="92"/>
        <v>78500</v>
      </c>
      <c r="N181" s="155">
        <f t="shared" ca="1" si="92"/>
        <v>78500</v>
      </c>
      <c r="O181" s="155">
        <f t="shared" ref="O181:O189" ca="1" si="93">IF(L181&gt;0,N181*100/L181,0)</f>
        <v>100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7"/>
      <c r="J182" s="617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7"/>
      <c r="J183" s="617"/>
      <c r="K183" s="93"/>
      <c r="L183" s="93">
        <f t="shared" ca="1" si="95"/>
        <v>78500</v>
      </c>
      <c r="M183" s="93">
        <f t="shared" ca="1" si="95"/>
        <v>78500</v>
      </c>
      <c r="N183" s="93">
        <f t="shared" ca="1" si="95"/>
        <v>78500</v>
      </c>
      <c r="O183" s="93">
        <f t="shared" ca="1" si="93"/>
        <v>100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78500</v>
      </c>
      <c r="M184" s="498">
        <f t="shared" ca="1" si="96"/>
        <v>78500</v>
      </c>
      <c r="N184" s="498">
        <f t="shared" ca="1" si="96"/>
        <v>78500</v>
      </c>
      <c r="O184" s="498">
        <f t="shared" ca="1" si="93"/>
        <v>100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IFERROR(__xludf.DUMMYFUNCTION("IMPORTRANGE(""https://docs.google.com/spreadsheets/d/1MeEWN-I1oV_STSDYn1IFDPWt_1FKiwhDph83XaGc0o0/edit?usp=sharing"",""งบพรบ!CO44"")"),78500)</f>
        <v>78500</v>
      </c>
      <c r="M186" s="93">
        <f ca="1">IFERROR(__xludf.DUMMYFUNCTION("IMPORTRANGE(""https://docs.google.com/spreadsheets/d/1MeEWN-I1oV_STSDYn1IFDPWt_1FKiwhDph83XaGc0o0/edit?usp=sharing"",""งบพรบ!CT44"")"),78500)</f>
        <v>78500</v>
      </c>
      <c r="N186" s="93">
        <f ca="1">IFERROR(__xludf.DUMMYFUNCTION("IMPORTRANGE(""https://docs.google.com/spreadsheets/d/1MeEWN-I1oV_STSDYn1IFDPWt_1FKiwhDph83XaGc0o0/edit?usp=sharing"",""งบพรบ!CV44"")"),78500)</f>
        <v>78500</v>
      </c>
      <c r="O186" s="93">
        <f t="shared" ca="1" si="93"/>
        <v>100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IFERROR(__xludf.DUMMYFUNCTION("IMPORTRANGE(""https://docs.google.com/spreadsheets/d/1MeEWN-I1oV_STSDYn1IFDPWt_1FKiwhDph83XaGc0o0/edit?usp=sharing"",""งบพรบ!CR44"")"),0)</f>
        <v>0</v>
      </c>
      <c r="M189" s="93">
        <f ca="1">IFERROR(__xludf.DUMMYFUNCTION("IMPORTRANGE(""https://docs.google.com/spreadsheets/d/1MeEWN-I1oV_STSDYn1IFDPWt_1FKiwhDph83XaGc0o0/edit?usp=sharing"",""งบพรบ!CU44"")"),0)</f>
        <v>0</v>
      </c>
      <c r="N189" s="93">
        <f ca="1">IFERROR(__xludf.DUMMYFUNCTION("IMPORTRANGE(""https://docs.google.com/spreadsheets/d/1MeEWN-I1oV_STSDYn1IFDPWt_1FKiwhDph83XaGc0o0/edit?usp=sharing"",""งบพรบ!CW44"")"),0)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8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IFERROR(__xludf.DUMMYFUNCTION("IMPORTRANGE(""https://docs.google.com/spreadsheets/d/1QqKyyYR6Q21VydFLVH3TRQUabQu_ym0Zz7PgGX0-kHA/edit?usp=sharing"",""แผน!Z44"")"),6000)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7" t="s">
        <v>38</v>
      </c>
      <c r="E192" s="173"/>
      <c r="F192" s="173"/>
      <c r="G192" s="174"/>
      <c r="H192" s="762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4" t="s">
        <v>90</v>
      </c>
      <c r="I193" s="270">
        <f ca="1">IFERROR(__xludf.DUMMYFUNCTION("IMPORTRANGE(""https://docs.google.com/spreadsheets/d/1QqKyyYR6Q21VydFLVH3TRQUabQu_ym0Zz7PgGX0-kHA/edit?usp=sharing"",""แผน!AC44"")"),4)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162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f>40+35+22+65</f>
        <v>162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8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52000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IFERROR(__xludf.DUMMYFUNCTION("IMPORTRANGE(""https://docs.google.com/spreadsheets/d/1QqKyyYR6Q21VydFLVH3TRQUabQu_ym0Zz7PgGX0-kHA/edit?usp=sharing"",""แผน!AE44"")"),4000)</f>
        <v>4000</v>
      </c>
      <c r="M199" s="498"/>
      <c r="N199" s="840">
        <v>4000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3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IFERROR(__xludf.DUMMYFUNCTION("IMPORTRANGE(""https://docs.google.com/spreadsheets/d/1QqKyyYR6Q21VydFLVH3TRQUabQu_ym0Zz7PgGX0-kHA/edit?usp=sharing"",""แผน!AF44"")"),32000)</f>
        <v>32000</v>
      </c>
      <c r="M200" s="498"/>
      <c r="N200" s="840">
        <v>32000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3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IFERROR(__xludf.DUMMYFUNCTION("IMPORTRANGE(""https://docs.google.com/spreadsheets/d/1QqKyyYR6Q21VydFLVH3TRQUabQu_ym0Zz7PgGX0-kHA/edit?usp=sharing"",""แผน!AG44"")"),16000)</f>
        <v>16000</v>
      </c>
      <c r="M201" s="498"/>
      <c r="N201" s="840">
        <v>16000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3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IFERROR(__xludf.DUMMYFUNCTION("IMPORTRANGE(""https://docs.google.com/spreadsheets/d/1QqKyyYR6Q21VydFLVH3TRQUabQu_ym0Zz7PgGX0-kHA/edit?usp=sharing"",""แผน!AH44"")"),0)</f>
        <v>0</v>
      </c>
      <c r="M202" s="498"/>
      <c r="N202" s="840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7" t="s">
        <v>38</v>
      </c>
      <c r="E203" s="173"/>
      <c r="F203" s="173"/>
      <c r="G203" s="174"/>
      <c r="H203" s="76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2" t="s">
        <v>96</v>
      </c>
      <c r="I204" s="270">
        <f ca="1">IFERROR(__xludf.DUMMYFUNCTION("IMPORTRANGE(""https://docs.google.com/spreadsheets/d/1QqKyyYR6Q21VydFLVH3TRQUabQu_ym0Zz7PgGX0-kHA/edit?usp=sharing"",""แผน!AI44"")"),4)</f>
        <v>4</v>
      </c>
      <c r="J204" s="215">
        <v>4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2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2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8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IFERROR(__xludf.DUMMYFUNCTION("IMPORTRANGE(""https://docs.google.com/spreadsheets/d/1QqKyyYR6Q21VydFLVH3TRQUabQu_ym0Zz7PgGX0-kHA/edit?usp=sharing"",""แผน!AK44"")"),1000)</f>
        <v>1000</v>
      </c>
      <c r="M210" s="498"/>
      <c r="N210" s="840">
        <v>798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IFERROR(__xludf.DUMMYFUNCTION("IMPORTRANGE(""https://docs.google.com/spreadsheets/d/1QqKyyYR6Q21VydFLVH3TRQUabQu_ym0Zz7PgGX0-kHA/edit?usp=sharing"",""แผน!AL44"")"),5000)</f>
        <v>5000</v>
      </c>
      <c r="M211" s="498"/>
      <c r="N211" s="840">
        <v>5000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IFERROR(__xludf.DUMMYFUNCTION("IMPORTRANGE(""https://docs.google.com/spreadsheets/d/1QqKyyYR6Q21VydFLVH3TRQUabQu_ym0Zz7PgGX0-kHA/edit?usp=sharing"",""แผน!AM44"")"),8000)</f>
        <v>8000</v>
      </c>
      <c r="M212" s="498"/>
      <c r="N212" s="840">
        <v>8202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7" t="s">
        <v>38</v>
      </c>
      <c r="E213" s="173"/>
      <c r="F213" s="173"/>
      <c r="G213" s="174"/>
      <c r="H213" s="762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2" t="s">
        <v>96</v>
      </c>
      <c r="I214" s="270">
        <f ca="1">IFERROR(__xludf.DUMMYFUNCTION("IMPORTRANGE(""https://docs.google.com/spreadsheets/d/1QqKyyYR6Q21VydFLVH3TRQUabQu_ym0Zz7PgGX0-kHA/edit?usp=sharing"",""แผน!AN44"")"),1)</f>
        <v>1</v>
      </c>
      <c r="J214" s="215">
        <v>1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2" t="s">
        <v>96</v>
      </c>
      <c r="I215" s="270">
        <f ca="1">IFERROR(__xludf.DUMMYFUNCTION("IMPORTRANGE(""https://docs.google.com/spreadsheets/d/1QqKyyYR6Q21VydFLVH3TRQUabQu_ym0Zz7PgGX0-kHA/edit?usp=sharing"",""แผน!AN44"")"),1)</f>
        <v>1</v>
      </c>
      <c r="J215" s="215">
        <v>1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10000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8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6500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IFERROR(__xludf.DUMMYFUNCTION("IMPORTRANGE(""https://docs.google.com/spreadsheets/d/1QqKyyYR6Q21VydFLVH3TRQUabQu_ym0Zz7PgGX0-kHA/edit?usp=sharing"",""แผน!AP44"")"),3000)</f>
        <v>3000</v>
      </c>
      <c r="M218" s="498"/>
      <c r="N218" s="840">
        <v>3000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IFERROR(__xludf.DUMMYFUNCTION("IMPORTRANGE(""https://docs.google.com/spreadsheets/d/1QqKyyYR6Q21VydFLVH3TRQUabQu_ym0Zz7PgGX0-kHA/edit?usp=sharing"",""แผน!AQ44"")"),3500)</f>
        <v>3500</v>
      </c>
      <c r="M219" s="498"/>
      <c r="N219" s="840">
        <v>3500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IFERROR(__xludf.DUMMYFUNCTION("IMPORTRANGE(""https://docs.google.com/spreadsheets/d/1QqKyyYR6Q21VydFLVH3TRQUabQu_ym0Zz7PgGX0-kHA/edit?usp=sharing"",""แผน!AR44"")"),0)</f>
        <v>0</v>
      </c>
      <c r="M220" s="498"/>
      <c r="N220" s="163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7" t="s">
        <v>38</v>
      </c>
      <c r="E221" s="173"/>
      <c r="F221" s="173"/>
      <c r="G221" s="174"/>
      <c r="H221" s="76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4" t="s">
        <v>109</v>
      </c>
      <c r="I223" s="270">
        <f ca="1">IFERROR(__xludf.DUMMYFUNCTION("IMPORTRANGE(""https://docs.google.com/spreadsheets/d/1QqKyyYR6Q21VydFLVH3TRQUabQu_ym0Zz7PgGX0-kHA/edit?usp=sharing"",""แผน!AT44"")"),10000)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4" t="s">
        <v>109</v>
      </c>
      <c r="I224" s="270">
        <f ca="1">IFERROR(__xludf.DUMMYFUNCTION("IMPORTRANGE(""https://docs.google.com/spreadsheets/d/1QqKyyYR6Q21VydFLVH3TRQUabQu_ym0Zz7PgGX0-kHA/edit?usp=sharing"",""แผน!AT44"")"),10000)</f>
        <v>10000</v>
      </c>
      <c r="J224" s="215">
        <v>10000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4" t="s">
        <v>35</v>
      </c>
      <c r="I225" s="270">
        <f ca="1">IFERROR(__xludf.DUMMYFUNCTION("IMPORTRANGE(""https://docs.google.com/spreadsheets/d/1QqKyyYR6Q21VydFLVH3TRQUabQu_ym0Zz7PgGX0-kHA/edit?usp=sharing"",""แผน!AS44"")"),0)</f>
        <v>0</v>
      </c>
      <c r="J225" s="184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8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2"/>
      <c r="P227" s="8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7"/>
      <c r="J229" s="617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7"/>
      <c r="J230" s="617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7"/>
      <c r="J231" s="617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7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7">
        <f t="shared" ref="I233:J233" ca="1" si="108">I244+I255</f>
        <v>0</v>
      </c>
      <c r="J233" s="617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7"/>
      <c r="J234" s="617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7">
        <f t="shared" ref="I235:J236" si="109">I246+I257</f>
        <v>0</v>
      </c>
      <c r="J235" s="617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7">
        <f t="shared" si="109"/>
        <v>0</v>
      </c>
      <c r="J236" s="617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IFERROR(__xludf.DUMMYFUNCTION("IMPORTRANGE(""https://docs.google.com/spreadsheets/d/1QqKyyYR6Q21VydFLVH3TRQUabQu_ym0Zz7PgGX0-kHA/edit?usp=sharing"",""แผน!AV44"")"),0)</f>
        <v>0</v>
      </c>
      <c r="M239" s="322"/>
      <c r="N239" s="88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IFERROR(__xludf.DUMMYFUNCTION("IMPORTRANGE(""https://docs.google.com/spreadsheets/d/1QqKyyYR6Q21VydFLVH3TRQUabQu_ym0Zz7PgGX0-kHA/edit?usp=sharing"",""แผน!AW44"")"),0)</f>
        <v>0</v>
      </c>
      <c r="M240" s="322"/>
      <c r="N240" s="88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IFERROR(__xludf.DUMMYFUNCTION("IMPORTRANGE(""https://docs.google.com/spreadsheets/d/1QqKyyYR6Q21VydFLVH3TRQUabQu_ym0Zz7PgGX0-kHA/edit?usp=sharing"",""แผน!AX44"")"),0)</f>
        <v>0</v>
      </c>
      <c r="M241" s="322"/>
      <c r="N241" s="88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IFERROR(__xludf.DUMMYFUNCTION("IMPORTRANGE(""https://docs.google.com/spreadsheets/d/1QqKyyYR6Q21VydFLVH3TRQUabQu_ym0Zz7PgGX0-kHA/edit?usp=sharing"",""แผน!AY44"")"),0)</f>
        <v>0</v>
      </c>
      <c r="M242" s="322"/>
      <c r="N242" s="88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7" t="s">
        <v>38</v>
      </c>
      <c r="E243" s="173"/>
      <c r="F243" s="173"/>
      <c r="G243" s="174"/>
      <c r="H243" s="762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4" t="s">
        <v>35</v>
      </c>
      <c r="I244" s="270">
        <f ca="1">IFERROR(__xludf.DUMMYFUNCTION("IMPORTRANGE(""https://docs.google.com/spreadsheets/d/1QqKyyYR6Q21VydFLVH3TRQUabQu_ym0Zz7PgGX0-kHA/edit?usp=sharing"",""แผน!BE44"")"),0)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4" t="s">
        <v>43</v>
      </c>
      <c r="E245" s="178"/>
      <c r="F245" s="178"/>
      <c r="G245" s="179"/>
      <c r="H245" s="764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4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4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8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IFERROR(__xludf.DUMMYFUNCTION("IMPORTRANGE(""https://docs.google.com/spreadsheets/d/1QqKyyYR6Q21VydFLVH3TRQUabQu_ym0Zz7PgGX0-kHA/edit?usp=sharing"",""แผน!AZ44"")"),0)</f>
        <v>0</v>
      </c>
      <c r="M250" s="322"/>
      <c r="N250" s="88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IFERROR(__xludf.DUMMYFUNCTION("IMPORTRANGE(""https://docs.google.com/spreadsheets/d/1QqKyyYR6Q21VydFLVH3TRQUabQu_ym0Zz7PgGX0-kHA/edit?usp=sharing"",""แผน!BA44"")"),0)</f>
        <v>0</v>
      </c>
      <c r="M251" s="322"/>
      <c r="N251" s="88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IFERROR(__xludf.DUMMYFUNCTION("IMPORTRANGE(""https://docs.google.com/spreadsheets/d/1QqKyyYR6Q21VydFLVH3TRQUabQu_ym0Zz7PgGX0-kHA/edit?usp=sharing"",""แผน!BB44"")"),0)</f>
        <v>0</v>
      </c>
      <c r="M252" s="322"/>
      <c r="N252" s="88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IFERROR(__xludf.DUMMYFUNCTION("IMPORTRANGE(""https://docs.google.com/spreadsheets/d/1QqKyyYR6Q21VydFLVH3TRQUabQu_ym0Zz7PgGX0-kHA/edit?usp=sharing"",""แผน!BC44"")"),0)</f>
        <v>0</v>
      </c>
      <c r="M253" s="322"/>
      <c r="N253" s="88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7" t="s">
        <v>38</v>
      </c>
      <c r="E254" s="173"/>
      <c r="F254" s="173"/>
      <c r="G254" s="174"/>
      <c r="H254" s="762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4" t="s">
        <v>35</v>
      </c>
      <c r="I255" s="270">
        <f ca="1">IFERROR(__xludf.DUMMYFUNCTION("IMPORTRANGE(""https://docs.google.com/spreadsheets/d/1QqKyyYR6Q21VydFLVH3TRQUabQu_ym0Zz7PgGX0-kHA/edit?usp=sharing"",""แผน!BF44"")"),0)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4" t="s">
        <v>43</v>
      </c>
      <c r="E256" s="178"/>
      <c r="F256" s="178"/>
      <c r="G256" s="179"/>
      <c r="H256" s="764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4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4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26900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7"/>
      <c r="J262" s="617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7"/>
      <c r="J263" s="617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26900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26900</v>
      </c>
      <c r="N264" s="498">
        <f t="shared" ca="1" si="120"/>
        <v>26900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IFERROR(__xludf.DUMMYFUNCTION("IMPORTRANGE(""https://docs.google.com/spreadsheets/d/1MeEWN-I1oV_STSDYn1IFDPWt_1FKiwhDph83XaGc0o0/edit?usp=sharing"",""งบพรบ!CY44"")"),26900)</f>
        <v>26900</v>
      </c>
      <c r="M266" s="93">
        <f ca="1">IFERROR(__xludf.DUMMYFUNCTION("IMPORTRANGE(""https://docs.google.com/spreadsheets/d/1MeEWN-I1oV_STSDYn1IFDPWt_1FKiwhDph83XaGc0o0/edit?usp=sharing"",""งบพรบ!DD44"")"),26900)</f>
        <v>26900</v>
      </c>
      <c r="N266" s="93">
        <f ca="1">IFERROR(__xludf.DUMMYFUNCTION("IMPORTRANGE(""https://docs.google.com/spreadsheets/d/1MeEWN-I1oV_STSDYn1IFDPWt_1FKiwhDph83XaGc0o0/edit?usp=sharing"",""งบพรบ!DF44"")"),26900)</f>
        <v>26900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IFERROR(__xludf.DUMMYFUNCTION("IMPORTRANGE(""https://docs.google.com/spreadsheets/d/1MeEWN-I1oV_STSDYn1IFDPWt_1FKiwhDph83XaGc0o0/edit?usp=sharing"",""งบพรบ!DB44"")"),0)</f>
        <v>0</v>
      </c>
      <c r="M269" s="93">
        <f ca="1">IFERROR(__xludf.DUMMYFUNCTION("IMPORTRANGE(""https://docs.google.com/spreadsheets/d/1MeEWN-I1oV_STSDYn1IFDPWt_1FKiwhDph83XaGc0o0/edit?usp=sharing"",""งบพรบ!DE44"")"),0)</f>
        <v>0</v>
      </c>
      <c r="N269" s="93">
        <f ca="1">IFERROR(__xludf.DUMMYFUNCTION("IMPORTRANGE(""https://docs.google.com/spreadsheets/d/1MeEWN-I1oV_STSDYn1IFDPWt_1FKiwhDph83XaGc0o0/edit?usp=sharing"",""งบพรบ!DG44"")"),0)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7" t="s">
        <v>38</v>
      </c>
      <c r="E270" s="173"/>
      <c r="F270" s="173"/>
      <c r="G270" s="174"/>
      <c r="H270" s="76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6">
        <v>0</v>
      </c>
      <c r="J272" s="506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100</v>
      </c>
      <c r="J276" s="406">
        <f t="shared" si="124"/>
        <v>100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41010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7"/>
      <c r="J278" s="617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7"/>
      <c r="J279" s="617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41010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41010</v>
      </c>
      <c r="M280" s="498">
        <f t="shared" ca="1" si="129"/>
        <v>41010</v>
      </c>
      <c r="N280" s="498">
        <f t="shared" ca="1" si="129"/>
        <v>41010</v>
      </c>
      <c r="O280" s="498">
        <f t="shared" ca="1" si="126"/>
        <v>100</v>
      </c>
      <c r="P280" s="49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IFERROR(__xludf.DUMMYFUNCTION("IMPORTRANGE(""https://docs.google.com/spreadsheets/d/1MeEWN-I1oV_STSDYn1IFDPWt_1FKiwhDph83XaGc0o0/edit?usp=sharing"",""งบพรบ!DI44"")"),41010)</f>
        <v>41010</v>
      </c>
      <c r="M282" s="93">
        <f ca="1">IFERROR(__xludf.DUMMYFUNCTION("IMPORTRANGE(""https://docs.google.com/spreadsheets/d/1MeEWN-I1oV_STSDYn1IFDPWt_1FKiwhDph83XaGc0o0/edit?usp=sharing"",""งบพรบ!DN44"")"),41010)</f>
        <v>41010</v>
      </c>
      <c r="N282" s="93">
        <f ca="1">IFERROR(__xludf.DUMMYFUNCTION("IMPORTRANGE(""https://docs.google.com/spreadsheets/d/1MeEWN-I1oV_STSDYn1IFDPWt_1FKiwhDph83XaGc0o0/edit?usp=sharing"",""งบพรบ!DP44"")"),41010)</f>
        <v>41010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IFERROR(__xludf.DUMMYFUNCTION("IMPORTRANGE(""https://docs.google.com/spreadsheets/d/1MeEWN-I1oV_STSDYn1IFDPWt_1FKiwhDph83XaGc0o0/edit?usp=sharing"",""งบพรบ!DL44"")"),0)</f>
        <v>0</v>
      </c>
      <c r="M285" s="93">
        <f ca="1">IFERROR(__xludf.DUMMYFUNCTION("IMPORTRANGE(""https://docs.google.com/spreadsheets/d/1MeEWN-I1oV_STSDYn1IFDPWt_1FKiwhDph83XaGc0o0/edit?usp=sharing"",""งบพรบ!DO44"")"),0)</f>
        <v>0</v>
      </c>
      <c r="N285" s="93">
        <f ca="1">IFERROR(__xludf.DUMMYFUNCTION("IMPORTRANGE(""https://docs.google.com/spreadsheets/d/1MeEWN-I1oV_STSDYn1IFDPWt_1FKiwhDph83XaGc0o0/edit?usp=sharing"",""งบพรบ!DQ44"")"),0)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7" t="s">
        <v>38</v>
      </c>
      <c r="E286" s="173"/>
      <c r="F286" s="173"/>
      <c r="G286" s="174"/>
      <c r="H286" s="76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6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IFERROR(__xludf.DUMMYFUNCTION("IMPORTRANGE(""https://docs.google.com/spreadsheets/d/1QqKyyYR6Q21VydFLVH3TRQUabQu_ym0Zz7PgGX0-kHA/edit?usp=sharing"",""แผน!EC44"")"),100)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6" t="s">
        <v>130</v>
      </c>
      <c r="E288" s="171"/>
      <c r="F288" s="178"/>
      <c r="G288" s="179"/>
      <c r="H288" s="180" t="s">
        <v>35</v>
      </c>
      <c r="I288" s="681">
        <f ca="1">IFERROR(__xludf.DUMMYFUNCTION("IMPORTRANGE(""https://docs.google.com/spreadsheets/d/1QqKyyYR6Q21VydFLVH3TRQUabQu_ym0Zz7PgGX0-kHA/edit?usp=sharing"",""แผน!EB44"")"),10)</f>
        <v>10</v>
      </c>
      <c r="J288" s="681">
        <f ca="1">IF(AND(J291&gt;=I288,J294&gt;=I288),J294,0)</f>
        <v>10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6" t="s">
        <v>132</v>
      </c>
      <c r="F290" s="178"/>
      <c r="G290" s="179"/>
      <c r="H290" s="764" t="s">
        <v>35</v>
      </c>
      <c r="I290" s="184">
        <f ca="1">IFERROR(__xludf.DUMMYFUNCTION("IMPORTRANGE(""https://docs.google.com/spreadsheets/d/1QqKyyYR6Q21VydFLVH3TRQUabQu_ym0Zz7PgGX0-kHA/edit?usp=sharing"",""แผน!EB44"")"),10)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6" t="s">
        <v>133</v>
      </c>
      <c r="F291" s="178"/>
      <c r="G291" s="179"/>
      <c r="H291" s="764" t="s">
        <v>35</v>
      </c>
      <c r="I291" s="184">
        <f ca="1">IFERROR(__xludf.DUMMYFUNCTION("IMPORTRANGE(""https://docs.google.com/spreadsheets/d/1QqKyyYR6Q21VydFLVH3TRQUabQu_ym0Zz7PgGX0-kHA/edit?usp=sharing"",""แผน!EB44"")"),10)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6" t="s">
        <v>132</v>
      </c>
      <c r="F293" s="178"/>
      <c r="G293" s="179"/>
      <c r="H293" s="764" t="s">
        <v>35</v>
      </c>
      <c r="I293" s="184">
        <f ca="1">IFERROR(__xludf.DUMMYFUNCTION("IMPORTRANGE(""https://docs.google.com/spreadsheets/d/1QqKyyYR6Q21VydFLVH3TRQUabQu_ym0Zz7PgGX0-kHA/edit?usp=sharing"",""แผน!EB44"")"),10)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4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IFERROR(__xludf.DUMMYFUNCTION("IMPORTRANGE(""https://docs.google.com/spreadsheets/d/1QqKyyYR6Q21VydFLVH3TRQUabQu_ym0Zz7PgGX0-kHA/edit?usp=sharing"",""แผน!EB44"")"),10)</f>
        <v>10</v>
      </c>
      <c r="J294" s="424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98180</v>
      </c>
      <c r="N298" s="155">
        <f t="shared" ca="1" si="135"/>
        <v>98180</v>
      </c>
      <c r="O298" s="155">
        <f t="shared" ref="O298:O306" ca="1" si="136">IF(L298&gt;0,N298*100/L298,0)</f>
        <v>119.15048543689321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7"/>
      <c r="J299" s="617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7"/>
      <c r="J300" s="617"/>
      <c r="K300" s="93"/>
      <c r="L300" s="93">
        <f t="shared" ca="1" si="138"/>
        <v>82400</v>
      </c>
      <c r="M300" s="93">
        <f t="shared" ca="1" si="138"/>
        <v>98180</v>
      </c>
      <c r="N300" s="93">
        <f t="shared" ca="1" si="138"/>
        <v>98180</v>
      </c>
      <c r="O300" s="93">
        <f t="shared" ca="1" si="136"/>
        <v>119.15048543689321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98180</v>
      </c>
      <c r="N301" s="498">
        <f t="shared" ca="1" si="139"/>
        <v>98180</v>
      </c>
      <c r="O301" s="498">
        <f t="shared" ca="1" si="136"/>
        <v>119.15048543689321</v>
      </c>
      <c r="P301" s="49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IFERROR(__xludf.DUMMYFUNCTION("IMPORTRANGE(""https://docs.google.com/spreadsheets/d/1MeEWN-I1oV_STSDYn1IFDPWt_1FKiwhDph83XaGc0o0/edit?usp=sharing"",""งบพรบ!DS44"")"),82400)</f>
        <v>82400</v>
      </c>
      <c r="M303" s="93">
        <f ca="1">IFERROR(__xludf.DUMMYFUNCTION("IMPORTRANGE(""https://docs.google.com/spreadsheets/d/1MeEWN-I1oV_STSDYn1IFDPWt_1FKiwhDph83XaGc0o0/edit?usp=sharing"",""งบพรบ!DX44"")"),98180)</f>
        <v>98180</v>
      </c>
      <c r="N303" s="93">
        <f ca="1">IFERROR(__xludf.DUMMYFUNCTION("IMPORTRANGE(""https://docs.google.com/spreadsheets/d/1MeEWN-I1oV_STSDYn1IFDPWt_1FKiwhDph83XaGc0o0/edit?usp=sharing"",""งบพรบ!DZ44"")"),98180)</f>
        <v>98180</v>
      </c>
      <c r="O303" s="93">
        <f t="shared" ca="1" si="136"/>
        <v>119.15048543689321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IFERROR(__xludf.DUMMYFUNCTION("IMPORTRANGE(""https://docs.google.com/spreadsheets/d/1MeEWN-I1oV_STSDYn1IFDPWt_1FKiwhDph83XaGc0o0/edit?usp=sharing"",""งบพรบ!DV44"")"),0)</f>
        <v>0</v>
      </c>
      <c r="M306" s="93">
        <f ca="1">IFERROR(__xludf.DUMMYFUNCTION("IMPORTRANGE(""https://docs.google.com/spreadsheets/d/1MeEWN-I1oV_STSDYn1IFDPWt_1FKiwhDph83XaGc0o0/edit?usp=sharing"",""งบพรบ!DY44"")"),0)</f>
        <v>0</v>
      </c>
      <c r="N306" s="93">
        <f ca="1">IFERROR(__xludf.DUMMYFUNCTION("IMPORTRANGE(""https://docs.google.com/spreadsheets/d/1MeEWN-I1oV_STSDYn1IFDPWt_1FKiwhDph83XaGc0o0/edit?usp=sharing"",""งบพรบ!EA44"")"),0)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7" t="s">
        <v>38</v>
      </c>
      <c r="E307" s="173"/>
      <c r="F307" s="173"/>
      <c r="G307" s="174"/>
      <c r="H307" s="762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4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4" t="s">
        <v>35</v>
      </c>
      <c r="I309" s="270">
        <f ca="1">IFERROR(__xludf.DUMMYFUNCTION("IMPORTRANGE(""https://docs.google.com/spreadsheets/d/1QqKyyYR6Q21VydFLVH3TRQUabQu_ym0Zz7PgGX0-kHA/edit?usp=sharing"",""แผน!ED44"")"),20)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4" t="s">
        <v>35</v>
      </c>
      <c r="I310" s="270">
        <f ca="1">IFERROR(__xludf.DUMMYFUNCTION("IMPORTRANGE(""https://docs.google.com/spreadsheets/d/1QqKyyYR6Q21VydFLVH3TRQUabQu_ym0Zz7PgGX0-kHA/edit?usp=sharing"",""แผน!ED44"")"),20)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4" t="s">
        <v>35</v>
      </c>
      <c r="I311" s="270">
        <f ca="1">IFERROR(__xludf.DUMMYFUNCTION("IMPORTRANGE(""https://docs.google.com/spreadsheets/d/1QqKyyYR6Q21VydFLVH3TRQUabQu_ym0Zz7PgGX0-kHA/edit?usp=sharing"",""แผน!ED44"")"),20)</f>
        <v>20</v>
      </c>
      <c r="J311" s="215">
        <v>20</v>
      </c>
      <c r="K311" s="498">
        <f t="shared" ca="1" si="141"/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4" t="s">
        <v>35</v>
      </c>
      <c r="I312" s="270">
        <f ca="1">IFERROR(__xludf.DUMMYFUNCTION("IMPORTRANGE(""https://docs.google.com/spreadsheets/d/1QqKyyYR6Q21VydFLVH3TRQUabQu_ym0Zz7PgGX0-kHA/edit?usp=sharing"",""แผน!EE44"")"),4)</f>
        <v>4</v>
      </c>
      <c r="J312" s="215">
        <v>4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7"/>
      <c r="J316" s="617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7"/>
      <c r="J317" s="617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IFERROR(__xludf.DUMMYFUNCTION("IMPORTRANGE(""https://docs.google.com/spreadsheets/d/1MeEWN-I1oV_STSDYn1IFDPWt_1FKiwhDph83XaGc0o0/edit?usp=sharing"",""งบพรบ!EC44"")"),0)</f>
        <v>0</v>
      </c>
      <c r="M320" s="93">
        <f ca="1">IFERROR(__xludf.DUMMYFUNCTION("IMPORTRANGE(""https://docs.google.com/spreadsheets/d/1MeEWN-I1oV_STSDYn1IFDPWt_1FKiwhDph83XaGc0o0/edit?usp=sharing"",""งบพรบ!EH44"")"),0)</f>
        <v>0</v>
      </c>
      <c r="N320" s="93">
        <f ca="1">IFERROR(__xludf.DUMMYFUNCTION("IMPORTRANGE(""https://docs.google.com/spreadsheets/d/1MeEWN-I1oV_STSDYn1IFDPWt_1FKiwhDph83XaGc0o0/edit?usp=sharing"",""งบพรบ!EJ44"")"),0)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IFERROR(__xludf.DUMMYFUNCTION("IMPORTRANGE(""https://docs.google.com/spreadsheets/d/1MeEWN-I1oV_STSDYn1IFDPWt_1FKiwhDph83XaGc0o0/edit?usp=sharing"",""งบพรบ!EF44"")"),0)</f>
        <v>0</v>
      </c>
      <c r="M323" s="93">
        <f ca="1">IFERROR(__xludf.DUMMYFUNCTION("IMPORTRANGE(""https://docs.google.com/spreadsheets/d/1MeEWN-I1oV_STSDYn1IFDPWt_1FKiwhDph83XaGc0o0/edit?usp=sharing"",""งบพรบ!EI44"")"),0)</f>
        <v>0</v>
      </c>
      <c r="N323" s="93">
        <f ca="1">IFERROR(__xludf.DUMMYFUNCTION("IMPORTRANGE(""https://docs.google.com/spreadsheets/d/1MeEWN-I1oV_STSDYn1IFDPWt_1FKiwhDph83XaGc0o0/edit?usp=sharing"",""งบพรบ!EK44"")"),0)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7" t="s">
        <v>38</v>
      </c>
      <c r="E324" s="173"/>
      <c r="F324" s="173"/>
      <c r="G324" s="174"/>
      <c r="H324" s="762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3" t="s">
        <v>146</v>
      </c>
      <c r="I325" s="270">
        <f ca="1">IFERROR(__xludf.DUMMYFUNCTION("IMPORTRANGE(""https://docs.google.com/spreadsheets/d/1QqKyyYR6Q21VydFLVH3TRQUabQu_ym0Zz7PgGX0-kHA/edit?usp=sharing"",""แผน!EF44"")"),0)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IFERROR(__xludf.DUMMYFUNCTION("IMPORTRANGE(""https://docs.google.com/spreadsheets/d/1QqKyyYR6Q21VydFLVH3TRQUabQu_ym0Zz7PgGX0-kHA/edit?usp=sharing"",""แผน!EG44"")"),6700)</f>
        <v>6700</v>
      </c>
      <c r="J327" s="444">
        <f ca="1">J338+J341+J342+J343</f>
        <v>9098</v>
      </c>
      <c r="K327" s="445">
        <f ca="1">IF(I327&gt;0,J327*100/I327,0)</f>
        <v>135.79104477611941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186000</v>
      </c>
      <c r="M328" s="155">
        <f t="shared" ca="1" si="149"/>
        <v>269500</v>
      </c>
      <c r="N328" s="155">
        <f t="shared" ca="1" si="149"/>
        <v>269500</v>
      </c>
      <c r="O328" s="155">
        <f t="shared" ref="O328:O336" ca="1" si="150">IF(L328&gt;0,N328*100/L328,0)</f>
        <v>144.89247311827958</v>
      </c>
      <c r="P328" s="155">
        <f t="shared" ref="P328:P336" ca="1" si="151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7"/>
      <c r="J329" s="617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7"/>
      <c r="J330" s="617"/>
      <c r="K330" s="93"/>
      <c r="L330" s="93">
        <f t="shared" ca="1" si="152"/>
        <v>186000</v>
      </c>
      <c r="M330" s="93">
        <f t="shared" ca="1" si="152"/>
        <v>269500</v>
      </c>
      <c r="N330" s="93">
        <f t="shared" ca="1" si="152"/>
        <v>269500</v>
      </c>
      <c r="O330" s="93">
        <f t="shared" ca="1" si="150"/>
        <v>144.89247311827958</v>
      </c>
      <c r="P330" s="93">
        <f t="shared" ca="1" si="151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186000</v>
      </c>
      <c r="M331" s="498">
        <f t="shared" ca="1" si="153"/>
        <v>188500</v>
      </c>
      <c r="N331" s="498">
        <f t="shared" ca="1" si="153"/>
        <v>188500</v>
      </c>
      <c r="O331" s="498">
        <f t="shared" ca="1" si="150"/>
        <v>101.34408602150538</v>
      </c>
      <c r="P331" s="498">
        <f t="shared" ca="1" si="151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IFERROR(__xludf.DUMMYFUNCTION("IMPORTRANGE(""https://docs.google.com/spreadsheets/d/1MeEWN-I1oV_STSDYn1IFDPWt_1FKiwhDph83XaGc0o0/edit?usp=sharing"",""งบพรบ!EM44"")"),186000)</f>
        <v>186000</v>
      </c>
      <c r="M333" s="93">
        <f ca="1">IFERROR(__xludf.DUMMYFUNCTION("IMPORTRANGE(""https://docs.google.com/spreadsheets/d/1MeEWN-I1oV_STSDYn1IFDPWt_1FKiwhDph83XaGc0o0/edit?usp=sharing"",""งบพรบ!ER44"")"),188500)</f>
        <v>188500</v>
      </c>
      <c r="N333" s="93">
        <f ca="1">IFERROR(__xludf.DUMMYFUNCTION("IMPORTRANGE(""https://docs.google.com/spreadsheets/d/1MeEWN-I1oV_STSDYn1IFDPWt_1FKiwhDph83XaGc0o0/edit?usp=sharing"",""งบพรบ!ET44"")"),188500)</f>
        <v>188500</v>
      </c>
      <c r="O333" s="93">
        <f t="shared" ca="1" si="150"/>
        <v>101.34408602150538</v>
      </c>
      <c r="P333" s="93">
        <f t="shared" ca="1" si="151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81000</v>
      </c>
      <c r="N334" s="498">
        <f t="shared" ca="1" si="154"/>
        <v>81000</v>
      </c>
      <c r="O334" s="498">
        <f t="shared" ca="1" si="150"/>
        <v>0</v>
      </c>
      <c r="P334" s="498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IFERROR(__xludf.DUMMYFUNCTION("IMPORTRANGE(""https://docs.google.com/spreadsheets/d/1MeEWN-I1oV_STSDYn1IFDPWt_1FKiwhDph83XaGc0o0/edit?usp=sharing"",""งบพรบ!EP44"")"),0)</f>
        <v>0</v>
      </c>
      <c r="M336" s="93">
        <f ca="1">IFERROR(__xludf.DUMMYFUNCTION("IMPORTRANGE(""https://docs.google.com/spreadsheets/d/1MeEWN-I1oV_STSDYn1IFDPWt_1FKiwhDph83XaGc0o0/edit?usp=sharing"",""งบพรบ!ES44"")"),81000)</f>
        <v>81000</v>
      </c>
      <c r="N336" s="93">
        <f ca="1">IFERROR(__xludf.DUMMYFUNCTION("IMPORTRANGE(""https://docs.google.com/spreadsheets/d/1MeEWN-I1oV_STSDYn1IFDPWt_1FKiwhDph83XaGc0o0/edit?usp=sharing"",""งบพรบ!EU44"")"),81000)</f>
        <v>81000</v>
      </c>
      <c r="O336" s="93">
        <f t="shared" ca="1" si="150"/>
        <v>0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86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62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IFERROR(__xludf.DUMMYFUNCTION("IMPORTRANGE(""https://docs.google.com/spreadsheets/d/1QqKyyYR6Q21VydFLVH3TRQUabQu_ym0Zz7PgGX0-kHA/edit?usp=sharing"",""แผน!EG44"")"),6700)</f>
        <v>6700</v>
      </c>
      <c r="J338" s="270">
        <f ca="1">IFERROR(__xludf.DUMMYFUNCTION("IMPORTRANGE(""https://docs.google.com/spreadsheets/d/1kVcqe37tkHyjCSG3S0O1AXqVkqjo8mSIZil3BcpIysc/edit?usp=sharing"",""ศูนย์!D44"")"),8157)</f>
        <v>8157</v>
      </c>
      <c r="K338" s="498">
        <f ca="1">IF(I338&gt;0,J338*100/I338,0)</f>
        <v>121.74626865671642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IFERROR(__xludf.DUMMYFUNCTION("IMPORTRANGE(""https://docs.google.com/spreadsheets/d/1QqKyyYR6Q21VydFLVH3TRQUabQu_ym0Zz7PgGX0-kHA/edit?usp=sharing"",""แผน!EH44"")"),9)</f>
        <v>9</v>
      </c>
      <c r="J340" s="270">
        <f ca="1">IFERROR(__xludf.DUMMYFUNCTION("IMPORTRANGE(""https://docs.google.com/spreadsheets/d/1kVcqe37tkHyjCSG3S0O1AXqVkqjo8mSIZil3BcpIysc/edit?usp=sharing"",""ศูนย์!E44"")"),9)</f>
        <v>9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IFERROR(__xludf.DUMMYFUNCTION("IMPORTRANGE(""https://docs.google.com/spreadsheets/d/1kVcqe37tkHyjCSG3S0O1AXqVkqjo8mSIZil3BcpIysc/edit?usp=sharing"",""ศูนย์!F44"")"),927)</f>
        <v>927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IFERROR(__xludf.DUMMYFUNCTION("IMPORTRANGE(""https://docs.google.com/spreadsheets/d/1kVcqe37tkHyjCSG3S0O1AXqVkqjo8mSIZil3BcpIysc/edit?usp=sharing"",""ศูนย์!G44"")"),1)</f>
        <v>1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IFERROR(__xludf.DUMMYFUNCTION("IMPORTRANGE(""https://docs.google.com/spreadsheets/d/1kVcqe37tkHyjCSG3S0O1AXqVkqjo8mSIZil3BcpIysc/edit?usp=sharing"",""ศูนย์!H44"")"),13)</f>
        <v>13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2297570</v>
      </c>
      <c r="M345" s="155">
        <f t="shared" ca="1" si="155"/>
        <v>2341950</v>
      </c>
      <c r="N345" s="155">
        <f t="shared" ca="1" si="155"/>
        <v>2341950</v>
      </c>
      <c r="O345" s="155">
        <f t="shared" ref="O345:O353" ca="1" si="156">IF(L345&gt;0,N345*100/L345,0)</f>
        <v>101.93160600112293</v>
      </c>
      <c r="P345" s="155">
        <f t="shared" ref="P345:P353" ca="1" si="157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7"/>
      <c r="J346" s="617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7"/>
      <c r="J347" s="617"/>
      <c r="K347" s="93"/>
      <c r="L347" s="93">
        <f t="shared" ca="1" si="158"/>
        <v>2297570</v>
      </c>
      <c r="M347" s="93">
        <f t="shared" ca="1" si="158"/>
        <v>2341950</v>
      </c>
      <c r="N347" s="93">
        <f t="shared" ca="1" si="158"/>
        <v>2341950</v>
      </c>
      <c r="O347" s="93">
        <f t="shared" ca="1" si="156"/>
        <v>101.93160600112293</v>
      </c>
      <c r="P347" s="93">
        <f t="shared" ca="1" si="157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2171170</v>
      </c>
      <c r="M348" s="498">
        <f t="shared" ca="1" si="159"/>
        <v>2216250</v>
      </c>
      <c r="N348" s="498">
        <f t="shared" ca="1" si="159"/>
        <v>2216250</v>
      </c>
      <c r="O348" s="498">
        <f t="shared" ca="1" si="156"/>
        <v>102.0762998751825</v>
      </c>
      <c r="P348" s="498">
        <f t="shared" ca="1" si="157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IFERROR(__xludf.DUMMYFUNCTION("IMPORTRANGE(""https://docs.google.com/spreadsheets/d/1MeEWN-I1oV_STSDYn1IFDPWt_1FKiwhDph83XaGc0o0/edit?usp=sharing"",""งบพรบ!EW44"")"),2171170)</f>
        <v>2171170</v>
      </c>
      <c r="M350" s="93">
        <f ca="1">IFERROR(__xludf.DUMMYFUNCTION("IMPORTRANGE(""https://docs.google.com/spreadsheets/d/1MeEWN-I1oV_STSDYn1IFDPWt_1FKiwhDph83XaGc0o0/edit?usp=sharing"",""งบพรบ!FB44"")"),2216250)</f>
        <v>2216250</v>
      </c>
      <c r="N350" s="93">
        <f ca="1">IFERROR(__xludf.DUMMYFUNCTION("IMPORTRANGE(""https://docs.google.com/spreadsheets/d/1MeEWN-I1oV_STSDYn1IFDPWt_1FKiwhDph83XaGc0o0/edit?usp=sharing"",""งบพรบ!FD44"")"),2216250)</f>
        <v>2216250</v>
      </c>
      <c r="O350" s="93">
        <f t="shared" ca="1" si="156"/>
        <v>102.0762998751825</v>
      </c>
      <c r="P350" s="93">
        <f t="shared" ca="1" si="157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126400</v>
      </c>
      <c r="M351" s="498">
        <f t="shared" ca="1" si="160"/>
        <v>125700</v>
      </c>
      <c r="N351" s="498">
        <f t="shared" ca="1" si="160"/>
        <v>125700</v>
      </c>
      <c r="O351" s="498">
        <f t="shared" ca="1" si="156"/>
        <v>99.446202531645568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IFERROR(__xludf.DUMMYFUNCTION("IMPORTRANGE(""https://docs.google.com/spreadsheets/d/1MeEWN-I1oV_STSDYn1IFDPWt_1FKiwhDph83XaGc0o0/edit?usp=sharing"",""งบพรบ!EZ44"")"),126400)</f>
        <v>126400</v>
      </c>
      <c r="M353" s="93">
        <f ca="1">IFERROR(__xludf.DUMMYFUNCTION("IMPORTRANGE(""https://docs.google.com/spreadsheets/d/1MeEWN-I1oV_STSDYn1IFDPWt_1FKiwhDph83XaGc0o0/edit?usp=sharing"",""งบพรบ!FC44"")"),125700)</f>
        <v>125700</v>
      </c>
      <c r="N353" s="93">
        <f ca="1">IFERROR(__xludf.DUMMYFUNCTION("IMPORTRANGE(""https://docs.google.com/spreadsheets/d/1MeEWN-I1oV_STSDYn1IFDPWt_1FKiwhDph83XaGc0o0/edit?usp=sharing"",""งบพรบ!FE44"")"),125700)</f>
        <v>125700</v>
      </c>
      <c r="O353" s="93">
        <f t="shared" ca="1" si="156"/>
        <v>99.446202531645568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8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IFERROR(__xludf.DUMMYFUNCTION("IMPORTRANGE(""https://docs.google.com/spreadsheets/d/1QqKyyYR6Q21VydFLVH3TRQUabQu_ym0Zz7PgGX0-kHA/edit?usp=sharing"",""แผน!EP44"")"),1112)</f>
        <v>1112</v>
      </c>
      <c r="J355" s="465">
        <f ca="1">J362</f>
        <v>426</v>
      </c>
      <c r="K355" s="466">
        <f ca="1">IF(I355&gt;0,J355*100/I355,0)</f>
        <v>38.309352517985609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77" t="s">
        <v>38</v>
      </c>
      <c r="E357" s="173"/>
      <c r="F357" s="173"/>
      <c r="G357" s="174"/>
      <c r="H357" s="762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IFERROR(__xludf.DUMMYFUNCTION("IMPORTRANGE(""https://docs.google.com/spreadsheets/d/1XWAQStnk-4SwqDmLtmXYiTMKHgktTP8We1SCoS47DrQ/edit?usp=sharing"",""จัดที่ดิน!W44"")"),1586)</f>
        <v>1586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IFERROR(__xludf.DUMMYFUNCTION("IMPORTRANGE(""https://docs.google.com/spreadsheets/d/1QqKyyYR6Q21VydFLVH3TRQUabQu_ym0Zz7PgGX0-kHA/edit?usp=sharing"",""แผน!EO44"")"),11120)</f>
        <v>11120</v>
      </c>
      <c r="J359" s="270">
        <f ca="1">IFERROR(__xludf.DUMMYFUNCTION("IMPORTRANGE(""https://docs.google.com/spreadsheets/d/1XWAQStnk-4SwqDmLtmXYiTMKHgktTP8We1SCoS47DrQ/edit?usp=sharing"",""จัดที่ดิน!X44"")"),9195.47)</f>
        <v>9195.4699999999993</v>
      </c>
      <c r="K359" s="498">
        <f t="shared" ca="1" si="161"/>
        <v>82.693075539568341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4" t="s">
        <v>35</v>
      </c>
      <c r="I360" s="270">
        <f ca="1">IFERROR(__xludf.DUMMYFUNCTION("IMPORTRANGE(""https://docs.google.com/spreadsheets/d/1QqKyyYR6Q21VydFLVH3TRQUabQu_ym0Zz7PgGX0-kHA/edit?usp=sharing"",""แผน!EP44"")"),1112)</f>
        <v>1112</v>
      </c>
      <c r="J360" s="270">
        <f ca="1">IFERROR(__xludf.DUMMYFUNCTION("IMPORTRANGE(""https://docs.google.com/spreadsheets/d/1XWAQStnk-4SwqDmLtmXYiTMKHgktTP8We1SCoS47DrQ/edit?usp=sharing"",""จัดที่ดิน!Y44"")"),1338)</f>
        <v>1338</v>
      </c>
      <c r="K360" s="498">
        <f t="shared" ca="1" si="161"/>
        <v>120.32374100719424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IFERROR(__xludf.DUMMYFUNCTION("IMPORTRANGE(""https://docs.google.com/spreadsheets/d/1XWAQStnk-4SwqDmLtmXYiTMKHgktTP8We1SCoS47DrQ/edit?usp=sharing"",""จัดที่ดิน!Z44"")"),8230.15)</f>
        <v>8230.15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4" t="s">
        <v>35</v>
      </c>
      <c r="I362" s="270">
        <f ca="1">IFERROR(__xludf.DUMMYFUNCTION("IMPORTRANGE(""https://docs.google.com/spreadsheets/d/1QqKyyYR6Q21VydFLVH3TRQUabQu_ym0Zz7PgGX0-kHA/edit?usp=sharing"",""แผน!EP44"")"),1112)</f>
        <v>1112</v>
      </c>
      <c r="J362" s="270">
        <f ca="1">IFERROR(__xludf.DUMMYFUNCTION("IMPORTRANGE(""https://docs.google.com/spreadsheets/d/1XWAQStnk-4SwqDmLtmXYiTMKHgktTP8We1SCoS47DrQ/edit?usp=sharing"",""จัดที่ดิน!AA44"")"),426)</f>
        <v>426</v>
      </c>
      <c r="K362" s="498">
        <f t="shared" ca="1" si="161"/>
        <v>38.309352517985609</v>
      </c>
      <c r="L362" s="163"/>
      <c r="M362" s="163"/>
      <c r="N362" s="163"/>
      <c r="O362" s="163"/>
      <c r="P362" s="163"/>
    </row>
    <row r="363" spans="1:26" ht="18.75" hidden="1">
      <c r="A363" s="499" t="s">
        <v>169</v>
      </c>
      <c r="B363" s="178"/>
      <c r="C363" s="171"/>
      <c r="D363" s="178"/>
      <c r="E363" s="447"/>
      <c r="F363" s="178"/>
      <c r="G363" s="179"/>
      <c r="H363" s="76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IFERROR(__xludf.DUMMYFUNCTION("IMPORTRANGE(""https://docs.google.com/spreadsheets/d/1XWAQStnk-4SwqDmLtmXYiTMKHgktTP8We1SCoS47DrQ/edit?usp=sharing"",""จัดที่ดิน!AB44"")"),2174.5)</f>
        <v>2174.5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t="shared" ref="I364:J364" ca="1" si="162">I365+I374</f>
        <v>2112</v>
      </c>
      <c r="J364" s="479">
        <f t="shared" ca="1" si="162"/>
        <v>1789</v>
      </c>
      <c r="K364" s="480">
        <f t="shared" ca="1" si="161"/>
        <v>84.706439393939391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IFERROR(__xludf.DUMMYFUNCTION("IMPORTRANGE(""https://docs.google.com/spreadsheets/d/1QqKyyYR6Q21VydFLVH3TRQUabQu_ym0Zz7PgGX0-kHA/edit?usp=sharing"",""แผน!EJ44"")"),312)</f>
        <v>312</v>
      </c>
      <c r="J365" s="491">
        <f ca="1">J372</f>
        <v>252</v>
      </c>
      <c r="K365" s="492">
        <f t="shared" ca="1" si="161"/>
        <v>80.769230769230774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77" t="s">
        <v>38</v>
      </c>
      <c r="E367" s="173"/>
      <c r="F367" s="173"/>
      <c r="G367" s="174"/>
      <c r="H367" s="762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IFERROR(__xludf.DUMMYFUNCTION("IMPORTRANGE(""https://docs.google.com/spreadsheets/d/1XWAQStnk-4SwqDmLtmXYiTMKHgktTP8We1SCoS47DrQ/edit?usp=sharing"",""จัดที่ดิน!E44"")"),600)</f>
        <v>600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IFERROR(__xludf.DUMMYFUNCTION("IMPORTRANGE(""https://docs.google.com/spreadsheets/d/1QqKyyYR6Q21VydFLVH3TRQUabQu_ym0Zz7PgGX0-kHA/edit?usp=sharing"",""แผน!EI44"")"),3120)</f>
        <v>3120</v>
      </c>
      <c r="J369" s="270">
        <f ca="1">IFERROR(__xludf.DUMMYFUNCTION("IMPORTRANGE(""https://docs.google.com/spreadsheets/d/1XWAQStnk-4SwqDmLtmXYiTMKHgktTP8We1SCoS47DrQ/edit?usp=sharing"",""จัดที่ดิน!F44"")"),3125.18)</f>
        <v>3125.18</v>
      </c>
      <c r="K369" s="498">
        <f t="shared" ca="1" si="163"/>
        <v>100.16602564102564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4" t="s">
        <v>35</v>
      </c>
      <c r="I370" s="270">
        <f ca="1">IFERROR(__xludf.DUMMYFUNCTION("IMPORTRANGE(""https://docs.google.com/spreadsheets/d/1QqKyyYR6Q21VydFLVH3TRQUabQu_ym0Zz7PgGX0-kHA/edit?usp=sharing"",""แผน!EJ44"")"),312)</f>
        <v>312</v>
      </c>
      <c r="J370" s="270">
        <f ca="1">IFERROR(__xludf.DUMMYFUNCTION("IMPORTRANGE(""https://docs.google.com/spreadsheets/d/1XWAQStnk-4SwqDmLtmXYiTMKHgktTP8We1SCoS47DrQ/edit?usp=sharing"",""จัดที่ดิน!G44"")"),381)</f>
        <v>381</v>
      </c>
      <c r="K370" s="498">
        <f t="shared" ca="1" si="163"/>
        <v>122.11538461538461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IFERROR(__xludf.DUMMYFUNCTION("IMPORTRANGE(""https://docs.google.com/spreadsheets/d/1XWAQStnk-4SwqDmLtmXYiTMKHgktTP8We1SCoS47DrQ/edit?usp=sharing"",""จัดที่ดิน!H44"")"),2402.34)</f>
        <v>2402.34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4" t="s">
        <v>35</v>
      </c>
      <c r="I372" s="270">
        <f ca="1">IFERROR(__xludf.DUMMYFUNCTION("IMPORTRANGE(""https://docs.google.com/spreadsheets/d/1QqKyyYR6Q21VydFLVH3TRQUabQu_ym0Zz7PgGX0-kHA/edit?usp=sharing"",""แผน!EJ44"")"),312)</f>
        <v>312</v>
      </c>
      <c r="J372" s="270">
        <f ca="1">IFERROR(__xludf.DUMMYFUNCTION("IMPORTRANGE(""https://docs.google.com/spreadsheets/d/1XWAQStnk-4SwqDmLtmXYiTMKHgktTP8We1SCoS47DrQ/edit?usp=sharing"",""จัดที่ดิน!I44"")"),252)</f>
        <v>252</v>
      </c>
      <c r="K372" s="498">
        <f t="shared" ca="1" si="163"/>
        <v>80.769230769230774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8"/>
      <c r="C373" s="171"/>
      <c r="D373" s="178"/>
      <c r="E373" s="447"/>
      <c r="F373" s="178"/>
      <c r="G373" s="179"/>
      <c r="H373" s="76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IFERROR(__xludf.DUMMYFUNCTION("IMPORTRANGE(""https://docs.google.com/spreadsheets/d/1XWAQStnk-4SwqDmLtmXYiTMKHgktTP8We1SCoS47DrQ/edit?usp=sharing"",""จัดที่ดิน!J44"")"),1289.3)</f>
        <v>1289.3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IFERROR(__xludf.DUMMYFUNCTION("IMPORTRANGE(""https://docs.google.com/spreadsheets/d/1QqKyyYR6Q21VydFLVH3TRQUabQu_ym0Zz7PgGX0-kHA/edit?usp=sharing"",""แผน!EU44"")"),1800)</f>
        <v>1800</v>
      </c>
      <c r="J374" s="491">
        <f ca="1">J381</f>
        <v>1537</v>
      </c>
      <c r="K374" s="492">
        <f t="shared" ca="1" si="163"/>
        <v>85.388888888888886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77" t="s">
        <v>38</v>
      </c>
      <c r="E376" s="173"/>
      <c r="F376" s="173"/>
      <c r="G376" s="174"/>
      <c r="H376" s="762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IFERROR(__xludf.DUMMYFUNCTION("IMPORTRANGE(""https://docs.google.com/spreadsheets/d/1XWAQStnk-4SwqDmLtmXYiTMKHgktTP8We1SCoS47DrQ/edit?usp=sharing"",""จัดที่ดิน!AH44"")"),986)</f>
        <v>986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IFERROR(__xludf.DUMMYFUNCTION("IMPORTRANGE(""https://docs.google.com/spreadsheets/d/1QqKyyYR6Q21VydFLVH3TRQUabQu_ym0Zz7PgGX0-kHA/edit?usp=sharing"",""แผน!ET44"")"),8000)</f>
        <v>8000</v>
      </c>
      <c r="J378" s="270">
        <f ca="1">IFERROR(__xludf.DUMMYFUNCTION("IMPORTRANGE(""https://docs.google.com/spreadsheets/d/1XWAQStnk-4SwqDmLtmXYiTMKHgktTP8We1SCoS47DrQ/edit?usp=sharing"",""จัดที่ดิน!AI44"")"),6070.29)</f>
        <v>6070.29</v>
      </c>
      <c r="K378" s="498">
        <f t="shared" ca="1" si="164"/>
        <v>75.878625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4" t="s">
        <v>35</v>
      </c>
      <c r="I379" s="270">
        <f ca="1">IFERROR(__xludf.DUMMYFUNCTION("IMPORTRANGE(""https://docs.google.com/spreadsheets/d/1QqKyyYR6Q21VydFLVH3TRQUabQu_ym0Zz7PgGX0-kHA/edit?usp=sharing"",""แผน!EU44"")"),1800)</f>
        <v>1800</v>
      </c>
      <c r="J379" s="270">
        <f ca="1">IFERROR(__xludf.DUMMYFUNCTION("IMPORTRANGE(""https://docs.google.com/spreadsheets/d/1XWAQStnk-4SwqDmLtmXYiTMKHgktTP8We1SCoS47DrQ/edit?usp=sharing"",""จัดที่ดิน!AJ44"")"),2326)</f>
        <v>2326</v>
      </c>
      <c r="K379" s="498">
        <f t="shared" ca="1" si="164"/>
        <v>129.22222222222223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IFERROR(__xludf.DUMMYFUNCTION("IMPORTRANGE(""https://docs.google.com/spreadsheets/d/1XWAQStnk-4SwqDmLtmXYiTMKHgktTP8We1SCoS47DrQ/edit?usp=sharing"",""จัดที่ดิน!AK44"")"),16828.56)</f>
        <v>16828.560000000001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4" t="s">
        <v>35</v>
      </c>
      <c r="I381" s="270">
        <f ca="1">IFERROR(__xludf.DUMMYFUNCTION("IMPORTRANGE(""https://docs.google.com/spreadsheets/d/1QqKyyYR6Q21VydFLVH3TRQUabQu_ym0Zz7PgGX0-kHA/edit?usp=sharing"",""แผน!EU44"")"),1800)</f>
        <v>1800</v>
      </c>
      <c r="J381" s="270">
        <f ca="1">IFERROR(__xludf.DUMMYFUNCTION("IMPORTRANGE(""https://docs.google.com/spreadsheets/d/1XWAQStnk-4SwqDmLtmXYiTMKHgktTP8We1SCoS47DrQ/edit?usp=sharing"",""จัดที่ดิน!AL44"")"),1537)</f>
        <v>1537</v>
      </c>
      <c r="K381" s="498">
        <f t="shared" ca="1" si="164"/>
        <v>85.388888888888886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8"/>
      <c r="C382" s="171"/>
      <c r="D382" s="178"/>
      <c r="E382" s="447"/>
      <c r="F382" s="178"/>
      <c r="G382" s="179"/>
      <c r="H382" s="76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IFERROR(__xludf.DUMMYFUNCTION("IMPORTRANGE(""https://docs.google.com/spreadsheets/d/1XWAQStnk-4SwqDmLtmXYiTMKHgktTP8We1SCoS47DrQ/edit?usp=sharing"",""จัดที่ดิน!AM44"")"),11780.45)</f>
        <v>11780.45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500"/>
      <c r="B383" s="501"/>
      <c r="C383" s="291"/>
      <c r="D383" s="889" t="s">
        <v>170</v>
      </c>
      <c r="E383" s="291"/>
      <c r="F383" s="291"/>
      <c r="G383" s="503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86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62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4" t="s">
        <v>171</v>
      </c>
      <c r="F385" s="381"/>
      <c r="G385" s="382"/>
      <c r="H385" s="505" t="s">
        <v>35</v>
      </c>
      <c r="I385" s="506">
        <f ca="1">IFERROR(__xludf.DUMMYFUNCTION("IMPORTRANGE(""https://docs.google.com/spreadsheets/d/1QqKyyYR6Q21VydFLVH3TRQUabQu_ym0Zz7PgGX0-kHA/edit?usp=sharing"",""แผน!EW44"")"),150)</f>
        <v>150</v>
      </c>
      <c r="J385" s="506">
        <f ca="1">IFERROR(__xludf.DUMMYFUNCTION("IMPORTRANGE(""https://docs.google.com/spreadsheets/d/1XWAQStnk-4SwqDmLtmXYiTMKHgktTP8We1SCoS47DrQ/edit?usp=sharing"",""จัดที่ดิน!AP44"")"),9)</f>
        <v>9</v>
      </c>
      <c r="K385" s="507">
        <f ca="1">IF(I385&gt;0,J385*100/I385,0)</f>
        <v>6</v>
      </c>
      <c r="L385" s="385"/>
      <c r="M385" s="385"/>
      <c r="N385" s="385"/>
      <c r="O385" s="385"/>
      <c r="P385" s="385"/>
    </row>
    <row r="386" spans="1:26" ht="19.5" hidden="1">
      <c r="A386" s="508" t="s">
        <v>172</v>
      </c>
      <c r="B386" s="509"/>
      <c r="C386" s="509"/>
      <c r="D386" s="509"/>
      <c r="E386" s="510"/>
      <c r="F386" s="510"/>
      <c r="G386" s="511"/>
      <c r="H386" s="512"/>
      <c r="I386" s="513"/>
      <c r="J386" s="513"/>
      <c r="K386" s="514"/>
      <c r="L386" s="514"/>
      <c r="M386" s="514"/>
      <c r="N386" s="514"/>
      <c r="O386" s="514"/>
      <c r="P386" s="514"/>
    </row>
    <row r="387" spans="1:26" ht="19.5" hidden="1">
      <c r="A387" s="515" t="s">
        <v>173</v>
      </c>
      <c r="B387" s="516"/>
      <c r="C387" s="516"/>
      <c r="D387" s="517"/>
      <c r="E387" s="516"/>
      <c r="F387" s="516"/>
      <c r="G387" s="516"/>
      <c r="H387" s="518"/>
      <c r="I387" s="519"/>
      <c r="J387" s="519"/>
      <c r="K387" s="520"/>
      <c r="L387" s="520"/>
      <c r="M387" s="520"/>
      <c r="N387" s="520"/>
      <c r="O387" s="520"/>
      <c r="P387" s="520"/>
    </row>
    <row r="388" spans="1:26" ht="19.5" hidden="1">
      <c r="A388" s="521"/>
      <c r="B388" s="522" t="s">
        <v>174</v>
      </c>
      <c r="C388" s="523"/>
      <c r="D388" s="524"/>
      <c r="E388" s="524"/>
      <c r="F388" s="524"/>
      <c r="G388" s="525"/>
      <c r="H388" s="526" t="s">
        <v>66</v>
      </c>
      <c r="I388" s="527">
        <f t="shared" ref="I388:J388" si="165">I400</f>
        <v>0</v>
      </c>
      <c r="J388" s="527">
        <f t="shared" si="165"/>
        <v>0</v>
      </c>
      <c r="K388" s="528">
        <f>IF(I388&gt;0,J388*100/I388,0)</f>
        <v>0</v>
      </c>
      <c r="L388" s="529"/>
      <c r="M388" s="529"/>
      <c r="N388" s="529"/>
      <c r="O388" s="529"/>
      <c r="P388" s="529"/>
    </row>
    <row r="389" spans="1:26" ht="19.5" hidden="1">
      <c r="A389" s="147"/>
      <c r="B389" s="148"/>
      <c r="C389" s="149" t="s">
        <v>16</v>
      </c>
      <c r="D389" s="87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7"/>
      <c r="J390" s="617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7"/>
      <c r="J391" s="617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IFERROR(__xludf.DUMMYFUNCTION("IMPORTRANGE(""https://docs.google.com/spreadsheets/d/1MeEWN-I1oV_STSDYn1IFDPWt_1FKiwhDph83XaGc0o0/edit?usp=sharing"",""งบพรบ!FG44"")"),0)</f>
        <v>0</v>
      </c>
      <c r="M394" s="93">
        <f ca="1">IFERROR(__xludf.DUMMYFUNCTION("IMPORTRANGE(""https://docs.google.com/spreadsheets/d/1MeEWN-I1oV_STSDYn1IFDPWt_1FKiwhDph83XaGc0o0/edit?usp=sharing"",""งบพรบ!FL44"")"),0)</f>
        <v>0</v>
      </c>
      <c r="N394" s="93">
        <f ca="1">IFERROR(__xludf.DUMMYFUNCTION("IMPORTRANGE(""https://docs.google.com/spreadsheets/d/1MeEWN-I1oV_STSDYn1IFDPWt_1FKiwhDph83XaGc0o0/edit?usp=sharing"",""งบพรบ!FN44"")"),0)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IFERROR(__xludf.DUMMYFUNCTION("IMPORTRANGE(""https://docs.google.com/spreadsheets/d/1MeEWN-I1oV_STSDYn1IFDPWt_1FKiwhDph83XaGc0o0/edit?usp=sharing"",""งบพรบ!FJ44"")"),0)</f>
        <v>0</v>
      </c>
      <c r="M397" s="93">
        <f ca="1">IFERROR(__xludf.DUMMYFUNCTION("IMPORTRANGE(""https://docs.google.com/spreadsheets/d/1MeEWN-I1oV_STSDYn1IFDPWt_1FKiwhDph83XaGc0o0/edit?usp=sharing"",""งบพรบ!FM44"")"),0)</f>
        <v>0</v>
      </c>
      <c r="N397" s="93">
        <f ca="1">IFERROR(__xludf.DUMMYFUNCTION("IMPORTRANGE(""https://docs.google.com/spreadsheets/d/1MeEWN-I1oV_STSDYn1IFDPWt_1FKiwhDph83XaGc0o0/edit?usp=sharing"",""งบพรบ!FO44"")"),0)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7" t="s">
        <v>38</v>
      </c>
      <c r="E398" s="173"/>
      <c r="F398" s="173"/>
      <c r="G398" s="174"/>
      <c r="H398" s="762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30"/>
      <c r="B399" s="148"/>
      <c r="C399" s="531"/>
      <c r="D399" s="532" t="s">
        <v>175</v>
      </c>
      <c r="E399" s="415"/>
      <c r="F399" s="148"/>
      <c r="G399" s="151"/>
      <c r="H399" s="533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4"/>
      <c r="M399" s="534"/>
      <c r="N399" s="534"/>
      <c r="O399" s="534"/>
      <c r="P399" s="534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1"/>
      <c r="B401" s="522" t="s">
        <v>177</v>
      </c>
      <c r="C401" s="523"/>
      <c r="D401" s="524"/>
      <c r="E401" s="524"/>
      <c r="F401" s="524"/>
      <c r="G401" s="525"/>
      <c r="H401" s="526" t="s">
        <v>66</v>
      </c>
      <c r="I401" s="527">
        <f t="shared" ref="I401:J401" si="173">I412</f>
        <v>0</v>
      </c>
      <c r="J401" s="527">
        <f t="shared" si="173"/>
        <v>0</v>
      </c>
      <c r="K401" s="528">
        <f t="shared" si="172"/>
        <v>0</v>
      </c>
      <c r="L401" s="529"/>
      <c r="M401" s="529"/>
      <c r="N401" s="529"/>
      <c r="O401" s="529"/>
      <c r="P401" s="529"/>
    </row>
    <row r="402" spans="1:26" ht="19.5" hidden="1">
      <c r="A402" s="147"/>
      <c r="B402" s="148"/>
      <c r="C402" s="149" t="s">
        <v>16</v>
      </c>
      <c r="D402" s="87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7"/>
      <c r="J403" s="617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7"/>
      <c r="J404" s="617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IFERROR(__xludf.DUMMYFUNCTION("IMPORTRANGE(""https://docs.google.com/spreadsheets/d/1MeEWN-I1oV_STSDYn1IFDPWt_1FKiwhDph83XaGc0o0/edit?usp=sharing"",""งบพรบ!FQ44"")"),0)</f>
        <v>0</v>
      </c>
      <c r="M407" s="93">
        <f ca="1">IFERROR(__xludf.DUMMYFUNCTION("IMPORTRANGE(""https://docs.google.com/spreadsheets/d/1MeEWN-I1oV_STSDYn1IFDPWt_1FKiwhDph83XaGc0o0/edit?usp=sharing"",""งบพรบ!FV44"")"),0)</f>
        <v>0</v>
      </c>
      <c r="N407" s="93">
        <f ca="1">IFERROR(__xludf.DUMMYFUNCTION("IMPORTRANGE(""https://docs.google.com/spreadsheets/d/1MeEWN-I1oV_STSDYn1IFDPWt_1FKiwhDph83XaGc0o0/edit?usp=sharing"",""งบพรบ!FX44"")"),0)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IFERROR(__xludf.DUMMYFUNCTION("IMPORTRANGE(""https://docs.google.com/spreadsheets/d/1MeEWN-I1oV_STSDYn1IFDPWt_1FKiwhDph83XaGc0o0/edit?usp=sharing"",""งบพรบ!FT44"")"),0)</f>
        <v>0</v>
      </c>
      <c r="M410" s="93">
        <f ca="1">IFERROR(__xludf.DUMMYFUNCTION("IMPORTRANGE(""https://docs.google.com/spreadsheets/d/1MeEWN-I1oV_STSDYn1IFDPWt_1FKiwhDph83XaGc0o0/edit?usp=sharing"",""งบพรบ!FW44"")"),0)</f>
        <v>0</v>
      </c>
      <c r="N410" s="93">
        <f ca="1">IFERROR(__xludf.DUMMYFUNCTION("IMPORTRANGE(""https://docs.google.com/spreadsheets/d/1MeEWN-I1oV_STSDYn1IFDPWt_1FKiwhDph83XaGc0o0/edit?usp=sharing"",""งบพรบ!FY44"")"),0)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90" t="s">
        <v>38</v>
      </c>
      <c r="E411" s="536"/>
      <c r="F411" s="536"/>
      <c r="G411" s="537"/>
      <c r="H411" s="762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8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9"/>
      <c r="B413" s="540"/>
      <c r="C413" s="540"/>
      <c r="D413" s="541" t="s">
        <v>179</v>
      </c>
      <c r="E413" s="540"/>
      <c r="F413" s="540"/>
      <c r="G413" s="542"/>
      <c r="H413" s="543" t="s">
        <v>180</v>
      </c>
      <c r="I413" s="544">
        <v>0</v>
      </c>
      <c r="J413" s="545">
        <v>0</v>
      </c>
      <c r="K413" s="546">
        <f t="shared" si="180"/>
        <v>0</v>
      </c>
      <c r="L413" s="547"/>
      <c r="M413" s="547"/>
      <c r="N413" s="547"/>
      <c r="O413" s="547"/>
      <c r="P413" s="547"/>
    </row>
    <row r="414" spans="1:26" ht="19.5">
      <c r="A414" s="548" t="s">
        <v>181</v>
      </c>
      <c r="B414" s="549"/>
      <c r="C414" s="549"/>
      <c r="D414" s="549"/>
      <c r="E414" s="549"/>
      <c r="F414" s="549"/>
      <c r="G414" s="550"/>
      <c r="H414" s="551"/>
      <c r="I414" s="552"/>
      <c r="J414" s="552"/>
      <c r="K414" s="553"/>
      <c r="L414" s="554">
        <f t="shared" ref="L414:N414" ca="1" si="181">L419+L444+L467+L502+L523+L544+L629+L655+L685+L737+L754+L770+L786+L805</f>
        <v>2321251</v>
      </c>
      <c r="M414" s="554">
        <f t="shared" ca="1" si="181"/>
        <v>1807013.23</v>
      </c>
      <c r="N414" s="554">
        <f t="shared" si="181"/>
        <v>1807013.23</v>
      </c>
      <c r="O414" s="554">
        <f ca="1">IF(L414&gt;0,N414*100/L414,0)</f>
        <v>77.846524568002337</v>
      </c>
      <c r="P414" s="554">
        <f ca="1">IF(M414&gt;0,N414*100/M414,0)</f>
        <v>100</v>
      </c>
    </row>
    <row r="415" spans="1:26" ht="19.5">
      <c r="A415" s="555" t="s">
        <v>182</v>
      </c>
      <c r="B415" s="556"/>
      <c r="C415" s="556"/>
      <c r="D415" s="556"/>
      <c r="E415" s="556"/>
      <c r="F415" s="556"/>
      <c r="G415" s="556"/>
      <c r="H415" s="557"/>
      <c r="I415" s="558"/>
      <c r="J415" s="558"/>
      <c r="K415" s="559"/>
      <c r="L415" s="560"/>
      <c r="M415" s="560"/>
      <c r="N415" s="560"/>
      <c r="O415" s="560"/>
      <c r="P415" s="560"/>
    </row>
    <row r="416" spans="1:26" ht="19.5">
      <c r="A416" s="555" t="s">
        <v>183</v>
      </c>
      <c r="B416" s="556"/>
      <c r="C416" s="556"/>
      <c r="D416" s="556"/>
      <c r="E416" s="556"/>
      <c r="F416" s="556"/>
      <c r="G416" s="561"/>
      <c r="H416" s="562"/>
      <c r="I416" s="563"/>
      <c r="J416" s="563"/>
      <c r="K416" s="560"/>
      <c r="L416" s="560"/>
      <c r="M416" s="560"/>
      <c r="N416" s="560"/>
      <c r="O416" s="560"/>
      <c r="P416" s="560"/>
    </row>
    <row r="417" spans="1:26" ht="39">
      <c r="A417" s="564">
        <v>1</v>
      </c>
      <c r="B417" s="566" t="s">
        <v>184</v>
      </c>
      <c r="C417" s="566"/>
      <c r="D417" s="567"/>
      <c r="E417" s="567"/>
      <c r="F417" s="567"/>
      <c r="G417" s="568"/>
      <c r="H417" s="569" t="s">
        <v>35</v>
      </c>
      <c r="I417" s="570">
        <f t="shared" ref="I417:J418" ca="1" si="182">I433</f>
        <v>55</v>
      </c>
      <c r="J417" s="570">
        <f t="shared" ca="1" si="182"/>
        <v>55</v>
      </c>
      <c r="K417" s="571">
        <f t="shared" ref="K417:K418" ca="1" si="183">IF(I417&gt;0,J417*100/I417,0)</f>
        <v>100</v>
      </c>
      <c r="L417" s="572"/>
      <c r="M417" s="572"/>
      <c r="N417" s="572"/>
      <c r="O417" s="572"/>
      <c r="P417" s="572"/>
    </row>
    <row r="418" spans="1:26" ht="19.5">
      <c r="A418" s="573"/>
      <c r="B418" s="564"/>
      <c r="C418" s="566"/>
      <c r="D418" s="567"/>
      <c r="E418" s="567"/>
      <c r="F418" s="567"/>
      <c r="G418" s="568"/>
      <c r="H418" s="569" t="s">
        <v>49</v>
      </c>
      <c r="I418" s="570">
        <f t="shared" ca="1" si="182"/>
        <v>1</v>
      </c>
      <c r="J418" s="570">
        <f t="shared" si="182"/>
        <v>1</v>
      </c>
      <c r="K418" s="571">
        <f t="shared" ca="1" si="183"/>
        <v>100</v>
      </c>
      <c r="L418" s="572"/>
      <c r="M418" s="572"/>
      <c r="N418" s="572"/>
      <c r="O418" s="572"/>
      <c r="P418" s="572"/>
    </row>
    <row r="419" spans="1:26" ht="19.5">
      <c r="A419" s="147"/>
      <c r="B419" s="148"/>
      <c r="C419" s="148" t="s">
        <v>16</v>
      </c>
      <c r="D419" s="891" t="s">
        <v>17</v>
      </c>
      <c r="E419" s="862"/>
      <c r="F419" s="86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163360</v>
      </c>
      <c r="M419" s="155">
        <f t="shared" ca="1" si="184"/>
        <v>154280</v>
      </c>
      <c r="N419" s="155">
        <f t="shared" si="184"/>
        <v>154280</v>
      </c>
      <c r="O419" s="155">
        <f t="shared" ref="O419:O424" ca="1" si="185">IF(L419&gt;0,N419*100/L419,0)</f>
        <v>94.441723800195888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7"/>
      <c r="J420" s="617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7"/>
      <c r="J421" s="617"/>
      <c r="K421" s="93"/>
      <c r="L421" s="93">
        <f t="shared" ca="1" si="187"/>
        <v>163360</v>
      </c>
      <c r="M421" s="93">
        <f t="shared" ca="1" si="187"/>
        <v>154280</v>
      </c>
      <c r="N421" s="93">
        <f t="shared" si="187"/>
        <v>154280</v>
      </c>
      <c r="O421" s="93">
        <f t="shared" ca="1" si="185"/>
        <v>94.441723800195888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163360</v>
      </c>
      <c r="M422" s="498">
        <f t="shared" ca="1" si="188"/>
        <v>154280</v>
      </c>
      <c r="N422" s="498">
        <f t="shared" si="188"/>
        <v>154280</v>
      </c>
      <c r="O422" s="498">
        <f t="shared" ca="1" si="185"/>
        <v>94.441723800195888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7"/>
      <c r="J423" s="617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7"/>
      <c r="J424" s="617"/>
      <c r="K424" s="93"/>
      <c r="L424" s="93">
        <f ca="1">IFERROR(__xludf.DUMMYFUNCTION("IMPORTRANGE(""https://docs.google.com/spreadsheets/d/1QqKyyYR6Q21VydFLVH3TRQUabQu_ym0Zz7PgGX0-kHA/edit?usp=sharing"",""แผน!EY44"")"),163360)</f>
        <v>163360</v>
      </c>
      <c r="M424" s="93">
        <f ca="1">L424+5000-14040-40</f>
        <v>154280</v>
      </c>
      <c r="N424" s="93">
        <f>N425+N426+N427+N428</f>
        <v>154280</v>
      </c>
      <c r="O424" s="93">
        <f t="shared" ca="1" si="185"/>
        <v>94.441723800195888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4"/>
      <c r="B425" s="575"/>
      <c r="C425" s="763"/>
      <c r="D425" s="763"/>
      <c r="E425" s="763"/>
      <c r="F425" s="763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40">
        <v>135180</v>
      </c>
      <c r="O425" s="498"/>
      <c r="P425" s="49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</row>
    <row r="426" spans="1:26" ht="18.75">
      <c r="A426" s="574"/>
      <c r="B426" s="575"/>
      <c r="C426" s="763"/>
      <c r="D426" s="763"/>
      <c r="E426" s="763"/>
      <c r="F426" s="763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40">
        <v>0</v>
      </c>
      <c r="O426" s="498"/>
      <c r="P426" s="49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</row>
    <row r="427" spans="1:26" ht="18.75">
      <c r="A427" s="574"/>
      <c r="B427" s="575"/>
      <c r="C427" s="763"/>
      <c r="D427" s="763"/>
      <c r="E427" s="763"/>
      <c r="F427" s="763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40">
        <v>0</v>
      </c>
      <c r="O427" s="498"/>
      <c r="P427" s="49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40">
        <v>19100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92" t="s">
        <v>38</v>
      </c>
      <c r="E432" s="580"/>
      <c r="F432" s="580"/>
      <c r="G432" s="581"/>
      <c r="H432" s="582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1">
        <f ca="1">I435</f>
        <v>55</v>
      </c>
      <c r="J433" s="681">
        <f ca="1">IF(AND(J435=I435,J437=I437,J439=I439),I437+I439,IF(AND(J435=I437,J437=I437),I437,IF(AND(J435=I439,J439=I439),I439,0)))</f>
        <v>55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1">
        <f t="shared" ref="I434:J434" ca="1" si="193">I438+I440</f>
        <v>1</v>
      </c>
      <c r="J434" s="681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3" t="s">
        <v>35</v>
      </c>
      <c r="I435" s="583">
        <f ca="1">IFERROR(__xludf.DUMMYFUNCTION("IMPORTRANGE(""https://docs.google.com/spreadsheets/d/1QqKyyYR6Q21VydFLVH3TRQUabQu_ym0Zz7PgGX0-kHA/edit?usp=sharing"",""แผน!FC44"")"),55)</f>
        <v>55</v>
      </c>
      <c r="J435" s="584">
        <v>55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3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3" t="s">
        <v>35</v>
      </c>
      <c r="I437" s="583">
        <f ca="1">IFERROR(__xludf.DUMMYFUNCTION("IMPORTRANGE(""https://docs.google.com/spreadsheets/d/1QqKyyYR6Q21VydFLVH3TRQUabQu_ym0Zz7PgGX0-kHA/edit?usp=sharing"",""แผน!FD44"")"),0)</f>
        <v>0</v>
      </c>
      <c r="J437" s="584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3" t="s">
        <v>49</v>
      </c>
      <c r="I438" s="270">
        <f ca="1">IFERROR(__xludf.DUMMYFUNCTION("IMPORTRANGE(""https://docs.google.com/spreadsheets/d/1QqKyyYR6Q21VydFLVH3TRQUabQu_ym0Zz7PgGX0-kHA/edit?usp=sharing"",""แผน!FE44"")"),0)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3" t="s">
        <v>35</v>
      </c>
      <c r="I439" s="583">
        <f ca="1">IFERROR(__xludf.DUMMYFUNCTION("IMPORTRANGE(""https://docs.google.com/spreadsheets/d/1QqKyyYR6Q21VydFLVH3TRQUabQu_ym0Zz7PgGX0-kHA/edit?usp=sharing"",""แผน!FF44"")"),55)</f>
        <v>55</v>
      </c>
      <c r="J439" s="584">
        <v>55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3" t="s">
        <v>49</v>
      </c>
      <c r="I440" s="270">
        <f ca="1">IFERROR(__xludf.DUMMYFUNCTION("IMPORTRANGE(""https://docs.google.com/spreadsheets/d/1QqKyyYR6Q21VydFLVH3TRQUabQu_ym0Zz7PgGX0-kHA/edit?usp=sharing"",""แผน!FG44"")"),1)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3" t="s">
        <v>35</v>
      </c>
      <c r="I441" s="270">
        <f ca="1">IFERROR(__xludf.DUMMYFUNCTION("IMPORTRANGE(""https://docs.google.com/spreadsheets/d/1QqKyyYR6Q21VydFLVH3TRQUabQu_ym0Zz7PgGX0-kHA/edit?usp=sharing"",""แผน!FH44"")"),0)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5">
        <v>2</v>
      </c>
      <c r="B442" s="586" t="s">
        <v>200</v>
      </c>
      <c r="C442" s="587"/>
      <c r="D442" s="587"/>
      <c r="E442" s="587"/>
      <c r="F442" s="587"/>
      <c r="G442" s="588"/>
      <c r="H442" s="589" t="s">
        <v>35</v>
      </c>
      <c r="I442" s="590">
        <f t="shared" ref="I442:J442" ca="1" si="195">I460</f>
        <v>40</v>
      </c>
      <c r="J442" s="590">
        <f t="shared" si="195"/>
        <v>40</v>
      </c>
      <c r="K442" s="591">
        <f t="shared" ca="1" si="194"/>
        <v>100</v>
      </c>
      <c r="L442" s="592"/>
      <c r="M442" s="592"/>
      <c r="N442" s="592"/>
      <c r="O442" s="592"/>
      <c r="P442" s="592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</row>
    <row r="443" spans="1:26" ht="19.5">
      <c r="A443" s="593"/>
      <c r="B443" s="594"/>
      <c r="C443" s="595"/>
      <c r="D443" s="595"/>
      <c r="E443" s="595"/>
      <c r="F443" s="595"/>
      <c r="G443" s="596"/>
      <c r="H443" s="569" t="s">
        <v>46</v>
      </c>
      <c r="I443" s="570">
        <f t="shared" ref="I443:J443" ca="1" si="196">I462</f>
        <v>200</v>
      </c>
      <c r="J443" s="570">
        <f t="shared" si="196"/>
        <v>200</v>
      </c>
      <c r="K443" s="571">
        <f t="shared" ca="1" si="194"/>
        <v>100</v>
      </c>
      <c r="L443" s="572"/>
      <c r="M443" s="572"/>
      <c r="N443" s="572"/>
      <c r="O443" s="572"/>
      <c r="P443" s="572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</row>
    <row r="444" spans="1:26" ht="19.5">
      <c r="A444" s="597"/>
      <c r="B444" s="763"/>
      <c r="C444" s="763" t="s">
        <v>16</v>
      </c>
      <c r="D444" s="863" t="s">
        <v>17</v>
      </c>
      <c r="E444" s="857"/>
      <c r="F444" s="857"/>
      <c r="G444" s="189"/>
      <c r="H444" s="598" t="s">
        <v>12</v>
      </c>
      <c r="I444" s="270"/>
      <c r="J444" s="270"/>
      <c r="K444" s="498"/>
      <c r="L444" s="195">
        <f t="shared" ref="L444:N444" ca="1" si="197">L445+L446</f>
        <v>403680</v>
      </c>
      <c r="M444" s="195">
        <f t="shared" ca="1" si="197"/>
        <v>380226.48</v>
      </c>
      <c r="N444" s="195">
        <f t="shared" si="197"/>
        <v>380226.48</v>
      </c>
      <c r="O444" s="195">
        <f t="shared" ref="O444:O449" ca="1" si="198">IF(L444&gt;0,N444*100/L444,0)</f>
        <v>94.190071343638522</v>
      </c>
      <c r="P444" s="195">
        <f t="shared" ref="P444:P449" ca="1" si="199">IF(M444&gt;0,N444*100/M444,0)</f>
        <v>100</v>
      </c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</row>
    <row r="445" spans="1:26" ht="18.75" hidden="1">
      <c r="A445" s="599"/>
      <c r="B445" s="759"/>
      <c r="C445" s="759"/>
      <c r="D445" s="720"/>
      <c r="E445" s="759" t="s">
        <v>185</v>
      </c>
      <c r="F445" s="759"/>
      <c r="G445" s="603"/>
      <c r="H445" s="165" t="s">
        <v>12</v>
      </c>
      <c r="I445" s="617"/>
      <c r="J445" s="617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4"/>
      <c r="R445" s="604"/>
      <c r="S445" s="604"/>
      <c r="T445" s="604"/>
      <c r="U445" s="604"/>
      <c r="V445" s="604"/>
      <c r="W445" s="604"/>
      <c r="X445" s="604"/>
      <c r="Y445" s="604"/>
      <c r="Z445" s="604"/>
    </row>
    <row r="446" spans="1:26" ht="18.75" hidden="1">
      <c r="A446" s="599"/>
      <c r="B446" s="607"/>
      <c r="C446" s="759"/>
      <c r="D446" s="720"/>
      <c r="E446" s="759" t="s">
        <v>186</v>
      </c>
      <c r="F446" s="759"/>
      <c r="G446" s="603"/>
      <c r="H446" s="165" t="s">
        <v>12</v>
      </c>
      <c r="I446" s="617"/>
      <c r="J446" s="617"/>
      <c r="K446" s="93"/>
      <c r="L446" s="93">
        <f t="shared" ca="1" si="200"/>
        <v>403680</v>
      </c>
      <c r="M446" s="93">
        <f t="shared" ca="1" si="200"/>
        <v>380226.48</v>
      </c>
      <c r="N446" s="93">
        <f t="shared" si="200"/>
        <v>380226.48</v>
      </c>
      <c r="O446" s="93">
        <f t="shared" ca="1" si="198"/>
        <v>94.190071343638522</v>
      </c>
      <c r="P446" s="93">
        <f t="shared" ca="1" si="199"/>
        <v>100</v>
      </c>
      <c r="Q446" s="604"/>
      <c r="R446" s="604"/>
      <c r="S446" s="604"/>
      <c r="T446" s="604"/>
      <c r="U446" s="604"/>
      <c r="V446" s="604"/>
      <c r="W446" s="604"/>
      <c r="X446" s="604"/>
      <c r="Y446" s="604"/>
      <c r="Z446" s="604"/>
    </row>
    <row r="447" spans="1:26" ht="18.75">
      <c r="A447" s="597"/>
      <c r="B447" s="575"/>
      <c r="C447" s="763"/>
      <c r="D447" s="606" t="s">
        <v>20</v>
      </c>
      <c r="E447" s="763"/>
      <c r="F447" s="763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403680</v>
      </c>
      <c r="M447" s="498">
        <f t="shared" ca="1" si="201"/>
        <v>380226.48</v>
      </c>
      <c r="N447" s="498">
        <f t="shared" si="201"/>
        <v>380226.48</v>
      </c>
      <c r="O447" s="498">
        <f t="shared" ca="1" si="198"/>
        <v>94.190071343638522</v>
      </c>
      <c r="P447" s="498">
        <f t="shared" ca="1" si="199"/>
        <v>100</v>
      </c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</row>
    <row r="448" spans="1:26" ht="18.75" hidden="1">
      <c r="A448" s="599"/>
      <c r="B448" s="607"/>
      <c r="C448" s="759"/>
      <c r="D448" s="720"/>
      <c r="E448" s="759" t="s">
        <v>185</v>
      </c>
      <c r="F448" s="759"/>
      <c r="G448" s="603"/>
      <c r="H448" s="165" t="s">
        <v>12</v>
      </c>
      <c r="I448" s="617"/>
      <c r="J448" s="617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</row>
    <row r="449" spans="1:26" ht="18.75" hidden="1">
      <c r="A449" s="599"/>
      <c r="B449" s="607"/>
      <c r="C449" s="759"/>
      <c r="D449" s="720"/>
      <c r="E449" s="759" t="s">
        <v>186</v>
      </c>
      <c r="F449" s="759"/>
      <c r="G449" s="603"/>
      <c r="H449" s="165" t="s">
        <v>12</v>
      </c>
      <c r="I449" s="617"/>
      <c r="J449" s="617"/>
      <c r="K449" s="93"/>
      <c r="L449" s="93">
        <f ca="1">IFERROR(__xludf.DUMMYFUNCTION("IMPORTRANGE(""https://docs.google.com/spreadsheets/d/1QqKyyYR6Q21VydFLVH3TRQUabQu_ym0Zz7PgGX0-kHA/edit?usp=sharing"",""แผน!FJ44"")"),403680)</f>
        <v>403680</v>
      </c>
      <c r="M449" s="93">
        <f ca="1">L449+12990-16566.76-19876.76</f>
        <v>380226.48</v>
      </c>
      <c r="N449" s="93">
        <f>N450+N451+N452+N453</f>
        <v>380226.48</v>
      </c>
      <c r="O449" s="93">
        <f t="shared" ca="1" si="198"/>
        <v>94.190071343638522</v>
      </c>
      <c r="P449" s="93">
        <f t="shared" ca="1" si="199"/>
        <v>100</v>
      </c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</row>
    <row r="450" spans="1:26" ht="18.75">
      <c r="A450" s="574"/>
      <c r="B450" s="575"/>
      <c r="C450" s="763"/>
      <c r="D450" s="763"/>
      <c r="E450" s="763"/>
      <c r="F450" s="763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40">
        <v>65310</v>
      </c>
      <c r="O450" s="498"/>
      <c r="P450" s="49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</row>
    <row r="451" spans="1:26" ht="18.75">
      <c r="A451" s="574"/>
      <c r="B451" s="575"/>
      <c r="C451" s="763"/>
      <c r="D451" s="763"/>
      <c r="E451" s="763"/>
      <c r="F451" s="763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40">
        <v>165000</v>
      </c>
      <c r="O451" s="498"/>
      <c r="P451" s="49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</row>
    <row r="452" spans="1:26" ht="18.75">
      <c r="A452" s="574"/>
      <c r="B452" s="575"/>
      <c r="C452" s="575"/>
      <c r="D452" s="575"/>
      <c r="E452" s="575"/>
      <c r="F452" s="763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40">
        <v>116133.24</v>
      </c>
      <c r="O452" s="498"/>
      <c r="P452" s="49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</row>
    <row r="453" spans="1:26" ht="18.75">
      <c r="A453" s="574"/>
      <c r="B453" s="575"/>
      <c r="C453" s="575"/>
      <c r="D453" s="575"/>
      <c r="E453" s="575"/>
      <c r="F453" s="763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40">
        <v>33783.24</v>
      </c>
      <c r="O453" s="498"/>
      <c r="P453" s="49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</row>
    <row r="454" spans="1:26" ht="18.75">
      <c r="A454" s="597"/>
      <c r="B454" s="575"/>
      <c r="C454" s="575"/>
      <c r="D454" s="606" t="s">
        <v>21</v>
      </c>
      <c r="E454" s="575"/>
      <c r="F454" s="763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</row>
    <row r="455" spans="1:26" ht="18.75" hidden="1">
      <c r="A455" s="599"/>
      <c r="B455" s="607"/>
      <c r="C455" s="607"/>
      <c r="D455" s="607"/>
      <c r="E455" s="607" t="s">
        <v>18</v>
      </c>
      <c r="F455" s="759"/>
      <c r="G455" s="603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4"/>
      <c r="R455" s="604"/>
      <c r="S455" s="604"/>
      <c r="T455" s="604"/>
      <c r="U455" s="604"/>
      <c r="V455" s="604"/>
      <c r="W455" s="604"/>
      <c r="X455" s="604"/>
      <c r="Y455" s="604"/>
      <c r="Z455" s="604"/>
    </row>
    <row r="456" spans="1:26" ht="18.75" hidden="1">
      <c r="A456" s="599"/>
      <c r="B456" s="607"/>
      <c r="C456" s="607"/>
      <c r="D456" s="607"/>
      <c r="E456" s="607" t="s">
        <v>19</v>
      </c>
      <c r="F456" s="759"/>
      <c r="G456" s="603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4"/>
      <c r="R456" s="604"/>
      <c r="S456" s="604"/>
      <c r="T456" s="604"/>
      <c r="U456" s="604"/>
      <c r="V456" s="604"/>
      <c r="W456" s="604"/>
      <c r="X456" s="604"/>
      <c r="Y456" s="604"/>
      <c r="Z456" s="604"/>
    </row>
    <row r="457" spans="1:26" ht="19.5">
      <c r="A457" s="608"/>
      <c r="B457" s="618"/>
      <c r="C457" s="575" t="s">
        <v>16</v>
      </c>
      <c r="D457" s="893" t="s">
        <v>38</v>
      </c>
      <c r="E457" s="611"/>
      <c r="F457" s="761"/>
      <c r="G457" s="613"/>
      <c r="H457" s="762"/>
      <c r="I457" s="270"/>
      <c r="J457" s="270"/>
      <c r="K457" s="498"/>
      <c r="L457" s="498"/>
      <c r="M457" s="498"/>
      <c r="N457" s="498"/>
      <c r="O457" s="498"/>
      <c r="P457" s="49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</row>
    <row r="458" spans="1:26" ht="18.75" hidden="1">
      <c r="A458" s="614"/>
      <c r="B458" s="616"/>
      <c r="C458" s="616"/>
      <c r="D458" s="616" t="s">
        <v>201</v>
      </c>
      <c r="E458" s="616"/>
      <c r="F458" s="720"/>
      <c r="G458" s="366"/>
      <c r="H458" s="370" t="s">
        <v>35</v>
      </c>
      <c r="I458" s="617">
        <v>0</v>
      </c>
      <c r="J458" s="617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4"/>
      <c r="R458" s="604"/>
      <c r="S458" s="604"/>
      <c r="T458" s="604"/>
      <c r="U458" s="604"/>
      <c r="V458" s="604"/>
      <c r="W458" s="604"/>
      <c r="X458" s="604"/>
      <c r="Y458" s="604"/>
      <c r="Z458" s="604"/>
    </row>
    <row r="459" spans="1:26" ht="18.75" hidden="1">
      <c r="A459" s="614"/>
      <c r="B459" s="616"/>
      <c r="C459" s="616"/>
      <c r="D459" s="616" t="s">
        <v>202</v>
      </c>
      <c r="E459" s="616"/>
      <c r="F459" s="720"/>
      <c r="G459" s="366"/>
      <c r="H459" s="370"/>
      <c r="I459" s="617"/>
      <c r="J459" s="617"/>
      <c r="K459" s="93"/>
      <c r="L459" s="93"/>
      <c r="M459" s="93"/>
      <c r="N459" s="93"/>
      <c r="O459" s="93"/>
      <c r="P459" s="93"/>
      <c r="Q459" s="604"/>
      <c r="R459" s="604"/>
      <c r="S459" s="604"/>
      <c r="T459" s="604"/>
      <c r="U459" s="604"/>
      <c r="V459" s="604"/>
      <c r="W459" s="604"/>
      <c r="X459" s="604"/>
      <c r="Y459" s="604"/>
      <c r="Z459" s="604"/>
    </row>
    <row r="460" spans="1:26" ht="18.75">
      <c r="A460" s="608"/>
      <c r="B460" s="618"/>
      <c r="C460" s="618"/>
      <c r="D460" s="618" t="s">
        <v>203</v>
      </c>
      <c r="E460" s="618"/>
      <c r="F460" s="626"/>
      <c r="G460" s="762"/>
      <c r="H460" s="764" t="s">
        <v>35</v>
      </c>
      <c r="I460" s="270">
        <f ca="1">IFERROR(__xludf.DUMMYFUNCTION("IMPORTRANGE(""https://docs.google.com/spreadsheets/d/1QqKyyYR6Q21VydFLVH3TRQUabQu_ym0Zz7PgGX0-kHA/edit?usp=sharing"",""แผน!FN44"")"),40)</f>
        <v>40</v>
      </c>
      <c r="J460" s="215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</row>
    <row r="461" spans="1:26" ht="18.75">
      <c r="A461" s="608"/>
      <c r="B461" s="618"/>
      <c r="C461" s="618"/>
      <c r="D461" s="618" t="s">
        <v>204</v>
      </c>
      <c r="E461" s="626"/>
      <c r="F461" s="626"/>
      <c r="G461" s="762"/>
      <c r="H461" s="764"/>
      <c r="I461" s="270"/>
      <c r="J461" s="270"/>
      <c r="K461" s="498"/>
      <c r="L461" s="498"/>
      <c r="M461" s="498"/>
      <c r="N461" s="498"/>
      <c r="O461" s="498"/>
      <c r="P461" s="49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</row>
    <row r="462" spans="1:26" ht="18.75">
      <c r="A462" s="608"/>
      <c r="B462" s="618"/>
      <c r="C462" s="618"/>
      <c r="D462" s="618" t="s">
        <v>205</v>
      </c>
      <c r="E462" s="626"/>
      <c r="F462" s="626"/>
      <c r="G462" s="762"/>
      <c r="H462" s="764" t="s">
        <v>46</v>
      </c>
      <c r="I462" s="270">
        <f ca="1">IFERROR(__xludf.DUMMYFUNCTION("IMPORTRANGE(""https://docs.google.com/spreadsheets/d/1QqKyyYR6Q21VydFLVH3TRQUabQu_ym0Zz7PgGX0-kHA/edit?usp=sharing"",""แผน!FO44"")"),200)</f>
        <v>200</v>
      </c>
      <c r="J462" s="215">
        <v>200</v>
      </c>
      <c r="K462" s="498">
        <f t="shared" ref="K462:K466" ca="1" si="205">IF(I462&gt;0,J462*100/I462,0)</f>
        <v>100</v>
      </c>
      <c r="L462" s="498"/>
      <c r="M462" s="498"/>
      <c r="N462" s="498"/>
      <c r="O462" s="498"/>
      <c r="P462" s="49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</row>
    <row r="463" spans="1:26" ht="18.75">
      <c r="A463" s="608"/>
      <c r="B463" s="618"/>
      <c r="C463" s="618"/>
      <c r="D463" s="618" t="s">
        <v>59</v>
      </c>
      <c r="E463" s="626"/>
      <c r="F463" s="763"/>
      <c r="G463" s="189"/>
      <c r="H463" s="764" t="s">
        <v>46</v>
      </c>
      <c r="I463" s="270">
        <f ca="1">IFERROR(__xludf.DUMMYFUNCTION("IMPORTRANGE(""https://docs.google.com/spreadsheets/d/1QqKyyYR6Q21VydFLVH3TRQUabQu_ym0Zz7PgGX0-kHA/edit?usp=sharing"",""แผน!FO44"")"),200)</f>
        <v>200</v>
      </c>
      <c r="J463" s="215">
        <v>200</v>
      </c>
      <c r="K463" s="498">
        <f t="shared" ca="1" si="205"/>
        <v>100</v>
      </c>
      <c r="L463" s="498"/>
      <c r="M463" s="498"/>
      <c r="N463" s="498"/>
      <c r="O463" s="498"/>
      <c r="P463" s="49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</row>
    <row r="464" spans="1:26" ht="19.5">
      <c r="A464" s="608"/>
      <c r="B464" s="618"/>
      <c r="C464" s="618"/>
      <c r="D464" s="618"/>
      <c r="E464" s="626"/>
      <c r="F464" s="626"/>
      <c r="G464" s="620"/>
      <c r="H464" s="764" t="s">
        <v>35</v>
      </c>
      <c r="I464" s="270">
        <f ca="1">IFERROR(__xludf.DUMMYFUNCTION("IMPORTRANGE(""https://docs.google.com/spreadsheets/d/1QqKyyYR6Q21VydFLVH3TRQUabQu_ym0Zz7PgGX0-kHA/edit?usp=sharing"",""แผน!FN44"")"),40)</f>
        <v>40</v>
      </c>
      <c r="J464" s="215">
        <v>40</v>
      </c>
      <c r="K464" s="498">
        <f t="shared" ca="1" si="205"/>
        <v>100</v>
      </c>
      <c r="L464" s="498"/>
      <c r="M464" s="498"/>
      <c r="N464" s="498"/>
      <c r="O464" s="498"/>
      <c r="P464" s="49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</row>
    <row r="465" spans="1:26" ht="19.5">
      <c r="A465" s="585">
        <v>3</v>
      </c>
      <c r="B465" s="586" t="s">
        <v>206</v>
      </c>
      <c r="C465" s="587"/>
      <c r="D465" s="587"/>
      <c r="E465" s="587"/>
      <c r="F465" s="587"/>
      <c r="G465" s="588"/>
      <c r="H465" s="589" t="s">
        <v>35</v>
      </c>
      <c r="I465" s="590">
        <f ca="1">IFERROR(__xludf.DUMMYFUNCTION("IMPORTRANGE(""https://docs.google.com/spreadsheets/d/1QqKyyYR6Q21VydFLVH3TRQUabQu_ym0Zz7PgGX0-kHA/edit?usp=sharing"",""แผน!FX44"")"),51)</f>
        <v>51</v>
      </c>
      <c r="J465" s="590">
        <f>J485+J489+J492</f>
        <v>51</v>
      </c>
      <c r="K465" s="591">
        <f t="shared" ca="1" si="205"/>
        <v>100</v>
      </c>
      <c r="L465" s="592"/>
      <c r="M465" s="592"/>
      <c r="N465" s="592"/>
      <c r="O465" s="592"/>
      <c r="P465" s="592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</row>
    <row r="466" spans="1:26" ht="19.5">
      <c r="A466" s="593"/>
      <c r="B466" s="594"/>
      <c r="C466" s="595"/>
      <c r="D466" s="595"/>
      <c r="E466" s="595"/>
      <c r="F466" s="595"/>
      <c r="G466" s="596"/>
      <c r="H466" s="569" t="s">
        <v>46</v>
      </c>
      <c r="I466" s="570">
        <f ca="1">IFERROR(__xludf.DUMMYFUNCTION("IMPORTRANGE(""https://docs.google.com/spreadsheets/d/1QqKyyYR6Q21VydFLVH3TRQUabQu_ym0Zz7PgGX0-kHA/edit?usp=sharing"",""แผน!FW44"")"),500)</f>
        <v>500</v>
      </c>
      <c r="J466" s="570">
        <f>J495+J498</f>
        <v>500</v>
      </c>
      <c r="K466" s="571">
        <f t="shared" ca="1" si="205"/>
        <v>100</v>
      </c>
      <c r="L466" s="572"/>
      <c r="M466" s="572"/>
      <c r="N466" s="572"/>
      <c r="O466" s="572"/>
      <c r="P466" s="572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</row>
    <row r="467" spans="1:26" ht="19.5">
      <c r="A467" s="597"/>
      <c r="B467" s="763"/>
      <c r="C467" s="763" t="s">
        <v>16</v>
      </c>
      <c r="D467" s="863" t="s">
        <v>17</v>
      </c>
      <c r="E467" s="857"/>
      <c r="F467" s="857"/>
      <c r="G467" s="189"/>
      <c r="H467" s="598" t="s">
        <v>12</v>
      </c>
      <c r="I467" s="270"/>
      <c r="J467" s="270"/>
      <c r="K467" s="498"/>
      <c r="L467" s="195">
        <f t="shared" ref="L467:N467" ca="1" si="206">L468+L469</f>
        <v>403983</v>
      </c>
      <c r="M467" s="195">
        <f t="shared" ca="1" si="206"/>
        <v>359037.1</v>
      </c>
      <c r="N467" s="195">
        <f t="shared" si="206"/>
        <v>359037.1</v>
      </c>
      <c r="O467" s="195">
        <f t="shared" ref="O467:O472" ca="1" si="207">IF(L467&gt;0,N467*100/L467,0)</f>
        <v>88.874309067460757</v>
      </c>
      <c r="P467" s="195">
        <f t="shared" ref="P467:P472" ca="1" si="208">IF(M467&gt;0,N467*100/M467,0)</f>
        <v>100</v>
      </c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</row>
    <row r="468" spans="1:26" ht="18.75" hidden="1">
      <c r="A468" s="599"/>
      <c r="B468" s="759"/>
      <c r="C468" s="759"/>
      <c r="D468" s="720"/>
      <c r="E468" s="759" t="s">
        <v>185</v>
      </c>
      <c r="F468" s="759"/>
      <c r="G468" s="603"/>
      <c r="H468" s="165" t="s">
        <v>12</v>
      </c>
      <c r="I468" s="617"/>
      <c r="J468" s="617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4"/>
      <c r="R468" s="604"/>
      <c r="S468" s="604"/>
      <c r="T468" s="604"/>
      <c r="U468" s="604"/>
      <c r="V468" s="604"/>
      <c r="W468" s="604"/>
      <c r="X468" s="604"/>
      <c r="Y468" s="604"/>
      <c r="Z468" s="604"/>
    </row>
    <row r="469" spans="1:26" ht="18.75" hidden="1">
      <c r="A469" s="599"/>
      <c r="B469" s="607"/>
      <c r="C469" s="759"/>
      <c r="D469" s="720"/>
      <c r="E469" s="759" t="s">
        <v>186</v>
      </c>
      <c r="F469" s="759"/>
      <c r="G469" s="603"/>
      <c r="H469" s="165" t="s">
        <v>12</v>
      </c>
      <c r="I469" s="617"/>
      <c r="J469" s="617"/>
      <c r="K469" s="93"/>
      <c r="L469" s="93">
        <f t="shared" ca="1" si="209"/>
        <v>403983</v>
      </c>
      <c r="M469" s="93">
        <f t="shared" ca="1" si="209"/>
        <v>359037.1</v>
      </c>
      <c r="N469" s="93">
        <f t="shared" si="209"/>
        <v>359037.1</v>
      </c>
      <c r="O469" s="93">
        <f t="shared" ca="1" si="207"/>
        <v>88.874309067460757</v>
      </c>
      <c r="P469" s="93">
        <f t="shared" ca="1" si="208"/>
        <v>100</v>
      </c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</row>
    <row r="470" spans="1:26" ht="18.75">
      <c r="A470" s="597"/>
      <c r="B470" s="575"/>
      <c r="C470" s="763"/>
      <c r="D470" s="606" t="s">
        <v>20</v>
      </c>
      <c r="E470" s="763"/>
      <c r="F470" s="763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403983</v>
      </c>
      <c r="M470" s="498">
        <f t="shared" ca="1" si="210"/>
        <v>359037.1</v>
      </c>
      <c r="N470" s="498">
        <f t="shared" si="210"/>
        <v>359037.1</v>
      </c>
      <c r="O470" s="498">
        <f t="shared" ca="1" si="207"/>
        <v>88.874309067460757</v>
      </c>
      <c r="P470" s="498">
        <f t="shared" ca="1" si="208"/>
        <v>100</v>
      </c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</row>
    <row r="471" spans="1:26" ht="18.75" hidden="1">
      <c r="A471" s="599"/>
      <c r="B471" s="607"/>
      <c r="C471" s="759"/>
      <c r="D471" s="720"/>
      <c r="E471" s="759" t="s">
        <v>185</v>
      </c>
      <c r="F471" s="759"/>
      <c r="G471" s="603"/>
      <c r="H471" s="165" t="s">
        <v>12</v>
      </c>
      <c r="I471" s="617"/>
      <c r="J471" s="617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4"/>
      <c r="R471" s="604"/>
      <c r="S471" s="604"/>
      <c r="T471" s="604"/>
      <c r="U471" s="604"/>
      <c r="V471" s="604"/>
      <c r="W471" s="604"/>
      <c r="X471" s="604"/>
      <c r="Y471" s="604"/>
      <c r="Z471" s="604"/>
    </row>
    <row r="472" spans="1:26" ht="18.75" hidden="1">
      <c r="A472" s="599"/>
      <c r="B472" s="607"/>
      <c r="C472" s="759"/>
      <c r="D472" s="720"/>
      <c r="E472" s="759" t="s">
        <v>186</v>
      </c>
      <c r="F472" s="759"/>
      <c r="G472" s="603"/>
      <c r="H472" s="165" t="s">
        <v>12</v>
      </c>
      <c r="I472" s="617"/>
      <c r="J472" s="617"/>
      <c r="K472" s="93"/>
      <c r="L472" s="93">
        <f ca="1">IFERROR(__xludf.DUMMYFUNCTION("IMPORTRANGE(""https://docs.google.com/spreadsheets/d/1QqKyyYR6Q21VydFLVH3TRQUabQu_ym0Zz7PgGX0-kHA/edit?usp=sharing"",""แผน!FS44"")"),403983)</f>
        <v>403983</v>
      </c>
      <c r="M472" s="93">
        <f ca="1">L472+10520-55465.9</f>
        <v>359037.1</v>
      </c>
      <c r="N472" s="93">
        <f>N473+N474+N475+N476</f>
        <v>359037.1</v>
      </c>
      <c r="O472" s="93">
        <f t="shared" ca="1" si="207"/>
        <v>88.874309067460757</v>
      </c>
      <c r="P472" s="93">
        <f t="shared" ca="1" si="208"/>
        <v>100</v>
      </c>
      <c r="Q472" s="604"/>
      <c r="R472" s="604"/>
      <c r="S472" s="604"/>
      <c r="T472" s="604"/>
      <c r="U472" s="604"/>
      <c r="V472" s="604"/>
      <c r="W472" s="604"/>
      <c r="X472" s="604"/>
      <c r="Y472" s="604"/>
      <c r="Z472" s="604"/>
    </row>
    <row r="473" spans="1:26" ht="18.75">
      <c r="A473" s="574"/>
      <c r="B473" s="575"/>
      <c r="C473" s="763"/>
      <c r="D473" s="763"/>
      <c r="E473" s="763"/>
      <c r="F473" s="763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40">
        <v>67735.100000000006</v>
      </c>
      <c r="O473" s="498"/>
      <c r="P473" s="49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</row>
    <row r="474" spans="1:26" ht="18.75">
      <c r="A474" s="574"/>
      <c r="B474" s="575"/>
      <c r="C474" s="763"/>
      <c r="D474" s="763"/>
      <c r="E474" s="763"/>
      <c r="F474" s="763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40">
        <v>280212</v>
      </c>
      <c r="O474" s="498"/>
      <c r="P474" s="49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</row>
    <row r="475" spans="1:26" ht="18.75">
      <c r="A475" s="574"/>
      <c r="B475" s="575"/>
      <c r="C475" s="575"/>
      <c r="D475" s="575"/>
      <c r="E475" s="575"/>
      <c r="F475" s="763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40">
        <v>0</v>
      </c>
      <c r="O475" s="498"/>
      <c r="P475" s="49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</row>
    <row r="476" spans="1:26" ht="18.75">
      <c r="A476" s="574"/>
      <c r="B476" s="575"/>
      <c r="C476" s="575"/>
      <c r="D476" s="575"/>
      <c r="E476" s="575"/>
      <c r="F476" s="763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40">
        <v>11090</v>
      </c>
      <c r="O476" s="498"/>
      <c r="P476" s="49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</row>
    <row r="477" spans="1:26" ht="18.75">
      <c r="A477" s="597"/>
      <c r="B477" s="575"/>
      <c r="C477" s="575"/>
      <c r="D477" s="606" t="s">
        <v>21</v>
      </c>
      <c r="E477" s="575"/>
      <c r="F477" s="575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</row>
    <row r="478" spans="1:26" ht="18.75" hidden="1">
      <c r="A478" s="599"/>
      <c r="B478" s="607"/>
      <c r="C478" s="607"/>
      <c r="D478" s="607"/>
      <c r="E478" s="607" t="s">
        <v>18</v>
      </c>
      <c r="F478" s="607"/>
      <c r="G478" s="603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4"/>
      <c r="R478" s="604"/>
      <c r="S478" s="604"/>
      <c r="T478" s="604"/>
      <c r="U478" s="604"/>
      <c r="V478" s="604"/>
      <c r="W478" s="604"/>
      <c r="X478" s="604"/>
      <c r="Y478" s="604"/>
      <c r="Z478" s="604"/>
    </row>
    <row r="479" spans="1:26" ht="18.75" hidden="1">
      <c r="A479" s="599"/>
      <c r="B479" s="607"/>
      <c r="C479" s="607"/>
      <c r="D479" s="607"/>
      <c r="E479" s="607" t="s">
        <v>19</v>
      </c>
      <c r="F479" s="607"/>
      <c r="G479" s="603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4"/>
      <c r="R479" s="604"/>
      <c r="S479" s="604"/>
      <c r="T479" s="604"/>
      <c r="U479" s="604"/>
      <c r="V479" s="604"/>
      <c r="W479" s="604"/>
      <c r="X479" s="604"/>
      <c r="Y479" s="604"/>
      <c r="Z479" s="604"/>
    </row>
    <row r="480" spans="1:26" ht="19.5">
      <c r="A480" s="608"/>
      <c r="B480" s="618"/>
      <c r="C480" s="575" t="s">
        <v>16</v>
      </c>
      <c r="D480" s="894" t="s">
        <v>38</v>
      </c>
      <c r="E480" s="611"/>
      <c r="F480" s="761"/>
      <c r="G480" s="613"/>
      <c r="H480" s="762"/>
      <c r="I480" s="270"/>
      <c r="J480" s="270"/>
      <c r="K480" s="498"/>
      <c r="L480" s="498"/>
      <c r="M480" s="498"/>
      <c r="N480" s="498"/>
      <c r="O480" s="498"/>
      <c r="P480" s="49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</row>
    <row r="481" spans="1:26" ht="19.5">
      <c r="A481" s="608"/>
      <c r="B481" s="618"/>
      <c r="C481" s="618"/>
      <c r="D481" s="625" t="s">
        <v>207</v>
      </c>
      <c r="E481" s="618"/>
      <c r="F481" s="618"/>
      <c r="G481" s="762"/>
      <c r="H481" s="189"/>
      <c r="I481" s="270"/>
      <c r="J481" s="270"/>
      <c r="K481" s="498"/>
      <c r="L481" s="498"/>
      <c r="M481" s="498"/>
      <c r="N481" s="498"/>
      <c r="O481" s="498"/>
      <c r="P481" s="49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</row>
    <row r="482" spans="1:26" ht="18.75">
      <c r="A482" s="608"/>
      <c r="B482" s="618"/>
      <c r="C482" s="618"/>
      <c r="D482" s="618"/>
      <c r="E482" s="618" t="s">
        <v>208</v>
      </c>
      <c r="F482" s="618"/>
      <c r="G482" s="762"/>
      <c r="H482" s="189"/>
      <c r="I482" s="270"/>
      <c r="J482" s="270"/>
      <c r="K482" s="498"/>
      <c r="L482" s="498"/>
      <c r="M482" s="498"/>
      <c r="N482" s="498"/>
      <c r="O482" s="498"/>
      <c r="P482" s="49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</row>
    <row r="483" spans="1:26" ht="18.75">
      <c r="A483" s="608"/>
      <c r="B483" s="618"/>
      <c r="C483" s="618"/>
      <c r="D483" s="618"/>
      <c r="E483" s="618"/>
      <c r="F483" s="618" t="s">
        <v>209</v>
      </c>
      <c r="G483" s="762"/>
      <c r="H483" s="623" t="s">
        <v>46</v>
      </c>
      <c r="I483" s="270">
        <f ca="1">IFERROR(__xludf.DUMMYFUNCTION("IMPORTRANGE(""https://docs.google.com/spreadsheets/d/1QqKyyYR6Q21VydFLVH3TRQUabQu_ym0Zz7PgGX0-kHA/edit?usp=sharing"",""แผน!FY44"")"),450)</f>
        <v>450</v>
      </c>
      <c r="J483" s="215">
        <v>450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</row>
    <row r="484" spans="1:26" ht="18.75">
      <c r="A484" s="608"/>
      <c r="B484" s="618"/>
      <c r="C484" s="618"/>
      <c r="D484" s="618"/>
      <c r="E484" s="618"/>
      <c r="F484" s="618" t="s">
        <v>210</v>
      </c>
      <c r="G484" s="762"/>
      <c r="H484" s="623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</row>
    <row r="485" spans="1:26" ht="18.75">
      <c r="A485" s="608"/>
      <c r="B485" s="618"/>
      <c r="C485" s="618"/>
      <c r="D485" s="618"/>
      <c r="E485" s="618"/>
      <c r="F485" s="618" t="s">
        <v>211</v>
      </c>
      <c r="G485" s="762"/>
      <c r="H485" s="623" t="s">
        <v>35</v>
      </c>
      <c r="I485" s="270">
        <f ca="1">IFERROR(__xludf.DUMMYFUNCTION("IMPORTRANGE(""https://docs.google.com/spreadsheets/d/1QqKyyYR6Q21VydFLVH3TRQUabQu_ym0Zz7PgGX0-kHA/edit?usp=sharing"",""แผน!FZ44"")"),45)</f>
        <v>45</v>
      </c>
      <c r="J485" s="215">
        <v>45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</row>
    <row r="486" spans="1:26" ht="18.75">
      <c r="A486" s="608"/>
      <c r="B486" s="618"/>
      <c r="C486" s="618"/>
      <c r="D486" s="618"/>
      <c r="E486" s="618" t="s">
        <v>62</v>
      </c>
      <c r="F486" s="618"/>
      <c r="G486" s="762"/>
      <c r="H486" s="623"/>
      <c r="I486" s="270"/>
      <c r="J486" s="270"/>
      <c r="K486" s="498"/>
      <c r="L486" s="498"/>
      <c r="M486" s="498"/>
      <c r="N486" s="498"/>
      <c r="O486" s="498"/>
      <c r="P486" s="49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</row>
    <row r="487" spans="1:26" ht="18.75">
      <c r="A487" s="608"/>
      <c r="B487" s="618"/>
      <c r="C487" s="618"/>
      <c r="D487" s="618"/>
      <c r="E487" s="618"/>
      <c r="F487" s="618" t="s">
        <v>209</v>
      </c>
      <c r="G487" s="762"/>
      <c r="H487" s="623" t="s">
        <v>46</v>
      </c>
      <c r="I487" s="270">
        <f ca="1">IFERROR(__xludf.DUMMYFUNCTION("IMPORTRANGE(""https://docs.google.com/spreadsheets/d/1QqKyyYR6Q21VydFLVH3TRQUabQu_ym0Zz7PgGX0-kHA/edit?usp=sharing"",""แผน!GA44"")"),50)</f>
        <v>50</v>
      </c>
      <c r="J487" s="215">
        <v>50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</row>
    <row r="488" spans="1:26" ht="18.75">
      <c r="A488" s="608"/>
      <c r="B488" s="618"/>
      <c r="C488" s="618"/>
      <c r="D488" s="618"/>
      <c r="E488" s="618"/>
      <c r="F488" s="618" t="s">
        <v>212</v>
      </c>
      <c r="G488" s="762"/>
      <c r="H488" s="623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</row>
    <row r="489" spans="1:26" ht="18.75">
      <c r="A489" s="608"/>
      <c r="B489" s="618"/>
      <c r="C489" s="618"/>
      <c r="D489" s="618"/>
      <c r="E489" s="618"/>
      <c r="F489" s="618" t="s">
        <v>213</v>
      </c>
      <c r="G489" s="762"/>
      <c r="H489" s="623" t="s">
        <v>35</v>
      </c>
      <c r="I489" s="270">
        <f ca="1">IFERROR(__xludf.DUMMYFUNCTION("IMPORTRANGE(""https://docs.google.com/spreadsheets/d/1QqKyyYR6Q21VydFLVH3TRQUabQu_ym0Zz7PgGX0-kHA/edit?usp=sharing"",""แผน!GB44"")"),5)</f>
        <v>5</v>
      </c>
      <c r="J489" s="215">
        <v>5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</row>
    <row r="490" spans="1:26" ht="18.75">
      <c r="A490" s="608"/>
      <c r="B490" s="618"/>
      <c r="C490" s="618"/>
      <c r="D490" s="618"/>
      <c r="E490" s="618" t="s">
        <v>63</v>
      </c>
      <c r="F490" s="626"/>
      <c r="G490" s="762"/>
      <c r="H490" s="623"/>
      <c r="I490" s="270"/>
      <c r="J490" s="270"/>
      <c r="K490" s="498"/>
      <c r="L490" s="498"/>
      <c r="M490" s="498"/>
      <c r="N490" s="498"/>
      <c r="O490" s="498"/>
      <c r="P490" s="49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</row>
    <row r="491" spans="1:26" ht="18.75">
      <c r="A491" s="608"/>
      <c r="B491" s="618"/>
      <c r="C491" s="618"/>
      <c r="D491" s="618"/>
      <c r="E491" s="618"/>
      <c r="F491" s="618" t="s">
        <v>214</v>
      </c>
      <c r="G491" s="762"/>
      <c r="H491" s="623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</row>
    <row r="492" spans="1:26" ht="18.75">
      <c r="A492" s="608"/>
      <c r="B492" s="618"/>
      <c r="C492" s="618"/>
      <c r="D492" s="618"/>
      <c r="E492" s="618"/>
      <c r="F492" s="618" t="s">
        <v>215</v>
      </c>
      <c r="G492" s="762"/>
      <c r="H492" s="623" t="s">
        <v>35</v>
      </c>
      <c r="I492" s="270">
        <f ca="1">IFERROR(__xludf.DUMMYFUNCTION("IMPORTRANGE(""https://docs.google.com/spreadsheets/d/1QqKyyYR6Q21VydFLVH3TRQUabQu_ym0Zz7PgGX0-kHA/edit?usp=sharing"",""แผน!GC44"")"),1)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</row>
    <row r="493" spans="1:26" ht="19.5">
      <c r="A493" s="608"/>
      <c r="B493" s="618"/>
      <c r="C493" s="618"/>
      <c r="D493" s="625" t="s">
        <v>59</v>
      </c>
      <c r="E493" s="618"/>
      <c r="F493" s="626"/>
      <c r="G493" s="762"/>
      <c r="H493" s="189"/>
      <c r="I493" s="270"/>
      <c r="J493" s="270"/>
      <c r="K493" s="498"/>
      <c r="L493" s="498"/>
      <c r="M493" s="498"/>
      <c r="N493" s="498"/>
      <c r="O493" s="498"/>
      <c r="P493" s="49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</row>
    <row r="494" spans="1:26" ht="18.75">
      <c r="A494" s="608"/>
      <c r="B494" s="618"/>
      <c r="C494" s="618"/>
      <c r="D494" s="618"/>
      <c r="E494" s="618" t="s">
        <v>208</v>
      </c>
      <c r="F494" s="626"/>
      <c r="G494" s="762"/>
      <c r="H494" s="189"/>
      <c r="I494" s="270"/>
      <c r="J494" s="270"/>
      <c r="K494" s="498"/>
      <c r="L494" s="498"/>
      <c r="M494" s="498"/>
      <c r="N494" s="498"/>
      <c r="O494" s="498"/>
      <c r="P494" s="49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</row>
    <row r="495" spans="1:26" ht="18.75">
      <c r="A495" s="608"/>
      <c r="B495" s="618"/>
      <c r="C495" s="618"/>
      <c r="D495" s="618"/>
      <c r="E495" s="618"/>
      <c r="F495" s="626" t="s">
        <v>216</v>
      </c>
      <c r="G495" s="762"/>
      <c r="H495" s="623" t="s">
        <v>46</v>
      </c>
      <c r="I495" s="270">
        <f ca="1">IFERROR(__xludf.DUMMYFUNCTION("IMPORTRANGE(""https://docs.google.com/spreadsheets/d/1QqKyyYR6Q21VydFLVH3TRQUabQu_ym0Zz7PgGX0-kHA/edit?usp=sharing"",""แผน!FY44"")"),450)</f>
        <v>450</v>
      </c>
      <c r="J495" s="215">
        <v>450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</row>
    <row r="496" spans="1:26" ht="18.75">
      <c r="A496" s="608"/>
      <c r="B496" s="618"/>
      <c r="C496" s="618"/>
      <c r="D496" s="618"/>
      <c r="E496" s="618"/>
      <c r="F496" s="626" t="s">
        <v>217</v>
      </c>
      <c r="G496" s="762"/>
      <c r="H496" s="623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</row>
    <row r="497" spans="1:26" ht="18.75">
      <c r="A497" s="608"/>
      <c r="B497" s="618"/>
      <c r="C497" s="618"/>
      <c r="D497" s="618"/>
      <c r="E497" s="618" t="s">
        <v>62</v>
      </c>
      <c r="F497" s="626"/>
      <c r="G497" s="762"/>
      <c r="H497" s="189"/>
      <c r="I497" s="270"/>
      <c r="J497" s="270"/>
      <c r="K497" s="498"/>
      <c r="L497" s="498"/>
      <c r="M497" s="498"/>
      <c r="N497" s="498"/>
      <c r="O497" s="498"/>
      <c r="P497" s="49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</row>
    <row r="498" spans="1:26" ht="18.75">
      <c r="A498" s="608"/>
      <c r="B498" s="618"/>
      <c r="C498" s="618"/>
      <c r="D498" s="618"/>
      <c r="E498" s="626"/>
      <c r="F498" s="626" t="s">
        <v>218</v>
      </c>
      <c r="G498" s="762"/>
      <c r="H498" s="623" t="s">
        <v>46</v>
      </c>
      <c r="I498" s="270">
        <f ca="1">IFERROR(__xludf.DUMMYFUNCTION("IMPORTRANGE(""https://docs.google.com/spreadsheets/d/1QqKyyYR6Q21VydFLVH3TRQUabQu_ym0Zz7PgGX0-kHA/edit?usp=sharing"",""แผน!GA44"")"),50)</f>
        <v>50</v>
      </c>
      <c r="J498" s="215">
        <v>50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</row>
    <row r="499" spans="1:26" ht="18.75">
      <c r="A499" s="608"/>
      <c r="B499" s="618"/>
      <c r="C499" s="618"/>
      <c r="D499" s="618"/>
      <c r="E499" s="626"/>
      <c r="F499" s="626" t="s">
        <v>219</v>
      </c>
      <c r="G499" s="762"/>
      <c r="H499" s="623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</row>
    <row r="500" spans="1:26" ht="19.5" hidden="1">
      <c r="A500" s="627">
        <v>4</v>
      </c>
      <c r="B500" s="628" t="s">
        <v>220</v>
      </c>
      <c r="C500" s="629"/>
      <c r="D500" s="630"/>
      <c r="E500" s="630"/>
      <c r="F500" s="630"/>
      <c r="G500" s="631"/>
      <c r="H500" s="632" t="s">
        <v>109</v>
      </c>
      <c r="I500" s="633"/>
      <c r="J500" s="633">
        <f t="shared" ref="J500:J501" si="214">J516</f>
        <v>0</v>
      </c>
      <c r="K500" s="634">
        <f t="shared" ref="K500:K501" si="215">IF(I500&gt;0,J500*100/I500,0)</f>
        <v>0</v>
      </c>
      <c r="L500" s="635"/>
      <c r="M500" s="635"/>
      <c r="N500" s="635"/>
      <c r="O500" s="635"/>
      <c r="P500" s="635"/>
      <c r="Q500" s="604"/>
      <c r="R500" s="604"/>
      <c r="S500" s="604"/>
      <c r="T500" s="604"/>
      <c r="U500" s="604"/>
      <c r="V500" s="604"/>
      <c r="W500" s="604"/>
      <c r="X500" s="604"/>
      <c r="Y500" s="604"/>
      <c r="Z500" s="604"/>
    </row>
    <row r="501" spans="1:26" ht="19.5" hidden="1">
      <c r="A501" s="636"/>
      <c r="B501" s="638" t="s">
        <v>221</v>
      </c>
      <c r="C501" s="638"/>
      <c r="D501" s="639"/>
      <c r="E501" s="639"/>
      <c r="F501" s="639"/>
      <c r="G501" s="640"/>
      <c r="H501" s="641" t="s">
        <v>35</v>
      </c>
      <c r="I501" s="642"/>
      <c r="J501" s="642">
        <f t="shared" si="214"/>
        <v>0</v>
      </c>
      <c r="K501" s="643">
        <f t="shared" si="215"/>
        <v>0</v>
      </c>
      <c r="L501" s="644"/>
      <c r="M501" s="644"/>
      <c r="N501" s="644"/>
      <c r="O501" s="644"/>
      <c r="P501" s="64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</row>
    <row r="502" spans="1:26" ht="19.5" hidden="1">
      <c r="A502" s="599"/>
      <c r="B502" s="759"/>
      <c r="C502" s="759" t="s">
        <v>16</v>
      </c>
      <c r="D502" s="864" t="s">
        <v>17</v>
      </c>
      <c r="E502" s="857"/>
      <c r="F502" s="857"/>
      <c r="G502" s="603"/>
      <c r="H502" s="646" t="s">
        <v>12</v>
      </c>
      <c r="I502" s="617"/>
      <c r="J502" s="617"/>
      <c r="K502" s="93"/>
      <c r="L502" s="647">
        <f t="shared" ref="L502:N502" si="216">L503+L504</f>
        <v>0</v>
      </c>
      <c r="M502" s="647">
        <f t="shared" si="216"/>
        <v>0</v>
      </c>
      <c r="N502" s="647">
        <f t="shared" si="216"/>
        <v>0</v>
      </c>
      <c r="O502" s="647">
        <f t="shared" ref="O502:O507" si="217">IF(L502&gt;0,N502*100/L502,0)</f>
        <v>0</v>
      </c>
      <c r="P502" s="647">
        <f t="shared" ref="P502:P507" si="218">IF(M502&gt;0,N502*100/M502,0)</f>
        <v>0</v>
      </c>
      <c r="Q502" s="604"/>
      <c r="R502" s="604"/>
      <c r="S502" s="604"/>
      <c r="T502" s="604"/>
      <c r="U502" s="604"/>
      <c r="V502" s="604"/>
      <c r="W502" s="604"/>
      <c r="X502" s="604"/>
      <c r="Y502" s="604"/>
      <c r="Z502" s="604"/>
    </row>
    <row r="503" spans="1:26" ht="18.75" hidden="1">
      <c r="A503" s="599"/>
      <c r="B503" s="759"/>
      <c r="C503" s="759"/>
      <c r="D503" s="720"/>
      <c r="E503" s="759" t="s">
        <v>185</v>
      </c>
      <c r="F503" s="759"/>
      <c r="G503" s="603"/>
      <c r="H503" s="165" t="s">
        <v>12</v>
      </c>
      <c r="I503" s="617"/>
      <c r="J503" s="617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4"/>
      <c r="R503" s="604"/>
      <c r="S503" s="604"/>
      <c r="T503" s="604"/>
      <c r="U503" s="604"/>
      <c r="V503" s="604"/>
      <c r="W503" s="604"/>
      <c r="X503" s="604"/>
      <c r="Y503" s="604"/>
      <c r="Z503" s="604"/>
    </row>
    <row r="504" spans="1:26" ht="18.75" hidden="1">
      <c r="A504" s="599"/>
      <c r="B504" s="607"/>
      <c r="C504" s="759"/>
      <c r="D504" s="720"/>
      <c r="E504" s="759" t="s">
        <v>186</v>
      </c>
      <c r="F504" s="759"/>
      <c r="G504" s="603"/>
      <c r="H504" s="165" t="s">
        <v>12</v>
      </c>
      <c r="I504" s="617"/>
      <c r="J504" s="617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4"/>
      <c r="R504" s="604"/>
      <c r="S504" s="604"/>
      <c r="T504" s="604"/>
      <c r="U504" s="604"/>
      <c r="V504" s="604"/>
      <c r="W504" s="604"/>
      <c r="X504" s="604"/>
      <c r="Y504" s="604"/>
      <c r="Z504" s="604"/>
    </row>
    <row r="505" spans="1:26" ht="18.75" hidden="1">
      <c r="A505" s="599"/>
      <c r="B505" s="607"/>
      <c r="C505" s="759"/>
      <c r="D505" s="648" t="s">
        <v>20</v>
      </c>
      <c r="E505" s="759"/>
      <c r="F505" s="759"/>
      <c r="G505" s="603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4"/>
      <c r="R505" s="604"/>
      <c r="S505" s="604"/>
      <c r="T505" s="604"/>
      <c r="U505" s="604"/>
      <c r="V505" s="604"/>
      <c r="W505" s="604"/>
      <c r="X505" s="604"/>
      <c r="Y505" s="604"/>
      <c r="Z505" s="604"/>
    </row>
    <row r="506" spans="1:26" ht="18.75" hidden="1">
      <c r="A506" s="599"/>
      <c r="B506" s="607"/>
      <c r="C506" s="759"/>
      <c r="D506" s="720"/>
      <c r="E506" s="759" t="s">
        <v>185</v>
      </c>
      <c r="F506" s="759"/>
      <c r="G506" s="603"/>
      <c r="H506" s="165" t="s">
        <v>12</v>
      </c>
      <c r="I506" s="617"/>
      <c r="J506" s="617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4"/>
      <c r="R506" s="604"/>
      <c r="S506" s="604"/>
      <c r="T506" s="604"/>
      <c r="U506" s="604"/>
      <c r="V506" s="604"/>
      <c r="W506" s="604"/>
      <c r="X506" s="604"/>
      <c r="Y506" s="604"/>
      <c r="Z506" s="604"/>
    </row>
    <row r="507" spans="1:26" ht="18.75" hidden="1">
      <c r="A507" s="599"/>
      <c r="B507" s="607"/>
      <c r="C507" s="759"/>
      <c r="D507" s="720"/>
      <c r="E507" s="759" t="s">
        <v>186</v>
      </c>
      <c r="F507" s="759"/>
      <c r="G507" s="603"/>
      <c r="H507" s="165" t="s">
        <v>12</v>
      </c>
      <c r="I507" s="617"/>
      <c r="J507" s="617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4"/>
      <c r="R507" s="604"/>
      <c r="S507" s="604"/>
      <c r="T507" s="604"/>
      <c r="U507" s="604"/>
      <c r="V507" s="604"/>
      <c r="W507" s="604"/>
      <c r="X507" s="604"/>
      <c r="Y507" s="604"/>
      <c r="Z507" s="604"/>
    </row>
    <row r="508" spans="1:26" ht="18.75" hidden="1">
      <c r="A508" s="649"/>
      <c r="B508" s="607"/>
      <c r="C508" s="759"/>
      <c r="D508" s="759"/>
      <c r="E508" s="759"/>
      <c r="F508" s="759" t="s">
        <v>187</v>
      </c>
      <c r="G508" s="603"/>
      <c r="H508" s="165" t="s">
        <v>12</v>
      </c>
      <c r="I508" s="617"/>
      <c r="J508" s="617"/>
      <c r="K508" s="93"/>
      <c r="L508" s="93"/>
      <c r="M508" s="93"/>
      <c r="N508" s="93">
        <v>0</v>
      </c>
      <c r="O508" s="93"/>
      <c r="P508" s="93"/>
      <c r="Q508" s="604"/>
      <c r="R508" s="604"/>
      <c r="S508" s="604"/>
      <c r="T508" s="604"/>
      <c r="U508" s="604"/>
      <c r="V508" s="604"/>
      <c r="W508" s="604"/>
      <c r="X508" s="604"/>
      <c r="Y508" s="604"/>
      <c r="Z508" s="604"/>
    </row>
    <row r="509" spans="1:26" ht="18.75" hidden="1">
      <c r="A509" s="649"/>
      <c r="B509" s="607"/>
      <c r="C509" s="759"/>
      <c r="D509" s="759"/>
      <c r="E509" s="759"/>
      <c r="F509" s="759" t="s">
        <v>188</v>
      </c>
      <c r="G509" s="603"/>
      <c r="H509" s="165" t="s">
        <v>12</v>
      </c>
      <c r="I509" s="617"/>
      <c r="J509" s="617"/>
      <c r="K509" s="93"/>
      <c r="L509" s="93"/>
      <c r="M509" s="93"/>
      <c r="N509" s="93">
        <v>0</v>
      </c>
      <c r="O509" s="93"/>
      <c r="P509" s="93"/>
      <c r="Q509" s="604"/>
      <c r="R509" s="604"/>
      <c r="S509" s="604"/>
      <c r="T509" s="604"/>
      <c r="U509" s="604"/>
      <c r="V509" s="604"/>
      <c r="W509" s="604"/>
      <c r="X509" s="604"/>
      <c r="Y509" s="604"/>
      <c r="Z509" s="604"/>
    </row>
    <row r="510" spans="1:26" ht="18.75" hidden="1">
      <c r="A510" s="649"/>
      <c r="B510" s="607"/>
      <c r="C510" s="607"/>
      <c r="D510" s="607"/>
      <c r="E510" s="759"/>
      <c r="F510" s="759" t="s">
        <v>189</v>
      </c>
      <c r="G510" s="603"/>
      <c r="H510" s="165" t="s">
        <v>12</v>
      </c>
      <c r="I510" s="617"/>
      <c r="J510" s="617"/>
      <c r="K510" s="93"/>
      <c r="L510" s="93"/>
      <c r="M510" s="93"/>
      <c r="N510" s="93">
        <v>0</v>
      </c>
      <c r="O510" s="93"/>
      <c r="P510" s="93"/>
      <c r="Q510" s="604"/>
      <c r="R510" s="604"/>
      <c r="S510" s="604"/>
      <c r="T510" s="604"/>
      <c r="U510" s="604"/>
      <c r="V510" s="604"/>
      <c r="W510" s="604"/>
      <c r="X510" s="604"/>
      <c r="Y510" s="604"/>
      <c r="Z510" s="604"/>
    </row>
    <row r="511" spans="1:26" ht="18.75" hidden="1">
      <c r="A511" s="649"/>
      <c r="B511" s="607"/>
      <c r="C511" s="607"/>
      <c r="D511" s="607"/>
      <c r="E511" s="759"/>
      <c r="F511" s="759" t="s">
        <v>190</v>
      </c>
      <c r="G511" s="603"/>
      <c r="H511" s="165" t="s">
        <v>12</v>
      </c>
      <c r="I511" s="617"/>
      <c r="J511" s="617"/>
      <c r="K511" s="93"/>
      <c r="L511" s="93"/>
      <c r="M511" s="93"/>
      <c r="N511" s="93">
        <v>0</v>
      </c>
      <c r="O511" s="93"/>
      <c r="P511" s="93"/>
      <c r="Q511" s="604"/>
      <c r="R511" s="604"/>
      <c r="S511" s="604"/>
      <c r="T511" s="604"/>
      <c r="U511" s="604"/>
      <c r="V511" s="604"/>
      <c r="W511" s="604"/>
      <c r="X511" s="604"/>
      <c r="Y511" s="604"/>
      <c r="Z511" s="604"/>
    </row>
    <row r="512" spans="1:26" ht="18.75" hidden="1">
      <c r="A512" s="599"/>
      <c r="B512" s="607"/>
      <c r="C512" s="607"/>
      <c r="D512" s="648" t="s">
        <v>21</v>
      </c>
      <c r="E512" s="607"/>
      <c r="F512" s="759"/>
      <c r="G512" s="603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4"/>
      <c r="R512" s="604"/>
      <c r="S512" s="604"/>
      <c r="T512" s="604"/>
      <c r="U512" s="604"/>
      <c r="V512" s="604"/>
      <c r="W512" s="604"/>
      <c r="X512" s="604"/>
      <c r="Y512" s="604"/>
      <c r="Z512" s="604"/>
    </row>
    <row r="513" spans="1:26" ht="18.75" hidden="1">
      <c r="A513" s="599"/>
      <c r="B513" s="607"/>
      <c r="C513" s="607"/>
      <c r="D513" s="607"/>
      <c r="E513" s="607" t="s">
        <v>18</v>
      </c>
      <c r="F513" s="759"/>
      <c r="G513" s="603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4"/>
      <c r="R513" s="604"/>
      <c r="S513" s="604"/>
      <c r="T513" s="604"/>
      <c r="U513" s="604"/>
      <c r="V513" s="604"/>
      <c r="W513" s="604"/>
      <c r="X513" s="604"/>
      <c r="Y513" s="604"/>
      <c r="Z513" s="604"/>
    </row>
    <row r="514" spans="1:26" ht="18.75" hidden="1">
      <c r="A514" s="599"/>
      <c r="B514" s="607"/>
      <c r="C514" s="607"/>
      <c r="D514" s="759"/>
      <c r="E514" s="607" t="s">
        <v>19</v>
      </c>
      <c r="F514" s="759"/>
      <c r="G514" s="603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4"/>
      <c r="R514" s="604"/>
      <c r="S514" s="604"/>
      <c r="T514" s="604"/>
      <c r="U514" s="604"/>
      <c r="V514" s="604"/>
      <c r="W514" s="604"/>
      <c r="X514" s="604"/>
      <c r="Y514" s="604"/>
      <c r="Z514" s="604"/>
    </row>
    <row r="515" spans="1:26" ht="19.5" hidden="1">
      <c r="A515" s="614"/>
      <c r="B515" s="616"/>
      <c r="C515" s="607" t="s">
        <v>16</v>
      </c>
      <c r="D515" s="895" t="s">
        <v>38</v>
      </c>
      <c r="E515" s="651"/>
      <c r="F515" s="651"/>
      <c r="G515" s="652"/>
      <c r="H515" s="366"/>
      <c r="I515" s="166"/>
      <c r="J515" s="166"/>
      <c r="K515" s="167"/>
      <c r="L515" s="167"/>
      <c r="M515" s="167"/>
      <c r="N515" s="167"/>
      <c r="O515" s="167"/>
      <c r="P515" s="167"/>
      <c r="Q515" s="604"/>
      <c r="R515" s="604"/>
      <c r="S515" s="604"/>
      <c r="T515" s="604"/>
      <c r="U515" s="604"/>
      <c r="V515" s="604"/>
      <c r="W515" s="604"/>
      <c r="X515" s="604"/>
      <c r="Y515" s="604"/>
      <c r="Z515" s="604"/>
    </row>
    <row r="516" spans="1:26" ht="18.75" hidden="1">
      <c r="A516" s="614"/>
      <c r="B516" s="616"/>
      <c r="C516" s="616"/>
      <c r="D516" s="616" t="s">
        <v>222</v>
      </c>
      <c r="E516" s="720"/>
      <c r="F516" s="720"/>
      <c r="G516" s="366"/>
      <c r="H516" s="653" t="s">
        <v>109</v>
      </c>
      <c r="I516" s="617"/>
      <c r="J516" s="617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4"/>
      <c r="R516" s="604"/>
      <c r="S516" s="604"/>
      <c r="T516" s="604"/>
      <c r="U516" s="604"/>
      <c r="V516" s="604"/>
      <c r="W516" s="604"/>
      <c r="X516" s="604"/>
      <c r="Y516" s="604"/>
      <c r="Z516" s="604"/>
    </row>
    <row r="517" spans="1:26" ht="19.5" hidden="1">
      <c r="A517" s="614"/>
      <c r="B517" s="616"/>
      <c r="C517" s="616"/>
      <c r="D517" s="616" t="s">
        <v>223</v>
      </c>
      <c r="E517" s="720"/>
      <c r="F517" s="720"/>
      <c r="G517" s="366"/>
      <c r="H517" s="654" t="s">
        <v>35</v>
      </c>
      <c r="I517" s="655"/>
      <c r="J517" s="655">
        <f>J518+J519</f>
        <v>0</v>
      </c>
      <c r="K517" s="656">
        <f t="shared" si="224"/>
        <v>0</v>
      </c>
      <c r="L517" s="167"/>
      <c r="M517" s="167"/>
      <c r="N517" s="167"/>
      <c r="O517" s="167"/>
      <c r="P517" s="167"/>
      <c r="Q517" s="604"/>
      <c r="R517" s="604"/>
      <c r="S517" s="604"/>
      <c r="T517" s="604"/>
      <c r="U517" s="604"/>
      <c r="V517" s="604"/>
      <c r="W517" s="604"/>
      <c r="X517" s="604"/>
      <c r="Y517" s="604"/>
      <c r="Z517" s="604"/>
    </row>
    <row r="518" spans="1:26" ht="18.75" hidden="1">
      <c r="A518" s="614"/>
      <c r="B518" s="616"/>
      <c r="C518" s="616"/>
      <c r="D518" s="616"/>
      <c r="E518" s="616" t="s">
        <v>224</v>
      </c>
      <c r="F518" s="720"/>
      <c r="G518" s="366"/>
      <c r="H518" s="370" t="s">
        <v>35</v>
      </c>
      <c r="I518" s="617"/>
      <c r="J518" s="617"/>
      <c r="K518" s="167"/>
      <c r="L518" s="167"/>
      <c r="M518" s="167"/>
      <c r="N518" s="167"/>
      <c r="O518" s="167"/>
      <c r="P518" s="167"/>
      <c r="Q518" s="604"/>
      <c r="R518" s="604"/>
      <c r="S518" s="604"/>
      <c r="T518" s="604"/>
      <c r="U518" s="604"/>
      <c r="V518" s="604"/>
      <c r="W518" s="604"/>
      <c r="X518" s="604"/>
      <c r="Y518" s="604"/>
      <c r="Z518" s="604"/>
    </row>
    <row r="519" spans="1:26" ht="18.75" hidden="1">
      <c r="A519" s="614"/>
      <c r="B519" s="616"/>
      <c r="C519" s="616"/>
      <c r="D519" s="616"/>
      <c r="E519" s="616" t="s">
        <v>225</v>
      </c>
      <c r="F519" s="720"/>
      <c r="G519" s="366"/>
      <c r="H519" s="653" t="s">
        <v>35</v>
      </c>
      <c r="I519" s="617"/>
      <c r="J519" s="617"/>
      <c r="K519" s="167"/>
      <c r="L519" s="167"/>
      <c r="M519" s="167"/>
      <c r="N519" s="167"/>
      <c r="O519" s="167"/>
      <c r="P519" s="167"/>
      <c r="Q519" s="604"/>
      <c r="R519" s="604"/>
      <c r="S519" s="604"/>
      <c r="T519" s="604"/>
      <c r="U519" s="604"/>
      <c r="V519" s="604"/>
      <c r="W519" s="604"/>
      <c r="X519" s="604"/>
      <c r="Y519" s="604"/>
      <c r="Z519" s="604"/>
    </row>
    <row r="520" spans="1:26" ht="19.5">
      <c r="A520" s="657" t="s">
        <v>137</v>
      </c>
      <c r="B520" s="658"/>
      <c r="C520" s="658"/>
      <c r="D520" s="659"/>
      <c r="E520" s="659"/>
      <c r="F520" s="659"/>
      <c r="G520" s="660"/>
      <c r="H520" s="661"/>
      <c r="I520" s="662"/>
      <c r="J520" s="662"/>
      <c r="K520" s="663"/>
      <c r="L520" s="663"/>
      <c r="M520" s="663"/>
      <c r="N520" s="663"/>
      <c r="O520" s="663"/>
      <c r="P520" s="663"/>
    </row>
    <row r="521" spans="1:26" ht="19.5" hidden="1">
      <c r="A521" s="664">
        <v>5</v>
      </c>
      <c r="B521" s="665" t="s">
        <v>226</v>
      </c>
      <c r="C521" s="666"/>
      <c r="D521" s="667"/>
      <c r="E521" s="667"/>
      <c r="F521" s="667"/>
      <c r="G521" s="667"/>
      <c r="H521" s="668"/>
      <c r="I521" s="669"/>
      <c r="J521" s="669"/>
      <c r="K521" s="670"/>
      <c r="L521" s="670"/>
      <c r="M521" s="670"/>
      <c r="N521" s="670"/>
      <c r="O521" s="670"/>
      <c r="P521" s="670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</row>
    <row r="522" spans="1:26" ht="19.5" hidden="1">
      <c r="A522" s="671"/>
      <c r="B522" s="672" t="s">
        <v>227</v>
      </c>
      <c r="C522" s="673"/>
      <c r="D522" s="673"/>
      <c r="E522" s="673"/>
      <c r="F522" s="673"/>
      <c r="G522" s="674"/>
      <c r="H522" s="675" t="s">
        <v>35</v>
      </c>
      <c r="I522" s="708">
        <f t="shared" ref="I522:J522" ca="1" si="225">I537</f>
        <v>0</v>
      </c>
      <c r="J522" s="708">
        <f t="shared" ca="1" si="225"/>
        <v>0</v>
      </c>
      <c r="K522" s="677">
        <f ca="1">IF(I522&gt;0,J522*100/I522,0)</f>
        <v>0</v>
      </c>
      <c r="L522" s="678"/>
      <c r="M522" s="678"/>
      <c r="N522" s="678"/>
      <c r="O522" s="678"/>
      <c r="P522" s="6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</row>
    <row r="523" spans="1:26" ht="19.5" hidden="1">
      <c r="A523" s="597"/>
      <c r="B523" s="763"/>
      <c r="C523" s="763" t="s">
        <v>16</v>
      </c>
      <c r="D523" s="863" t="s">
        <v>17</v>
      </c>
      <c r="E523" s="857"/>
      <c r="F523" s="857"/>
      <c r="G523" s="189"/>
      <c r="H523" s="598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</row>
    <row r="524" spans="1:26" ht="18.75" hidden="1">
      <c r="A524" s="599"/>
      <c r="B524" s="759"/>
      <c r="C524" s="759"/>
      <c r="D524" s="720"/>
      <c r="E524" s="759" t="s">
        <v>185</v>
      </c>
      <c r="F524" s="759"/>
      <c r="G524" s="603"/>
      <c r="H524" s="165" t="s">
        <v>12</v>
      </c>
      <c r="I524" s="617"/>
      <c r="J524" s="617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4"/>
      <c r="R524" s="604"/>
      <c r="S524" s="604"/>
      <c r="T524" s="604"/>
      <c r="U524" s="604"/>
      <c r="V524" s="604"/>
      <c r="W524" s="604"/>
      <c r="X524" s="604"/>
      <c r="Y524" s="604"/>
      <c r="Z524" s="604"/>
    </row>
    <row r="525" spans="1:26" ht="18.75" hidden="1">
      <c r="A525" s="599"/>
      <c r="B525" s="607"/>
      <c r="C525" s="759"/>
      <c r="D525" s="720"/>
      <c r="E525" s="759" t="s">
        <v>186</v>
      </c>
      <c r="F525" s="759"/>
      <c r="G525" s="603"/>
      <c r="H525" s="165" t="s">
        <v>12</v>
      </c>
      <c r="I525" s="617"/>
      <c r="J525" s="617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4"/>
      <c r="R525" s="604"/>
      <c r="S525" s="604"/>
      <c r="T525" s="604"/>
      <c r="U525" s="604"/>
      <c r="V525" s="604"/>
      <c r="W525" s="604"/>
      <c r="X525" s="604"/>
      <c r="Y525" s="604"/>
      <c r="Z525" s="604"/>
    </row>
    <row r="526" spans="1:26" ht="18.75" hidden="1">
      <c r="A526" s="597"/>
      <c r="B526" s="575"/>
      <c r="C526" s="763"/>
      <c r="D526" s="606" t="s">
        <v>20</v>
      </c>
      <c r="E526" s="763"/>
      <c r="F526" s="763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</row>
    <row r="527" spans="1:26" ht="18.75" hidden="1">
      <c r="A527" s="599"/>
      <c r="B527" s="607"/>
      <c r="C527" s="759"/>
      <c r="D527" s="720"/>
      <c r="E527" s="759" t="s">
        <v>185</v>
      </c>
      <c r="F527" s="759"/>
      <c r="G527" s="603"/>
      <c r="H527" s="165" t="s">
        <v>12</v>
      </c>
      <c r="I527" s="617"/>
      <c r="J527" s="617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4"/>
      <c r="R527" s="604"/>
      <c r="S527" s="604"/>
      <c r="T527" s="604"/>
      <c r="U527" s="604"/>
      <c r="V527" s="604"/>
      <c r="W527" s="604"/>
      <c r="X527" s="604"/>
      <c r="Y527" s="604"/>
      <c r="Z527" s="604"/>
    </row>
    <row r="528" spans="1:26" ht="18.75" hidden="1">
      <c r="A528" s="599"/>
      <c r="B528" s="607"/>
      <c r="C528" s="759"/>
      <c r="D528" s="720"/>
      <c r="E528" s="759" t="s">
        <v>186</v>
      </c>
      <c r="F528" s="759"/>
      <c r="G528" s="603"/>
      <c r="H528" s="165" t="s">
        <v>12</v>
      </c>
      <c r="I528" s="617"/>
      <c r="J528" s="617"/>
      <c r="K528" s="93"/>
      <c r="L528" s="93">
        <f ca="1">IFERROR(__xludf.DUMMYFUNCTION("IMPORTRANGE(""https://docs.google.com/spreadsheets/d/1QqKyyYR6Q21VydFLVH3TRQUabQu_ym0Zz7PgGX0-kHA/edit?usp=sharing"",""แผน!GQ44"")"),0)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4"/>
      <c r="R528" s="604"/>
      <c r="S528" s="604"/>
      <c r="T528" s="604"/>
      <c r="U528" s="604"/>
      <c r="V528" s="604"/>
      <c r="W528" s="604"/>
      <c r="X528" s="604"/>
      <c r="Y528" s="604"/>
      <c r="Z528" s="604"/>
    </row>
    <row r="529" spans="1:26" ht="18.75" hidden="1">
      <c r="A529" s="574"/>
      <c r="B529" s="575"/>
      <c r="C529" s="763"/>
      <c r="D529" s="763"/>
      <c r="E529" s="763"/>
      <c r="F529" s="763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40">
        <v>0</v>
      </c>
      <c r="O529" s="498"/>
      <c r="P529" s="49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</row>
    <row r="530" spans="1:26" ht="18.75" hidden="1">
      <c r="A530" s="574"/>
      <c r="B530" s="575"/>
      <c r="C530" s="763"/>
      <c r="D530" s="763"/>
      <c r="E530" s="763"/>
      <c r="F530" s="763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40">
        <v>0</v>
      </c>
      <c r="O530" s="498"/>
      <c r="P530" s="49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</row>
    <row r="531" spans="1:26" ht="18.75" hidden="1">
      <c r="A531" s="574"/>
      <c r="B531" s="575"/>
      <c r="C531" s="763"/>
      <c r="D531" s="763"/>
      <c r="E531" s="763"/>
      <c r="F531" s="763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40">
        <v>0</v>
      </c>
      <c r="O531" s="498"/>
      <c r="P531" s="49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</row>
    <row r="532" spans="1:26" ht="18.75" hidden="1">
      <c r="A532" s="574"/>
      <c r="B532" s="575"/>
      <c r="C532" s="763"/>
      <c r="D532" s="763"/>
      <c r="E532" s="763"/>
      <c r="F532" s="763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40">
        <v>0</v>
      </c>
      <c r="O532" s="498"/>
      <c r="P532" s="49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</row>
    <row r="533" spans="1:26" ht="18.75" hidden="1">
      <c r="A533" s="597"/>
      <c r="B533" s="575"/>
      <c r="C533" s="763"/>
      <c r="D533" s="606" t="s">
        <v>21</v>
      </c>
      <c r="E533" s="763"/>
      <c r="F533" s="763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</row>
    <row r="534" spans="1:26" ht="18.75" hidden="1">
      <c r="A534" s="599"/>
      <c r="B534" s="607"/>
      <c r="C534" s="759"/>
      <c r="D534" s="759"/>
      <c r="E534" s="759" t="s">
        <v>18</v>
      </c>
      <c r="F534" s="759"/>
      <c r="G534" s="603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4"/>
      <c r="R534" s="604"/>
      <c r="S534" s="604"/>
      <c r="T534" s="604"/>
      <c r="U534" s="604"/>
      <c r="V534" s="604"/>
      <c r="W534" s="604"/>
      <c r="X534" s="604"/>
      <c r="Y534" s="604"/>
      <c r="Z534" s="604"/>
    </row>
    <row r="535" spans="1:26" ht="18.75" hidden="1">
      <c r="A535" s="599"/>
      <c r="B535" s="607"/>
      <c r="C535" s="759"/>
      <c r="D535" s="759"/>
      <c r="E535" s="759" t="s">
        <v>19</v>
      </c>
      <c r="F535" s="759"/>
      <c r="G535" s="603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4"/>
      <c r="R535" s="604"/>
      <c r="S535" s="604"/>
      <c r="T535" s="604"/>
      <c r="U535" s="604"/>
      <c r="V535" s="604"/>
      <c r="W535" s="604"/>
      <c r="X535" s="604"/>
      <c r="Y535" s="604"/>
      <c r="Z535" s="604"/>
    </row>
    <row r="536" spans="1:26" ht="19.5" hidden="1">
      <c r="A536" s="608"/>
      <c r="B536" s="618"/>
      <c r="C536" s="763" t="s">
        <v>16</v>
      </c>
      <c r="D536" s="896" t="s">
        <v>38</v>
      </c>
      <c r="E536" s="761"/>
      <c r="F536" s="761"/>
      <c r="G536" s="613"/>
      <c r="H536" s="762"/>
      <c r="I536" s="184"/>
      <c r="J536" s="184"/>
      <c r="K536" s="163"/>
      <c r="L536" s="163"/>
      <c r="M536" s="163"/>
      <c r="N536" s="163"/>
      <c r="O536" s="163"/>
      <c r="P536" s="163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</row>
    <row r="537" spans="1:26" ht="19.5" hidden="1">
      <c r="A537" s="574"/>
      <c r="B537" s="575"/>
      <c r="C537" s="763"/>
      <c r="D537" s="763" t="s">
        <v>228</v>
      </c>
      <c r="E537" s="763"/>
      <c r="F537" s="763"/>
      <c r="G537" s="189"/>
      <c r="H537" s="623" t="s">
        <v>35</v>
      </c>
      <c r="I537" s="681">
        <f ca="1">IFERROR(__xludf.DUMMYFUNCTION("IMPORTRANGE(""https://docs.google.com/spreadsheets/d/1QqKyyYR6Q21VydFLVH3TRQUabQu_ym0Zz7PgGX0-kHA/edit?usp=sharing"",""แผน!GU44"")"),0)</f>
        <v>0</v>
      </c>
      <c r="J537" s="681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2"/>
      <c r="R537" s="682"/>
      <c r="S537" s="682"/>
      <c r="T537" s="682"/>
      <c r="U537" s="682"/>
      <c r="V537" s="682"/>
      <c r="W537" s="682"/>
      <c r="X537" s="682"/>
      <c r="Y537" s="682"/>
      <c r="Z537" s="682"/>
    </row>
    <row r="538" spans="1:26" ht="18.75" hidden="1">
      <c r="A538" s="574"/>
      <c r="B538" s="575"/>
      <c r="C538" s="763"/>
      <c r="D538" s="763"/>
      <c r="E538" s="763" t="s">
        <v>229</v>
      </c>
      <c r="F538" s="763"/>
      <c r="G538" s="189"/>
      <c r="H538" s="623" t="s">
        <v>35</v>
      </c>
      <c r="I538" s="270">
        <f ca="1">IFERROR(__xludf.DUMMYFUNCTION("IMPORTRANGE(""https://docs.google.com/spreadsheets/d/1QqKyyYR6Q21VydFLVH3TRQUabQu_ym0Zz7PgGX0-kHA/edit?usp=sharing"",""แผน!GV44"")"),0)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2"/>
      <c r="R538" s="682"/>
      <c r="S538" s="682"/>
      <c r="T538" s="682"/>
      <c r="U538" s="682"/>
      <c r="V538" s="682"/>
      <c r="W538" s="682"/>
      <c r="X538" s="682"/>
      <c r="Y538" s="682"/>
      <c r="Z538" s="682"/>
    </row>
    <row r="539" spans="1:26" ht="18.75" hidden="1">
      <c r="A539" s="574"/>
      <c r="B539" s="575"/>
      <c r="C539" s="763"/>
      <c r="D539" s="763"/>
      <c r="E539" s="763" t="s">
        <v>230</v>
      </c>
      <c r="F539" s="763"/>
      <c r="G539" s="189"/>
      <c r="H539" s="623" t="s">
        <v>35</v>
      </c>
      <c r="I539" s="270">
        <f ca="1">IFERROR(__xludf.DUMMYFUNCTION("IMPORTRANGE(""https://docs.google.com/spreadsheets/d/1QqKyyYR6Q21VydFLVH3TRQUabQu_ym0Zz7PgGX0-kHA/edit?usp=sharing"",""แผน!GW44"")"),0)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2"/>
      <c r="R539" s="682"/>
      <c r="S539" s="682"/>
      <c r="T539" s="682"/>
      <c r="U539" s="682"/>
      <c r="V539" s="682"/>
      <c r="W539" s="682"/>
      <c r="X539" s="682"/>
      <c r="Y539" s="682"/>
      <c r="Z539" s="682"/>
    </row>
    <row r="540" spans="1:26" ht="18.75" hidden="1">
      <c r="A540" s="574"/>
      <c r="B540" s="575"/>
      <c r="C540" s="763"/>
      <c r="D540" s="763"/>
      <c r="E540" s="763" t="s">
        <v>231</v>
      </c>
      <c r="F540" s="763"/>
      <c r="G540" s="189"/>
      <c r="H540" s="623" t="s">
        <v>35</v>
      </c>
      <c r="I540" s="270">
        <f ca="1">IFERROR(__xludf.DUMMYFUNCTION("IMPORTRANGE(""https://docs.google.com/spreadsheets/d/1QqKyyYR6Q21VydFLVH3TRQUabQu_ym0Zz7PgGX0-kHA/edit?usp=sharing"",""แผน!GX44"")"),0)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2"/>
      <c r="R540" s="682"/>
      <c r="S540" s="682"/>
      <c r="T540" s="682"/>
      <c r="U540" s="682"/>
      <c r="V540" s="682"/>
      <c r="W540" s="682"/>
      <c r="X540" s="682"/>
      <c r="Y540" s="682"/>
      <c r="Z540" s="682"/>
    </row>
    <row r="541" spans="1:26" ht="18.75" hidden="1">
      <c r="A541" s="574"/>
      <c r="B541" s="575"/>
      <c r="C541" s="763"/>
      <c r="D541" s="763"/>
      <c r="E541" s="769" t="s">
        <v>232</v>
      </c>
      <c r="F541" s="763"/>
      <c r="G541" s="189"/>
      <c r="H541" s="623" t="s">
        <v>35</v>
      </c>
      <c r="I541" s="270">
        <f ca="1">IFERROR(__xludf.DUMMYFUNCTION("IMPORTRANGE(""https://docs.google.com/spreadsheets/d/1QqKyyYR6Q21VydFLVH3TRQUabQu_ym0Zz7PgGX0-kHA/edit?usp=sharing"",""แผน!GY44"")"),0)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2"/>
      <c r="R541" s="682"/>
      <c r="S541" s="682"/>
      <c r="T541" s="682"/>
      <c r="U541" s="682"/>
      <c r="V541" s="682"/>
      <c r="W541" s="682"/>
      <c r="X541" s="682"/>
      <c r="Y541" s="682"/>
      <c r="Z541" s="682"/>
    </row>
    <row r="542" spans="1:26" ht="18.75" hidden="1">
      <c r="A542" s="574"/>
      <c r="B542" s="575"/>
      <c r="C542" s="763"/>
      <c r="D542" s="763" t="s">
        <v>59</v>
      </c>
      <c r="E542" s="763"/>
      <c r="F542" s="763"/>
      <c r="G542" s="189"/>
      <c r="H542" s="623" t="s">
        <v>35</v>
      </c>
      <c r="I542" s="270">
        <f ca="1">IFERROR(__xludf.DUMMYFUNCTION("IMPORTRANGE(""https://docs.google.com/spreadsheets/d/1QqKyyYR6Q21VydFLVH3TRQUabQu_ym0Zz7PgGX0-kHA/edit?usp=sharing"",""แผน!GZ44"")"),0)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2"/>
      <c r="R542" s="682"/>
      <c r="S542" s="682"/>
      <c r="T542" s="682"/>
      <c r="U542" s="682"/>
      <c r="V542" s="682"/>
      <c r="W542" s="682"/>
      <c r="X542" s="682"/>
      <c r="Y542" s="682"/>
      <c r="Z542" s="682"/>
    </row>
    <row r="543" spans="1:26" ht="19.5">
      <c r="A543" s="664">
        <v>6</v>
      </c>
      <c r="B543" s="685" t="s">
        <v>233</v>
      </c>
      <c r="C543" s="667"/>
      <c r="D543" s="667"/>
      <c r="E543" s="667"/>
      <c r="F543" s="667"/>
      <c r="G543" s="668"/>
      <c r="H543" s="686" t="s">
        <v>46</v>
      </c>
      <c r="I543" s="687">
        <f t="shared" ref="I543:J543" ca="1" si="235">I559</f>
        <v>11002.36</v>
      </c>
      <c r="J543" s="687">
        <f t="shared" si="235"/>
        <v>11002.359999999999</v>
      </c>
      <c r="K543" s="688">
        <f t="shared" ca="1" si="234"/>
        <v>99.999999999999972</v>
      </c>
      <c r="L543" s="670"/>
      <c r="M543" s="670"/>
      <c r="N543" s="670"/>
      <c r="O543" s="670"/>
      <c r="P543" s="670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</row>
    <row r="544" spans="1:26" ht="19.5">
      <c r="A544" s="689"/>
      <c r="B544" s="690"/>
      <c r="C544" s="690" t="s">
        <v>16</v>
      </c>
      <c r="D544" s="897" t="s">
        <v>17</v>
      </c>
      <c r="E544" s="862"/>
      <c r="F544" s="862"/>
      <c r="G544" s="691"/>
      <c r="H544" s="275" t="s">
        <v>12</v>
      </c>
      <c r="I544" s="420"/>
      <c r="J544" s="420"/>
      <c r="K544" s="154"/>
      <c r="L544" s="155">
        <f t="shared" ref="L544:N544" ca="1" si="236">L545+L546</f>
        <v>802083</v>
      </c>
      <c r="M544" s="155">
        <f t="shared" ca="1" si="236"/>
        <v>431281.24</v>
      </c>
      <c r="N544" s="155">
        <f t="shared" si="236"/>
        <v>431281.24</v>
      </c>
      <c r="O544" s="155">
        <f t="shared" ref="O544:O549" ca="1" si="237">IF(L544&gt;0,N544*100/L544,0)</f>
        <v>53.770150969413393</v>
      </c>
      <c r="P544" s="155">
        <f t="shared" ref="P544:P549" ca="1" si="238">IF(M544&gt;0,N544*100/M544,0)</f>
        <v>100</v>
      </c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</row>
    <row r="545" spans="1:26" ht="18.75" hidden="1">
      <c r="A545" s="599"/>
      <c r="B545" s="759"/>
      <c r="C545" s="759"/>
      <c r="D545" s="759"/>
      <c r="E545" s="759" t="s">
        <v>185</v>
      </c>
      <c r="F545" s="759"/>
      <c r="G545" s="603"/>
      <c r="H545" s="165" t="s">
        <v>12</v>
      </c>
      <c r="I545" s="617"/>
      <c r="J545" s="617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4"/>
      <c r="R545" s="604"/>
      <c r="S545" s="604"/>
      <c r="T545" s="604"/>
      <c r="U545" s="604"/>
      <c r="V545" s="604"/>
      <c r="W545" s="604"/>
      <c r="X545" s="604"/>
      <c r="Y545" s="604"/>
      <c r="Z545" s="604"/>
    </row>
    <row r="546" spans="1:26" ht="18.75" hidden="1">
      <c r="A546" s="599"/>
      <c r="B546" s="607"/>
      <c r="C546" s="759"/>
      <c r="D546" s="759"/>
      <c r="E546" s="759" t="s">
        <v>186</v>
      </c>
      <c r="F546" s="759"/>
      <c r="G546" s="603"/>
      <c r="H546" s="165" t="s">
        <v>12</v>
      </c>
      <c r="I546" s="617"/>
      <c r="J546" s="617"/>
      <c r="K546" s="93"/>
      <c r="L546" s="93">
        <f t="shared" ca="1" si="239"/>
        <v>802083</v>
      </c>
      <c r="M546" s="93">
        <f t="shared" ca="1" si="240"/>
        <v>431281.24</v>
      </c>
      <c r="N546" s="93">
        <f t="shared" si="240"/>
        <v>431281.24</v>
      </c>
      <c r="O546" s="93">
        <f t="shared" ca="1" si="237"/>
        <v>53.770150969413393</v>
      </c>
      <c r="P546" s="93">
        <f t="shared" ca="1" si="238"/>
        <v>100</v>
      </c>
      <c r="Q546" s="604"/>
      <c r="R546" s="604"/>
      <c r="S546" s="604"/>
      <c r="T546" s="604"/>
      <c r="U546" s="604"/>
      <c r="V546" s="604"/>
      <c r="W546" s="604"/>
      <c r="X546" s="604"/>
      <c r="Y546" s="604"/>
      <c r="Z546" s="604"/>
    </row>
    <row r="547" spans="1:26" ht="18.75">
      <c r="A547" s="597"/>
      <c r="B547" s="575"/>
      <c r="C547" s="763"/>
      <c r="D547" s="606" t="s">
        <v>20</v>
      </c>
      <c r="E547" s="763"/>
      <c r="F547" s="763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802083</v>
      </c>
      <c r="M547" s="498">
        <f t="shared" ca="1" si="241"/>
        <v>431281.24</v>
      </c>
      <c r="N547" s="498">
        <f t="shared" si="241"/>
        <v>431281.24</v>
      </c>
      <c r="O547" s="498">
        <f t="shared" ca="1" si="237"/>
        <v>53.770150969413393</v>
      </c>
      <c r="P547" s="498">
        <f t="shared" ca="1" si="238"/>
        <v>100</v>
      </c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</row>
    <row r="548" spans="1:26" ht="18.75" hidden="1">
      <c r="A548" s="599"/>
      <c r="B548" s="607"/>
      <c r="C548" s="759"/>
      <c r="D548" s="720"/>
      <c r="E548" s="759" t="s">
        <v>185</v>
      </c>
      <c r="F548" s="759"/>
      <c r="G548" s="603"/>
      <c r="H548" s="165" t="s">
        <v>12</v>
      </c>
      <c r="I548" s="617"/>
      <c r="J548" s="617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4"/>
      <c r="R548" s="604"/>
      <c r="S548" s="604"/>
      <c r="T548" s="604"/>
      <c r="U548" s="604"/>
      <c r="V548" s="604"/>
      <c r="W548" s="604"/>
      <c r="X548" s="604"/>
      <c r="Y548" s="604"/>
      <c r="Z548" s="604"/>
    </row>
    <row r="549" spans="1:26" ht="18.75" hidden="1">
      <c r="A549" s="599"/>
      <c r="B549" s="607"/>
      <c r="C549" s="759"/>
      <c r="D549" s="720"/>
      <c r="E549" s="759" t="s">
        <v>186</v>
      </c>
      <c r="F549" s="759"/>
      <c r="G549" s="603"/>
      <c r="H549" s="165" t="s">
        <v>12</v>
      </c>
      <c r="I549" s="617"/>
      <c r="J549" s="617"/>
      <c r="K549" s="93"/>
      <c r="L549" s="93">
        <f ca="1">IFERROR(__xludf.DUMMYFUNCTION("IMPORTRANGE(""https://docs.google.com/spreadsheets/d/1QqKyyYR6Q21VydFLVH3TRQUabQu_ym0Zz7PgGX0-kHA/edit?usp=sharing"",""แผน!HB44"")"),802083)</f>
        <v>802083</v>
      </c>
      <c r="M549" s="93">
        <f ca="1">L549-370801.76</f>
        <v>431281.24</v>
      </c>
      <c r="N549" s="93">
        <f>N550+N551+N552+N553+N554</f>
        <v>431281.24</v>
      </c>
      <c r="O549" s="93">
        <f t="shared" ca="1" si="237"/>
        <v>53.770150969413393</v>
      </c>
      <c r="P549" s="93">
        <f t="shared" ca="1" si="238"/>
        <v>100</v>
      </c>
      <c r="Q549" s="604"/>
      <c r="R549" s="604"/>
      <c r="S549" s="604"/>
      <c r="T549" s="604"/>
      <c r="U549" s="604"/>
      <c r="V549" s="604"/>
      <c r="W549" s="604"/>
      <c r="X549" s="604"/>
      <c r="Y549" s="604"/>
      <c r="Z549" s="604"/>
    </row>
    <row r="550" spans="1:26" ht="18.75">
      <c r="A550" s="574"/>
      <c r="B550" s="575"/>
      <c r="C550" s="763"/>
      <c r="D550" s="763"/>
      <c r="E550" s="763"/>
      <c r="F550" s="763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40">
        <v>0</v>
      </c>
      <c r="O550" s="498"/>
      <c r="P550" s="49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</row>
    <row r="551" spans="1:26" ht="18.75">
      <c r="A551" s="574"/>
      <c r="B551" s="575"/>
      <c r="C551" s="575"/>
      <c r="D551" s="575"/>
      <c r="E551" s="763"/>
      <c r="F551" s="763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40">
        <v>0</v>
      </c>
      <c r="O551" s="498"/>
      <c r="P551" s="49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</row>
    <row r="552" spans="1:26" ht="18.75">
      <c r="A552" s="574"/>
      <c r="B552" s="575"/>
      <c r="C552" s="763"/>
      <c r="D552" s="763"/>
      <c r="E552" s="763"/>
      <c r="F552" s="763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40">
        <v>116133.24</v>
      </c>
      <c r="O552" s="498"/>
      <c r="P552" s="498"/>
      <c r="Q552" s="578"/>
      <c r="R552" s="578"/>
      <c r="S552" s="578"/>
      <c r="T552" s="578"/>
      <c r="U552" s="578"/>
      <c r="V552" s="578"/>
      <c r="W552" s="578"/>
      <c r="X552" s="578"/>
      <c r="Y552" s="578"/>
      <c r="Z552" s="578"/>
    </row>
    <row r="553" spans="1:26" ht="18.75">
      <c r="A553" s="574"/>
      <c r="B553" s="575"/>
      <c r="C553" s="575"/>
      <c r="D553" s="575"/>
      <c r="E553" s="763"/>
      <c r="F553" s="763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40">
        <v>315148</v>
      </c>
      <c r="O553" s="498"/>
      <c r="P553" s="49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</row>
    <row r="554" spans="1:26" ht="18.75">
      <c r="A554" s="574"/>
      <c r="B554" s="575"/>
      <c r="C554" s="575"/>
      <c r="D554" s="575"/>
      <c r="E554" s="763"/>
      <c r="F554" s="763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40">
        <v>0</v>
      </c>
      <c r="O554" s="498"/>
      <c r="P554" s="49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</row>
    <row r="555" spans="1:26" ht="18.75">
      <c r="A555" s="597"/>
      <c r="B555" s="575"/>
      <c r="C555" s="575"/>
      <c r="D555" s="606" t="s">
        <v>21</v>
      </c>
      <c r="E555" s="763"/>
      <c r="F555" s="763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</row>
    <row r="556" spans="1:26" ht="18.75" hidden="1">
      <c r="A556" s="599"/>
      <c r="B556" s="607"/>
      <c r="C556" s="607"/>
      <c r="D556" s="759"/>
      <c r="E556" s="759" t="s">
        <v>18</v>
      </c>
      <c r="F556" s="759"/>
      <c r="G556" s="603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4"/>
      <c r="R556" s="604"/>
      <c r="S556" s="604"/>
      <c r="T556" s="604"/>
      <c r="U556" s="604"/>
      <c r="V556" s="604"/>
      <c r="W556" s="604"/>
      <c r="X556" s="604"/>
      <c r="Y556" s="604"/>
      <c r="Z556" s="604"/>
    </row>
    <row r="557" spans="1:26" ht="18.75" hidden="1">
      <c r="A557" s="599"/>
      <c r="B557" s="607"/>
      <c r="C557" s="607"/>
      <c r="D557" s="759"/>
      <c r="E557" s="759" t="s">
        <v>19</v>
      </c>
      <c r="F557" s="759"/>
      <c r="G557" s="603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4"/>
      <c r="R557" s="604"/>
      <c r="S557" s="604"/>
      <c r="T557" s="604"/>
      <c r="U557" s="604"/>
      <c r="V557" s="604"/>
      <c r="W557" s="604"/>
      <c r="X557" s="604"/>
      <c r="Y557" s="604"/>
      <c r="Z557" s="604"/>
    </row>
    <row r="558" spans="1:26" ht="19.5">
      <c r="A558" s="608"/>
      <c r="B558" s="618"/>
      <c r="C558" s="575" t="s">
        <v>16</v>
      </c>
      <c r="D558" s="896" t="s">
        <v>38</v>
      </c>
      <c r="E558" s="761"/>
      <c r="F558" s="761"/>
      <c r="G558" s="613"/>
      <c r="H558" s="762"/>
      <c r="I558" s="184"/>
      <c r="J558" s="184"/>
      <c r="K558" s="163"/>
      <c r="L558" s="163"/>
      <c r="M558" s="163"/>
      <c r="N558" s="163"/>
      <c r="O558" s="163"/>
      <c r="P558" s="163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</row>
    <row r="559" spans="1:26" ht="19.5">
      <c r="A559" s="692"/>
      <c r="B559" s="693" t="s">
        <v>235</v>
      </c>
      <c r="C559" s="694"/>
      <c r="D559" s="694"/>
      <c r="E559" s="673"/>
      <c r="F559" s="673"/>
      <c r="G559" s="674"/>
      <c r="H559" s="695" t="s">
        <v>46</v>
      </c>
      <c r="I559" s="708">
        <f t="shared" ref="I559:J559" ca="1" si="245">I576</f>
        <v>11002.36</v>
      </c>
      <c r="J559" s="708">
        <f t="shared" si="245"/>
        <v>11002.359999999999</v>
      </c>
      <c r="K559" s="677">
        <f t="shared" ref="K559:K561" ca="1" si="246">IF(I559&gt;0,J559*100/I559,0)</f>
        <v>99.999999999999972</v>
      </c>
      <c r="L559" s="678"/>
      <c r="M559" s="678"/>
      <c r="N559" s="678"/>
      <c r="O559" s="678"/>
      <c r="P559" s="6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</row>
    <row r="560" spans="1:26" ht="19.5">
      <c r="A560" s="608"/>
      <c r="B560" s="618"/>
      <c r="C560" s="625" t="s">
        <v>236</v>
      </c>
      <c r="D560" s="618"/>
      <c r="E560" s="626"/>
      <c r="F560" s="626"/>
      <c r="G560" s="762"/>
      <c r="H560" s="767" t="s">
        <v>46</v>
      </c>
      <c r="I560" s="193">
        <f ca="1">IFERROR(__xludf.DUMMYFUNCTION("IMPORTRANGE(""https://docs.google.com/spreadsheets/d/1QqKyyYR6Q21VydFLVH3TRQUabQu_ym0Zz7PgGX0-kHA/edit?usp=sharing"",""แผน!HH44"")"),11002.36)</f>
        <v>11002.36</v>
      </c>
      <c r="J560" s="193">
        <f t="shared" ref="J560:J561" si="247">J562+J564+J566</f>
        <v>11005.5</v>
      </c>
      <c r="K560" s="411">
        <f t="shared" ca="1" si="246"/>
        <v>100.02853933156159</v>
      </c>
      <c r="L560" s="163"/>
      <c r="M560" s="163"/>
      <c r="N560" s="163"/>
      <c r="O560" s="163"/>
      <c r="P560" s="163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</row>
    <row r="561" spans="1:26" ht="19.5">
      <c r="A561" s="608"/>
      <c r="B561" s="618"/>
      <c r="C561" s="618"/>
      <c r="D561" s="626"/>
      <c r="E561" s="626"/>
      <c r="F561" s="626"/>
      <c r="G561" s="762"/>
      <c r="H561" s="767" t="s">
        <v>34</v>
      </c>
      <c r="I561" s="193">
        <f ca="1">IFERROR(__xludf.DUMMYFUNCTION("IMPORTRANGE(""https://docs.google.com/spreadsheets/d/1QqKyyYR6Q21VydFLVH3TRQUabQu_ym0Zz7PgGX0-kHA/edit?usp=sharing"",""แผน!HG44"")"),4838)</f>
        <v>4838</v>
      </c>
      <c r="J561" s="193">
        <f t="shared" si="247"/>
        <v>4838</v>
      </c>
      <c r="K561" s="411">
        <f t="shared" ca="1" si="246"/>
        <v>100</v>
      </c>
      <c r="L561" s="163"/>
      <c r="M561" s="163"/>
      <c r="N561" s="163"/>
      <c r="O561" s="163"/>
      <c r="P561" s="163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</row>
    <row r="562" spans="1:26" ht="18.75">
      <c r="A562" s="608"/>
      <c r="B562" s="618"/>
      <c r="C562" s="618"/>
      <c r="D562" s="626" t="s">
        <v>237</v>
      </c>
      <c r="E562" s="626"/>
      <c r="F562" s="626"/>
      <c r="G562" s="762"/>
      <c r="H562" s="764" t="s">
        <v>46</v>
      </c>
      <c r="I562" s="184"/>
      <c r="J562" s="215">
        <v>8505.2000000000007</v>
      </c>
      <c r="K562" s="163"/>
      <c r="L562" s="163"/>
      <c r="M562" s="163"/>
      <c r="N562" s="163"/>
      <c r="O562" s="163"/>
      <c r="P562" s="163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</row>
    <row r="563" spans="1:26" ht="18.75">
      <c r="A563" s="608"/>
      <c r="B563" s="618"/>
      <c r="C563" s="618"/>
      <c r="D563" s="618"/>
      <c r="E563" s="626"/>
      <c r="F563" s="626"/>
      <c r="G563" s="762"/>
      <c r="H563" s="764" t="s">
        <v>34</v>
      </c>
      <c r="I563" s="184"/>
      <c r="J563" s="215">
        <v>3981</v>
      </c>
      <c r="K563" s="163"/>
      <c r="L563" s="163"/>
      <c r="M563" s="163"/>
      <c r="N563" s="163"/>
      <c r="O563" s="163"/>
      <c r="P563" s="163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</row>
    <row r="564" spans="1:26" ht="18.75">
      <c r="A564" s="608"/>
      <c r="B564" s="618"/>
      <c r="C564" s="618"/>
      <c r="D564" s="626" t="s">
        <v>238</v>
      </c>
      <c r="E564" s="626"/>
      <c r="F564" s="626"/>
      <c r="G564" s="762"/>
      <c r="H564" s="764" t="s">
        <v>46</v>
      </c>
      <c r="I564" s="184"/>
      <c r="J564" s="215">
        <v>1549.3</v>
      </c>
      <c r="K564" s="163"/>
      <c r="L564" s="163"/>
      <c r="M564" s="163"/>
      <c r="N564" s="163"/>
      <c r="O564" s="163"/>
      <c r="P564" s="163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</row>
    <row r="565" spans="1:26" ht="18.75">
      <c r="A565" s="608"/>
      <c r="B565" s="618"/>
      <c r="C565" s="618"/>
      <c r="D565" s="626"/>
      <c r="E565" s="626"/>
      <c r="F565" s="626"/>
      <c r="G565" s="762"/>
      <c r="H565" s="764" t="s">
        <v>34</v>
      </c>
      <c r="I565" s="184"/>
      <c r="J565" s="215">
        <v>492</v>
      </c>
      <c r="K565" s="163"/>
      <c r="L565" s="163"/>
      <c r="M565" s="163"/>
      <c r="N565" s="163"/>
      <c r="O565" s="163"/>
      <c r="P565" s="163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</row>
    <row r="566" spans="1:26" ht="18.75">
      <c r="A566" s="608"/>
      <c r="B566" s="618"/>
      <c r="C566" s="618"/>
      <c r="D566" s="626" t="s">
        <v>239</v>
      </c>
      <c r="E566" s="626"/>
      <c r="F566" s="626"/>
      <c r="G566" s="762"/>
      <c r="H566" s="764" t="s">
        <v>46</v>
      </c>
      <c r="I566" s="184"/>
      <c r="J566" s="215">
        <v>951</v>
      </c>
      <c r="K566" s="163"/>
      <c r="L566" s="163"/>
      <c r="M566" s="163"/>
      <c r="N566" s="163"/>
      <c r="O566" s="163"/>
      <c r="P566" s="163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</row>
    <row r="567" spans="1:26" ht="18.75">
      <c r="A567" s="608"/>
      <c r="B567" s="618"/>
      <c r="C567" s="618"/>
      <c r="D567" s="626"/>
      <c r="E567" s="626"/>
      <c r="F567" s="626"/>
      <c r="G567" s="762"/>
      <c r="H567" s="764" t="s">
        <v>34</v>
      </c>
      <c r="I567" s="184"/>
      <c r="J567" s="215">
        <v>365</v>
      </c>
      <c r="K567" s="163"/>
      <c r="L567" s="163"/>
      <c r="M567" s="163"/>
      <c r="N567" s="163"/>
      <c r="O567" s="163"/>
      <c r="P567" s="163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</row>
    <row r="568" spans="1:26" ht="19.5">
      <c r="A568" s="608"/>
      <c r="B568" s="618"/>
      <c r="C568" s="625" t="s">
        <v>240</v>
      </c>
      <c r="D568" s="626"/>
      <c r="E568" s="626"/>
      <c r="F568" s="626"/>
      <c r="G568" s="762"/>
      <c r="H568" s="767" t="s">
        <v>46</v>
      </c>
      <c r="I568" s="193">
        <f ca="1">IFERROR(__xludf.DUMMYFUNCTION("IMPORTRANGE(""https://docs.google.com/spreadsheets/d/1QqKyyYR6Q21VydFLVH3TRQUabQu_ym0Zz7PgGX0-kHA/edit?usp=sharing"",""แผน!HH44"")"),11002.36)</f>
        <v>11002.36</v>
      </c>
      <c r="J568" s="681">
        <f t="shared" ref="J568:J569" si="248">J570+J572+J574</f>
        <v>11003</v>
      </c>
      <c r="K568" s="411">
        <f t="shared" ref="K568:K569" ca="1" si="249">IF(I568&gt;0,J568*100/I568,0)</f>
        <v>100.00581693382146</v>
      </c>
      <c r="L568" s="163"/>
      <c r="M568" s="163"/>
      <c r="N568" s="163"/>
      <c r="O568" s="163"/>
      <c r="P568" s="163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</row>
    <row r="569" spans="1:26" ht="19.5">
      <c r="A569" s="608"/>
      <c r="B569" s="618"/>
      <c r="C569" s="618"/>
      <c r="D569" s="618"/>
      <c r="E569" s="626"/>
      <c r="F569" s="626"/>
      <c r="G569" s="762"/>
      <c r="H569" s="767" t="s">
        <v>34</v>
      </c>
      <c r="I569" s="193">
        <f ca="1">IFERROR(__xludf.DUMMYFUNCTION("IMPORTRANGE(""https://docs.google.com/spreadsheets/d/1QqKyyYR6Q21VydFLVH3TRQUabQu_ym0Zz7PgGX0-kHA/edit?usp=sharing"",""แผน!HG44"")"),4838)</f>
        <v>4838</v>
      </c>
      <c r="J569" s="681">
        <f t="shared" si="248"/>
        <v>4838</v>
      </c>
      <c r="K569" s="411">
        <f t="shared" ca="1" si="249"/>
        <v>100</v>
      </c>
      <c r="L569" s="163"/>
      <c r="M569" s="163"/>
      <c r="N569" s="163"/>
      <c r="O569" s="163"/>
      <c r="P569" s="163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</row>
    <row r="570" spans="1:26" ht="18.75">
      <c r="A570" s="608"/>
      <c r="B570" s="618"/>
      <c r="C570" s="618"/>
      <c r="D570" s="626" t="s">
        <v>241</v>
      </c>
      <c r="E570" s="618"/>
      <c r="F570" s="626"/>
      <c r="G570" s="762"/>
      <c r="H570" s="764" t="s">
        <v>46</v>
      </c>
      <c r="I570" s="184"/>
      <c r="J570" s="215">
        <v>8560</v>
      </c>
      <c r="K570" s="163"/>
      <c r="L570" s="163"/>
      <c r="M570" s="163"/>
      <c r="N570" s="163"/>
      <c r="O570" s="163"/>
      <c r="P570" s="163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</row>
    <row r="571" spans="1:26" ht="18.75">
      <c r="A571" s="608"/>
      <c r="B571" s="618"/>
      <c r="C571" s="618"/>
      <c r="D571" s="618"/>
      <c r="E571" s="626"/>
      <c r="F571" s="626"/>
      <c r="G571" s="762"/>
      <c r="H571" s="764" t="s">
        <v>34</v>
      </c>
      <c r="I571" s="184"/>
      <c r="J571" s="215">
        <v>4013</v>
      </c>
      <c r="K571" s="163"/>
      <c r="L571" s="163"/>
      <c r="M571" s="163"/>
      <c r="N571" s="163"/>
      <c r="O571" s="163"/>
      <c r="P571" s="163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</row>
    <row r="572" spans="1:26" ht="18.75">
      <c r="A572" s="608"/>
      <c r="B572" s="618"/>
      <c r="C572" s="618"/>
      <c r="D572" s="626" t="s">
        <v>242</v>
      </c>
      <c r="E572" s="626"/>
      <c r="F572" s="626"/>
      <c r="G572" s="762"/>
      <c r="H572" s="764" t="s">
        <v>46</v>
      </c>
      <c r="I572" s="184"/>
      <c r="J572" s="215">
        <v>1400</v>
      </c>
      <c r="K572" s="163"/>
      <c r="L572" s="163"/>
      <c r="M572" s="163"/>
      <c r="N572" s="163"/>
      <c r="O572" s="163"/>
      <c r="P572" s="163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</row>
    <row r="573" spans="1:26" ht="18.75">
      <c r="A573" s="608"/>
      <c r="B573" s="618"/>
      <c r="C573" s="618"/>
      <c r="D573" s="626"/>
      <c r="E573" s="626"/>
      <c r="F573" s="626"/>
      <c r="G573" s="762"/>
      <c r="H573" s="764" t="s">
        <v>34</v>
      </c>
      <c r="I573" s="184"/>
      <c r="J573" s="215">
        <v>440</v>
      </c>
      <c r="K573" s="163"/>
      <c r="L573" s="163"/>
      <c r="M573" s="163"/>
      <c r="N573" s="163"/>
      <c r="O573" s="163"/>
      <c r="P573" s="163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</row>
    <row r="574" spans="1:26" ht="18.75">
      <c r="A574" s="608"/>
      <c r="B574" s="618"/>
      <c r="C574" s="618"/>
      <c r="D574" s="626" t="s">
        <v>243</v>
      </c>
      <c r="E574" s="626"/>
      <c r="F574" s="626"/>
      <c r="G574" s="762"/>
      <c r="H574" s="764" t="s">
        <v>46</v>
      </c>
      <c r="I574" s="184"/>
      <c r="J574" s="215">
        <v>1043</v>
      </c>
      <c r="K574" s="163"/>
      <c r="L574" s="163"/>
      <c r="M574" s="163"/>
      <c r="N574" s="163"/>
      <c r="O574" s="163"/>
      <c r="P574" s="163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</row>
    <row r="575" spans="1:26" ht="18.75">
      <c r="A575" s="608"/>
      <c r="B575" s="618"/>
      <c r="C575" s="618"/>
      <c r="D575" s="618"/>
      <c r="E575" s="626"/>
      <c r="F575" s="626"/>
      <c r="G575" s="762"/>
      <c r="H575" s="764" t="s">
        <v>34</v>
      </c>
      <c r="I575" s="184"/>
      <c r="J575" s="215">
        <v>385</v>
      </c>
      <c r="K575" s="163"/>
      <c r="L575" s="163"/>
      <c r="M575" s="163"/>
      <c r="N575" s="163"/>
      <c r="O575" s="163"/>
      <c r="P575" s="163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</row>
    <row r="576" spans="1:26" ht="19.5">
      <c r="A576" s="608"/>
      <c r="B576" s="618"/>
      <c r="C576" s="625" t="s">
        <v>244</v>
      </c>
      <c r="D576" s="618"/>
      <c r="E576" s="618"/>
      <c r="F576" s="626"/>
      <c r="G576" s="762"/>
      <c r="H576" s="767" t="s">
        <v>46</v>
      </c>
      <c r="I576" s="193">
        <f ca="1">IFERROR(__xludf.DUMMYFUNCTION("IMPORTRANGE(""https://docs.google.com/spreadsheets/d/1QqKyyYR6Q21VydFLVH3TRQUabQu_ym0Zz7PgGX0-kHA/edit?usp=sharing"",""แผน!HH44"")"),11002.36)</f>
        <v>11002.36</v>
      </c>
      <c r="J576" s="681">
        <f t="shared" ref="J576:J577" si="250">J578+J580+J582+J588+J590</f>
        <v>11002.359999999999</v>
      </c>
      <c r="K576" s="411">
        <f t="shared" ref="K576:K577" ca="1" si="251">IF(I576&gt;0,J576*100/I576,0)</f>
        <v>99.999999999999972</v>
      </c>
      <c r="L576" s="163"/>
      <c r="M576" s="163"/>
      <c r="N576" s="163"/>
      <c r="O576" s="163"/>
      <c r="P576" s="163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</row>
    <row r="577" spans="1:26" ht="19.5">
      <c r="A577" s="608"/>
      <c r="B577" s="618"/>
      <c r="C577" s="618"/>
      <c r="D577" s="618"/>
      <c r="E577" s="626"/>
      <c r="F577" s="626"/>
      <c r="G577" s="762"/>
      <c r="H577" s="767" t="s">
        <v>34</v>
      </c>
      <c r="I577" s="193">
        <f ca="1">IFERROR(__xludf.DUMMYFUNCTION("IMPORTRANGE(""https://docs.google.com/spreadsheets/d/1QqKyyYR6Q21VydFLVH3TRQUabQu_ym0Zz7PgGX0-kHA/edit?usp=sharing"",""แผน!HG44"")"),4838)</f>
        <v>4838</v>
      </c>
      <c r="J577" s="681">
        <f t="shared" si="250"/>
        <v>4838</v>
      </c>
      <c r="K577" s="411">
        <f t="shared" ca="1" si="251"/>
        <v>100</v>
      </c>
      <c r="L577" s="163"/>
      <c r="M577" s="163"/>
      <c r="N577" s="163"/>
      <c r="O577" s="163"/>
      <c r="P577" s="163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</row>
    <row r="578" spans="1:26" ht="18.75">
      <c r="A578" s="608"/>
      <c r="B578" s="618"/>
      <c r="C578" s="618"/>
      <c r="D578" s="626" t="s">
        <v>245</v>
      </c>
      <c r="E578" s="626"/>
      <c r="F578" s="626"/>
      <c r="G578" s="762"/>
      <c r="H578" s="764" t="s">
        <v>46</v>
      </c>
      <c r="I578" s="184"/>
      <c r="J578" s="215">
        <v>9704.3474999999999</v>
      </c>
      <c r="K578" s="163"/>
      <c r="L578" s="163"/>
      <c r="M578" s="163"/>
      <c r="N578" s="163"/>
      <c r="O578" s="163"/>
      <c r="P578" s="163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</row>
    <row r="579" spans="1:26" ht="18.75">
      <c r="A579" s="608"/>
      <c r="B579" s="618"/>
      <c r="C579" s="618"/>
      <c r="D579" s="618"/>
      <c r="E579" s="626"/>
      <c r="F579" s="626"/>
      <c r="G579" s="762"/>
      <c r="H579" s="764" t="s">
        <v>34</v>
      </c>
      <c r="I579" s="184"/>
      <c r="J579" s="215">
        <v>4365</v>
      </c>
      <c r="K579" s="163"/>
      <c r="L579" s="163"/>
      <c r="M579" s="163"/>
      <c r="N579" s="163"/>
      <c r="O579" s="163"/>
      <c r="P579" s="163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</row>
    <row r="580" spans="1:26" ht="18.75">
      <c r="A580" s="608"/>
      <c r="B580" s="618"/>
      <c r="C580" s="618"/>
      <c r="D580" s="626" t="s">
        <v>246</v>
      </c>
      <c r="E580" s="626"/>
      <c r="F580" s="626"/>
      <c r="G580" s="762"/>
      <c r="H580" s="764" t="s">
        <v>46</v>
      </c>
      <c r="I580" s="184"/>
      <c r="J580" s="215">
        <v>6.1124999999999998</v>
      </c>
      <c r="K580" s="163"/>
      <c r="L580" s="163"/>
      <c r="M580" s="163"/>
      <c r="N580" s="163"/>
      <c r="O580" s="163"/>
      <c r="P580" s="163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</row>
    <row r="581" spans="1:26" ht="18.75">
      <c r="A581" s="608"/>
      <c r="B581" s="618"/>
      <c r="C581" s="618"/>
      <c r="D581" s="618"/>
      <c r="E581" s="626"/>
      <c r="F581" s="626"/>
      <c r="G581" s="762"/>
      <c r="H581" s="764" t="s">
        <v>34</v>
      </c>
      <c r="I581" s="184"/>
      <c r="J581" s="215">
        <v>4</v>
      </c>
      <c r="K581" s="163"/>
      <c r="L581" s="163"/>
      <c r="M581" s="163"/>
      <c r="N581" s="163"/>
      <c r="O581" s="163"/>
      <c r="P581" s="163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</row>
    <row r="582" spans="1:26" ht="19.5">
      <c r="A582" s="608"/>
      <c r="B582" s="618"/>
      <c r="C582" s="618"/>
      <c r="D582" s="626" t="s">
        <v>247</v>
      </c>
      <c r="E582" s="626"/>
      <c r="F582" s="626"/>
      <c r="G582" s="762"/>
      <c r="H582" s="764" t="s">
        <v>46</v>
      </c>
      <c r="I582" s="184"/>
      <c r="J582" s="681">
        <f t="shared" ref="J582:J583" si="252">J584+J586</f>
        <v>1058.3</v>
      </c>
      <c r="K582" s="411"/>
      <c r="L582" s="163"/>
      <c r="M582" s="163"/>
      <c r="N582" s="163"/>
      <c r="O582" s="163"/>
      <c r="P582" s="163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</row>
    <row r="583" spans="1:26" ht="19.5">
      <c r="A583" s="608"/>
      <c r="B583" s="618"/>
      <c r="C583" s="618"/>
      <c r="D583" s="618"/>
      <c r="E583" s="626"/>
      <c r="F583" s="626"/>
      <c r="G583" s="762"/>
      <c r="H583" s="764" t="s">
        <v>34</v>
      </c>
      <c r="I583" s="184"/>
      <c r="J583" s="681">
        <f t="shared" si="252"/>
        <v>392</v>
      </c>
      <c r="K583" s="411"/>
      <c r="L583" s="163"/>
      <c r="M583" s="163"/>
      <c r="N583" s="163"/>
      <c r="O583" s="163"/>
      <c r="P583" s="163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</row>
    <row r="584" spans="1:26" ht="18.75">
      <c r="A584" s="608"/>
      <c r="B584" s="618"/>
      <c r="C584" s="618"/>
      <c r="D584" s="618"/>
      <c r="E584" s="626" t="s">
        <v>248</v>
      </c>
      <c r="F584" s="626"/>
      <c r="G584" s="762"/>
      <c r="H584" s="764" t="s">
        <v>46</v>
      </c>
      <c r="I584" s="184"/>
      <c r="J584" s="215">
        <v>1058.3</v>
      </c>
      <c r="K584" s="163"/>
      <c r="L584" s="163"/>
      <c r="M584" s="163"/>
      <c r="N584" s="163"/>
      <c r="O584" s="163"/>
      <c r="P584" s="163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</row>
    <row r="585" spans="1:26" ht="18.75">
      <c r="A585" s="608"/>
      <c r="B585" s="618"/>
      <c r="C585" s="618"/>
      <c r="D585" s="618"/>
      <c r="E585" s="626"/>
      <c r="F585" s="626"/>
      <c r="G585" s="762"/>
      <c r="H585" s="764" t="s">
        <v>34</v>
      </c>
      <c r="I585" s="184"/>
      <c r="J585" s="215">
        <v>392</v>
      </c>
      <c r="K585" s="163"/>
      <c r="L585" s="163"/>
      <c r="M585" s="163"/>
      <c r="N585" s="163"/>
      <c r="O585" s="163"/>
      <c r="P585" s="163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</row>
    <row r="586" spans="1:26" ht="18.75">
      <c r="A586" s="608"/>
      <c r="B586" s="618"/>
      <c r="C586" s="618"/>
      <c r="D586" s="618"/>
      <c r="E586" s="626" t="s">
        <v>249</v>
      </c>
      <c r="F586" s="626"/>
      <c r="G586" s="762"/>
      <c r="H586" s="76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</row>
    <row r="587" spans="1:26" ht="18.75">
      <c r="A587" s="608"/>
      <c r="B587" s="618"/>
      <c r="C587" s="618"/>
      <c r="D587" s="618"/>
      <c r="E587" s="618"/>
      <c r="F587" s="626"/>
      <c r="G587" s="762"/>
      <c r="H587" s="76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</row>
    <row r="588" spans="1:26" ht="18.75">
      <c r="A588" s="608"/>
      <c r="B588" s="618"/>
      <c r="C588" s="618"/>
      <c r="D588" s="626" t="s">
        <v>250</v>
      </c>
      <c r="E588" s="626"/>
      <c r="F588" s="626"/>
      <c r="G588" s="762"/>
      <c r="H588" s="764" t="s">
        <v>46</v>
      </c>
      <c r="I588" s="184"/>
      <c r="J588" s="215">
        <v>233.6</v>
      </c>
      <c r="K588" s="163"/>
      <c r="L588" s="163"/>
      <c r="M588" s="163"/>
      <c r="N588" s="163"/>
      <c r="O588" s="163"/>
      <c r="P588" s="163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</row>
    <row r="589" spans="1:26" ht="18.75">
      <c r="A589" s="608"/>
      <c r="B589" s="618"/>
      <c r="C589" s="618"/>
      <c r="D589" s="618"/>
      <c r="E589" s="618"/>
      <c r="F589" s="626"/>
      <c r="G589" s="762"/>
      <c r="H589" s="764" t="s">
        <v>34</v>
      </c>
      <c r="I589" s="184"/>
      <c r="J589" s="215">
        <v>77</v>
      </c>
      <c r="K589" s="163"/>
      <c r="L589" s="163"/>
      <c r="M589" s="163"/>
      <c r="N589" s="163"/>
      <c r="O589" s="163"/>
      <c r="P589" s="163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</row>
    <row r="590" spans="1:26" ht="18.75">
      <c r="A590" s="608"/>
      <c r="B590" s="618"/>
      <c r="C590" s="618"/>
      <c r="D590" s="626" t="s">
        <v>251</v>
      </c>
      <c r="E590" s="626"/>
      <c r="F590" s="626"/>
      <c r="G590" s="762"/>
      <c r="H590" s="76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</row>
    <row r="591" spans="1:26" ht="18.75">
      <c r="A591" s="696"/>
      <c r="B591" s="697"/>
      <c r="C591" s="697"/>
      <c r="D591" s="697"/>
      <c r="E591" s="578"/>
      <c r="F591" s="578"/>
      <c r="G591" s="698"/>
      <c r="H591" s="699" t="s">
        <v>34</v>
      </c>
      <c r="I591" s="700"/>
      <c r="J591" s="701">
        <v>0</v>
      </c>
      <c r="K591" s="702"/>
      <c r="L591" s="702"/>
      <c r="M591" s="702"/>
      <c r="N591" s="702"/>
      <c r="O591" s="702"/>
      <c r="P591" s="702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</row>
    <row r="592" spans="1:26" ht="19.5">
      <c r="A592" s="692"/>
      <c r="B592" s="693" t="s">
        <v>252</v>
      </c>
      <c r="C592" s="694"/>
      <c r="D592" s="694"/>
      <c r="E592" s="673"/>
      <c r="F592" s="673"/>
      <c r="G592" s="674"/>
      <c r="H592" s="695" t="s">
        <v>46</v>
      </c>
      <c r="I592" s="703">
        <f t="shared" ref="I592:J592" ca="1" si="253">I593</f>
        <v>5265.94</v>
      </c>
      <c r="J592" s="708">
        <f t="shared" si="253"/>
        <v>5265.94</v>
      </c>
      <c r="K592" s="677">
        <f t="shared" ref="K592:K594" ca="1" si="254">IF(I592&gt;0,J592*100/I592,0)</f>
        <v>100.00000000000001</v>
      </c>
      <c r="L592" s="678"/>
      <c r="M592" s="678"/>
      <c r="N592" s="678"/>
      <c r="O592" s="678"/>
      <c r="P592" s="6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</row>
    <row r="593" spans="1:26" ht="19.5">
      <c r="A593" s="608"/>
      <c r="B593" s="618"/>
      <c r="C593" s="625" t="s">
        <v>253</v>
      </c>
      <c r="D593" s="618"/>
      <c r="E593" s="618"/>
      <c r="F593" s="626"/>
      <c r="G593" s="762"/>
      <c r="H593" s="767" t="s">
        <v>46</v>
      </c>
      <c r="I593" s="704">
        <f ca="1">IFERROR(__xludf.DUMMYFUNCTION("IMPORTRANGE(""https://docs.google.com/spreadsheets/d/1QqKyyYR6Q21VydFLVH3TRQUabQu_ym0Zz7PgGX0-kHA/edit?usp=sharing"",""แผน!HJ44"")"),5265.94)</f>
        <v>5265.94</v>
      </c>
      <c r="J593" s="193">
        <f t="shared" ref="J593:J594" si="255">J595+J603+J609</f>
        <v>5265.94</v>
      </c>
      <c r="K593" s="411">
        <f t="shared" ca="1" si="254"/>
        <v>100.00000000000001</v>
      </c>
      <c r="L593" s="163"/>
      <c r="M593" s="163"/>
      <c r="N593" s="163"/>
      <c r="O593" s="163"/>
      <c r="P593" s="163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</row>
    <row r="594" spans="1:26" ht="19.5">
      <c r="A594" s="608"/>
      <c r="B594" s="618"/>
      <c r="C594" s="618"/>
      <c r="D594" s="618"/>
      <c r="E594" s="626"/>
      <c r="F594" s="626"/>
      <c r="G594" s="762"/>
      <c r="H594" s="767" t="s">
        <v>34</v>
      </c>
      <c r="I594" s="193">
        <f ca="1">IFERROR(__xludf.DUMMYFUNCTION("IMPORTRANGE(""https://docs.google.com/spreadsheets/d/1QqKyyYR6Q21VydFLVH3TRQUabQu_ym0Zz7PgGX0-kHA/edit?usp=sharing"",""แผน!HI44"")"),1025)</f>
        <v>1025</v>
      </c>
      <c r="J594" s="193">
        <f t="shared" si="255"/>
        <v>1025</v>
      </c>
      <c r="K594" s="411">
        <f t="shared" ca="1" si="254"/>
        <v>100</v>
      </c>
      <c r="L594" s="163"/>
      <c r="M594" s="163"/>
      <c r="N594" s="163"/>
      <c r="O594" s="163"/>
      <c r="P594" s="163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</row>
    <row r="595" spans="1:26" ht="18.75">
      <c r="A595" s="608"/>
      <c r="B595" s="618"/>
      <c r="C595" s="618" t="s">
        <v>254</v>
      </c>
      <c r="D595" s="618"/>
      <c r="E595" s="618"/>
      <c r="F595" s="626"/>
      <c r="G595" s="762"/>
      <c r="H595" s="764" t="s">
        <v>46</v>
      </c>
      <c r="I595" s="184"/>
      <c r="J595" s="184">
        <f t="shared" ref="J595:J596" si="256">J597+J599</f>
        <v>5100.4874999999993</v>
      </c>
      <c r="K595" s="163"/>
      <c r="L595" s="163"/>
      <c r="M595" s="163"/>
      <c r="N595" s="163"/>
      <c r="O595" s="163"/>
      <c r="P595" s="163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</row>
    <row r="596" spans="1:26" ht="18.75">
      <c r="A596" s="608"/>
      <c r="B596" s="618"/>
      <c r="C596" s="618"/>
      <c r="D596" s="618"/>
      <c r="E596" s="626"/>
      <c r="F596" s="626"/>
      <c r="G596" s="762"/>
      <c r="H596" s="764" t="s">
        <v>34</v>
      </c>
      <c r="I596" s="184"/>
      <c r="J596" s="184">
        <f t="shared" si="256"/>
        <v>996</v>
      </c>
      <c r="K596" s="163"/>
      <c r="L596" s="163"/>
      <c r="M596" s="163"/>
      <c r="N596" s="163"/>
      <c r="O596" s="163"/>
      <c r="P596" s="163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</row>
    <row r="597" spans="1:26" ht="18.75">
      <c r="A597" s="608"/>
      <c r="B597" s="618"/>
      <c r="C597" s="618"/>
      <c r="D597" s="746" t="s">
        <v>255</v>
      </c>
      <c r="E597" s="626"/>
      <c r="F597" s="626"/>
      <c r="G597" s="762"/>
      <c r="H597" s="764" t="s">
        <v>46</v>
      </c>
      <c r="I597" s="184"/>
      <c r="J597" s="215">
        <v>5018.1324999999997</v>
      </c>
      <c r="K597" s="163"/>
      <c r="L597" s="163"/>
      <c r="M597" s="163"/>
      <c r="N597" s="163"/>
      <c r="O597" s="163"/>
      <c r="P597" s="163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</row>
    <row r="598" spans="1:26" ht="18.75">
      <c r="A598" s="608"/>
      <c r="B598" s="618"/>
      <c r="C598" s="618"/>
      <c r="D598" s="618"/>
      <c r="E598" s="626"/>
      <c r="F598" s="626"/>
      <c r="G598" s="762"/>
      <c r="H598" s="764" t="s">
        <v>34</v>
      </c>
      <c r="I598" s="270"/>
      <c r="J598" s="215">
        <v>987</v>
      </c>
      <c r="K598" s="163"/>
      <c r="L598" s="163"/>
      <c r="M598" s="163"/>
      <c r="N598" s="163"/>
      <c r="O598" s="163"/>
      <c r="P598" s="163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</row>
    <row r="599" spans="1:26" ht="18.75">
      <c r="A599" s="608"/>
      <c r="B599" s="618"/>
      <c r="C599" s="618"/>
      <c r="D599" s="746" t="s">
        <v>256</v>
      </c>
      <c r="E599" s="626"/>
      <c r="F599" s="626"/>
      <c r="G599" s="762"/>
      <c r="H599" s="764" t="s">
        <v>46</v>
      </c>
      <c r="I599" s="270"/>
      <c r="J599" s="215">
        <v>82.355000000000004</v>
      </c>
      <c r="K599" s="163"/>
      <c r="L599" s="163"/>
      <c r="M599" s="163"/>
      <c r="N599" s="163"/>
      <c r="O599" s="163"/>
      <c r="P599" s="163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</row>
    <row r="600" spans="1:26" ht="18.75">
      <c r="A600" s="608"/>
      <c r="B600" s="618"/>
      <c r="C600" s="618"/>
      <c r="D600" s="618"/>
      <c r="E600" s="626"/>
      <c r="F600" s="626"/>
      <c r="G600" s="762"/>
      <c r="H600" s="764" t="s">
        <v>34</v>
      </c>
      <c r="I600" s="270"/>
      <c r="J600" s="215">
        <v>9</v>
      </c>
      <c r="K600" s="163"/>
      <c r="L600" s="163"/>
      <c r="M600" s="163"/>
      <c r="N600" s="163"/>
      <c r="O600" s="163"/>
      <c r="P600" s="163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</row>
    <row r="601" spans="1:26" ht="18.75">
      <c r="A601" s="608"/>
      <c r="B601" s="618"/>
      <c r="C601" s="618"/>
      <c r="D601" s="746" t="s">
        <v>257</v>
      </c>
      <c r="E601" s="626"/>
      <c r="F601" s="626"/>
      <c r="G601" s="762"/>
      <c r="H601" s="76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</row>
    <row r="602" spans="1:26" ht="18.75">
      <c r="A602" s="608"/>
      <c r="B602" s="618"/>
      <c r="C602" s="618"/>
      <c r="D602" s="618"/>
      <c r="E602" s="626"/>
      <c r="F602" s="626"/>
      <c r="G602" s="762"/>
      <c r="H602" s="76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</row>
    <row r="603" spans="1:26" ht="18.75">
      <c r="A603" s="608"/>
      <c r="B603" s="618"/>
      <c r="C603" s="705" t="s">
        <v>258</v>
      </c>
      <c r="D603" s="618"/>
      <c r="E603" s="618"/>
      <c r="F603" s="626"/>
      <c r="G603" s="762"/>
      <c r="H603" s="764" t="s">
        <v>46</v>
      </c>
      <c r="I603" s="270"/>
      <c r="J603" s="270">
        <f t="shared" ref="J603:J604" si="257">J605+J607</f>
        <v>165.45250000000001</v>
      </c>
      <c r="K603" s="163"/>
      <c r="L603" s="163"/>
      <c r="M603" s="163"/>
      <c r="N603" s="163"/>
      <c r="O603" s="163"/>
      <c r="P603" s="163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</row>
    <row r="604" spans="1:26" ht="18.75">
      <c r="A604" s="608"/>
      <c r="B604" s="618"/>
      <c r="C604" s="618"/>
      <c r="D604" s="618"/>
      <c r="E604" s="626"/>
      <c r="F604" s="626"/>
      <c r="G604" s="762"/>
      <c r="H604" s="764" t="s">
        <v>34</v>
      </c>
      <c r="I604" s="270"/>
      <c r="J604" s="270">
        <f t="shared" si="257"/>
        <v>29</v>
      </c>
      <c r="K604" s="163"/>
      <c r="L604" s="163"/>
      <c r="M604" s="163"/>
      <c r="N604" s="163"/>
      <c r="O604" s="163"/>
      <c r="P604" s="163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</row>
    <row r="605" spans="1:26" ht="18.75">
      <c r="A605" s="608"/>
      <c r="B605" s="618"/>
      <c r="C605" s="618"/>
      <c r="D605" s="705" t="s">
        <v>259</v>
      </c>
      <c r="E605" s="626"/>
      <c r="F605" s="626"/>
      <c r="G605" s="762"/>
      <c r="H605" s="764" t="s">
        <v>46</v>
      </c>
      <c r="I605" s="270"/>
      <c r="J605" s="215">
        <v>160.71</v>
      </c>
      <c r="K605" s="163"/>
      <c r="L605" s="163"/>
      <c r="M605" s="163"/>
      <c r="N605" s="163"/>
      <c r="O605" s="163"/>
      <c r="P605" s="163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</row>
    <row r="606" spans="1:26" ht="18.75">
      <c r="A606" s="608"/>
      <c r="B606" s="618"/>
      <c r="C606" s="618"/>
      <c r="D606" s="618"/>
      <c r="E606" s="618"/>
      <c r="F606" s="626"/>
      <c r="G606" s="762"/>
      <c r="H606" s="764" t="s">
        <v>34</v>
      </c>
      <c r="I606" s="270"/>
      <c r="J606" s="215">
        <v>27</v>
      </c>
      <c r="K606" s="163"/>
      <c r="L606" s="163"/>
      <c r="M606" s="163"/>
      <c r="N606" s="163"/>
      <c r="O606" s="163"/>
      <c r="P606" s="163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</row>
    <row r="607" spans="1:26" ht="18.75">
      <c r="A607" s="608"/>
      <c r="B607" s="618"/>
      <c r="C607" s="618"/>
      <c r="D607" s="705" t="s">
        <v>260</v>
      </c>
      <c r="E607" s="618"/>
      <c r="F607" s="626"/>
      <c r="G607" s="762"/>
      <c r="H607" s="764" t="s">
        <v>46</v>
      </c>
      <c r="I607" s="270"/>
      <c r="J607" s="215">
        <v>4.7424999999999997</v>
      </c>
      <c r="K607" s="163"/>
      <c r="L607" s="163"/>
      <c r="M607" s="163"/>
      <c r="N607" s="163"/>
      <c r="O607" s="163"/>
      <c r="P607" s="163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</row>
    <row r="608" spans="1:26" ht="18.75">
      <c r="A608" s="608"/>
      <c r="B608" s="618"/>
      <c r="C608" s="618"/>
      <c r="D608" s="618"/>
      <c r="E608" s="626"/>
      <c r="F608" s="626"/>
      <c r="G608" s="762"/>
      <c r="H608" s="764" t="s">
        <v>34</v>
      </c>
      <c r="I608" s="270"/>
      <c r="J608" s="215">
        <v>2</v>
      </c>
      <c r="K608" s="163"/>
      <c r="L608" s="163"/>
      <c r="M608" s="163"/>
      <c r="N608" s="163"/>
      <c r="O608" s="163"/>
      <c r="P608" s="163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</row>
    <row r="609" spans="1:26" ht="18.75">
      <c r="A609" s="608"/>
      <c r="B609" s="618"/>
      <c r="C609" s="618" t="s">
        <v>261</v>
      </c>
      <c r="D609" s="618"/>
      <c r="E609" s="618"/>
      <c r="F609" s="626"/>
      <c r="G609" s="762"/>
      <c r="H609" s="764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</row>
    <row r="610" spans="1:26" ht="18.75">
      <c r="A610" s="608"/>
      <c r="B610" s="618"/>
      <c r="C610" s="618"/>
      <c r="D610" s="618"/>
      <c r="E610" s="626"/>
      <c r="F610" s="626"/>
      <c r="G610" s="762"/>
      <c r="H610" s="764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</row>
    <row r="611" spans="1:26" ht="19.5">
      <c r="A611" s="692"/>
      <c r="B611" s="706" t="s">
        <v>262</v>
      </c>
      <c r="C611" s="694"/>
      <c r="D611" s="694"/>
      <c r="E611" s="673"/>
      <c r="F611" s="673"/>
      <c r="G611" s="674"/>
      <c r="H611" s="707" t="s">
        <v>46</v>
      </c>
      <c r="I611" s="708">
        <v>0</v>
      </c>
      <c r="J611" s="708">
        <f>J614+J616</f>
        <v>0</v>
      </c>
      <c r="K611" s="677">
        <f t="shared" ref="K611:K613" si="258">IF(I611&gt;0,J611*100/I611,0)</f>
        <v>0</v>
      </c>
      <c r="L611" s="678"/>
      <c r="M611" s="678"/>
      <c r="N611" s="678"/>
      <c r="O611" s="678"/>
      <c r="P611" s="6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</row>
    <row r="612" spans="1:26" ht="19.5" hidden="1">
      <c r="A612" s="709"/>
      <c r="B612" s="719"/>
      <c r="C612" s="711" t="s">
        <v>263</v>
      </c>
      <c r="D612" s="719"/>
      <c r="E612" s="719"/>
      <c r="F612" s="712"/>
      <c r="G612" s="713"/>
      <c r="H612" s="714" t="s">
        <v>46</v>
      </c>
      <c r="I612" s="716">
        <v>0</v>
      </c>
      <c r="J612" s="716">
        <f t="shared" ref="J612:J613" si="259">J614+J616</f>
        <v>0</v>
      </c>
      <c r="K612" s="717">
        <f t="shared" si="258"/>
        <v>0</v>
      </c>
      <c r="L612" s="718"/>
      <c r="M612" s="718"/>
      <c r="N612" s="718"/>
      <c r="O612" s="718"/>
      <c r="P612" s="718"/>
      <c r="Q612" s="604"/>
      <c r="R612" s="604"/>
      <c r="S612" s="604"/>
      <c r="T612" s="604"/>
      <c r="U612" s="604"/>
      <c r="V612" s="604"/>
      <c r="W612" s="604"/>
      <c r="X612" s="604"/>
      <c r="Y612" s="604"/>
      <c r="Z612" s="604"/>
    </row>
    <row r="613" spans="1:26" ht="19.5" hidden="1">
      <c r="A613" s="709"/>
      <c r="B613" s="719"/>
      <c r="C613" s="719" t="s">
        <v>264</v>
      </c>
      <c r="D613" s="719"/>
      <c r="E613" s="719"/>
      <c r="F613" s="712"/>
      <c r="G613" s="713"/>
      <c r="H613" s="714" t="s">
        <v>34</v>
      </c>
      <c r="I613" s="716">
        <v>0</v>
      </c>
      <c r="J613" s="716">
        <f t="shared" si="259"/>
        <v>0</v>
      </c>
      <c r="K613" s="717">
        <f t="shared" si="258"/>
        <v>0</v>
      </c>
      <c r="L613" s="718"/>
      <c r="M613" s="718"/>
      <c r="N613" s="718"/>
      <c r="O613" s="718"/>
      <c r="P613" s="718"/>
      <c r="Q613" s="604"/>
      <c r="R613" s="604"/>
      <c r="S613" s="604"/>
      <c r="T613" s="604"/>
      <c r="U613" s="604"/>
      <c r="V613" s="604"/>
      <c r="W613" s="604"/>
      <c r="X613" s="604"/>
      <c r="Y613" s="604"/>
      <c r="Z613" s="604"/>
    </row>
    <row r="614" spans="1:26" ht="18.75" hidden="1">
      <c r="A614" s="614"/>
      <c r="B614" s="616"/>
      <c r="C614" s="616"/>
      <c r="D614" s="720" t="s">
        <v>265</v>
      </c>
      <c r="E614" s="616"/>
      <c r="F614" s="720"/>
      <c r="G614" s="366"/>
      <c r="H614" s="370" t="s">
        <v>46</v>
      </c>
      <c r="I614" s="617"/>
      <c r="J614" s="617">
        <v>0</v>
      </c>
      <c r="K614" s="167"/>
      <c r="L614" s="167"/>
      <c r="M614" s="167"/>
      <c r="N614" s="167"/>
      <c r="O614" s="167"/>
      <c r="P614" s="167"/>
      <c r="Q614" s="604"/>
      <c r="R614" s="604"/>
      <c r="S614" s="604"/>
      <c r="T614" s="604"/>
      <c r="U614" s="604"/>
      <c r="V614" s="604"/>
      <c r="W614" s="604"/>
      <c r="X614" s="604"/>
      <c r="Y614" s="604"/>
      <c r="Z614" s="604"/>
    </row>
    <row r="615" spans="1:26" ht="18.75" hidden="1">
      <c r="A615" s="614"/>
      <c r="B615" s="616"/>
      <c r="C615" s="616"/>
      <c r="D615" s="616"/>
      <c r="E615" s="616"/>
      <c r="F615" s="720"/>
      <c r="G615" s="366"/>
      <c r="H615" s="370" t="s">
        <v>34</v>
      </c>
      <c r="I615" s="617"/>
      <c r="J615" s="617">
        <v>0</v>
      </c>
      <c r="K615" s="167"/>
      <c r="L615" s="167"/>
      <c r="M615" s="167"/>
      <c r="N615" s="167"/>
      <c r="O615" s="167"/>
      <c r="P615" s="167"/>
      <c r="Q615" s="604"/>
      <c r="R615" s="604"/>
      <c r="S615" s="604"/>
      <c r="T615" s="604"/>
      <c r="U615" s="604"/>
      <c r="V615" s="604"/>
      <c r="W615" s="604"/>
      <c r="X615" s="604"/>
      <c r="Y615" s="604"/>
      <c r="Z615" s="604"/>
    </row>
    <row r="616" spans="1:26" ht="18.75" hidden="1">
      <c r="A616" s="614"/>
      <c r="B616" s="616"/>
      <c r="C616" s="616"/>
      <c r="D616" s="721" t="s">
        <v>265</v>
      </c>
      <c r="E616" s="720"/>
      <c r="F616" s="720"/>
      <c r="G616" s="366"/>
      <c r="H616" s="370" t="s">
        <v>46</v>
      </c>
      <c r="I616" s="617"/>
      <c r="J616" s="617">
        <v>0</v>
      </c>
      <c r="K616" s="167"/>
      <c r="L616" s="167"/>
      <c r="M616" s="167"/>
      <c r="N616" s="167"/>
      <c r="O616" s="167"/>
      <c r="P616" s="167"/>
      <c r="Q616" s="604"/>
      <c r="R616" s="604"/>
      <c r="S616" s="604"/>
      <c r="T616" s="604"/>
      <c r="U616" s="604"/>
      <c r="V616" s="604"/>
      <c r="W616" s="604"/>
      <c r="X616" s="604"/>
      <c r="Y616" s="604"/>
      <c r="Z616" s="604"/>
    </row>
    <row r="617" spans="1:26" ht="18.75" hidden="1">
      <c r="A617" s="614"/>
      <c r="B617" s="616"/>
      <c r="C617" s="616"/>
      <c r="D617" s="616"/>
      <c r="E617" s="720"/>
      <c r="F617" s="720"/>
      <c r="G617" s="366"/>
      <c r="H617" s="370" t="s">
        <v>34</v>
      </c>
      <c r="I617" s="617"/>
      <c r="J617" s="617">
        <v>0</v>
      </c>
      <c r="K617" s="167"/>
      <c r="L617" s="167"/>
      <c r="M617" s="167"/>
      <c r="N617" s="167"/>
      <c r="O617" s="167"/>
      <c r="P617" s="167"/>
      <c r="Q617" s="604"/>
      <c r="R617" s="604"/>
      <c r="S617" s="604"/>
      <c r="T617" s="604"/>
      <c r="U617" s="604"/>
      <c r="V617" s="604"/>
      <c r="W617" s="604"/>
      <c r="X617" s="604"/>
      <c r="Y617" s="604"/>
      <c r="Z617" s="604"/>
    </row>
    <row r="618" spans="1:26" ht="18.75" hidden="1">
      <c r="A618" s="614"/>
      <c r="B618" s="616"/>
      <c r="C618" s="616"/>
      <c r="D618" s="721" t="s">
        <v>266</v>
      </c>
      <c r="E618" s="720"/>
      <c r="F618" s="720"/>
      <c r="G618" s="366"/>
      <c r="H618" s="370" t="s">
        <v>46</v>
      </c>
      <c r="I618" s="617"/>
      <c r="J618" s="617">
        <v>0</v>
      </c>
      <c r="K618" s="167"/>
      <c r="L618" s="167"/>
      <c r="M618" s="167"/>
      <c r="N618" s="167"/>
      <c r="O618" s="167"/>
      <c r="P618" s="167"/>
      <c r="Q618" s="604"/>
      <c r="R618" s="604"/>
      <c r="S618" s="604"/>
      <c r="T618" s="604"/>
      <c r="U618" s="604"/>
      <c r="V618" s="604"/>
      <c r="W618" s="604"/>
      <c r="X618" s="604"/>
      <c r="Y618" s="604"/>
      <c r="Z618" s="604"/>
    </row>
    <row r="619" spans="1:26" ht="18.75" hidden="1">
      <c r="A619" s="614"/>
      <c r="B619" s="616"/>
      <c r="C619" s="616"/>
      <c r="D619" s="616"/>
      <c r="E619" s="720"/>
      <c r="F619" s="720"/>
      <c r="G619" s="366"/>
      <c r="H619" s="370" t="s">
        <v>34</v>
      </c>
      <c r="I619" s="617"/>
      <c r="J619" s="617">
        <v>0</v>
      </c>
      <c r="K619" s="167"/>
      <c r="L619" s="167"/>
      <c r="M619" s="167"/>
      <c r="N619" s="167"/>
      <c r="O619" s="167"/>
      <c r="P619" s="167"/>
      <c r="Q619" s="604"/>
      <c r="R619" s="604"/>
      <c r="S619" s="604"/>
      <c r="T619" s="604"/>
      <c r="U619" s="604"/>
      <c r="V619" s="604"/>
      <c r="W619" s="604"/>
      <c r="X619" s="604"/>
      <c r="Y619" s="604"/>
      <c r="Z619" s="604"/>
    </row>
    <row r="620" spans="1:26" ht="19.5">
      <c r="A620" s="722"/>
      <c r="B620" s="731"/>
      <c r="C620" s="724" t="s">
        <v>267</v>
      </c>
      <c r="D620" s="731"/>
      <c r="E620" s="731"/>
      <c r="F620" s="725"/>
      <c r="G620" s="726"/>
      <c r="H620" s="727" t="s">
        <v>46</v>
      </c>
      <c r="I620" s="728">
        <f ca="1">IFERROR(__xludf.DUMMYFUNCTION("IMPORTRANGE(""https://docs.google.com/spreadsheets/d/1QqKyyYR6Q21VydFLVH3TRQUabQu_ym0Zz7PgGX0-kHA/edit?usp=sharing"",""แผน!HL44"")"),621)</f>
        <v>621</v>
      </c>
      <c r="J620" s="728">
        <f t="shared" ref="J620:J621" si="260">J622+J624+J626</f>
        <v>621</v>
      </c>
      <c r="K620" s="729">
        <f t="shared" ref="K620:K621" ca="1" si="261">IF(I620&gt;0,J620*100/I620,0)</f>
        <v>100</v>
      </c>
      <c r="L620" s="730"/>
      <c r="M620" s="730"/>
      <c r="N620" s="730"/>
      <c r="O620" s="730"/>
      <c r="P620" s="730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</row>
    <row r="621" spans="1:26" ht="19.5">
      <c r="A621" s="722"/>
      <c r="B621" s="731"/>
      <c r="C621" s="731" t="s">
        <v>268</v>
      </c>
      <c r="D621" s="731"/>
      <c r="E621" s="731"/>
      <c r="F621" s="725"/>
      <c r="G621" s="726"/>
      <c r="H621" s="727" t="s">
        <v>34</v>
      </c>
      <c r="I621" s="728">
        <f ca="1">IFERROR(__xludf.DUMMYFUNCTION("IMPORTRANGE(""https://docs.google.com/spreadsheets/d/1QqKyyYR6Q21VydFLVH3TRQUabQu_ym0Zz7PgGX0-kHA/edit?usp=sharing"",""แผน!HK44"")"),53)</f>
        <v>53</v>
      </c>
      <c r="J621" s="728">
        <f t="shared" si="260"/>
        <v>53</v>
      </c>
      <c r="K621" s="729">
        <f t="shared" ca="1" si="261"/>
        <v>100</v>
      </c>
      <c r="L621" s="730"/>
      <c r="M621" s="730"/>
      <c r="N621" s="730"/>
      <c r="O621" s="730"/>
      <c r="P621" s="730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</row>
    <row r="622" spans="1:26" ht="18.75">
      <c r="A622" s="608"/>
      <c r="B622" s="618"/>
      <c r="C622" s="618"/>
      <c r="D622" s="746" t="s">
        <v>269</v>
      </c>
      <c r="E622" s="626"/>
      <c r="F622" s="626"/>
      <c r="G622" s="762"/>
      <c r="H622" s="764" t="s">
        <v>46</v>
      </c>
      <c r="I622" s="270"/>
      <c r="J622" s="215">
        <v>323</v>
      </c>
      <c r="K622" s="163"/>
      <c r="L622" s="163"/>
      <c r="M622" s="163"/>
      <c r="N622" s="163"/>
      <c r="O622" s="163"/>
      <c r="P622" s="163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</row>
    <row r="623" spans="1:26" ht="18.75">
      <c r="A623" s="608"/>
      <c r="B623" s="618"/>
      <c r="C623" s="618"/>
      <c r="D623" s="618"/>
      <c r="E623" s="626"/>
      <c r="F623" s="626"/>
      <c r="G623" s="762"/>
      <c r="H623" s="764" t="s">
        <v>34</v>
      </c>
      <c r="I623" s="270"/>
      <c r="J623" s="215">
        <v>21</v>
      </c>
      <c r="K623" s="163"/>
      <c r="L623" s="163"/>
      <c r="M623" s="163"/>
      <c r="N623" s="163"/>
      <c r="O623" s="163"/>
      <c r="P623" s="163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</row>
    <row r="624" spans="1:26" ht="18.75">
      <c r="A624" s="608"/>
      <c r="B624" s="618"/>
      <c r="C624" s="618"/>
      <c r="D624" s="746" t="s">
        <v>265</v>
      </c>
      <c r="E624" s="626"/>
      <c r="F624" s="626"/>
      <c r="G624" s="762"/>
      <c r="H624" s="764" t="s">
        <v>46</v>
      </c>
      <c r="I624" s="270"/>
      <c r="J624" s="215">
        <v>291</v>
      </c>
      <c r="K624" s="163"/>
      <c r="L624" s="163"/>
      <c r="M624" s="163"/>
      <c r="N624" s="163"/>
      <c r="O624" s="163"/>
      <c r="P624" s="163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</row>
    <row r="625" spans="1:26" ht="18.75">
      <c r="A625" s="608"/>
      <c r="B625" s="618"/>
      <c r="C625" s="618"/>
      <c r="D625" s="618"/>
      <c r="E625" s="626"/>
      <c r="F625" s="626"/>
      <c r="G625" s="762"/>
      <c r="H625" s="764" t="s">
        <v>34</v>
      </c>
      <c r="I625" s="270"/>
      <c r="J625" s="215">
        <v>30</v>
      </c>
      <c r="K625" s="163"/>
      <c r="L625" s="163"/>
      <c r="M625" s="163"/>
      <c r="N625" s="163"/>
      <c r="O625" s="163"/>
      <c r="P625" s="163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</row>
    <row r="626" spans="1:26" ht="18.75">
      <c r="A626" s="608"/>
      <c r="B626" s="618"/>
      <c r="C626" s="618"/>
      <c r="D626" s="746" t="s">
        <v>270</v>
      </c>
      <c r="E626" s="626"/>
      <c r="F626" s="626"/>
      <c r="G626" s="762"/>
      <c r="H626" s="764" t="s">
        <v>46</v>
      </c>
      <c r="I626" s="270"/>
      <c r="J626" s="215">
        <v>7</v>
      </c>
      <c r="K626" s="163"/>
      <c r="L626" s="163"/>
      <c r="M626" s="163"/>
      <c r="N626" s="163"/>
      <c r="O626" s="163"/>
      <c r="P626" s="163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</row>
    <row r="627" spans="1:26" ht="18.75">
      <c r="A627" s="732"/>
      <c r="B627" s="733"/>
      <c r="C627" s="733"/>
      <c r="D627" s="733"/>
      <c r="E627" s="734"/>
      <c r="F627" s="734"/>
      <c r="G627" s="735"/>
      <c r="H627" s="422" t="s">
        <v>34</v>
      </c>
      <c r="I627" s="506"/>
      <c r="J627" s="424">
        <v>2</v>
      </c>
      <c r="K627" s="385"/>
      <c r="L627" s="385"/>
      <c r="M627" s="385"/>
      <c r="N627" s="385"/>
      <c r="O627" s="385"/>
      <c r="P627" s="385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</row>
    <row r="628" spans="1:26" ht="19.5">
      <c r="A628" s="736">
        <v>7</v>
      </c>
      <c r="B628" s="737" t="s">
        <v>271</v>
      </c>
      <c r="C628" s="738"/>
      <c r="D628" s="738"/>
      <c r="E628" s="738"/>
      <c r="F628" s="738"/>
      <c r="G628" s="739"/>
      <c r="H628" s="740" t="s">
        <v>35</v>
      </c>
      <c r="I628" s="741">
        <f t="shared" ref="I628:J628" ca="1" si="262">I651</f>
        <v>350</v>
      </c>
      <c r="J628" s="741">
        <f t="shared" ca="1" si="262"/>
        <v>346</v>
      </c>
      <c r="K628" s="742">
        <f ca="1">IF(I628&gt;0,J628*100/I628,0)</f>
        <v>98.857142857142861</v>
      </c>
      <c r="L628" s="743"/>
      <c r="M628" s="743"/>
      <c r="N628" s="743"/>
      <c r="O628" s="743"/>
      <c r="P628" s="743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</row>
    <row r="629" spans="1:26" ht="19.5">
      <c r="A629" s="597"/>
      <c r="B629" s="763"/>
      <c r="C629" s="763" t="s">
        <v>16</v>
      </c>
      <c r="D629" s="863" t="s">
        <v>17</v>
      </c>
      <c r="E629" s="857"/>
      <c r="F629" s="857"/>
      <c r="G629" s="189"/>
      <c r="H629" s="598" t="s">
        <v>12</v>
      </c>
      <c r="I629" s="270"/>
      <c r="J629" s="270"/>
      <c r="K629" s="498"/>
      <c r="L629" s="195">
        <f t="shared" ref="L629:N629" ca="1" si="263">L630+L631</f>
        <v>532545</v>
      </c>
      <c r="M629" s="195">
        <f t="shared" ca="1" si="263"/>
        <v>456918.41000000003</v>
      </c>
      <c r="N629" s="195">
        <f t="shared" si="263"/>
        <v>456918.41000000003</v>
      </c>
      <c r="O629" s="195">
        <f t="shared" ref="O629:O634" ca="1" si="264">IF(L629&gt;0,N629*100/L629,0)</f>
        <v>85.799023556694735</v>
      </c>
      <c r="P629" s="195">
        <f t="shared" ref="P629:P634" ca="1" si="265">IF(M629&gt;0,N629*100/M629,0)</f>
        <v>99.999999999999986</v>
      </c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</row>
    <row r="630" spans="1:26" ht="18.75" hidden="1">
      <c r="A630" s="599"/>
      <c r="B630" s="759"/>
      <c r="C630" s="759"/>
      <c r="D630" s="720"/>
      <c r="E630" s="759" t="s">
        <v>185</v>
      </c>
      <c r="F630" s="759"/>
      <c r="G630" s="603"/>
      <c r="H630" s="165" t="s">
        <v>12</v>
      </c>
      <c r="I630" s="617"/>
      <c r="J630" s="617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4"/>
      <c r="R630" s="604"/>
      <c r="S630" s="604"/>
      <c r="T630" s="604"/>
      <c r="U630" s="604"/>
      <c r="V630" s="604"/>
      <c r="W630" s="604"/>
      <c r="X630" s="604"/>
      <c r="Y630" s="604"/>
      <c r="Z630" s="604"/>
    </row>
    <row r="631" spans="1:26" ht="18.75" hidden="1">
      <c r="A631" s="599"/>
      <c r="B631" s="607"/>
      <c r="C631" s="759"/>
      <c r="D631" s="720"/>
      <c r="E631" s="759" t="s">
        <v>186</v>
      </c>
      <c r="F631" s="759"/>
      <c r="G631" s="603"/>
      <c r="H631" s="165" t="s">
        <v>12</v>
      </c>
      <c r="I631" s="617"/>
      <c r="J631" s="617"/>
      <c r="K631" s="93"/>
      <c r="L631" s="93">
        <f t="shared" ca="1" si="266"/>
        <v>532545</v>
      </c>
      <c r="M631" s="93">
        <f t="shared" ca="1" si="266"/>
        <v>456918.41000000003</v>
      </c>
      <c r="N631" s="93">
        <f t="shared" si="266"/>
        <v>456918.41000000003</v>
      </c>
      <c r="O631" s="93">
        <f t="shared" ca="1" si="264"/>
        <v>85.799023556694735</v>
      </c>
      <c r="P631" s="93">
        <f t="shared" ca="1" si="265"/>
        <v>99.999999999999986</v>
      </c>
      <c r="Q631" s="604"/>
      <c r="R631" s="604"/>
      <c r="S631" s="604"/>
      <c r="T631" s="604"/>
      <c r="U631" s="604"/>
      <c r="V631" s="604"/>
      <c r="W631" s="604"/>
      <c r="X631" s="604"/>
      <c r="Y631" s="604"/>
      <c r="Z631" s="604"/>
    </row>
    <row r="632" spans="1:26" ht="18.75">
      <c r="A632" s="597"/>
      <c r="B632" s="575"/>
      <c r="C632" s="763"/>
      <c r="D632" s="606" t="s">
        <v>20</v>
      </c>
      <c r="E632" s="763"/>
      <c r="F632" s="763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532545</v>
      </c>
      <c r="M632" s="498">
        <f t="shared" ca="1" si="267"/>
        <v>456918.41000000003</v>
      </c>
      <c r="N632" s="498">
        <f t="shared" si="267"/>
        <v>456918.41000000003</v>
      </c>
      <c r="O632" s="498">
        <f t="shared" ca="1" si="264"/>
        <v>85.799023556694735</v>
      </c>
      <c r="P632" s="498">
        <f t="shared" ca="1" si="265"/>
        <v>99.999999999999986</v>
      </c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</row>
    <row r="633" spans="1:26" ht="18.75" hidden="1">
      <c r="A633" s="599"/>
      <c r="B633" s="607"/>
      <c r="C633" s="759"/>
      <c r="D633" s="720"/>
      <c r="E633" s="759" t="s">
        <v>185</v>
      </c>
      <c r="F633" s="759"/>
      <c r="G633" s="603"/>
      <c r="H633" s="165" t="s">
        <v>12</v>
      </c>
      <c r="I633" s="617"/>
      <c r="J633" s="617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4"/>
      <c r="R633" s="604"/>
      <c r="S633" s="604"/>
      <c r="T633" s="604"/>
      <c r="U633" s="604"/>
      <c r="V633" s="604"/>
      <c r="W633" s="604"/>
      <c r="X633" s="604"/>
      <c r="Y633" s="604"/>
      <c r="Z633" s="604"/>
    </row>
    <row r="634" spans="1:26" ht="18.75" hidden="1">
      <c r="A634" s="599"/>
      <c r="B634" s="607"/>
      <c r="C634" s="759"/>
      <c r="D634" s="720"/>
      <c r="E634" s="759" t="s">
        <v>186</v>
      </c>
      <c r="F634" s="759"/>
      <c r="G634" s="603"/>
      <c r="H634" s="165" t="s">
        <v>12</v>
      </c>
      <c r="I634" s="617"/>
      <c r="J634" s="617"/>
      <c r="K634" s="93"/>
      <c r="L634" s="93">
        <f ca="1">IFERROR(__xludf.DUMMYFUNCTION("IMPORTRANGE(""https://docs.google.com/spreadsheets/d/1QqKyyYR6Q21VydFLVH3TRQUabQu_ym0Zz7PgGX0-kHA/edit?usp=sharing"",""แผน!HN44"")"),532545)</f>
        <v>532545</v>
      </c>
      <c r="M634" s="93">
        <f ca="1">L634-75626.59</f>
        <v>456918.41000000003</v>
      </c>
      <c r="N634" s="93">
        <f>N635+N636+N637+N638</f>
        <v>456918.41000000003</v>
      </c>
      <c r="O634" s="93">
        <f t="shared" ca="1" si="264"/>
        <v>85.799023556694735</v>
      </c>
      <c r="P634" s="93">
        <f t="shared" ca="1" si="265"/>
        <v>99.999999999999986</v>
      </c>
      <c r="Q634" s="604"/>
      <c r="R634" s="604"/>
      <c r="S634" s="604"/>
      <c r="T634" s="604"/>
      <c r="U634" s="604"/>
      <c r="V634" s="604"/>
      <c r="W634" s="604"/>
      <c r="X634" s="604"/>
      <c r="Y634" s="604"/>
      <c r="Z634" s="604"/>
    </row>
    <row r="635" spans="1:26" ht="18.75">
      <c r="A635" s="574"/>
      <c r="B635" s="575"/>
      <c r="C635" s="763"/>
      <c r="D635" s="763"/>
      <c r="E635" s="763"/>
      <c r="F635" s="763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40">
        <v>0</v>
      </c>
      <c r="O635" s="498"/>
      <c r="P635" s="49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</row>
    <row r="636" spans="1:26" ht="18.75">
      <c r="A636" s="574"/>
      <c r="B636" s="575"/>
      <c r="C636" s="763"/>
      <c r="D636" s="763"/>
      <c r="E636" s="763"/>
      <c r="F636" s="763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40">
        <v>0</v>
      </c>
      <c r="O636" s="498"/>
      <c r="P636" s="49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</row>
    <row r="637" spans="1:26" ht="18.75">
      <c r="A637" s="574"/>
      <c r="B637" s="575"/>
      <c r="C637" s="763"/>
      <c r="D637" s="763"/>
      <c r="E637" s="763"/>
      <c r="F637" s="763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40">
        <v>115699.91</v>
      </c>
      <c r="O637" s="498"/>
      <c r="P637" s="498"/>
      <c r="Q637" s="578"/>
      <c r="R637" s="578"/>
      <c r="S637" s="578"/>
      <c r="T637" s="578"/>
      <c r="U637" s="578"/>
      <c r="V637" s="578"/>
      <c r="W637" s="578"/>
      <c r="X637" s="578"/>
      <c r="Y637" s="578"/>
      <c r="Z637" s="578"/>
    </row>
    <row r="638" spans="1:26" ht="18.75">
      <c r="A638" s="574"/>
      <c r="B638" s="575"/>
      <c r="C638" s="763"/>
      <c r="D638" s="763"/>
      <c r="E638" s="763"/>
      <c r="F638" s="763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40">
        <v>341218.5</v>
      </c>
      <c r="O638" s="498"/>
      <c r="P638" s="49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</row>
    <row r="639" spans="1:26" ht="18.75">
      <c r="A639" s="597"/>
      <c r="B639" s="575"/>
      <c r="C639" s="763"/>
      <c r="D639" s="606" t="s">
        <v>21</v>
      </c>
      <c r="E639" s="763"/>
      <c r="F639" s="763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</row>
    <row r="640" spans="1:26" ht="18.75" hidden="1">
      <c r="A640" s="599"/>
      <c r="B640" s="607"/>
      <c r="C640" s="759"/>
      <c r="D640" s="759"/>
      <c r="E640" s="759" t="s">
        <v>18</v>
      </c>
      <c r="F640" s="759"/>
      <c r="G640" s="603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4"/>
      <c r="R640" s="604"/>
      <c r="S640" s="604"/>
      <c r="T640" s="604"/>
      <c r="U640" s="604"/>
      <c r="V640" s="604"/>
      <c r="W640" s="604"/>
      <c r="X640" s="604"/>
      <c r="Y640" s="604"/>
      <c r="Z640" s="604"/>
    </row>
    <row r="641" spans="1:26" ht="18.75" hidden="1">
      <c r="A641" s="599"/>
      <c r="B641" s="607"/>
      <c r="C641" s="759"/>
      <c r="D641" s="759"/>
      <c r="E641" s="759" t="s">
        <v>19</v>
      </c>
      <c r="F641" s="759"/>
      <c r="G641" s="603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4"/>
      <c r="R641" s="604"/>
      <c r="S641" s="604"/>
      <c r="T641" s="604"/>
      <c r="U641" s="604"/>
      <c r="V641" s="604"/>
      <c r="W641" s="604"/>
      <c r="X641" s="604"/>
      <c r="Y641" s="604"/>
      <c r="Z641" s="604"/>
    </row>
    <row r="642" spans="1:26" ht="19.5">
      <c r="A642" s="608"/>
      <c r="B642" s="618"/>
      <c r="C642" s="763" t="s">
        <v>16</v>
      </c>
      <c r="D642" s="896" t="s">
        <v>38</v>
      </c>
      <c r="E642" s="761"/>
      <c r="F642" s="761"/>
      <c r="G642" s="613"/>
      <c r="H642" s="762"/>
      <c r="I642" s="184"/>
      <c r="J642" s="184"/>
      <c r="K642" s="163"/>
      <c r="L642" s="163"/>
      <c r="M642" s="163"/>
      <c r="N642" s="163"/>
      <c r="O642" s="163"/>
      <c r="P642" s="163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</row>
    <row r="643" spans="1:26" ht="18.75">
      <c r="A643" s="744"/>
      <c r="B643" s="575"/>
      <c r="C643" s="763"/>
      <c r="D643" s="626"/>
      <c r="E643" s="746" t="s">
        <v>272</v>
      </c>
      <c r="F643" s="626"/>
      <c r="G643" s="762"/>
      <c r="H643" s="764" t="s">
        <v>273</v>
      </c>
      <c r="I643" s="270">
        <f ca="1">IFERROR(__xludf.DUMMYFUNCTION("IMPORTRANGE(""https://docs.google.com/spreadsheets/d/1QqKyyYR6Q21VydFLVH3TRQUabQu_ym0Zz7PgGX0-kHA/edit?usp=sharing"",""แผน!HR44"")"),0)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</row>
    <row r="644" spans="1:26" ht="18.75">
      <c r="A644" s="744"/>
      <c r="B644" s="575"/>
      <c r="C644" s="763"/>
      <c r="D644" s="626"/>
      <c r="E644" s="746" t="s">
        <v>274</v>
      </c>
      <c r="F644" s="626"/>
      <c r="G644" s="762"/>
      <c r="H644" s="764" t="s">
        <v>275</v>
      </c>
      <c r="I644" s="270">
        <f ca="1">IFERROR(__xludf.DUMMYFUNCTION("IMPORTRANGE(""https://docs.google.com/spreadsheets/d/1QqKyyYR6Q21VydFLVH3TRQUabQu_ym0Zz7PgGX0-kHA/edit?usp=sharing"",""แผน!HR44"")"),0)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</row>
    <row r="645" spans="1:26" ht="18.75">
      <c r="A645" s="744"/>
      <c r="B645" s="575"/>
      <c r="C645" s="763"/>
      <c r="D645" s="626"/>
      <c r="E645" s="746" t="s">
        <v>276</v>
      </c>
      <c r="F645" s="626"/>
      <c r="G645" s="762"/>
      <c r="H645" s="76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IFERROR(__xludf.DUMMYFUNCTION("IMPORTRANGE(""https://docs.google.com/spreadsheets/d/1XWAQStnk-4SwqDmLtmXYiTMKHgktTP8We1SCoS47DrQ/edit?usp=sharing"",""จัดที่ดิน!AS44"")"),380)</f>
        <v>380</v>
      </c>
      <c r="K645" s="163">
        <f t="shared" si="271"/>
        <v>0</v>
      </c>
      <c r="L645" s="163"/>
      <c r="M645" s="163"/>
      <c r="N645" s="498"/>
      <c r="O645" s="163"/>
      <c r="P645" s="163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</row>
    <row r="646" spans="1:26" ht="18.75">
      <c r="A646" s="744"/>
      <c r="B646" s="575"/>
      <c r="C646" s="763"/>
      <c r="D646" s="626"/>
      <c r="E646" s="626"/>
      <c r="F646" s="626"/>
      <c r="G646" s="762"/>
      <c r="H646" s="76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IFERROR(__xludf.DUMMYFUNCTION("IMPORTRANGE(""https://docs.google.com/spreadsheets/d/1XWAQStnk-4SwqDmLtmXYiTMKHgktTP8We1SCoS47DrQ/edit?usp=sharing"",""จัดที่ดิน!AT44"")"),213.89)</f>
        <v>213.89</v>
      </c>
      <c r="K646" s="498">
        <f t="shared" si="271"/>
        <v>0</v>
      </c>
      <c r="L646" s="163"/>
      <c r="M646" s="163"/>
      <c r="N646" s="498"/>
      <c r="O646" s="163"/>
      <c r="P646" s="163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</row>
    <row r="647" spans="1:26" ht="18.75">
      <c r="A647" s="744"/>
      <c r="B647" s="575"/>
      <c r="C647" s="763"/>
      <c r="D647" s="626"/>
      <c r="E647" s="746" t="s">
        <v>162</v>
      </c>
      <c r="F647" s="626"/>
      <c r="G647" s="762"/>
      <c r="H647" s="764" t="s">
        <v>35</v>
      </c>
      <c r="I647" s="270">
        <f ca="1">IFERROR(__xludf.DUMMYFUNCTION("IMPORTRANGE(""https://docs.google.com/spreadsheets/d/1QqKyyYR6Q21VydFLVH3TRQUabQu_ym0Zz7PgGX0-kHA/edit?usp=sharing"",""แผน!HS44"")"),350)</f>
        <v>350</v>
      </c>
      <c r="J647" s="270">
        <f ca="1">IFERROR(__xludf.DUMMYFUNCTION("IMPORTRANGE(""https://docs.google.com/spreadsheets/d/1XWAQStnk-4SwqDmLtmXYiTMKHgktTP8We1SCoS47DrQ/edit?usp=sharing"",""จัดที่ดิน!AU44"")"),443)</f>
        <v>443</v>
      </c>
      <c r="K647" s="163">
        <f t="shared" ca="1" si="271"/>
        <v>126.57142857142857</v>
      </c>
      <c r="L647" s="163"/>
      <c r="M647" s="163"/>
      <c r="N647" s="163"/>
      <c r="O647" s="163"/>
      <c r="P647" s="163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</row>
    <row r="648" spans="1:26" ht="18.75">
      <c r="A648" s="744"/>
      <c r="B648" s="575"/>
      <c r="C648" s="763"/>
      <c r="D648" s="626"/>
      <c r="E648" s="626"/>
      <c r="F648" s="626"/>
      <c r="G648" s="762"/>
      <c r="H648" s="76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IFERROR(__xludf.DUMMYFUNCTION("IMPORTRANGE(""https://docs.google.com/spreadsheets/d/1XWAQStnk-4SwqDmLtmXYiTMKHgktTP8We1SCoS47DrQ/edit?usp=sharing"",""จัดที่ดิน!AV44"")"),258.83)</f>
        <v>258.83</v>
      </c>
      <c r="K648" s="498">
        <f t="shared" si="271"/>
        <v>0</v>
      </c>
      <c r="L648" s="163"/>
      <c r="M648" s="163"/>
      <c r="N648" s="163"/>
      <c r="O648" s="163"/>
      <c r="P648" s="163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</row>
    <row r="649" spans="1:26" ht="18.75">
      <c r="A649" s="744"/>
      <c r="B649" s="575"/>
      <c r="C649" s="763"/>
      <c r="D649" s="626"/>
      <c r="E649" s="746" t="s">
        <v>277</v>
      </c>
      <c r="F649" s="626"/>
      <c r="G649" s="762"/>
      <c r="H649" s="764" t="s">
        <v>35</v>
      </c>
      <c r="I649" s="270">
        <f ca="1">IFERROR(__xludf.DUMMYFUNCTION("IMPORTRANGE(""https://docs.google.com/spreadsheets/d/1QqKyyYR6Q21VydFLVH3TRQUabQu_ym0Zz7PgGX0-kHA/edit?usp=sharing"",""แผน!HS44"")"),350)</f>
        <v>350</v>
      </c>
      <c r="J649" s="270">
        <f ca="1">IFERROR(__xludf.DUMMYFUNCTION("IMPORTRANGE(""https://docs.google.com/spreadsheets/d/1XWAQStnk-4SwqDmLtmXYiTMKHgktTP8We1SCoS47DrQ/edit?usp=sharing"",""จัดที่ดิน!AW44"")"),380)</f>
        <v>380</v>
      </c>
      <c r="K649" s="163">
        <f t="shared" ca="1" si="271"/>
        <v>108.57142857142857</v>
      </c>
      <c r="L649" s="163"/>
      <c r="M649" s="163"/>
      <c r="N649" s="163"/>
      <c r="O649" s="163"/>
      <c r="P649" s="163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</row>
    <row r="650" spans="1:26" ht="18.75">
      <c r="A650" s="744"/>
      <c r="B650" s="575"/>
      <c r="C650" s="763"/>
      <c r="D650" s="626"/>
      <c r="E650" s="626"/>
      <c r="F650" s="626"/>
      <c r="G650" s="762"/>
      <c r="H650" s="76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IFERROR(__xludf.DUMMYFUNCTION("IMPORTRANGE(""https://docs.google.com/spreadsheets/d/1XWAQStnk-4SwqDmLtmXYiTMKHgktTP8We1SCoS47DrQ/edit?usp=sharing"",""จัดที่ดิน!AX44"")"),209.1)</f>
        <v>209.1</v>
      </c>
      <c r="K650" s="498">
        <f t="shared" si="271"/>
        <v>0</v>
      </c>
      <c r="L650" s="163"/>
      <c r="M650" s="163"/>
      <c r="N650" s="163"/>
      <c r="O650" s="163"/>
      <c r="P650" s="163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</row>
    <row r="651" spans="1:26" ht="18.75">
      <c r="A651" s="744"/>
      <c r="B651" s="575"/>
      <c r="C651" s="763"/>
      <c r="D651" s="626"/>
      <c r="E651" s="746" t="s">
        <v>278</v>
      </c>
      <c r="F651" s="626"/>
      <c r="G651" s="762"/>
      <c r="H651" s="764" t="s">
        <v>35</v>
      </c>
      <c r="I651" s="270">
        <f ca="1">IFERROR(__xludf.DUMMYFUNCTION("IMPORTRANGE(""https://docs.google.com/spreadsheets/d/1QqKyyYR6Q21VydFLVH3TRQUabQu_ym0Zz7PgGX0-kHA/edit?usp=sharing"",""แผน!HS44"")"),350)</f>
        <v>350</v>
      </c>
      <c r="J651" s="270">
        <f ca="1">IFERROR(__xludf.DUMMYFUNCTION("IMPORTRANGE(""https://docs.google.com/spreadsheets/d/1XWAQStnk-4SwqDmLtmXYiTMKHgktTP8We1SCoS47DrQ/edit?usp=sharing"",""จัดที่ดิน!AY44"")"),346)</f>
        <v>346</v>
      </c>
      <c r="K651" s="163">
        <f t="shared" ca="1" si="271"/>
        <v>98.857142857142861</v>
      </c>
      <c r="L651" s="163"/>
      <c r="M651" s="163"/>
      <c r="N651" s="163"/>
      <c r="O651" s="163"/>
      <c r="P651" s="163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</row>
    <row r="652" spans="1:26" ht="18.75">
      <c r="A652" s="74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8"/>
      <c r="C652" s="749"/>
      <c r="D652" s="734"/>
      <c r="E652" s="734"/>
      <c r="F652" s="734"/>
      <c r="G652" s="735"/>
      <c r="H652" s="505" t="s">
        <v>46</v>
      </c>
      <c r="I652" s="506">
        <v>0</v>
      </c>
      <c r="J652" s="506">
        <f ca="1">IFERROR(__xludf.DUMMYFUNCTION("IMPORTRANGE(""https://docs.google.com/spreadsheets/d/1XWAQStnk-4SwqDmLtmXYiTMKHgktTP8We1SCoS47DrQ/edit?usp=sharing"",""จัดที่ดิน!AZ44"")"),187.185)</f>
        <v>187.185</v>
      </c>
      <c r="K652" s="507">
        <f t="shared" si="271"/>
        <v>0</v>
      </c>
      <c r="L652" s="385"/>
      <c r="M652" s="385"/>
      <c r="N652" s="385"/>
      <c r="O652" s="385"/>
      <c r="P652" s="385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</row>
    <row r="653" spans="1:26" ht="19.5">
      <c r="A653" s="750">
        <v>8</v>
      </c>
      <c r="B653" s="737" t="s">
        <v>279</v>
      </c>
      <c r="C653" s="738"/>
      <c r="D653" s="738"/>
      <c r="E653" s="738"/>
      <c r="F653" s="738"/>
      <c r="G653" s="739"/>
      <c r="H653" s="739"/>
      <c r="I653" s="751"/>
      <c r="J653" s="751"/>
      <c r="K653" s="743"/>
      <c r="L653" s="743"/>
      <c r="M653" s="743"/>
      <c r="N653" s="743"/>
      <c r="O653" s="743"/>
      <c r="P653" s="743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</row>
    <row r="654" spans="1:26" ht="19.5">
      <c r="A654" s="673"/>
      <c r="B654" s="672" t="s">
        <v>280</v>
      </c>
      <c r="C654" s="673"/>
      <c r="D654" s="673"/>
      <c r="E654" s="673"/>
      <c r="F654" s="673"/>
      <c r="G654" s="674"/>
      <c r="H654" s="707" t="s">
        <v>46</v>
      </c>
      <c r="I654" s="708">
        <f t="shared" ref="I654:J654" ca="1" si="272">I669</f>
        <v>100</v>
      </c>
      <c r="J654" s="708">
        <f t="shared" si="272"/>
        <v>0</v>
      </c>
      <c r="K654" s="677">
        <f ca="1">IF(I654&gt;0,J654*100/I654,0)</f>
        <v>0</v>
      </c>
      <c r="L654" s="678"/>
      <c r="M654" s="678"/>
      <c r="N654" s="678"/>
      <c r="O654" s="678"/>
      <c r="P654" s="6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</row>
    <row r="655" spans="1:26" ht="19.5">
      <c r="A655" s="597"/>
      <c r="B655" s="763"/>
      <c r="C655" s="763" t="s">
        <v>16</v>
      </c>
      <c r="D655" s="863" t="s">
        <v>17</v>
      </c>
      <c r="E655" s="857"/>
      <c r="F655" s="857"/>
      <c r="G655" s="189"/>
      <c r="H655" s="598" t="s">
        <v>12</v>
      </c>
      <c r="I655" s="270"/>
      <c r="J655" s="270"/>
      <c r="K655" s="498"/>
      <c r="L655" s="195">
        <f t="shared" ref="L655:N655" ca="1" si="273">L656+L657</f>
        <v>15600</v>
      </c>
      <c r="M655" s="195">
        <f t="shared" ca="1" si="273"/>
        <v>25270</v>
      </c>
      <c r="N655" s="195">
        <f t="shared" si="273"/>
        <v>25270</v>
      </c>
      <c r="O655" s="195">
        <f t="shared" ref="O655:O660" ca="1" si="274">IF(L655&gt;0,N655*100/L655,0)</f>
        <v>161.98717948717947</v>
      </c>
      <c r="P655" s="195">
        <f t="shared" ref="P655:P660" ca="1" si="275">IF(M655&gt;0,N655*100/M655,0)</f>
        <v>100</v>
      </c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</row>
    <row r="656" spans="1:26" ht="18.75" hidden="1">
      <c r="A656" s="599"/>
      <c r="B656" s="759"/>
      <c r="C656" s="759"/>
      <c r="D656" s="720"/>
      <c r="E656" s="759" t="s">
        <v>185</v>
      </c>
      <c r="F656" s="759"/>
      <c r="G656" s="603"/>
      <c r="H656" s="165" t="s">
        <v>12</v>
      </c>
      <c r="I656" s="617"/>
      <c r="J656" s="617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4"/>
      <c r="R656" s="604"/>
      <c r="S656" s="604"/>
      <c r="T656" s="604"/>
      <c r="U656" s="604"/>
      <c r="V656" s="604"/>
      <c r="W656" s="604"/>
      <c r="X656" s="604"/>
      <c r="Y656" s="604"/>
      <c r="Z656" s="604"/>
    </row>
    <row r="657" spans="1:26" ht="18.75" hidden="1">
      <c r="A657" s="599"/>
      <c r="B657" s="607"/>
      <c r="C657" s="759"/>
      <c r="D657" s="720"/>
      <c r="E657" s="759" t="s">
        <v>186</v>
      </c>
      <c r="F657" s="759"/>
      <c r="G657" s="603"/>
      <c r="H657" s="165" t="s">
        <v>12</v>
      </c>
      <c r="I657" s="617"/>
      <c r="J657" s="617"/>
      <c r="K657" s="93"/>
      <c r="L657" s="93">
        <f t="shared" ca="1" si="276"/>
        <v>15600</v>
      </c>
      <c r="M657" s="93">
        <f t="shared" ca="1" si="276"/>
        <v>25270</v>
      </c>
      <c r="N657" s="93">
        <f t="shared" si="276"/>
        <v>25270</v>
      </c>
      <c r="O657" s="93">
        <f t="shared" ca="1" si="274"/>
        <v>161.98717948717947</v>
      </c>
      <c r="P657" s="93">
        <f t="shared" ca="1" si="275"/>
        <v>100</v>
      </c>
      <c r="Q657" s="604"/>
      <c r="R657" s="604"/>
      <c r="S657" s="604"/>
      <c r="T657" s="604"/>
      <c r="U657" s="604"/>
      <c r="V657" s="604"/>
      <c r="W657" s="604"/>
      <c r="X657" s="604"/>
      <c r="Y657" s="604"/>
      <c r="Z657" s="604"/>
    </row>
    <row r="658" spans="1:26" ht="18.75">
      <c r="A658" s="597"/>
      <c r="B658" s="575"/>
      <c r="C658" s="763"/>
      <c r="D658" s="606" t="s">
        <v>20</v>
      </c>
      <c r="E658" s="763"/>
      <c r="F658" s="763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15600</v>
      </c>
      <c r="M658" s="498">
        <f t="shared" ca="1" si="277"/>
        <v>25270</v>
      </c>
      <c r="N658" s="498">
        <f t="shared" si="277"/>
        <v>25270</v>
      </c>
      <c r="O658" s="498">
        <f t="shared" ca="1" si="274"/>
        <v>161.98717948717947</v>
      </c>
      <c r="P658" s="498">
        <f t="shared" ca="1" si="275"/>
        <v>100</v>
      </c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</row>
    <row r="659" spans="1:26" ht="18.75" hidden="1">
      <c r="A659" s="599"/>
      <c r="B659" s="607"/>
      <c r="C659" s="759"/>
      <c r="D659" s="720"/>
      <c r="E659" s="759" t="s">
        <v>185</v>
      </c>
      <c r="F659" s="759"/>
      <c r="G659" s="603"/>
      <c r="H659" s="165" t="s">
        <v>12</v>
      </c>
      <c r="I659" s="617"/>
      <c r="J659" s="617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4"/>
      <c r="R659" s="604"/>
      <c r="S659" s="604"/>
      <c r="T659" s="604"/>
      <c r="U659" s="604"/>
      <c r="V659" s="604"/>
      <c r="W659" s="604"/>
      <c r="X659" s="604"/>
      <c r="Y659" s="604"/>
      <c r="Z659" s="604"/>
    </row>
    <row r="660" spans="1:26" ht="18.75" hidden="1">
      <c r="A660" s="599"/>
      <c r="B660" s="607"/>
      <c r="C660" s="759"/>
      <c r="D660" s="720"/>
      <c r="E660" s="759" t="s">
        <v>186</v>
      </c>
      <c r="F660" s="759"/>
      <c r="G660" s="603"/>
      <c r="H660" s="165" t="s">
        <v>12</v>
      </c>
      <c r="I660" s="617"/>
      <c r="J660" s="617"/>
      <c r="K660" s="93"/>
      <c r="L660" s="93">
        <f ca="1">IFERROR(__xludf.DUMMYFUNCTION("IMPORTRANGE(""https://docs.google.com/spreadsheets/d/1QqKyyYR6Q21VydFLVH3TRQUabQu_ym0Zz7PgGX0-kHA/edit?usp=sharing"",""แผน!HV44"")"),15600)</f>
        <v>15600</v>
      </c>
      <c r="M660" s="93">
        <f ca="1">L660+9670</f>
        <v>25270</v>
      </c>
      <c r="N660" s="93">
        <f>N661+N662+N663+N664</f>
        <v>25270</v>
      </c>
      <c r="O660" s="93">
        <f t="shared" ca="1" si="274"/>
        <v>161.98717948717947</v>
      </c>
      <c r="P660" s="93">
        <f t="shared" ca="1" si="275"/>
        <v>100</v>
      </c>
      <c r="Q660" s="604"/>
      <c r="R660" s="604"/>
      <c r="S660" s="604"/>
      <c r="T660" s="604"/>
      <c r="U660" s="604"/>
      <c r="V660" s="604"/>
      <c r="W660" s="604"/>
      <c r="X660" s="604"/>
      <c r="Y660" s="604"/>
      <c r="Z660" s="604"/>
    </row>
    <row r="661" spans="1:26" ht="18.75">
      <c r="A661" s="574"/>
      <c r="B661" s="575"/>
      <c r="C661" s="763"/>
      <c r="D661" s="763"/>
      <c r="E661" s="763"/>
      <c r="F661" s="763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40">
        <v>0</v>
      </c>
      <c r="O661" s="498"/>
      <c r="P661" s="49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</row>
    <row r="662" spans="1:26" ht="18.75">
      <c r="A662" s="574"/>
      <c r="B662" s="575"/>
      <c r="C662" s="763"/>
      <c r="D662" s="763"/>
      <c r="E662" s="763"/>
      <c r="F662" s="763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40">
        <v>0</v>
      </c>
      <c r="O662" s="498"/>
      <c r="P662" s="49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</row>
    <row r="663" spans="1:26" ht="18.75">
      <c r="A663" s="574"/>
      <c r="B663" s="575"/>
      <c r="C663" s="575"/>
      <c r="D663" s="763"/>
      <c r="E663" s="763"/>
      <c r="F663" s="763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40">
        <v>0</v>
      </c>
      <c r="O663" s="498"/>
      <c r="P663" s="49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</row>
    <row r="664" spans="1:26" ht="18.75">
      <c r="A664" s="574"/>
      <c r="B664" s="575"/>
      <c r="C664" s="575"/>
      <c r="D664" s="575"/>
      <c r="E664" s="763"/>
      <c r="F664" s="763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40">
        <v>25270</v>
      </c>
      <c r="O664" s="498"/>
      <c r="P664" s="49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</row>
    <row r="665" spans="1:26" ht="18.75">
      <c r="A665" s="597"/>
      <c r="B665" s="575"/>
      <c r="C665" s="575"/>
      <c r="D665" s="606" t="s">
        <v>21</v>
      </c>
      <c r="E665" s="763"/>
      <c r="F665" s="763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</row>
    <row r="666" spans="1:26" ht="18.75" hidden="1">
      <c r="A666" s="599"/>
      <c r="B666" s="607"/>
      <c r="C666" s="607"/>
      <c r="D666" s="607"/>
      <c r="E666" s="759" t="s">
        <v>18</v>
      </c>
      <c r="F666" s="759"/>
      <c r="G666" s="603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4"/>
      <c r="R666" s="604"/>
      <c r="S666" s="604"/>
      <c r="T666" s="604"/>
      <c r="U666" s="604"/>
      <c r="V666" s="604"/>
      <c r="W666" s="604"/>
      <c r="X666" s="604"/>
      <c r="Y666" s="604"/>
      <c r="Z666" s="604"/>
    </row>
    <row r="667" spans="1:26" ht="18.75" hidden="1">
      <c r="A667" s="599"/>
      <c r="B667" s="607"/>
      <c r="C667" s="607"/>
      <c r="D667" s="607"/>
      <c r="E667" s="759" t="s">
        <v>19</v>
      </c>
      <c r="F667" s="759"/>
      <c r="G667" s="603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4"/>
      <c r="R667" s="604"/>
      <c r="S667" s="604"/>
      <c r="T667" s="604"/>
      <c r="U667" s="604"/>
      <c r="V667" s="604"/>
      <c r="W667" s="604"/>
      <c r="X667" s="604"/>
      <c r="Y667" s="604"/>
      <c r="Z667" s="604"/>
    </row>
    <row r="668" spans="1:26" ht="19.5">
      <c r="A668" s="608"/>
      <c r="B668" s="618"/>
      <c r="C668" s="575" t="s">
        <v>16</v>
      </c>
      <c r="D668" s="893" t="s">
        <v>38</v>
      </c>
      <c r="E668" s="761"/>
      <c r="F668" s="761"/>
      <c r="G668" s="613"/>
      <c r="H668" s="762"/>
      <c r="I668" s="184"/>
      <c r="J668" s="184"/>
      <c r="K668" s="163"/>
      <c r="L668" s="163"/>
      <c r="M668" s="163"/>
      <c r="N668" s="163"/>
      <c r="O668" s="163"/>
      <c r="P668" s="163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</row>
    <row r="669" spans="1:26" ht="19.5">
      <c r="A669" s="608"/>
      <c r="B669" s="618"/>
      <c r="C669" s="618"/>
      <c r="D669" s="618" t="s">
        <v>281</v>
      </c>
      <c r="E669" s="626"/>
      <c r="F669" s="626"/>
      <c r="G669" s="762"/>
      <c r="H669" s="767" t="s">
        <v>46</v>
      </c>
      <c r="I669" s="681">
        <f ca="1">IFERROR(__xludf.DUMMYFUNCTION("IMPORTRANGE(""https://docs.google.com/spreadsheets/d/1QqKyyYR6Q21VydFLVH3TRQUabQu_ym0Zz7PgGX0-kHA/edit?usp=sharing"",""แผน!IA44"")"),100)</f>
        <v>100</v>
      </c>
      <c r="J669" s="681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</row>
    <row r="670" spans="1:26" ht="18.75">
      <c r="A670" s="608"/>
      <c r="B670" s="618"/>
      <c r="C670" s="618"/>
      <c r="D670" s="618"/>
      <c r="E670" s="626" t="s">
        <v>282</v>
      </c>
      <c r="F670" s="626"/>
      <c r="G670" s="762"/>
      <c r="H670" s="764" t="s">
        <v>66</v>
      </c>
      <c r="I670" s="270">
        <f ca="1">IFERROR(__xludf.DUMMYFUNCTION("IMPORTRANGE(""https://docs.google.com/spreadsheets/d/1QqKyyYR6Q21VydFLVH3TRQUabQu_ym0Zz7PgGX0-kHA/edit?usp=sharing"",""แผน!HZ44"")"),6)</f>
        <v>6</v>
      </c>
      <c r="J670" s="215">
        <v>6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</row>
    <row r="671" spans="1:26" ht="18.75">
      <c r="A671" s="608"/>
      <c r="B671" s="618"/>
      <c r="C671" s="618"/>
      <c r="D671" s="618"/>
      <c r="E671" s="626" t="s">
        <v>283</v>
      </c>
      <c r="F671" s="626"/>
      <c r="G671" s="762"/>
      <c r="H671" s="764" t="s">
        <v>66</v>
      </c>
      <c r="I671" s="270">
        <f ca="1">IFERROR(__xludf.DUMMYFUNCTION("IMPORTRANGE(""https://docs.google.com/spreadsheets/d/1QqKyyYR6Q21VydFLVH3TRQUabQu_ym0Zz7PgGX0-kHA/edit?usp=sharing"",""แผน!HZ44"")"),6)</f>
        <v>6</v>
      </c>
      <c r="J671" s="215">
        <v>6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</row>
    <row r="672" spans="1:26" ht="18.75">
      <c r="A672" s="608"/>
      <c r="B672" s="618"/>
      <c r="C672" s="618"/>
      <c r="D672" s="618"/>
      <c r="E672" s="626" t="s">
        <v>284</v>
      </c>
      <c r="F672" s="626"/>
      <c r="G672" s="762"/>
      <c r="H672" s="764" t="s">
        <v>46</v>
      </c>
      <c r="I672" s="270"/>
      <c r="J672" s="215">
        <v>18</v>
      </c>
      <c r="K672" s="498">
        <f t="shared" ref="K672:K675" ca="1" si="281">IF(I$669&gt;0,J672*100/I$669,0)</f>
        <v>18</v>
      </c>
      <c r="L672" s="163"/>
      <c r="M672" s="163"/>
      <c r="N672" s="163"/>
      <c r="O672" s="163"/>
      <c r="P672" s="163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</row>
    <row r="673" spans="1:26" ht="18.75">
      <c r="A673" s="608"/>
      <c r="B673" s="618"/>
      <c r="C673" s="618"/>
      <c r="D673" s="618"/>
      <c r="E673" s="626" t="s">
        <v>285</v>
      </c>
      <c r="F673" s="626"/>
      <c r="G673" s="762"/>
      <c r="H673" s="764" t="s">
        <v>46</v>
      </c>
      <c r="I673" s="270"/>
      <c r="J673" s="215">
        <v>18</v>
      </c>
      <c r="K673" s="498">
        <f t="shared" ca="1" si="281"/>
        <v>18</v>
      </c>
      <c r="L673" s="163"/>
      <c r="M673" s="163"/>
      <c r="N673" s="163"/>
      <c r="O673" s="163"/>
      <c r="P673" s="163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</row>
    <row r="674" spans="1:26" ht="18.75">
      <c r="A674" s="608"/>
      <c r="B674" s="618"/>
      <c r="C674" s="618"/>
      <c r="D674" s="618"/>
      <c r="E674" s="626" t="s">
        <v>286</v>
      </c>
      <c r="F674" s="626"/>
      <c r="G674" s="762"/>
      <c r="H674" s="764" t="s">
        <v>46</v>
      </c>
      <c r="I674" s="270"/>
      <c r="J674" s="215">
        <v>18</v>
      </c>
      <c r="K674" s="498">
        <f t="shared" ca="1" si="281"/>
        <v>18</v>
      </c>
      <c r="L674" s="163"/>
      <c r="M674" s="163"/>
      <c r="N674" s="163"/>
      <c r="O674" s="163"/>
      <c r="P674" s="163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</row>
    <row r="675" spans="1:26" ht="19.5">
      <c r="A675" s="608"/>
      <c r="B675" s="618"/>
      <c r="C675" s="618"/>
      <c r="D675" s="618"/>
      <c r="E675" s="626" t="s">
        <v>287</v>
      </c>
      <c r="F675" s="626"/>
      <c r="G675" s="762"/>
      <c r="H675" s="764" t="s">
        <v>46</v>
      </c>
      <c r="I675" s="270"/>
      <c r="J675" s="681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</row>
    <row r="676" spans="1:26" ht="18.75">
      <c r="A676" s="608"/>
      <c r="B676" s="618"/>
      <c r="C676" s="618"/>
      <c r="D676" s="618"/>
      <c r="E676" s="626"/>
      <c r="F676" s="626" t="s">
        <v>288</v>
      </c>
      <c r="G676" s="762"/>
      <c r="H676" s="764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</row>
    <row r="677" spans="1:26" ht="18.75">
      <c r="A677" s="608"/>
      <c r="B677" s="618"/>
      <c r="C677" s="618"/>
      <c r="D677" s="618"/>
      <c r="E677" s="626"/>
      <c r="F677" s="626" t="s">
        <v>289</v>
      </c>
      <c r="G677" s="762"/>
      <c r="H677" s="764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</row>
    <row r="678" spans="1:26" ht="19.5">
      <c r="A678" s="608"/>
      <c r="B678" s="618"/>
      <c r="C678" s="618"/>
      <c r="D678" s="618" t="s">
        <v>290</v>
      </c>
      <c r="E678" s="626"/>
      <c r="F678" s="626"/>
      <c r="G678" s="762"/>
      <c r="H678" s="764" t="s">
        <v>46</v>
      </c>
      <c r="I678" s="681">
        <f ca="1">IFERROR(__xludf.DUMMYFUNCTION("IMPORTRANGE(""https://docs.google.com/spreadsheets/d/1QqKyyYR6Q21VydFLVH3TRQUabQu_ym0Zz7PgGX0-kHA/edit?usp=sharing"",""แผน!IB44"")"),0)</f>
        <v>0</v>
      </c>
      <c r="J678" s="681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</row>
    <row r="679" spans="1:26" ht="18.75">
      <c r="A679" s="608"/>
      <c r="B679" s="618"/>
      <c r="C679" s="618"/>
      <c r="D679" s="618"/>
      <c r="E679" s="626" t="s">
        <v>291</v>
      </c>
      <c r="F679" s="626"/>
      <c r="G679" s="762"/>
      <c r="H679" s="764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</row>
    <row r="680" spans="1:26" ht="18.75">
      <c r="A680" s="608"/>
      <c r="B680" s="618"/>
      <c r="C680" s="618"/>
      <c r="D680" s="618"/>
      <c r="E680" s="626"/>
      <c r="F680" s="626" t="s">
        <v>288</v>
      </c>
      <c r="G680" s="762"/>
      <c r="H680" s="764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</row>
    <row r="681" spans="1:26" ht="18.75">
      <c r="A681" s="608"/>
      <c r="B681" s="618"/>
      <c r="C681" s="618"/>
      <c r="D681" s="618"/>
      <c r="E681" s="626"/>
      <c r="F681" s="626" t="s">
        <v>289</v>
      </c>
      <c r="G681" s="762"/>
      <c r="H681" s="764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</row>
    <row r="682" spans="1:26" ht="18.75">
      <c r="A682" s="608"/>
      <c r="B682" s="618"/>
      <c r="C682" s="618"/>
      <c r="D682" s="618"/>
      <c r="E682" s="626" t="s">
        <v>292</v>
      </c>
      <c r="F682" s="626"/>
      <c r="G682" s="762"/>
      <c r="H682" s="764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</row>
    <row r="683" spans="1:26" ht="18.75">
      <c r="A683" s="608"/>
      <c r="B683" s="618"/>
      <c r="C683" s="618"/>
      <c r="D683" s="618"/>
      <c r="E683" s="626"/>
      <c r="F683" s="626" t="s">
        <v>293</v>
      </c>
      <c r="G683" s="762"/>
      <c r="H683" s="764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</row>
    <row r="684" spans="1:26" ht="19.5" hidden="1">
      <c r="A684" s="753"/>
      <c r="B684" s="754" t="s">
        <v>294</v>
      </c>
      <c r="C684" s="753"/>
      <c r="D684" s="753"/>
      <c r="E684" s="753"/>
      <c r="F684" s="753"/>
      <c r="G684" s="755"/>
      <c r="H684" s="755"/>
      <c r="I684" s="756"/>
      <c r="J684" s="756"/>
      <c r="K684" s="757"/>
      <c r="L684" s="757"/>
      <c r="M684" s="757"/>
      <c r="N684" s="757"/>
      <c r="O684" s="757"/>
      <c r="P684" s="757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</row>
    <row r="685" spans="1:26" ht="19.5" hidden="1">
      <c r="A685" s="597"/>
      <c r="B685" s="763"/>
      <c r="C685" s="763" t="s">
        <v>16</v>
      </c>
      <c r="D685" s="863" t="s">
        <v>17</v>
      </c>
      <c r="E685" s="857"/>
      <c r="F685" s="857"/>
      <c r="G685" s="189"/>
      <c r="H685" s="598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</row>
    <row r="686" spans="1:26" ht="18.75" hidden="1">
      <c r="A686" s="599"/>
      <c r="B686" s="759"/>
      <c r="C686" s="759"/>
      <c r="D686" s="720"/>
      <c r="E686" s="759" t="s">
        <v>185</v>
      </c>
      <c r="F686" s="759"/>
      <c r="G686" s="603"/>
      <c r="H686" s="165" t="s">
        <v>12</v>
      </c>
      <c r="I686" s="617"/>
      <c r="J686" s="617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4"/>
      <c r="R686" s="604"/>
      <c r="S686" s="604"/>
      <c r="T686" s="604"/>
      <c r="U686" s="604"/>
      <c r="V686" s="604"/>
      <c r="W686" s="604"/>
      <c r="X686" s="604"/>
      <c r="Y686" s="604"/>
      <c r="Z686" s="604"/>
    </row>
    <row r="687" spans="1:26" ht="18.75" hidden="1">
      <c r="A687" s="599"/>
      <c r="B687" s="607"/>
      <c r="C687" s="759"/>
      <c r="D687" s="720"/>
      <c r="E687" s="759" t="s">
        <v>186</v>
      </c>
      <c r="F687" s="759"/>
      <c r="G687" s="603"/>
      <c r="H687" s="165" t="s">
        <v>12</v>
      </c>
      <c r="I687" s="617"/>
      <c r="J687" s="617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4"/>
      <c r="R687" s="604"/>
      <c r="S687" s="604"/>
      <c r="T687" s="604"/>
      <c r="U687" s="604"/>
      <c r="V687" s="604"/>
      <c r="W687" s="604"/>
      <c r="X687" s="604"/>
      <c r="Y687" s="604"/>
      <c r="Z687" s="604"/>
    </row>
    <row r="688" spans="1:26" ht="18.75" hidden="1">
      <c r="A688" s="597"/>
      <c r="B688" s="575"/>
      <c r="C688" s="763"/>
      <c r="D688" s="606" t="s">
        <v>20</v>
      </c>
      <c r="E688" s="763"/>
      <c r="F688" s="763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8"/>
      <c r="R688" s="578"/>
      <c r="S688" s="578"/>
      <c r="T688" s="578"/>
      <c r="U688" s="578"/>
      <c r="V688" s="578"/>
      <c r="W688" s="578"/>
      <c r="X688" s="578"/>
      <c r="Y688" s="578"/>
      <c r="Z688" s="578"/>
    </row>
    <row r="689" spans="1:26" ht="18.75" hidden="1">
      <c r="A689" s="599"/>
      <c r="B689" s="607"/>
      <c r="C689" s="759"/>
      <c r="D689" s="720"/>
      <c r="E689" s="759" t="s">
        <v>185</v>
      </c>
      <c r="F689" s="759"/>
      <c r="G689" s="603"/>
      <c r="H689" s="165" t="s">
        <v>12</v>
      </c>
      <c r="I689" s="617"/>
      <c r="J689" s="617"/>
      <c r="K689" s="93"/>
      <c r="L689" s="93">
        <v>0</v>
      </c>
      <c r="M689" s="93">
        <v>0</v>
      </c>
      <c r="N689" s="93">
        <v>0</v>
      </c>
      <c r="O689" s="93"/>
      <c r="P689" s="93"/>
      <c r="Q689" s="604"/>
      <c r="R689" s="604"/>
      <c r="S689" s="604"/>
      <c r="T689" s="604"/>
      <c r="U689" s="604"/>
      <c r="V689" s="604"/>
      <c r="W689" s="604"/>
      <c r="X689" s="604"/>
      <c r="Y689" s="604"/>
      <c r="Z689" s="604"/>
    </row>
    <row r="690" spans="1:26" ht="18.75" hidden="1">
      <c r="A690" s="599"/>
      <c r="B690" s="607"/>
      <c r="C690" s="759"/>
      <c r="D690" s="720"/>
      <c r="E690" s="759" t="s">
        <v>186</v>
      </c>
      <c r="F690" s="759"/>
      <c r="G690" s="603"/>
      <c r="H690" s="165" t="s">
        <v>12</v>
      </c>
      <c r="I690" s="617"/>
      <c r="J690" s="617"/>
      <c r="K690" s="93"/>
      <c r="L690" s="93">
        <f ca="1">IFERROR(__xludf.DUMMYFUNCTION("IMPORTRANGE(""https://docs.google.com/spreadsheets/d/1QqKyyYR6Q21VydFLVH3TRQUabQu_ym0Zz7PgGX0-kHA/edit?usp=sharing"",""แผน!HW44"")"),0)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4"/>
      <c r="R690" s="604"/>
      <c r="S690" s="604"/>
      <c r="T690" s="604"/>
      <c r="U690" s="604"/>
      <c r="V690" s="604"/>
      <c r="W690" s="604"/>
      <c r="X690" s="604"/>
      <c r="Y690" s="604"/>
      <c r="Z690" s="604"/>
    </row>
    <row r="691" spans="1:26" ht="18.75" hidden="1">
      <c r="A691" s="574"/>
      <c r="B691" s="575"/>
      <c r="C691" s="763"/>
      <c r="D691" s="763"/>
      <c r="E691" s="763"/>
      <c r="F691" s="763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40">
        <v>0</v>
      </c>
      <c r="O691" s="498"/>
      <c r="P691" s="49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</row>
    <row r="692" spans="1:26" ht="18.75" hidden="1">
      <c r="A692" s="574"/>
      <c r="B692" s="575"/>
      <c r="C692" s="763"/>
      <c r="D692" s="763"/>
      <c r="E692" s="763"/>
      <c r="F692" s="763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40">
        <v>0</v>
      </c>
      <c r="O692" s="498"/>
      <c r="P692" s="49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</row>
    <row r="693" spans="1:26" ht="18.75" hidden="1">
      <c r="A693" s="574"/>
      <c r="B693" s="575"/>
      <c r="C693" s="763"/>
      <c r="D693" s="763"/>
      <c r="E693" s="763"/>
      <c r="F693" s="763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40">
        <v>0</v>
      </c>
      <c r="O693" s="498"/>
      <c r="P693" s="49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</row>
    <row r="694" spans="1:26" ht="18.75" hidden="1">
      <c r="A694" s="574"/>
      <c r="B694" s="575"/>
      <c r="C694" s="763"/>
      <c r="D694" s="763"/>
      <c r="E694" s="763"/>
      <c r="F694" s="763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40">
        <v>0</v>
      </c>
      <c r="O694" s="498"/>
      <c r="P694" s="49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</row>
    <row r="695" spans="1:26" ht="18.75" hidden="1">
      <c r="A695" s="597"/>
      <c r="B695" s="575"/>
      <c r="C695" s="763"/>
      <c r="D695" s="606" t="s">
        <v>21</v>
      </c>
      <c r="E695" s="763"/>
      <c r="F695" s="763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</row>
    <row r="696" spans="1:26" ht="18.75" hidden="1">
      <c r="A696" s="599"/>
      <c r="B696" s="607"/>
      <c r="C696" s="759"/>
      <c r="D696" s="759"/>
      <c r="E696" s="759" t="s">
        <v>18</v>
      </c>
      <c r="F696" s="759"/>
      <c r="G696" s="603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4"/>
      <c r="R696" s="604"/>
      <c r="S696" s="604"/>
      <c r="T696" s="604"/>
      <c r="U696" s="604"/>
      <c r="V696" s="604"/>
      <c r="W696" s="604"/>
      <c r="X696" s="604"/>
      <c r="Y696" s="604"/>
      <c r="Z696" s="604"/>
    </row>
    <row r="697" spans="1:26" ht="18.75" hidden="1">
      <c r="A697" s="599"/>
      <c r="B697" s="607"/>
      <c r="C697" s="759"/>
      <c r="D697" s="759"/>
      <c r="E697" s="759" t="s">
        <v>19</v>
      </c>
      <c r="F697" s="759"/>
      <c r="G697" s="603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4"/>
      <c r="R697" s="604"/>
      <c r="S697" s="604"/>
      <c r="T697" s="604"/>
      <c r="U697" s="604"/>
      <c r="V697" s="604"/>
      <c r="W697" s="604"/>
      <c r="X697" s="604"/>
      <c r="Y697" s="604"/>
      <c r="Z697" s="604"/>
    </row>
    <row r="698" spans="1:26" ht="19.5" hidden="1">
      <c r="A698" s="608"/>
      <c r="B698" s="618"/>
      <c r="C698" s="763" t="s">
        <v>16</v>
      </c>
      <c r="D698" s="898" t="s">
        <v>38</v>
      </c>
      <c r="E698" s="761"/>
      <c r="F698" s="761"/>
      <c r="G698" s="613"/>
      <c r="H698" s="762"/>
      <c r="I698" s="184"/>
      <c r="J698" s="184"/>
      <c r="K698" s="163"/>
      <c r="L698" s="163"/>
      <c r="M698" s="163"/>
      <c r="N698" s="163"/>
      <c r="O698" s="163"/>
      <c r="P698" s="163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</row>
    <row r="699" spans="1:26" ht="18.75" hidden="1">
      <c r="A699" s="744"/>
      <c r="B699" s="763"/>
      <c r="C699" s="763"/>
      <c r="D699" s="763" t="s">
        <v>295</v>
      </c>
      <c r="E699" s="763"/>
      <c r="F699" s="763"/>
      <c r="G699" s="189"/>
      <c r="H699" s="764" t="s">
        <v>46</v>
      </c>
      <c r="I699" s="765">
        <f ca="1">IFERROR(__xludf.DUMMYFUNCTION("IMPORTRANGE(""https://docs.google.com/spreadsheets/d/1QqKyyYR6Q21VydFLVH3TRQUabQu_ym0Zz7PgGX0-kHA/edit?usp=sharing"",""แผน!IC44"")"),0)</f>
        <v>0</v>
      </c>
      <c r="J699" s="270">
        <f ca="1">IFERROR(__xludf.DUMMYFUNCTION("IMPORTRANGE(""https://docs.google.com/spreadsheets/d/1XWAQStnk-4SwqDmLtmXYiTMKHgktTP8We1SCoS47DrQ/edit?usp=sharing"",""จัดที่ดิน!BB44"")"),0)</f>
        <v>0</v>
      </c>
      <c r="K699" s="498">
        <f t="shared" ref="K699:K701" ca="1" si="290">IF(I699&gt;0,J699*100/I699,0)</f>
        <v>0</v>
      </c>
      <c r="L699" s="498"/>
      <c r="M699" s="189"/>
      <c r="N699" s="766"/>
      <c r="O699" s="498"/>
      <c r="P699" s="49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</row>
    <row r="700" spans="1:26" ht="18.75" hidden="1">
      <c r="A700" s="744"/>
      <c r="B700" s="763"/>
      <c r="C700" s="763"/>
      <c r="D700" s="763" t="s">
        <v>296</v>
      </c>
      <c r="E700" s="763"/>
      <c r="F700" s="763"/>
      <c r="G700" s="189"/>
      <c r="H700" s="764" t="s">
        <v>35</v>
      </c>
      <c r="I700" s="765">
        <f ca="1">IFERROR(__xludf.DUMMYFUNCTION("IMPORTRANGE(""https://docs.google.com/spreadsheets/d/1QqKyyYR6Q21VydFLVH3TRQUabQu_ym0Zz7PgGX0-kHA/edit?usp=sharing"",""แผน!ID44"")"),0)</f>
        <v>0</v>
      </c>
      <c r="J700" s="270">
        <f ca="1">IFERROR(__xludf.DUMMYFUNCTION("IMPORTRANGE(""https://docs.google.com/spreadsheets/d/1XWAQStnk-4SwqDmLtmXYiTMKHgktTP8We1SCoS47DrQ/edit?usp=sharing"",""จัดที่ดิน!BD44"")"),0)</f>
        <v>0</v>
      </c>
      <c r="K700" s="498">
        <f t="shared" ca="1" si="290"/>
        <v>0</v>
      </c>
      <c r="L700" s="498"/>
      <c r="M700" s="189"/>
      <c r="N700" s="766"/>
      <c r="O700" s="498"/>
      <c r="P700" s="49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</row>
    <row r="701" spans="1:26" ht="19.5" hidden="1">
      <c r="A701" s="744"/>
      <c r="B701" s="763"/>
      <c r="C701" s="763"/>
      <c r="D701" s="763" t="s">
        <v>297</v>
      </c>
      <c r="E701" s="763"/>
      <c r="F701" s="763"/>
      <c r="G701" s="189"/>
      <c r="H701" s="767" t="s">
        <v>46</v>
      </c>
      <c r="I701" s="768">
        <f ca="1">IFERROR(__xludf.DUMMYFUNCTION("IMPORTRANGE(""https://docs.google.com/spreadsheets/d/1QqKyyYR6Q21VydFLVH3TRQUabQu_ym0Zz7PgGX0-kHA/edit?usp=sharing"",""แผน!IE44"")"),0)</f>
        <v>0</v>
      </c>
      <c r="J701" s="681">
        <f>J704+J707</f>
        <v>0</v>
      </c>
      <c r="K701" s="195">
        <f t="shared" ca="1" si="290"/>
        <v>0</v>
      </c>
      <c r="L701" s="498"/>
      <c r="M701" s="189"/>
      <c r="N701" s="766"/>
      <c r="O701" s="498"/>
      <c r="P701" s="49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</row>
    <row r="702" spans="1:26" ht="18.75" hidden="1">
      <c r="A702" s="744"/>
      <c r="B702" s="763"/>
      <c r="C702" s="763"/>
      <c r="D702" s="763"/>
      <c r="E702" s="763" t="s">
        <v>298</v>
      </c>
      <c r="F702" s="763"/>
      <c r="G702" s="189"/>
      <c r="H702" s="764" t="s">
        <v>35</v>
      </c>
      <c r="I702" s="765"/>
      <c r="J702" s="215">
        <v>0</v>
      </c>
      <c r="K702" s="498"/>
      <c r="L702" s="498"/>
      <c r="M702" s="189"/>
      <c r="N702" s="766"/>
      <c r="O702" s="498"/>
      <c r="P702" s="49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</row>
    <row r="703" spans="1:26" ht="18.75" hidden="1">
      <c r="A703" s="744"/>
      <c r="B703" s="763"/>
      <c r="C703" s="763"/>
      <c r="D703" s="763"/>
      <c r="E703" s="763"/>
      <c r="F703" s="763"/>
      <c r="G703" s="189"/>
      <c r="H703" s="764" t="s">
        <v>34</v>
      </c>
      <c r="I703" s="765"/>
      <c r="J703" s="215">
        <v>0</v>
      </c>
      <c r="K703" s="498"/>
      <c r="L703" s="498"/>
      <c r="M703" s="189"/>
      <c r="N703" s="766"/>
      <c r="O703" s="498"/>
      <c r="P703" s="49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</row>
    <row r="704" spans="1:26" ht="18.75" hidden="1">
      <c r="A704" s="744"/>
      <c r="B704" s="763"/>
      <c r="C704" s="763"/>
      <c r="D704" s="763"/>
      <c r="E704" s="763"/>
      <c r="F704" s="763"/>
      <c r="G704" s="189"/>
      <c r="H704" s="764" t="s">
        <v>46</v>
      </c>
      <c r="I704" s="765">
        <f ca="1">IFERROR(__xludf.DUMMYFUNCTION("IMPORTRANGE(""https://docs.google.com/spreadsheets/d/1QqKyyYR6Q21VydFLVH3TRQUabQu_ym0Zz7PgGX0-kHA/edit?usp=sharing"",""แผน!IF44"")"),0)</f>
        <v>0</v>
      </c>
      <c r="J704" s="215">
        <v>0</v>
      </c>
      <c r="K704" s="498"/>
      <c r="L704" s="498"/>
      <c r="M704" s="189"/>
      <c r="N704" s="766"/>
      <c r="O704" s="498"/>
      <c r="P704" s="49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</row>
    <row r="705" spans="1:26" ht="18.75" hidden="1">
      <c r="A705" s="744"/>
      <c r="B705" s="763"/>
      <c r="C705" s="763"/>
      <c r="D705" s="763"/>
      <c r="E705" s="763" t="s">
        <v>299</v>
      </c>
      <c r="F705" s="763"/>
      <c r="G705" s="189"/>
      <c r="H705" s="764" t="s">
        <v>35</v>
      </c>
      <c r="I705" s="765"/>
      <c r="J705" s="215">
        <v>0</v>
      </c>
      <c r="K705" s="498"/>
      <c r="L705" s="498"/>
      <c r="M705" s="189"/>
      <c r="N705" s="766"/>
      <c r="O705" s="498"/>
      <c r="P705" s="49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</row>
    <row r="706" spans="1:26" ht="18.75" hidden="1">
      <c r="A706" s="744"/>
      <c r="B706" s="763"/>
      <c r="C706" s="763"/>
      <c r="D706" s="763"/>
      <c r="E706" s="763"/>
      <c r="F706" s="763"/>
      <c r="G706" s="189"/>
      <c r="H706" s="764" t="s">
        <v>34</v>
      </c>
      <c r="I706" s="765"/>
      <c r="J706" s="215">
        <v>0</v>
      </c>
      <c r="K706" s="498"/>
      <c r="L706" s="498"/>
      <c r="M706" s="189"/>
      <c r="N706" s="766"/>
      <c r="O706" s="498"/>
      <c r="P706" s="49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</row>
    <row r="707" spans="1:26" ht="18.75" hidden="1">
      <c r="A707" s="744"/>
      <c r="B707" s="763"/>
      <c r="C707" s="763"/>
      <c r="D707" s="763"/>
      <c r="E707" s="763"/>
      <c r="F707" s="763"/>
      <c r="G707" s="189"/>
      <c r="H707" s="764" t="s">
        <v>46</v>
      </c>
      <c r="I707" s="765">
        <f ca="1">IFERROR(__xludf.DUMMYFUNCTION("IMPORTRANGE(""https://docs.google.com/spreadsheets/d/1QqKyyYR6Q21VydFLVH3TRQUabQu_ym0Zz7PgGX0-kHA/edit?usp=sharing"",""แผน!IG44"")"),0)</f>
        <v>0</v>
      </c>
      <c r="J707" s="215">
        <v>0</v>
      </c>
      <c r="K707" s="498"/>
      <c r="L707" s="498"/>
      <c r="M707" s="189"/>
      <c r="N707" s="766"/>
      <c r="O707" s="498"/>
      <c r="P707" s="49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</row>
    <row r="708" spans="1:26" ht="19.5" hidden="1">
      <c r="A708" s="744"/>
      <c r="B708" s="763"/>
      <c r="C708" s="763"/>
      <c r="D708" s="769" t="s">
        <v>300</v>
      </c>
      <c r="E708" s="763"/>
      <c r="F708" s="763"/>
      <c r="G708" s="189"/>
      <c r="H708" s="767" t="s">
        <v>46</v>
      </c>
      <c r="I708" s="768">
        <f ca="1">IFERROR(__xludf.DUMMYFUNCTION("IMPORTRANGE(""https://docs.google.com/spreadsheets/d/1QqKyyYR6Q21VydFLVH3TRQUabQu_ym0Zz7PgGX0-kHA/edit?usp=sharing"",""แผน!IH44"")"),0)</f>
        <v>0</v>
      </c>
      <c r="J708" s="681">
        <f>J714+J717</f>
        <v>0</v>
      </c>
      <c r="K708" s="195">
        <f ca="1">IF(I708&gt;0,J708*100/I708,0)</f>
        <v>0</v>
      </c>
      <c r="L708" s="498"/>
      <c r="M708" s="189"/>
      <c r="N708" s="766"/>
      <c r="O708" s="498"/>
      <c r="P708" s="49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</row>
    <row r="709" spans="1:26" ht="18.75" hidden="1">
      <c r="A709" s="744"/>
      <c r="B709" s="763"/>
      <c r="C709" s="763"/>
      <c r="D709" s="763"/>
      <c r="E709" s="763" t="s">
        <v>301</v>
      </c>
      <c r="F709" s="763"/>
      <c r="G709" s="189"/>
      <c r="H709" s="764" t="s">
        <v>34</v>
      </c>
      <c r="I709" s="765"/>
      <c r="J709" s="215">
        <v>0</v>
      </c>
      <c r="K709" s="498"/>
      <c r="L709" s="766"/>
      <c r="M709" s="189"/>
      <c r="N709" s="766"/>
      <c r="O709" s="498"/>
      <c r="P709" s="49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</row>
    <row r="710" spans="1:26" ht="18.75" hidden="1">
      <c r="A710" s="744"/>
      <c r="B710" s="763"/>
      <c r="C710" s="763"/>
      <c r="D710" s="763"/>
      <c r="E710" s="763"/>
      <c r="F710" s="763"/>
      <c r="G710" s="189"/>
      <c r="H710" s="764" t="s">
        <v>46</v>
      </c>
      <c r="I710" s="765"/>
      <c r="J710" s="215">
        <v>0</v>
      </c>
      <c r="K710" s="498"/>
      <c r="L710" s="766"/>
      <c r="M710" s="189"/>
      <c r="N710" s="766"/>
      <c r="O710" s="498"/>
      <c r="P710" s="49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</row>
    <row r="711" spans="1:26" ht="18.75" hidden="1">
      <c r="A711" s="744"/>
      <c r="B711" s="763"/>
      <c r="C711" s="763"/>
      <c r="D711" s="763"/>
      <c r="E711" s="763" t="s">
        <v>302</v>
      </c>
      <c r="F711" s="763"/>
      <c r="G711" s="189"/>
      <c r="H711" s="762"/>
      <c r="I711" s="765"/>
      <c r="J711" s="270"/>
      <c r="K711" s="498"/>
      <c r="L711" s="766"/>
      <c r="M711" s="189"/>
      <c r="N711" s="766"/>
      <c r="O711" s="498"/>
      <c r="P711" s="49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</row>
    <row r="712" spans="1:26" ht="18.75" hidden="1">
      <c r="A712" s="744"/>
      <c r="B712" s="763"/>
      <c r="C712" s="763"/>
      <c r="D712" s="763"/>
      <c r="E712" s="763"/>
      <c r="F712" s="763" t="s">
        <v>303</v>
      </c>
      <c r="G712" s="189"/>
      <c r="H712" s="764" t="s">
        <v>35</v>
      </c>
      <c r="I712" s="765"/>
      <c r="J712" s="215">
        <v>0</v>
      </c>
      <c r="K712" s="498"/>
      <c r="L712" s="766"/>
      <c r="M712" s="189"/>
      <c r="N712" s="766"/>
      <c r="O712" s="498"/>
      <c r="P712" s="49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</row>
    <row r="713" spans="1:26" ht="18.75" hidden="1">
      <c r="A713" s="744"/>
      <c r="B713" s="763"/>
      <c r="C713" s="763"/>
      <c r="D713" s="763"/>
      <c r="E713" s="763"/>
      <c r="F713" s="763"/>
      <c r="G713" s="189"/>
      <c r="H713" s="764" t="s">
        <v>34</v>
      </c>
      <c r="I713" s="765"/>
      <c r="J713" s="215">
        <v>0</v>
      </c>
      <c r="K713" s="498"/>
      <c r="L713" s="766"/>
      <c r="M713" s="189"/>
      <c r="N713" s="766"/>
      <c r="O713" s="498"/>
      <c r="P713" s="49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</row>
    <row r="714" spans="1:26" ht="18.75" hidden="1">
      <c r="A714" s="744"/>
      <c r="B714" s="763"/>
      <c r="C714" s="763"/>
      <c r="D714" s="763"/>
      <c r="E714" s="763"/>
      <c r="F714" s="763"/>
      <c r="G714" s="189"/>
      <c r="H714" s="764" t="s">
        <v>46</v>
      </c>
      <c r="I714" s="765"/>
      <c r="J714" s="215">
        <v>0</v>
      </c>
      <c r="K714" s="498"/>
      <c r="L714" s="766"/>
      <c r="M714" s="189"/>
      <c r="N714" s="766"/>
      <c r="O714" s="498"/>
      <c r="P714" s="49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</row>
    <row r="715" spans="1:26" ht="18.75" hidden="1">
      <c r="A715" s="744"/>
      <c r="B715" s="763"/>
      <c r="C715" s="763"/>
      <c r="D715" s="763"/>
      <c r="E715" s="763"/>
      <c r="F715" s="763" t="s">
        <v>304</v>
      </c>
      <c r="G715" s="189"/>
      <c r="H715" s="764" t="s">
        <v>35</v>
      </c>
      <c r="I715" s="765"/>
      <c r="J715" s="215">
        <v>0</v>
      </c>
      <c r="K715" s="498"/>
      <c r="L715" s="766"/>
      <c r="M715" s="189"/>
      <c r="N715" s="766"/>
      <c r="O715" s="498"/>
      <c r="P715" s="49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</row>
    <row r="716" spans="1:26" ht="18.75" hidden="1">
      <c r="A716" s="744"/>
      <c r="B716" s="763"/>
      <c r="C716" s="763"/>
      <c r="D716" s="763"/>
      <c r="E716" s="763"/>
      <c r="F716" s="763"/>
      <c r="G716" s="189"/>
      <c r="H716" s="764" t="s">
        <v>34</v>
      </c>
      <c r="I716" s="765"/>
      <c r="J716" s="215">
        <v>0</v>
      </c>
      <c r="K716" s="498"/>
      <c r="L716" s="766"/>
      <c r="M716" s="189"/>
      <c r="N716" s="766"/>
      <c r="O716" s="498"/>
      <c r="P716" s="49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</row>
    <row r="717" spans="1:26" ht="18.75" hidden="1">
      <c r="A717" s="744"/>
      <c r="B717" s="763"/>
      <c r="C717" s="763"/>
      <c r="D717" s="763"/>
      <c r="E717" s="763"/>
      <c r="F717" s="763"/>
      <c r="G717" s="189"/>
      <c r="H717" s="764" t="s">
        <v>46</v>
      </c>
      <c r="I717" s="765"/>
      <c r="J717" s="215">
        <v>0</v>
      </c>
      <c r="K717" s="498"/>
      <c r="L717" s="766"/>
      <c r="M717" s="189"/>
      <c r="N717" s="766"/>
      <c r="O717" s="498"/>
      <c r="P717" s="49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</row>
    <row r="718" spans="1:26" ht="18.75" hidden="1">
      <c r="A718" s="744"/>
      <c r="B718" s="763"/>
      <c r="C718" s="763"/>
      <c r="D718" s="763" t="s">
        <v>305</v>
      </c>
      <c r="E718" s="763"/>
      <c r="F718" s="763"/>
      <c r="G718" s="189"/>
      <c r="H718" s="764" t="s">
        <v>35</v>
      </c>
      <c r="I718" s="765"/>
      <c r="J718" s="270">
        <f ca="1">IFERROR(__xludf.DUMMYFUNCTION("IMPORTRANGE(""https://docs.google.com/spreadsheets/d/1XWAQStnk-4SwqDmLtmXYiTMKHgktTP8We1SCoS47DrQ/edit?usp=sharing"",""จัดที่ดิน!BF44"")"),0)</f>
        <v>0</v>
      </c>
      <c r="K718" s="498"/>
      <c r="L718" s="498"/>
      <c r="M718" s="189"/>
      <c r="N718" s="766"/>
      <c r="O718" s="498"/>
      <c r="P718" s="49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</row>
    <row r="719" spans="1:26" ht="18.75" hidden="1">
      <c r="A719" s="744"/>
      <c r="B719" s="763"/>
      <c r="C719" s="763"/>
      <c r="D719" s="763"/>
      <c r="E719" s="763"/>
      <c r="F719" s="763"/>
      <c r="G719" s="189"/>
      <c r="H719" s="764" t="s">
        <v>34</v>
      </c>
      <c r="I719" s="765"/>
      <c r="J719" s="270">
        <f ca="1">IFERROR(__xludf.DUMMYFUNCTION("IMPORTRANGE(""https://docs.google.com/spreadsheets/d/1XWAQStnk-4SwqDmLtmXYiTMKHgktTP8We1SCoS47DrQ/edit?usp=sharing"",""จัดที่ดิน!BG44"")"),0)</f>
        <v>0</v>
      </c>
      <c r="K719" s="498"/>
      <c r="L719" s="766"/>
      <c r="M719" s="189"/>
      <c r="N719" s="766"/>
      <c r="O719" s="498"/>
      <c r="P719" s="49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</row>
    <row r="720" spans="1:26" ht="18.75" hidden="1">
      <c r="A720" s="744"/>
      <c r="B720" s="763"/>
      <c r="C720" s="763"/>
      <c r="D720" s="763"/>
      <c r="E720" s="763"/>
      <c r="F720" s="763"/>
      <c r="G720" s="189"/>
      <c r="H720" s="764" t="s">
        <v>46</v>
      </c>
      <c r="I720" s="765">
        <f ca="1">IFERROR(__xludf.DUMMYFUNCTION("IMPORTRANGE(""https://docs.google.com/spreadsheets/d/1QqKyyYR6Q21VydFLVH3TRQUabQu_ym0Zz7PgGX0-kHA/edit?usp=sharing"",""แผน!II44"")"),0)</f>
        <v>0</v>
      </c>
      <c r="J720" s="270">
        <f ca="1">IFERROR(__xludf.DUMMYFUNCTION("IMPORTRANGE(""https://docs.google.com/spreadsheets/d/1XWAQStnk-4SwqDmLtmXYiTMKHgktTP8We1SCoS47DrQ/edit?usp=sharing"",""จัดที่ดิน!BH44"")"),0)</f>
        <v>0</v>
      </c>
      <c r="K720" s="498">
        <f t="shared" ref="K720:K723" ca="1" si="291">IF(I720&gt;0,J720*100/I720,0)</f>
        <v>0</v>
      </c>
      <c r="L720" s="766"/>
      <c r="M720" s="189"/>
      <c r="N720" s="766"/>
      <c r="O720" s="498"/>
      <c r="P720" s="49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</row>
    <row r="721" spans="1:26" ht="19.5" hidden="1">
      <c r="A721" s="744"/>
      <c r="B721" s="763"/>
      <c r="C721" s="763"/>
      <c r="D721" s="763" t="s">
        <v>306</v>
      </c>
      <c r="E721" s="763"/>
      <c r="F721" s="763"/>
      <c r="G721" s="189"/>
      <c r="H721" s="767" t="s">
        <v>35</v>
      </c>
      <c r="I721" s="768">
        <f ca="1">IFERROR(__xludf.DUMMYFUNCTION("IMPORTRANGE(""https://docs.google.com/spreadsheets/d/1QqKyyYR6Q21VydFLVH3TRQUabQu_ym0Zz7PgGX0-kHA/edit?usp=sharing"",""แผน!IJ44"")"),0)</f>
        <v>0</v>
      </c>
      <c r="J721" s="681">
        <f ca="1">J723+J726</f>
        <v>0</v>
      </c>
      <c r="K721" s="195">
        <f t="shared" ca="1" si="291"/>
        <v>0</v>
      </c>
      <c r="L721" s="766"/>
      <c r="M721" s="189"/>
      <c r="N721" s="766"/>
      <c r="O721" s="498"/>
      <c r="P721" s="49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</row>
    <row r="722" spans="1:26" ht="19.5" hidden="1">
      <c r="A722" s="744"/>
      <c r="B722" s="763"/>
      <c r="C722" s="763"/>
      <c r="D722" s="763"/>
      <c r="E722" s="763"/>
      <c r="F722" s="763"/>
      <c r="G722" s="189"/>
      <c r="H722" s="767" t="s">
        <v>46</v>
      </c>
      <c r="I722" s="768">
        <f ca="1">IFERROR(__xludf.DUMMYFUNCTION("IMPORTRANGE(""https://docs.google.com/spreadsheets/d/1QqKyyYR6Q21VydFLVH3TRQUabQu_ym0Zz7PgGX0-kHA/edit?usp=sharing"",""แผน!IK44"")"),0)</f>
        <v>0</v>
      </c>
      <c r="J722" s="681">
        <f ca="1">J725+J728</f>
        <v>0</v>
      </c>
      <c r="K722" s="195">
        <f t="shared" ca="1" si="291"/>
        <v>0</v>
      </c>
      <c r="L722" s="498"/>
      <c r="M722" s="189"/>
      <c r="N722" s="766"/>
      <c r="O722" s="498"/>
      <c r="P722" s="49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</row>
    <row r="723" spans="1:26" ht="18.75" hidden="1">
      <c r="A723" s="744"/>
      <c r="B723" s="763"/>
      <c r="C723" s="763"/>
      <c r="D723" s="763"/>
      <c r="E723" s="763" t="s">
        <v>307</v>
      </c>
      <c r="F723" s="763"/>
      <c r="G723" s="189"/>
      <c r="H723" s="764" t="s">
        <v>35</v>
      </c>
      <c r="I723" s="765">
        <f ca="1">IFERROR(__xludf.DUMMYFUNCTION("IMPORTRANGE(""https://docs.google.com/spreadsheets/d/1QqKyyYR6Q21VydFLVH3TRQUabQu_ym0Zz7PgGX0-kHA/edit?usp=sharing"",""แผน!IL44"")"),0)</f>
        <v>0</v>
      </c>
      <c r="J723" s="270">
        <f ca="1">IFERROR(__xludf.DUMMYFUNCTION("IMPORTRANGE(""https://docs.google.com/spreadsheets/d/1XWAQStnk-4SwqDmLtmXYiTMKHgktTP8We1SCoS47DrQ/edit?usp=sharing"",""จัดที่ดิน!BM44"")"),0)</f>
        <v>0</v>
      </c>
      <c r="K723" s="498">
        <f t="shared" ca="1" si="291"/>
        <v>0</v>
      </c>
      <c r="L723" s="498"/>
      <c r="M723" s="189"/>
      <c r="N723" s="766"/>
      <c r="O723" s="498"/>
      <c r="P723" s="49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</row>
    <row r="724" spans="1:26" ht="18.75" hidden="1">
      <c r="A724" s="744"/>
      <c r="B724" s="763"/>
      <c r="C724" s="763"/>
      <c r="D724" s="763"/>
      <c r="E724" s="763"/>
      <c r="F724" s="763"/>
      <c r="G724" s="189"/>
      <c r="H724" s="764" t="s">
        <v>34</v>
      </c>
      <c r="I724" s="765"/>
      <c r="J724" s="270">
        <f ca="1">IFERROR(__xludf.DUMMYFUNCTION("IMPORTRANGE(""https://docs.google.com/spreadsheets/d/1XWAQStnk-4SwqDmLtmXYiTMKHgktTP8We1SCoS47DrQ/edit?usp=sharing"",""จัดที่ดิน!BN44"")"),0)</f>
        <v>0</v>
      </c>
      <c r="K724" s="498"/>
      <c r="L724" s="766"/>
      <c r="M724" s="189"/>
      <c r="N724" s="766"/>
      <c r="O724" s="498"/>
      <c r="P724" s="49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</row>
    <row r="725" spans="1:26" ht="18.75" hidden="1">
      <c r="A725" s="744"/>
      <c r="B725" s="763"/>
      <c r="C725" s="763"/>
      <c r="D725" s="763"/>
      <c r="E725" s="763"/>
      <c r="F725" s="763"/>
      <c r="G725" s="189"/>
      <c r="H725" s="764" t="s">
        <v>46</v>
      </c>
      <c r="I725" s="765">
        <f ca="1">IFERROR(__xludf.DUMMYFUNCTION("IMPORTRANGE(""https://docs.google.com/spreadsheets/d/1QqKyyYR6Q21VydFLVH3TRQUabQu_ym0Zz7PgGX0-kHA/edit?usp=sharing"",""แผน!IM44"")"),0)</f>
        <v>0</v>
      </c>
      <c r="J725" s="270">
        <f ca="1">IFERROR(__xludf.DUMMYFUNCTION("IMPORTRANGE(""https://docs.google.com/spreadsheets/d/1XWAQStnk-4SwqDmLtmXYiTMKHgktTP8We1SCoS47DrQ/edit?usp=sharing"",""จัดที่ดิน!BO44"")"),0)</f>
        <v>0</v>
      </c>
      <c r="K725" s="498">
        <f t="shared" ref="K725:K726" ca="1" si="292">IF(I725&gt;0,J725*100/I725,0)</f>
        <v>0</v>
      </c>
      <c r="L725" s="766"/>
      <c r="M725" s="189"/>
      <c r="N725" s="766"/>
      <c r="O725" s="498"/>
      <c r="P725" s="49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</row>
    <row r="726" spans="1:26" ht="18.75" hidden="1">
      <c r="A726" s="744"/>
      <c r="B726" s="763"/>
      <c r="C726" s="763"/>
      <c r="D726" s="763"/>
      <c r="E726" s="763" t="s">
        <v>308</v>
      </c>
      <c r="F726" s="763"/>
      <c r="G726" s="189"/>
      <c r="H726" s="764" t="s">
        <v>35</v>
      </c>
      <c r="I726" s="765">
        <f ca="1">IFERROR(__xludf.DUMMYFUNCTION("IMPORTRANGE(""https://docs.google.com/spreadsheets/d/1QqKyyYR6Q21VydFLVH3TRQUabQu_ym0Zz7PgGX0-kHA/edit?usp=sharing"",""แผน!IN44"")"),0)</f>
        <v>0</v>
      </c>
      <c r="J726" s="270">
        <f ca="1">IFERROR(__xludf.DUMMYFUNCTION("IMPORTRANGE(""https://docs.google.com/spreadsheets/d/1XWAQStnk-4SwqDmLtmXYiTMKHgktTP8We1SCoS47DrQ/edit?usp=sharing"",""จัดที่ดิน!BR44"")"),0)</f>
        <v>0</v>
      </c>
      <c r="K726" s="498">
        <f t="shared" ca="1" si="292"/>
        <v>0</v>
      </c>
      <c r="L726" s="498"/>
      <c r="M726" s="189"/>
      <c r="N726" s="766"/>
      <c r="O726" s="498"/>
      <c r="P726" s="49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</row>
    <row r="727" spans="1:26" ht="18.75" hidden="1">
      <c r="A727" s="744"/>
      <c r="B727" s="763"/>
      <c r="C727" s="763"/>
      <c r="D727" s="763"/>
      <c r="E727" s="763"/>
      <c r="F727" s="763"/>
      <c r="G727" s="189"/>
      <c r="H727" s="764" t="s">
        <v>34</v>
      </c>
      <c r="I727" s="765"/>
      <c r="J727" s="270">
        <f ca="1">IFERROR(__xludf.DUMMYFUNCTION("IMPORTRANGE(""https://docs.google.com/spreadsheets/d/1XWAQStnk-4SwqDmLtmXYiTMKHgktTP8We1SCoS47DrQ/edit?usp=sharing"",""จัดที่ดิน!BS44"")"),0)</f>
        <v>0</v>
      </c>
      <c r="K727" s="498"/>
      <c r="L727" s="766"/>
      <c r="M727" s="189"/>
      <c r="N727" s="766"/>
      <c r="O727" s="498"/>
      <c r="P727" s="49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</row>
    <row r="728" spans="1:26" ht="18.75" hidden="1">
      <c r="A728" s="744"/>
      <c r="B728" s="763"/>
      <c r="C728" s="763"/>
      <c r="D728" s="763"/>
      <c r="E728" s="763"/>
      <c r="F728" s="763"/>
      <c r="G728" s="189"/>
      <c r="H728" s="764" t="s">
        <v>46</v>
      </c>
      <c r="I728" s="765">
        <f ca="1">IFERROR(__xludf.DUMMYFUNCTION("IMPORTRANGE(""https://docs.google.com/spreadsheets/d/1QqKyyYR6Q21VydFLVH3TRQUabQu_ym0Zz7PgGX0-kHA/edit?usp=sharing"",""แผน!IO44"")"),0)</f>
        <v>0</v>
      </c>
      <c r="J728" s="270">
        <f ca="1">IFERROR(__xludf.DUMMYFUNCTION("IMPORTRANGE(""https://docs.google.com/spreadsheets/d/1XWAQStnk-4SwqDmLtmXYiTMKHgktTP8We1SCoS47DrQ/edit?usp=sharing"",""จัดที่ดิน!BT44"")"),0)</f>
        <v>0</v>
      </c>
      <c r="K728" s="498">
        <f t="shared" ref="K728:K729" ca="1" si="293">IF(I728&gt;0,J728*100/I728,0)</f>
        <v>0</v>
      </c>
      <c r="L728" s="766"/>
      <c r="M728" s="189"/>
      <c r="N728" s="766"/>
      <c r="O728" s="498"/>
      <c r="P728" s="49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</row>
    <row r="729" spans="1:26" ht="19.5" hidden="1">
      <c r="A729" s="744"/>
      <c r="B729" s="763"/>
      <c r="C729" s="763"/>
      <c r="D729" s="763" t="s">
        <v>309</v>
      </c>
      <c r="E729" s="763"/>
      <c r="F729" s="763"/>
      <c r="G729" s="189"/>
      <c r="H729" s="767" t="s">
        <v>46</v>
      </c>
      <c r="I729" s="768">
        <f ca="1">IFERROR(__xludf.DUMMYFUNCTION("IMPORTRANGE(""https://docs.google.com/spreadsheets/d/1QqKyyYR6Q21VydFLVH3TRQUabQu_ym0Zz7PgGX0-kHA/edit?usp=sharing"",""แผน!IP44"")"),0)</f>
        <v>0</v>
      </c>
      <c r="J729" s="681">
        <f>J732+J735</f>
        <v>0</v>
      </c>
      <c r="K729" s="195">
        <f t="shared" ca="1" si="293"/>
        <v>0</v>
      </c>
      <c r="L729" s="498"/>
      <c r="M729" s="189"/>
      <c r="N729" s="766"/>
      <c r="O729" s="498"/>
      <c r="P729" s="49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</row>
    <row r="730" spans="1:26" ht="18.75" hidden="1">
      <c r="A730" s="744"/>
      <c r="B730" s="763"/>
      <c r="C730" s="763"/>
      <c r="D730" s="763"/>
      <c r="E730" s="763" t="s">
        <v>310</v>
      </c>
      <c r="F730" s="763"/>
      <c r="G730" s="189"/>
      <c r="H730" s="764" t="s">
        <v>35</v>
      </c>
      <c r="I730" s="765"/>
      <c r="J730" s="215">
        <v>0</v>
      </c>
      <c r="K730" s="498"/>
      <c r="L730" s="766"/>
      <c r="M730" s="498"/>
      <c r="N730" s="766"/>
      <c r="O730" s="498"/>
      <c r="P730" s="49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</row>
    <row r="731" spans="1:26" ht="18.75" hidden="1">
      <c r="A731" s="744"/>
      <c r="B731" s="763"/>
      <c r="C731" s="763"/>
      <c r="D731" s="763"/>
      <c r="E731" s="763"/>
      <c r="F731" s="763"/>
      <c r="G731" s="189"/>
      <c r="H731" s="764" t="s">
        <v>34</v>
      </c>
      <c r="I731" s="765"/>
      <c r="J731" s="215">
        <v>0</v>
      </c>
      <c r="K731" s="498"/>
      <c r="L731" s="766"/>
      <c r="M731" s="498"/>
      <c r="N731" s="766"/>
      <c r="O731" s="498"/>
      <c r="P731" s="49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</row>
    <row r="732" spans="1:26" ht="18.75" hidden="1">
      <c r="A732" s="744"/>
      <c r="B732" s="763"/>
      <c r="C732" s="763"/>
      <c r="D732" s="763"/>
      <c r="E732" s="763"/>
      <c r="F732" s="763"/>
      <c r="G732" s="189"/>
      <c r="H732" s="764" t="s">
        <v>46</v>
      </c>
      <c r="I732" s="765"/>
      <c r="J732" s="215">
        <v>0</v>
      </c>
      <c r="K732" s="498"/>
      <c r="L732" s="766"/>
      <c r="M732" s="498"/>
      <c r="N732" s="766"/>
      <c r="O732" s="498"/>
      <c r="P732" s="49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</row>
    <row r="733" spans="1:26" ht="18.75" hidden="1">
      <c r="A733" s="744"/>
      <c r="B733" s="763"/>
      <c r="C733" s="763"/>
      <c r="D733" s="763"/>
      <c r="E733" s="763" t="s">
        <v>311</v>
      </c>
      <c r="F733" s="763"/>
      <c r="G733" s="189"/>
      <c r="H733" s="764" t="s">
        <v>35</v>
      </c>
      <c r="I733" s="765"/>
      <c r="J733" s="215">
        <v>0</v>
      </c>
      <c r="K733" s="498"/>
      <c r="L733" s="766"/>
      <c r="M733" s="498"/>
      <c r="N733" s="766"/>
      <c r="O733" s="498"/>
      <c r="P733" s="49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</row>
    <row r="734" spans="1:26" ht="18.75" hidden="1">
      <c r="A734" s="744"/>
      <c r="B734" s="763"/>
      <c r="C734" s="763"/>
      <c r="D734" s="763"/>
      <c r="E734" s="763"/>
      <c r="F734" s="763"/>
      <c r="G734" s="189"/>
      <c r="H734" s="764" t="s">
        <v>34</v>
      </c>
      <c r="I734" s="765"/>
      <c r="J734" s="215">
        <v>0</v>
      </c>
      <c r="K734" s="498"/>
      <c r="L734" s="766"/>
      <c r="M734" s="498"/>
      <c r="N734" s="766"/>
      <c r="O734" s="498"/>
      <c r="P734" s="49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</row>
    <row r="735" spans="1:26" ht="19.5" hidden="1">
      <c r="A735" s="770"/>
      <c r="B735" s="771" t="s">
        <v>312</v>
      </c>
      <c r="C735" s="734"/>
      <c r="D735" s="734"/>
      <c r="E735" s="734"/>
      <c r="F735" s="734"/>
      <c r="G735" s="735"/>
      <c r="H735" s="422" t="s">
        <v>46</v>
      </c>
      <c r="I735" s="772"/>
      <c r="J735" s="424">
        <v>0</v>
      </c>
      <c r="K735" s="507"/>
      <c r="L735" s="773"/>
      <c r="M735" s="507"/>
      <c r="N735" s="773"/>
      <c r="O735" s="507"/>
      <c r="P735" s="507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</row>
    <row r="736" spans="1:26" ht="19.5" hidden="1">
      <c r="A736" s="774">
        <v>9</v>
      </c>
      <c r="B736" s="775" t="s">
        <v>313</v>
      </c>
      <c r="C736" s="776"/>
      <c r="D736" s="776"/>
      <c r="E736" s="776"/>
      <c r="F736" s="776"/>
      <c r="G736" s="777"/>
      <c r="H736" s="778" t="s">
        <v>46</v>
      </c>
      <c r="I736" s="779"/>
      <c r="J736" s="779">
        <f>J751</f>
        <v>0</v>
      </c>
      <c r="K736" s="780">
        <f>IF(I736&gt;0,J736*100/I736,0)</f>
        <v>0</v>
      </c>
      <c r="L736" s="781"/>
      <c r="M736" s="781"/>
      <c r="N736" s="781"/>
      <c r="O736" s="781"/>
      <c r="P736" s="781"/>
      <c r="Q736" s="604"/>
      <c r="R736" s="604"/>
      <c r="S736" s="604"/>
      <c r="T736" s="604"/>
      <c r="U736" s="604"/>
      <c r="V736" s="604"/>
      <c r="W736" s="604"/>
      <c r="X736" s="604"/>
      <c r="Y736" s="604"/>
      <c r="Z736" s="604"/>
    </row>
    <row r="737" spans="1:26" ht="19.5" hidden="1">
      <c r="A737" s="599"/>
      <c r="B737" s="759"/>
      <c r="C737" s="759" t="s">
        <v>16</v>
      </c>
      <c r="D737" s="864" t="s">
        <v>17</v>
      </c>
      <c r="E737" s="857"/>
      <c r="F737" s="857"/>
      <c r="G737" s="603"/>
      <c r="H737" s="646" t="s">
        <v>12</v>
      </c>
      <c r="I737" s="617"/>
      <c r="J737" s="617"/>
      <c r="K737" s="93"/>
      <c r="L737" s="647">
        <f t="shared" ref="L737:N737" si="294">L738+L739</f>
        <v>0</v>
      </c>
      <c r="M737" s="647">
        <f t="shared" si="294"/>
        <v>0</v>
      </c>
      <c r="N737" s="647">
        <f t="shared" si="294"/>
        <v>0</v>
      </c>
      <c r="O737" s="647">
        <f t="shared" ref="O737:O742" si="295">IF(L737&gt;0,N737*100/L737,0)</f>
        <v>0</v>
      </c>
      <c r="P737" s="647">
        <f t="shared" ref="P737:P742" si="296">IF(M737&gt;0,N737*100/M737,0)</f>
        <v>0</v>
      </c>
      <c r="Q737" s="604"/>
      <c r="R737" s="604"/>
      <c r="S737" s="604"/>
      <c r="T737" s="604"/>
      <c r="U737" s="604"/>
      <c r="V737" s="604"/>
      <c r="W737" s="604"/>
      <c r="X737" s="604"/>
      <c r="Y737" s="604"/>
      <c r="Z737" s="604"/>
    </row>
    <row r="738" spans="1:26" ht="18.75" hidden="1">
      <c r="A738" s="599"/>
      <c r="B738" s="759"/>
      <c r="C738" s="759"/>
      <c r="D738" s="720"/>
      <c r="E738" s="759" t="s">
        <v>185</v>
      </c>
      <c r="F738" s="759"/>
      <c r="G738" s="603"/>
      <c r="H738" s="165" t="s">
        <v>12</v>
      </c>
      <c r="I738" s="617"/>
      <c r="J738" s="617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4"/>
      <c r="R738" s="604"/>
      <c r="S738" s="604"/>
      <c r="T738" s="604"/>
      <c r="U738" s="604"/>
      <c r="V738" s="604"/>
      <c r="W738" s="604"/>
      <c r="X738" s="604"/>
      <c r="Y738" s="604"/>
      <c r="Z738" s="604"/>
    </row>
    <row r="739" spans="1:26" ht="18.75" hidden="1">
      <c r="A739" s="599"/>
      <c r="B739" s="607"/>
      <c r="C739" s="759"/>
      <c r="D739" s="720"/>
      <c r="E739" s="759" t="s">
        <v>186</v>
      </c>
      <c r="F739" s="759"/>
      <c r="G739" s="603"/>
      <c r="H739" s="165" t="s">
        <v>12</v>
      </c>
      <c r="I739" s="617"/>
      <c r="J739" s="617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4"/>
      <c r="R739" s="604"/>
      <c r="S739" s="604"/>
      <c r="T739" s="604"/>
      <c r="U739" s="604"/>
      <c r="V739" s="604"/>
      <c r="W739" s="604"/>
      <c r="X739" s="604"/>
      <c r="Y739" s="604"/>
      <c r="Z739" s="604"/>
    </row>
    <row r="740" spans="1:26" ht="19.5" hidden="1">
      <c r="A740" s="599"/>
      <c r="B740" s="607"/>
      <c r="C740" s="759"/>
      <c r="D740" s="645" t="s">
        <v>20</v>
      </c>
      <c r="E740" s="759"/>
      <c r="F740" s="759"/>
      <c r="G740" s="603"/>
      <c r="H740" s="646" t="s">
        <v>12</v>
      </c>
      <c r="I740" s="166"/>
      <c r="J740" s="166"/>
      <c r="K740" s="167"/>
      <c r="L740" s="647">
        <f t="shared" ref="L740:N740" si="298">L741+L742</f>
        <v>0</v>
      </c>
      <c r="M740" s="647">
        <f t="shared" si="298"/>
        <v>0</v>
      </c>
      <c r="N740" s="647">
        <f t="shared" si="298"/>
        <v>0</v>
      </c>
      <c r="O740" s="647">
        <f t="shared" si="295"/>
        <v>0</v>
      </c>
      <c r="P740" s="647">
        <f t="shared" si="296"/>
        <v>0</v>
      </c>
      <c r="Q740" s="604"/>
      <c r="R740" s="604"/>
      <c r="S740" s="604"/>
      <c r="T740" s="604"/>
      <c r="U740" s="604"/>
      <c r="V740" s="604"/>
      <c r="W740" s="604"/>
      <c r="X740" s="604"/>
      <c r="Y740" s="604"/>
      <c r="Z740" s="604"/>
    </row>
    <row r="741" spans="1:26" ht="18.75" hidden="1">
      <c r="A741" s="599"/>
      <c r="B741" s="607"/>
      <c r="C741" s="759"/>
      <c r="D741" s="720"/>
      <c r="E741" s="759" t="s">
        <v>185</v>
      </c>
      <c r="F741" s="759"/>
      <c r="G741" s="603"/>
      <c r="H741" s="165" t="s">
        <v>12</v>
      </c>
      <c r="I741" s="617"/>
      <c r="J741" s="617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4"/>
      <c r="R741" s="604"/>
      <c r="S741" s="604"/>
      <c r="T741" s="604"/>
      <c r="U741" s="604"/>
      <c r="V741" s="604"/>
      <c r="W741" s="604"/>
      <c r="X741" s="604"/>
      <c r="Y741" s="604"/>
      <c r="Z741" s="604"/>
    </row>
    <row r="742" spans="1:26" ht="18.75" hidden="1">
      <c r="A742" s="599"/>
      <c r="B742" s="607"/>
      <c r="C742" s="759"/>
      <c r="D742" s="720"/>
      <c r="E742" s="759" t="s">
        <v>186</v>
      </c>
      <c r="F742" s="759"/>
      <c r="G742" s="603"/>
      <c r="H742" s="165" t="s">
        <v>12</v>
      </c>
      <c r="I742" s="617"/>
      <c r="J742" s="617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4"/>
      <c r="R742" s="604"/>
      <c r="S742" s="604"/>
      <c r="T742" s="604"/>
      <c r="U742" s="604"/>
      <c r="V742" s="604"/>
      <c r="W742" s="604"/>
      <c r="X742" s="604"/>
      <c r="Y742" s="604"/>
      <c r="Z742" s="604"/>
    </row>
    <row r="743" spans="1:26" ht="18.75" hidden="1">
      <c r="A743" s="649"/>
      <c r="B743" s="607"/>
      <c r="C743" s="759"/>
      <c r="D743" s="759"/>
      <c r="E743" s="759"/>
      <c r="F743" s="759" t="s">
        <v>187</v>
      </c>
      <c r="G743" s="603"/>
      <c r="H743" s="165" t="s">
        <v>12</v>
      </c>
      <c r="I743" s="617"/>
      <c r="J743" s="617"/>
      <c r="K743" s="93"/>
      <c r="L743" s="93"/>
      <c r="M743" s="93"/>
      <c r="N743" s="93"/>
      <c r="O743" s="93"/>
      <c r="P743" s="93"/>
      <c r="Q743" s="604"/>
      <c r="R743" s="604"/>
      <c r="S743" s="604"/>
      <c r="T743" s="604"/>
      <c r="U743" s="604"/>
      <c r="V743" s="604"/>
      <c r="W743" s="604"/>
      <c r="X743" s="604"/>
      <c r="Y743" s="604"/>
      <c r="Z743" s="604"/>
    </row>
    <row r="744" spans="1:26" ht="18.75" hidden="1">
      <c r="A744" s="649"/>
      <c r="B744" s="607"/>
      <c r="C744" s="759"/>
      <c r="D744" s="759"/>
      <c r="E744" s="759"/>
      <c r="F744" s="759" t="s">
        <v>188</v>
      </c>
      <c r="G744" s="603"/>
      <c r="H744" s="165" t="s">
        <v>12</v>
      </c>
      <c r="I744" s="617"/>
      <c r="J744" s="617"/>
      <c r="K744" s="93"/>
      <c r="L744" s="93"/>
      <c r="M744" s="93"/>
      <c r="N744" s="93"/>
      <c r="O744" s="93"/>
      <c r="P744" s="93"/>
      <c r="Q744" s="604"/>
      <c r="R744" s="604"/>
      <c r="S744" s="604"/>
      <c r="T744" s="604"/>
      <c r="U744" s="604"/>
      <c r="V744" s="604"/>
      <c r="W744" s="604"/>
      <c r="X744" s="604"/>
      <c r="Y744" s="604"/>
      <c r="Z744" s="604"/>
    </row>
    <row r="745" spans="1:26" ht="18.75" hidden="1">
      <c r="A745" s="649"/>
      <c r="B745" s="607"/>
      <c r="C745" s="759"/>
      <c r="D745" s="759"/>
      <c r="E745" s="759"/>
      <c r="F745" s="759" t="s">
        <v>189</v>
      </c>
      <c r="G745" s="603"/>
      <c r="H745" s="165" t="s">
        <v>12</v>
      </c>
      <c r="I745" s="617"/>
      <c r="J745" s="617"/>
      <c r="K745" s="93"/>
      <c r="L745" s="93"/>
      <c r="M745" s="93"/>
      <c r="N745" s="93"/>
      <c r="O745" s="93"/>
      <c r="P745" s="93"/>
      <c r="Q745" s="604"/>
      <c r="R745" s="604"/>
      <c r="S745" s="604"/>
      <c r="T745" s="604"/>
      <c r="U745" s="604"/>
      <c r="V745" s="604"/>
      <c r="W745" s="604"/>
      <c r="X745" s="604"/>
      <c r="Y745" s="604"/>
      <c r="Z745" s="604"/>
    </row>
    <row r="746" spans="1:26" ht="18.75" hidden="1">
      <c r="A746" s="649"/>
      <c r="B746" s="607"/>
      <c r="C746" s="759"/>
      <c r="D746" s="759"/>
      <c r="E746" s="759"/>
      <c r="F746" s="759" t="s">
        <v>190</v>
      </c>
      <c r="G746" s="603"/>
      <c r="H746" s="165" t="s">
        <v>12</v>
      </c>
      <c r="I746" s="617"/>
      <c r="J746" s="617"/>
      <c r="K746" s="93"/>
      <c r="L746" s="93"/>
      <c r="M746" s="93"/>
      <c r="N746" s="93"/>
      <c r="O746" s="93"/>
      <c r="P746" s="93"/>
      <c r="Q746" s="604"/>
      <c r="R746" s="604"/>
      <c r="S746" s="604"/>
      <c r="T746" s="604"/>
      <c r="U746" s="604"/>
      <c r="V746" s="604"/>
      <c r="W746" s="604"/>
      <c r="X746" s="604"/>
      <c r="Y746" s="604"/>
      <c r="Z746" s="604"/>
    </row>
    <row r="747" spans="1:26" ht="19.5" hidden="1">
      <c r="A747" s="599"/>
      <c r="B747" s="607"/>
      <c r="C747" s="759"/>
      <c r="D747" s="645" t="s">
        <v>21</v>
      </c>
      <c r="E747" s="759"/>
      <c r="F747" s="759"/>
      <c r="G747" s="603"/>
      <c r="H747" s="783" t="s">
        <v>12</v>
      </c>
      <c r="I747" s="166"/>
      <c r="J747" s="166"/>
      <c r="K747" s="167"/>
      <c r="L747" s="647">
        <f t="shared" ref="L747:N747" si="299">L748+L749</f>
        <v>0</v>
      </c>
      <c r="M747" s="647">
        <f t="shared" si="299"/>
        <v>0</v>
      </c>
      <c r="N747" s="647">
        <f t="shared" si="299"/>
        <v>0</v>
      </c>
      <c r="O747" s="647">
        <f t="shared" ref="O747:O749" si="300">IF(L747&gt;0,N747*100/L747,0)</f>
        <v>0</v>
      </c>
      <c r="P747" s="647">
        <f t="shared" ref="P747:P749" si="301">IF(M747&gt;0,N747*100/M747,0)</f>
        <v>0</v>
      </c>
      <c r="Q747" s="604"/>
      <c r="R747" s="604"/>
      <c r="S747" s="604"/>
      <c r="T747" s="604"/>
      <c r="U747" s="604"/>
      <c r="V747" s="604"/>
      <c r="W747" s="604"/>
      <c r="X747" s="604"/>
      <c r="Y747" s="604"/>
      <c r="Z747" s="604"/>
    </row>
    <row r="748" spans="1:26" ht="18.75" hidden="1">
      <c r="A748" s="599"/>
      <c r="B748" s="607"/>
      <c r="C748" s="759"/>
      <c r="D748" s="759"/>
      <c r="E748" s="759" t="s">
        <v>18</v>
      </c>
      <c r="F748" s="759"/>
      <c r="G748" s="603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4"/>
      <c r="R748" s="604"/>
      <c r="S748" s="604"/>
      <c r="T748" s="604"/>
      <c r="U748" s="604"/>
      <c r="V748" s="604"/>
      <c r="W748" s="604"/>
      <c r="X748" s="604"/>
      <c r="Y748" s="604"/>
      <c r="Z748" s="604"/>
    </row>
    <row r="749" spans="1:26" ht="18.75" hidden="1">
      <c r="A749" s="599"/>
      <c r="B749" s="607"/>
      <c r="C749" s="759"/>
      <c r="D749" s="759"/>
      <c r="E749" s="759" t="s">
        <v>19</v>
      </c>
      <c r="F749" s="759"/>
      <c r="G749" s="603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4"/>
      <c r="R749" s="604"/>
      <c r="S749" s="604"/>
      <c r="T749" s="604"/>
      <c r="U749" s="604"/>
      <c r="V749" s="604"/>
      <c r="W749" s="604"/>
      <c r="X749" s="604"/>
      <c r="Y749" s="604"/>
      <c r="Z749" s="604"/>
    </row>
    <row r="750" spans="1:26" ht="19.5" hidden="1">
      <c r="A750" s="614"/>
      <c r="B750" s="616"/>
      <c r="C750" s="759" t="s">
        <v>16</v>
      </c>
      <c r="D750" s="899" t="s">
        <v>38</v>
      </c>
      <c r="E750" s="651"/>
      <c r="F750" s="651"/>
      <c r="G750" s="652"/>
      <c r="H750" s="366"/>
      <c r="I750" s="166"/>
      <c r="J750" s="166"/>
      <c r="K750" s="167"/>
      <c r="L750" s="167"/>
      <c r="M750" s="167"/>
      <c r="N750" s="167"/>
      <c r="O750" s="167"/>
      <c r="P750" s="167"/>
      <c r="Q750" s="604"/>
      <c r="R750" s="604"/>
      <c r="S750" s="604"/>
      <c r="T750" s="604"/>
      <c r="U750" s="604"/>
      <c r="V750" s="604"/>
      <c r="W750" s="604"/>
      <c r="X750" s="604"/>
      <c r="Y750" s="604"/>
      <c r="Z750" s="604"/>
    </row>
    <row r="751" spans="1:26" ht="18.75" hidden="1">
      <c r="A751" s="649"/>
      <c r="B751" s="607"/>
      <c r="C751" s="759"/>
      <c r="D751" s="759"/>
      <c r="E751" s="759" t="s">
        <v>314</v>
      </c>
      <c r="F751" s="759"/>
      <c r="G751" s="603"/>
      <c r="H751" s="165" t="s">
        <v>46</v>
      </c>
      <c r="I751" s="617"/>
      <c r="J751" s="617"/>
      <c r="K751" s="93"/>
      <c r="L751" s="93"/>
      <c r="M751" s="93"/>
      <c r="N751" s="93"/>
      <c r="O751" s="93"/>
      <c r="P751" s="93"/>
      <c r="Q751" s="604"/>
      <c r="R751" s="604"/>
      <c r="S751" s="604"/>
      <c r="T751" s="604"/>
      <c r="U751" s="604"/>
      <c r="V751" s="604"/>
      <c r="W751" s="604"/>
      <c r="X751" s="604"/>
      <c r="Y751" s="604"/>
      <c r="Z751" s="604"/>
    </row>
    <row r="752" spans="1:26" ht="18.75" hidden="1">
      <c r="A752" s="649"/>
      <c r="B752" s="607"/>
      <c r="C752" s="759"/>
      <c r="D752" s="759"/>
      <c r="E752" s="759"/>
      <c r="F752" s="759"/>
      <c r="G752" s="603"/>
      <c r="H752" s="165" t="s">
        <v>315</v>
      </c>
      <c r="I752" s="617"/>
      <c r="J752" s="617"/>
      <c r="K752" s="93"/>
      <c r="L752" s="93"/>
      <c r="M752" s="93"/>
      <c r="N752" s="93"/>
      <c r="O752" s="93"/>
      <c r="P752" s="93"/>
      <c r="Q752" s="604"/>
      <c r="R752" s="604"/>
      <c r="S752" s="604"/>
      <c r="T752" s="604"/>
      <c r="U752" s="604"/>
      <c r="V752" s="604"/>
      <c r="W752" s="604"/>
      <c r="X752" s="604"/>
      <c r="Y752" s="604"/>
      <c r="Z752" s="604"/>
    </row>
    <row r="753" spans="1:26" ht="19.5" hidden="1">
      <c r="A753" s="785">
        <v>10</v>
      </c>
      <c r="B753" s="786" t="s">
        <v>316</v>
      </c>
      <c r="C753" s="787"/>
      <c r="D753" s="787"/>
      <c r="E753" s="787"/>
      <c r="F753" s="787"/>
      <c r="G753" s="788"/>
      <c r="H753" s="789" t="s">
        <v>46</v>
      </c>
      <c r="I753" s="790"/>
      <c r="J753" s="790">
        <f>J768</f>
        <v>0</v>
      </c>
      <c r="K753" s="791">
        <f>IF(I753&gt;0,J753*100/I753,0)</f>
        <v>0</v>
      </c>
      <c r="L753" s="792"/>
      <c r="M753" s="792"/>
      <c r="N753" s="792"/>
      <c r="O753" s="792"/>
      <c r="P753" s="792"/>
      <c r="Q753" s="604"/>
      <c r="R753" s="604"/>
      <c r="S753" s="604"/>
      <c r="T753" s="604"/>
      <c r="U753" s="604"/>
      <c r="V753" s="604"/>
      <c r="W753" s="604"/>
      <c r="X753" s="604"/>
      <c r="Y753" s="604"/>
      <c r="Z753" s="604"/>
    </row>
    <row r="754" spans="1:26" ht="19.5" hidden="1">
      <c r="A754" s="599"/>
      <c r="B754" s="759"/>
      <c r="C754" s="759" t="s">
        <v>16</v>
      </c>
      <c r="D754" s="864" t="s">
        <v>17</v>
      </c>
      <c r="E754" s="857"/>
      <c r="F754" s="857"/>
      <c r="G754" s="603"/>
      <c r="H754" s="646" t="s">
        <v>12</v>
      </c>
      <c r="I754" s="617"/>
      <c r="J754" s="617"/>
      <c r="K754" s="93"/>
      <c r="L754" s="647">
        <f t="shared" ref="L754:N754" si="302">L755+L756</f>
        <v>0</v>
      </c>
      <c r="M754" s="647">
        <f t="shared" si="302"/>
        <v>0</v>
      </c>
      <c r="N754" s="647">
        <f t="shared" si="302"/>
        <v>0</v>
      </c>
      <c r="O754" s="647">
        <f t="shared" ref="O754:O759" si="303">IF(L754&gt;0,N754*100/L754,0)</f>
        <v>0</v>
      </c>
      <c r="P754" s="647">
        <f t="shared" ref="P754:P759" si="304">IF(M754&gt;0,N754*100/M754,0)</f>
        <v>0</v>
      </c>
      <c r="Q754" s="604"/>
      <c r="R754" s="604"/>
      <c r="S754" s="604"/>
      <c r="T754" s="604"/>
      <c r="U754" s="604"/>
      <c r="V754" s="604"/>
      <c r="W754" s="604"/>
      <c r="X754" s="604"/>
      <c r="Y754" s="604"/>
      <c r="Z754" s="604"/>
    </row>
    <row r="755" spans="1:26" ht="18.75" hidden="1">
      <c r="A755" s="599"/>
      <c r="B755" s="759"/>
      <c r="C755" s="759"/>
      <c r="D755" s="720"/>
      <c r="E755" s="759" t="s">
        <v>185</v>
      </c>
      <c r="F755" s="759"/>
      <c r="G755" s="603"/>
      <c r="H755" s="165" t="s">
        <v>12</v>
      </c>
      <c r="I755" s="617"/>
      <c r="J755" s="617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4"/>
      <c r="R755" s="604"/>
      <c r="S755" s="604"/>
      <c r="T755" s="604"/>
      <c r="U755" s="604"/>
      <c r="V755" s="604"/>
      <c r="W755" s="604"/>
      <c r="X755" s="604"/>
      <c r="Y755" s="604"/>
      <c r="Z755" s="604"/>
    </row>
    <row r="756" spans="1:26" ht="18.75" hidden="1">
      <c r="A756" s="599"/>
      <c r="B756" s="607"/>
      <c r="C756" s="759"/>
      <c r="D756" s="720"/>
      <c r="E756" s="759" t="s">
        <v>186</v>
      </c>
      <c r="F756" s="759"/>
      <c r="G756" s="603"/>
      <c r="H756" s="165" t="s">
        <v>12</v>
      </c>
      <c r="I756" s="617"/>
      <c r="J756" s="617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4"/>
      <c r="R756" s="604"/>
      <c r="S756" s="604"/>
      <c r="T756" s="604"/>
      <c r="U756" s="604"/>
      <c r="V756" s="604"/>
      <c r="W756" s="604"/>
      <c r="X756" s="604"/>
      <c r="Y756" s="604"/>
      <c r="Z756" s="604"/>
    </row>
    <row r="757" spans="1:26" ht="19.5" hidden="1">
      <c r="A757" s="599"/>
      <c r="B757" s="607"/>
      <c r="C757" s="759"/>
      <c r="D757" s="645" t="s">
        <v>20</v>
      </c>
      <c r="E757" s="759"/>
      <c r="F757" s="759"/>
      <c r="G757" s="603"/>
      <c r="H757" s="646" t="s">
        <v>12</v>
      </c>
      <c r="I757" s="166"/>
      <c r="J757" s="166"/>
      <c r="K757" s="167"/>
      <c r="L757" s="647">
        <f t="shared" ref="L757:N757" si="306">L758+L759</f>
        <v>0</v>
      </c>
      <c r="M757" s="647">
        <f t="shared" si="306"/>
        <v>0</v>
      </c>
      <c r="N757" s="647">
        <f t="shared" si="306"/>
        <v>0</v>
      </c>
      <c r="O757" s="647">
        <f t="shared" si="303"/>
        <v>0</v>
      </c>
      <c r="P757" s="647">
        <f t="shared" si="304"/>
        <v>0</v>
      </c>
      <c r="Q757" s="604"/>
      <c r="R757" s="604"/>
      <c r="S757" s="604"/>
      <c r="T757" s="604"/>
      <c r="U757" s="604"/>
      <c r="V757" s="604"/>
      <c r="W757" s="604"/>
      <c r="X757" s="604"/>
      <c r="Y757" s="604"/>
      <c r="Z757" s="604"/>
    </row>
    <row r="758" spans="1:26" ht="18.75" hidden="1">
      <c r="A758" s="599"/>
      <c r="B758" s="607"/>
      <c r="C758" s="759"/>
      <c r="D758" s="720"/>
      <c r="E758" s="759" t="s">
        <v>185</v>
      </c>
      <c r="F758" s="759"/>
      <c r="G758" s="603"/>
      <c r="H758" s="165" t="s">
        <v>12</v>
      </c>
      <c r="I758" s="617"/>
      <c r="J758" s="617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4"/>
      <c r="R758" s="604"/>
      <c r="S758" s="604"/>
      <c r="T758" s="604"/>
      <c r="U758" s="604"/>
      <c r="V758" s="604"/>
      <c r="W758" s="604"/>
      <c r="X758" s="604"/>
      <c r="Y758" s="604"/>
      <c r="Z758" s="604"/>
    </row>
    <row r="759" spans="1:26" ht="18.75" hidden="1">
      <c r="A759" s="599"/>
      <c r="B759" s="607"/>
      <c r="C759" s="759"/>
      <c r="D759" s="720"/>
      <c r="E759" s="759" t="s">
        <v>186</v>
      </c>
      <c r="F759" s="759"/>
      <c r="G759" s="603"/>
      <c r="H759" s="165" t="s">
        <v>12</v>
      </c>
      <c r="I759" s="617"/>
      <c r="J759" s="617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4"/>
      <c r="R759" s="604"/>
      <c r="S759" s="604"/>
      <c r="T759" s="604"/>
      <c r="U759" s="604"/>
      <c r="V759" s="604"/>
      <c r="W759" s="604"/>
      <c r="X759" s="604"/>
      <c r="Y759" s="604"/>
      <c r="Z759" s="604"/>
    </row>
    <row r="760" spans="1:26" ht="18.75" hidden="1">
      <c r="A760" s="649"/>
      <c r="B760" s="607"/>
      <c r="C760" s="759"/>
      <c r="D760" s="759"/>
      <c r="E760" s="759"/>
      <c r="F760" s="759" t="s">
        <v>187</v>
      </c>
      <c r="G760" s="603"/>
      <c r="H760" s="165" t="s">
        <v>12</v>
      </c>
      <c r="I760" s="617"/>
      <c r="J760" s="617"/>
      <c r="K760" s="93"/>
      <c r="L760" s="93"/>
      <c r="M760" s="93"/>
      <c r="N760" s="93"/>
      <c r="O760" s="93"/>
      <c r="P760" s="93"/>
      <c r="Q760" s="604"/>
      <c r="R760" s="604"/>
      <c r="S760" s="604"/>
      <c r="T760" s="604"/>
      <c r="U760" s="604"/>
      <c r="V760" s="604"/>
      <c r="W760" s="604"/>
      <c r="X760" s="604"/>
      <c r="Y760" s="604"/>
      <c r="Z760" s="604"/>
    </row>
    <row r="761" spans="1:26" ht="18.75" hidden="1">
      <c r="A761" s="649"/>
      <c r="B761" s="607"/>
      <c r="C761" s="759"/>
      <c r="D761" s="759"/>
      <c r="E761" s="759"/>
      <c r="F761" s="759" t="s">
        <v>188</v>
      </c>
      <c r="G761" s="603"/>
      <c r="H761" s="165" t="s">
        <v>12</v>
      </c>
      <c r="I761" s="617"/>
      <c r="J761" s="617"/>
      <c r="K761" s="93"/>
      <c r="L761" s="93"/>
      <c r="M761" s="93"/>
      <c r="N761" s="93"/>
      <c r="O761" s="93"/>
      <c r="P761" s="93"/>
      <c r="Q761" s="604"/>
      <c r="R761" s="604"/>
      <c r="S761" s="604"/>
      <c r="T761" s="604"/>
      <c r="U761" s="604"/>
      <c r="V761" s="604"/>
      <c r="W761" s="604"/>
      <c r="X761" s="604"/>
      <c r="Y761" s="604"/>
      <c r="Z761" s="604"/>
    </row>
    <row r="762" spans="1:26" ht="18.75" hidden="1">
      <c r="A762" s="649"/>
      <c r="B762" s="607"/>
      <c r="C762" s="759"/>
      <c r="D762" s="759"/>
      <c r="E762" s="759"/>
      <c r="F762" s="759" t="s">
        <v>189</v>
      </c>
      <c r="G762" s="603"/>
      <c r="H762" s="165" t="s">
        <v>12</v>
      </c>
      <c r="I762" s="617"/>
      <c r="J762" s="617"/>
      <c r="K762" s="93"/>
      <c r="L762" s="93"/>
      <c r="M762" s="93"/>
      <c r="N762" s="93"/>
      <c r="O762" s="93"/>
      <c r="P762" s="93"/>
      <c r="Q762" s="604"/>
      <c r="R762" s="604"/>
      <c r="S762" s="604"/>
      <c r="T762" s="604"/>
      <c r="U762" s="604"/>
      <c r="V762" s="604"/>
      <c r="W762" s="604"/>
      <c r="X762" s="604"/>
      <c r="Y762" s="604"/>
      <c r="Z762" s="604"/>
    </row>
    <row r="763" spans="1:26" ht="18.75" hidden="1">
      <c r="A763" s="649"/>
      <c r="B763" s="607"/>
      <c r="C763" s="759"/>
      <c r="D763" s="759"/>
      <c r="E763" s="759"/>
      <c r="F763" s="759" t="s">
        <v>190</v>
      </c>
      <c r="G763" s="603"/>
      <c r="H763" s="165" t="s">
        <v>12</v>
      </c>
      <c r="I763" s="617"/>
      <c r="J763" s="617"/>
      <c r="K763" s="93"/>
      <c r="L763" s="93"/>
      <c r="M763" s="93"/>
      <c r="N763" s="93"/>
      <c r="O763" s="93"/>
      <c r="P763" s="93"/>
      <c r="Q763" s="604"/>
      <c r="R763" s="604"/>
      <c r="S763" s="604"/>
      <c r="T763" s="604"/>
      <c r="U763" s="604"/>
      <c r="V763" s="604"/>
      <c r="W763" s="604"/>
      <c r="X763" s="604"/>
      <c r="Y763" s="604"/>
      <c r="Z763" s="604"/>
    </row>
    <row r="764" spans="1:26" ht="19.5" hidden="1">
      <c r="A764" s="599"/>
      <c r="B764" s="607"/>
      <c r="C764" s="759"/>
      <c r="D764" s="645" t="s">
        <v>21</v>
      </c>
      <c r="E764" s="759"/>
      <c r="F764" s="759"/>
      <c r="G764" s="603"/>
      <c r="H764" s="783" t="s">
        <v>12</v>
      </c>
      <c r="I764" s="166"/>
      <c r="J764" s="166"/>
      <c r="K764" s="167"/>
      <c r="L764" s="647">
        <f t="shared" ref="L764:N764" si="307">L765+L766</f>
        <v>0</v>
      </c>
      <c r="M764" s="647">
        <f t="shared" si="307"/>
        <v>0</v>
      </c>
      <c r="N764" s="647">
        <f t="shared" si="307"/>
        <v>0</v>
      </c>
      <c r="O764" s="647">
        <f t="shared" ref="O764:O766" si="308">IF(L764&gt;0,N764*100/L764,0)</f>
        <v>0</v>
      </c>
      <c r="P764" s="647">
        <f t="shared" ref="P764:P766" si="309">IF(M764&gt;0,N764*100/M764,0)</f>
        <v>0</v>
      </c>
      <c r="Q764" s="604"/>
      <c r="R764" s="604"/>
      <c r="S764" s="604"/>
      <c r="T764" s="604"/>
      <c r="U764" s="604"/>
      <c r="V764" s="604"/>
      <c r="W764" s="604"/>
      <c r="X764" s="604"/>
      <c r="Y764" s="604"/>
      <c r="Z764" s="604"/>
    </row>
    <row r="765" spans="1:26" ht="18.75" hidden="1">
      <c r="A765" s="599"/>
      <c r="B765" s="607"/>
      <c r="C765" s="759"/>
      <c r="D765" s="759"/>
      <c r="E765" s="759" t="s">
        <v>18</v>
      </c>
      <c r="F765" s="759"/>
      <c r="G765" s="603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4"/>
      <c r="R765" s="604"/>
      <c r="S765" s="604"/>
      <c r="T765" s="604"/>
      <c r="U765" s="604"/>
      <c r="V765" s="604"/>
      <c r="W765" s="604"/>
      <c r="X765" s="604"/>
      <c r="Y765" s="604"/>
      <c r="Z765" s="604"/>
    </row>
    <row r="766" spans="1:26" ht="18.75" hidden="1">
      <c r="A766" s="599"/>
      <c r="B766" s="607"/>
      <c r="C766" s="759"/>
      <c r="D766" s="759"/>
      <c r="E766" s="759" t="s">
        <v>19</v>
      </c>
      <c r="F766" s="759"/>
      <c r="G766" s="603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4"/>
      <c r="R766" s="604"/>
      <c r="S766" s="604"/>
      <c r="T766" s="604"/>
      <c r="U766" s="604"/>
      <c r="V766" s="604"/>
      <c r="W766" s="604"/>
      <c r="X766" s="604"/>
      <c r="Y766" s="604"/>
      <c r="Z766" s="604"/>
    </row>
    <row r="767" spans="1:26" ht="19.5" hidden="1">
      <c r="A767" s="614"/>
      <c r="B767" s="616"/>
      <c r="C767" s="759" t="s">
        <v>16</v>
      </c>
      <c r="D767" s="899" t="s">
        <v>38</v>
      </c>
      <c r="E767" s="651"/>
      <c r="F767" s="651"/>
      <c r="G767" s="652"/>
      <c r="H767" s="366"/>
      <c r="I767" s="166"/>
      <c r="J767" s="166"/>
      <c r="K767" s="167"/>
      <c r="L767" s="167"/>
      <c r="M767" s="167"/>
      <c r="N767" s="167"/>
      <c r="O767" s="167"/>
      <c r="P767" s="167"/>
      <c r="Q767" s="604"/>
      <c r="R767" s="604"/>
      <c r="S767" s="604"/>
      <c r="T767" s="604"/>
      <c r="U767" s="604"/>
      <c r="V767" s="604"/>
      <c r="W767" s="604"/>
      <c r="X767" s="604"/>
      <c r="Y767" s="604"/>
      <c r="Z767" s="604"/>
    </row>
    <row r="768" spans="1:26" ht="18.75" hidden="1">
      <c r="A768" s="649"/>
      <c r="B768" s="607"/>
      <c r="C768" s="759"/>
      <c r="D768" s="759"/>
      <c r="E768" s="759" t="s">
        <v>317</v>
      </c>
      <c r="F768" s="759"/>
      <c r="G768" s="603"/>
      <c r="H768" s="165" t="s">
        <v>46</v>
      </c>
      <c r="I768" s="617"/>
      <c r="J768" s="617"/>
      <c r="K768" s="93"/>
      <c r="L768" s="93"/>
      <c r="M768" s="93"/>
      <c r="N768" s="93"/>
      <c r="O768" s="93"/>
      <c r="P768" s="93"/>
      <c r="Q768" s="604"/>
      <c r="R768" s="604"/>
      <c r="S768" s="604"/>
      <c r="T768" s="604"/>
      <c r="U768" s="604"/>
      <c r="V768" s="604"/>
      <c r="W768" s="604"/>
      <c r="X768" s="604"/>
      <c r="Y768" s="604"/>
      <c r="Z768" s="604"/>
    </row>
    <row r="769" spans="1:26" ht="19.5" hidden="1">
      <c r="A769" s="793">
        <v>11</v>
      </c>
      <c r="B769" s="794" t="s">
        <v>318</v>
      </c>
      <c r="C769" s="795"/>
      <c r="D769" s="795"/>
      <c r="E769" s="795"/>
      <c r="F769" s="795"/>
      <c r="G769" s="796"/>
      <c r="H769" s="797" t="s">
        <v>46</v>
      </c>
      <c r="I769" s="798"/>
      <c r="J769" s="798">
        <f>J784</f>
        <v>0</v>
      </c>
      <c r="K769" s="799">
        <f>IF(I769&gt;0,J769*100/I769,0)</f>
        <v>0</v>
      </c>
      <c r="L769" s="800"/>
      <c r="M769" s="800"/>
      <c r="N769" s="800"/>
      <c r="O769" s="800"/>
      <c r="P769" s="800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</row>
    <row r="770" spans="1:26" ht="19.5" hidden="1">
      <c r="A770" s="599"/>
      <c r="B770" s="759"/>
      <c r="C770" s="759" t="s">
        <v>16</v>
      </c>
      <c r="D770" s="864" t="s">
        <v>17</v>
      </c>
      <c r="E770" s="857"/>
      <c r="F770" s="857"/>
      <c r="G770" s="603"/>
      <c r="H770" s="646" t="s">
        <v>12</v>
      </c>
      <c r="I770" s="617"/>
      <c r="J770" s="617"/>
      <c r="K770" s="93"/>
      <c r="L770" s="647">
        <f t="shared" ref="L770:N770" si="310">L771+L772</f>
        <v>0</v>
      </c>
      <c r="M770" s="647">
        <f t="shared" si="310"/>
        <v>0</v>
      </c>
      <c r="N770" s="647">
        <f t="shared" si="310"/>
        <v>0</v>
      </c>
      <c r="O770" s="647">
        <f t="shared" ref="O770:O775" si="311">IF(L770&gt;0,N770*100/L770,0)</f>
        <v>0</v>
      </c>
      <c r="P770" s="647">
        <f t="shared" ref="P770:P775" si="312">IF(M770&gt;0,N770*100/M770,0)</f>
        <v>0</v>
      </c>
      <c r="Q770" s="604"/>
      <c r="R770" s="604"/>
      <c r="S770" s="604"/>
      <c r="T770" s="604"/>
      <c r="U770" s="604"/>
      <c r="V770" s="604"/>
      <c r="W770" s="604"/>
      <c r="X770" s="604"/>
      <c r="Y770" s="604"/>
      <c r="Z770" s="604"/>
    </row>
    <row r="771" spans="1:26" ht="18.75" hidden="1">
      <c r="A771" s="599"/>
      <c r="B771" s="759"/>
      <c r="C771" s="759"/>
      <c r="D771" s="720"/>
      <c r="E771" s="759" t="s">
        <v>185</v>
      </c>
      <c r="F771" s="759"/>
      <c r="G771" s="603"/>
      <c r="H771" s="165" t="s">
        <v>12</v>
      </c>
      <c r="I771" s="617"/>
      <c r="J771" s="617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4"/>
      <c r="R771" s="604"/>
      <c r="S771" s="604"/>
      <c r="T771" s="604"/>
      <c r="U771" s="604"/>
      <c r="V771" s="604"/>
      <c r="W771" s="604"/>
      <c r="X771" s="604"/>
      <c r="Y771" s="604"/>
      <c r="Z771" s="604"/>
    </row>
    <row r="772" spans="1:26" ht="18.75" hidden="1">
      <c r="A772" s="599"/>
      <c r="B772" s="607"/>
      <c r="C772" s="759"/>
      <c r="D772" s="720"/>
      <c r="E772" s="759" t="s">
        <v>186</v>
      </c>
      <c r="F772" s="759"/>
      <c r="G772" s="603"/>
      <c r="H772" s="165" t="s">
        <v>12</v>
      </c>
      <c r="I772" s="617"/>
      <c r="J772" s="617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4"/>
      <c r="R772" s="604"/>
      <c r="S772" s="604"/>
      <c r="T772" s="604"/>
      <c r="U772" s="604"/>
      <c r="V772" s="604"/>
      <c r="W772" s="604"/>
      <c r="X772" s="604"/>
      <c r="Y772" s="604"/>
      <c r="Z772" s="604"/>
    </row>
    <row r="773" spans="1:26" ht="19.5" hidden="1">
      <c r="A773" s="599"/>
      <c r="B773" s="607"/>
      <c r="C773" s="759"/>
      <c r="D773" s="645" t="s">
        <v>20</v>
      </c>
      <c r="E773" s="759"/>
      <c r="F773" s="759"/>
      <c r="G773" s="603"/>
      <c r="H773" s="646" t="s">
        <v>12</v>
      </c>
      <c r="I773" s="166"/>
      <c r="J773" s="166"/>
      <c r="K773" s="167"/>
      <c r="L773" s="647">
        <f t="shared" ref="L773:N773" si="314">L774+L775</f>
        <v>0</v>
      </c>
      <c r="M773" s="647">
        <f t="shared" si="314"/>
        <v>0</v>
      </c>
      <c r="N773" s="647">
        <f t="shared" si="314"/>
        <v>0</v>
      </c>
      <c r="O773" s="647">
        <f t="shared" si="311"/>
        <v>0</v>
      </c>
      <c r="P773" s="647">
        <f t="shared" si="312"/>
        <v>0</v>
      </c>
      <c r="Q773" s="604"/>
      <c r="R773" s="604"/>
      <c r="S773" s="604"/>
      <c r="T773" s="604"/>
      <c r="U773" s="604"/>
      <c r="V773" s="604"/>
      <c r="W773" s="604"/>
      <c r="X773" s="604"/>
      <c r="Y773" s="604"/>
      <c r="Z773" s="604"/>
    </row>
    <row r="774" spans="1:26" ht="18.75" hidden="1">
      <c r="A774" s="599"/>
      <c r="B774" s="607"/>
      <c r="C774" s="759"/>
      <c r="D774" s="720"/>
      <c r="E774" s="759" t="s">
        <v>185</v>
      </c>
      <c r="F774" s="759"/>
      <c r="G774" s="603"/>
      <c r="H774" s="165" t="s">
        <v>12</v>
      </c>
      <c r="I774" s="617"/>
      <c r="J774" s="617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4"/>
      <c r="R774" s="604"/>
      <c r="S774" s="604"/>
      <c r="T774" s="604"/>
      <c r="U774" s="604"/>
      <c r="V774" s="604"/>
      <c r="W774" s="604"/>
      <c r="X774" s="604"/>
      <c r="Y774" s="604"/>
      <c r="Z774" s="604"/>
    </row>
    <row r="775" spans="1:26" ht="18.75" hidden="1">
      <c r="A775" s="599"/>
      <c r="B775" s="607"/>
      <c r="C775" s="759"/>
      <c r="D775" s="720"/>
      <c r="E775" s="759" t="s">
        <v>186</v>
      </c>
      <c r="F775" s="759"/>
      <c r="G775" s="603"/>
      <c r="H775" s="165" t="s">
        <v>12</v>
      </c>
      <c r="I775" s="617"/>
      <c r="J775" s="617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4"/>
      <c r="R775" s="604"/>
      <c r="S775" s="604"/>
      <c r="T775" s="604"/>
      <c r="U775" s="604"/>
      <c r="V775" s="604"/>
      <c r="W775" s="604"/>
      <c r="X775" s="604"/>
      <c r="Y775" s="604"/>
      <c r="Z775" s="604"/>
    </row>
    <row r="776" spans="1:26" ht="18.75" hidden="1">
      <c r="A776" s="649"/>
      <c r="B776" s="607"/>
      <c r="C776" s="759"/>
      <c r="D776" s="759"/>
      <c r="E776" s="759"/>
      <c r="F776" s="759" t="s">
        <v>187</v>
      </c>
      <c r="G776" s="603"/>
      <c r="H776" s="165" t="s">
        <v>12</v>
      </c>
      <c r="I776" s="617"/>
      <c r="J776" s="617"/>
      <c r="K776" s="93"/>
      <c r="L776" s="93"/>
      <c r="M776" s="93"/>
      <c r="N776" s="93"/>
      <c r="O776" s="93"/>
      <c r="P776" s="93"/>
      <c r="Q776" s="604"/>
      <c r="R776" s="604"/>
      <c r="S776" s="604"/>
      <c r="T776" s="604"/>
      <c r="U776" s="604"/>
      <c r="V776" s="604"/>
      <c r="W776" s="604"/>
      <c r="X776" s="604"/>
      <c r="Y776" s="604"/>
      <c r="Z776" s="604"/>
    </row>
    <row r="777" spans="1:26" ht="18.75" hidden="1">
      <c r="A777" s="649"/>
      <c r="B777" s="607"/>
      <c r="C777" s="759"/>
      <c r="D777" s="759"/>
      <c r="E777" s="759"/>
      <c r="F777" s="759" t="s">
        <v>188</v>
      </c>
      <c r="G777" s="603"/>
      <c r="H777" s="165" t="s">
        <v>12</v>
      </c>
      <c r="I777" s="617"/>
      <c r="J777" s="617"/>
      <c r="K777" s="93"/>
      <c r="L777" s="93"/>
      <c r="M777" s="93"/>
      <c r="N777" s="93"/>
      <c r="O777" s="93"/>
      <c r="P777" s="93"/>
      <c r="Q777" s="604"/>
      <c r="R777" s="604"/>
      <c r="S777" s="604"/>
      <c r="T777" s="604"/>
      <c r="U777" s="604"/>
      <c r="V777" s="604"/>
      <c r="W777" s="604"/>
      <c r="X777" s="604"/>
      <c r="Y777" s="604"/>
      <c r="Z777" s="604"/>
    </row>
    <row r="778" spans="1:26" ht="18.75" hidden="1">
      <c r="A778" s="649"/>
      <c r="B778" s="607"/>
      <c r="C778" s="759"/>
      <c r="D778" s="759"/>
      <c r="E778" s="759"/>
      <c r="F778" s="759" t="s">
        <v>189</v>
      </c>
      <c r="G778" s="603"/>
      <c r="H778" s="165" t="s">
        <v>12</v>
      </c>
      <c r="I778" s="617"/>
      <c r="J778" s="617"/>
      <c r="K778" s="93"/>
      <c r="L778" s="93"/>
      <c r="M778" s="93"/>
      <c r="N778" s="93"/>
      <c r="O778" s="93"/>
      <c r="P778" s="93"/>
      <c r="Q778" s="604"/>
      <c r="R778" s="604"/>
      <c r="S778" s="604"/>
      <c r="T778" s="604"/>
      <c r="U778" s="604"/>
      <c r="V778" s="604"/>
      <c r="W778" s="604"/>
      <c r="X778" s="604"/>
      <c r="Y778" s="604"/>
      <c r="Z778" s="604"/>
    </row>
    <row r="779" spans="1:26" ht="18.75" hidden="1">
      <c r="A779" s="649"/>
      <c r="B779" s="607"/>
      <c r="C779" s="759"/>
      <c r="D779" s="759"/>
      <c r="E779" s="759"/>
      <c r="F779" s="759" t="s">
        <v>190</v>
      </c>
      <c r="G779" s="603"/>
      <c r="H779" s="165" t="s">
        <v>12</v>
      </c>
      <c r="I779" s="617"/>
      <c r="J779" s="617"/>
      <c r="K779" s="93"/>
      <c r="L779" s="93"/>
      <c r="M779" s="93"/>
      <c r="N779" s="93"/>
      <c r="O779" s="93"/>
      <c r="P779" s="93"/>
      <c r="Q779" s="604"/>
      <c r="R779" s="604"/>
      <c r="S779" s="604"/>
      <c r="T779" s="604"/>
      <c r="U779" s="604"/>
      <c r="V779" s="604"/>
      <c r="W779" s="604"/>
      <c r="X779" s="604"/>
      <c r="Y779" s="604"/>
      <c r="Z779" s="604"/>
    </row>
    <row r="780" spans="1:26" ht="19.5" hidden="1">
      <c r="A780" s="599"/>
      <c r="B780" s="607"/>
      <c r="C780" s="759"/>
      <c r="D780" s="645" t="s">
        <v>21</v>
      </c>
      <c r="E780" s="759"/>
      <c r="F780" s="759"/>
      <c r="G780" s="603"/>
      <c r="H780" s="783" t="s">
        <v>12</v>
      </c>
      <c r="I780" s="166"/>
      <c r="J780" s="166"/>
      <c r="K780" s="167"/>
      <c r="L780" s="647">
        <f t="shared" ref="L780:N780" si="315">L781+L782</f>
        <v>0</v>
      </c>
      <c r="M780" s="647">
        <f t="shared" si="315"/>
        <v>0</v>
      </c>
      <c r="N780" s="647">
        <f t="shared" si="315"/>
        <v>0</v>
      </c>
      <c r="O780" s="647">
        <f t="shared" ref="O780:O782" si="316">IF(L780&gt;0,N780*100/L780,0)</f>
        <v>0</v>
      </c>
      <c r="P780" s="647">
        <f t="shared" ref="P780:P782" si="317">IF(M780&gt;0,N780*100/M780,0)</f>
        <v>0</v>
      </c>
      <c r="Q780" s="604"/>
      <c r="R780" s="604"/>
      <c r="S780" s="604"/>
      <c r="T780" s="604"/>
      <c r="U780" s="604"/>
      <c r="V780" s="604"/>
      <c r="W780" s="604"/>
      <c r="X780" s="604"/>
      <c r="Y780" s="604"/>
      <c r="Z780" s="604"/>
    </row>
    <row r="781" spans="1:26" ht="18.75" hidden="1">
      <c r="A781" s="599"/>
      <c r="B781" s="607"/>
      <c r="C781" s="759"/>
      <c r="D781" s="759"/>
      <c r="E781" s="759" t="s">
        <v>18</v>
      </c>
      <c r="F781" s="759"/>
      <c r="G781" s="603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4"/>
      <c r="R781" s="604"/>
      <c r="S781" s="604"/>
      <c r="T781" s="604"/>
      <c r="U781" s="604"/>
      <c r="V781" s="604"/>
      <c r="W781" s="604"/>
      <c r="X781" s="604"/>
      <c r="Y781" s="604"/>
      <c r="Z781" s="604"/>
    </row>
    <row r="782" spans="1:26" ht="18.75" hidden="1">
      <c r="A782" s="599"/>
      <c r="B782" s="607"/>
      <c r="C782" s="759"/>
      <c r="D782" s="759"/>
      <c r="E782" s="759" t="s">
        <v>19</v>
      </c>
      <c r="F782" s="759"/>
      <c r="G782" s="603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4"/>
      <c r="R782" s="604"/>
      <c r="S782" s="604"/>
      <c r="T782" s="604"/>
      <c r="U782" s="604"/>
      <c r="V782" s="604"/>
      <c r="W782" s="604"/>
      <c r="X782" s="604"/>
      <c r="Y782" s="604"/>
      <c r="Z782" s="604"/>
    </row>
    <row r="783" spans="1:26" ht="19.5" hidden="1">
      <c r="A783" s="614"/>
      <c r="B783" s="616"/>
      <c r="C783" s="759" t="s">
        <v>16</v>
      </c>
      <c r="D783" s="899" t="s">
        <v>38</v>
      </c>
      <c r="E783" s="651"/>
      <c r="F783" s="651"/>
      <c r="G783" s="652"/>
      <c r="H783" s="801"/>
      <c r="I783" s="166"/>
      <c r="J783" s="166"/>
      <c r="K783" s="167"/>
      <c r="L783" s="167"/>
      <c r="M783" s="167"/>
      <c r="N783" s="167"/>
      <c r="O783" s="167"/>
      <c r="P783" s="167"/>
      <c r="Q783" s="604"/>
      <c r="R783" s="604"/>
      <c r="S783" s="604"/>
      <c r="T783" s="604"/>
      <c r="U783" s="604"/>
      <c r="V783" s="604"/>
      <c r="W783" s="604"/>
      <c r="X783" s="604"/>
      <c r="Y783" s="604"/>
      <c r="Z783" s="604"/>
    </row>
    <row r="784" spans="1:26" ht="18.75" hidden="1">
      <c r="A784" s="649"/>
      <c r="B784" s="607"/>
      <c r="C784" s="759"/>
      <c r="D784" s="759"/>
      <c r="E784" s="759" t="s">
        <v>319</v>
      </c>
      <c r="F784" s="759"/>
      <c r="G784" s="603"/>
      <c r="H784" s="165" t="s">
        <v>46</v>
      </c>
      <c r="I784" s="617"/>
      <c r="J784" s="617"/>
      <c r="K784" s="93"/>
      <c r="L784" s="93"/>
      <c r="M784" s="93"/>
      <c r="N784" s="93"/>
      <c r="O784" s="93"/>
      <c r="P784" s="93"/>
      <c r="Q784" s="604"/>
      <c r="R784" s="604"/>
      <c r="S784" s="604"/>
      <c r="T784" s="604"/>
      <c r="U784" s="604"/>
      <c r="V784" s="604"/>
      <c r="W784" s="604"/>
      <c r="X784" s="604"/>
      <c r="Y784" s="604"/>
      <c r="Z784" s="604"/>
    </row>
    <row r="785" spans="1:26" ht="19.5" hidden="1">
      <c r="A785" s="802">
        <v>12</v>
      </c>
      <c r="B785" s="803" t="s">
        <v>320</v>
      </c>
      <c r="C785" s="804"/>
      <c r="D785" s="804"/>
      <c r="E785" s="804"/>
      <c r="F785" s="804"/>
      <c r="G785" s="805"/>
      <c r="H785" s="900" t="s">
        <v>46</v>
      </c>
      <c r="I785" s="901">
        <f t="shared" ref="I785:J785" ca="1" si="318">I800</f>
        <v>0</v>
      </c>
      <c r="J785" s="902">
        <f t="shared" ca="1" si="318"/>
        <v>0</v>
      </c>
      <c r="K785" s="903">
        <f ca="1">IF(I785&gt;0,J785*100/I785,0)</f>
        <v>0</v>
      </c>
      <c r="L785" s="809"/>
      <c r="M785" s="809"/>
      <c r="N785" s="809"/>
      <c r="O785" s="809"/>
      <c r="P785" s="809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</row>
    <row r="786" spans="1:26" ht="19.5" hidden="1">
      <c r="A786" s="597"/>
      <c r="B786" s="575"/>
      <c r="C786" s="763" t="s">
        <v>16</v>
      </c>
      <c r="D786" s="863" t="s">
        <v>17</v>
      </c>
      <c r="E786" s="857"/>
      <c r="F786" s="857"/>
      <c r="G786" s="189"/>
      <c r="H786" s="598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</row>
    <row r="787" spans="1:26" ht="18.75" hidden="1">
      <c r="A787" s="599"/>
      <c r="B787" s="607"/>
      <c r="C787" s="759"/>
      <c r="D787" s="720"/>
      <c r="E787" s="759" t="s">
        <v>185</v>
      </c>
      <c r="F787" s="759"/>
      <c r="G787" s="603"/>
      <c r="H787" s="165" t="s">
        <v>12</v>
      </c>
      <c r="I787" s="617"/>
      <c r="J787" s="617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4"/>
      <c r="R787" s="604"/>
      <c r="S787" s="604"/>
      <c r="T787" s="604"/>
      <c r="U787" s="604"/>
      <c r="V787" s="604"/>
      <c r="W787" s="604"/>
      <c r="X787" s="604"/>
      <c r="Y787" s="604"/>
      <c r="Z787" s="604"/>
    </row>
    <row r="788" spans="1:26" ht="18.75" hidden="1">
      <c r="A788" s="599"/>
      <c r="B788" s="607"/>
      <c r="C788" s="607"/>
      <c r="D788" s="616"/>
      <c r="E788" s="759" t="s">
        <v>186</v>
      </c>
      <c r="F788" s="759"/>
      <c r="G788" s="603"/>
      <c r="H788" s="165" t="s">
        <v>12</v>
      </c>
      <c r="I788" s="617"/>
      <c r="J788" s="617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4"/>
      <c r="R788" s="604"/>
      <c r="S788" s="604"/>
      <c r="T788" s="604"/>
      <c r="U788" s="604"/>
      <c r="V788" s="604"/>
      <c r="W788" s="604"/>
      <c r="X788" s="604"/>
      <c r="Y788" s="604"/>
      <c r="Z788" s="604"/>
    </row>
    <row r="789" spans="1:26" ht="18.75" hidden="1">
      <c r="A789" s="597"/>
      <c r="B789" s="575"/>
      <c r="C789" s="575"/>
      <c r="D789" s="606" t="s">
        <v>20</v>
      </c>
      <c r="E789" s="763"/>
      <c r="F789" s="763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</row>
    <row r="790" spans="1:26" ht="18.75" hidden="1">
      <c r="A790" s="599"/>
      <c r="B790" s="607"/>
      <c r="C790" s="607"/>
      <c r="D790" s="616"/>
      <c r="E790" s="759" t="s">
        <v>185</v>
      </c>
      <c r="F790" s="759"/>
      <c r="G790" s="603"/>
      <c r="H790" s="165" t="s">
        <v>12</v>
      </c>
      <c r="I790" s="617"/>
      <c r="J790" s="617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4"/>
      <c r="R790" s="604"/>
      <c r="S790" s="604"/>
      <c r="T790" s="604"/>
      <c r="U790" s="604"/>
      <c r="V790" s="604"/>
      <c r="W790" s="604"/>
      <c r="X790" s="604"/>
      <c r="Y790" s="604"/>
      <c r="Z790" s="604"/>
    </row>
    <row r="791" spans="1:26" ht="18.75" hidden="1">
      <c r="A791" s="599"/>
      <c r="B791" s="607"/>
      <c r="C791" s="607"/>
      <c r="D791" s="616"/>
      <c r="E791" s="759" t="s">
        <v>186</v>
      </c>
      <c r="F791" s="759"/>
      <c r="G791" s="603"/>
      <c r="H791" s="165" t="s">
        <v>12</v>
      </c>
      <c r="I791" s="617"/>
      <c r="J791" s="617"/>
      <c r="K791" s="93"/>
      <c r="L791" s="93">
        <f ca="1">IFERROR(__xludf.DUMMYFUNCTION("IMPORTRANGE(""https://docs.google.com/spreadsheets/d/1QqKyyYR6Q21VydFLVH3TRQUabQu_ym0Zz7PgGX0-kHA/edit?usp=sharing"",""แผน!JJ44"")"),0)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4"/>
      <c r="R791" s="604"/>
      <c r="S791" s="604"/>
      <c r="T791" s="604"/>
      <c r="U791" s="604"/>
      <c r="V791" s="604"/>
      <c r="W791" s="604"/>
      <c r="X791" s="604"/>
      <c r="Y791" s="604"/>
      <c r="Z791" s="604"/>
    </row>
    <row r="792" spans="1:26" ht="18.75" hidden="1">
      <c r="A792" s="574"/>
      <c r="B792" s="575"/>
      <c r="C792" s="763"/>
      <c r="D792" s="763"/>
      <c r="E792" s="763"/>
      <c r="F792" s="763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40">
        <v>0</v>
      </c>
      <c r="O792" s="498"/>
      <c r="P792" s="49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</row>
    <row r="793" spans="1:26" ht="18.75" hidden="1">
      <c r="A793" s="574"/>
      <c r="B793" s="575"/>
      <c r="C793" s="763"/>
      <c r="D793" s="763"/>
      <c r="E793" s="763"/>
      <c r="F793" s="763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40">
        <v>0</v>
      </c>
      <c r="O793" s="498"/>
      <c r="P793" s="49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</row>
    <row r="794" spans="1:26" ht="18.75" hidden="1">
      <c r="A794" s="574"/>
      <c r="B794" s="575"/>
      <c r="C794" s="763"/>
      <c r="D794" s="763"/>
      <c r="E794" s="763"/>
      <c r="F794" s="763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40">
        <v>0</v>
      </c>
      <c r="O794" s="498"/>
      <c r="P794" s="49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</row>
    <row r="795" spans="1:26" ht="18.75" hidden="1">
      <c r="A795" s="574"/>
      <c r="B795" s="575"/>
      <c r="C795" s="763"/>
      <c r="D795" s="763"/>
      <c r="E795" s="763"/>
      <c r="F795" s="763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40">
        <v>0</v>
      </c>
      <c r="O795" s="498"/>
      <c r="P795" s="49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</row>
    <row r="796" spans="1:26" ht="18.75" hidden="1">
      <c r="A796" s="597"/>
      <c r="B796" s="575"/>
      <c r="C796" s="763"/>
      <c r="D796" s="606" t="s">
        <v>21</v>
      </c>
      <c r="E796" s="763"/>
      <c r="F796" s="763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</row>
    <row r="797" spans="1:26" ht="18.75" hidden="1">
      <c r="A797" s="599"/>
      <c r="B797" s="607"/>
      <c r="C797" s="759"/>
      <c r="D797" s="759"/>
      <c r="E797" s="759" t="s">
        <v>18</v>
      </c>
      <c r="F797" s="759"/>
      <c r="G797" s="603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4"/>
      <c r="R797" s="604"/>
      <c r="S797" s="604"/>
      <c r="T797" s="604"/>
      <c r="U797" s="604"/>
      <c r="V797" s="604"/>
      <c r="W797" s="604"/>
      <c r="X797" s="604"/>
      <c r="Y797" s="604"/>
      <c r="Z797" s="604"/>
    </row>
    <row r="798" spans="1:26" ht="18.75" hidden="1">
      <c r="A798" s="599"/>
      <c r="B798" s="607"/>
      <c r="C798" s="759"/>
      <c r="D798" s="759"/>
      <c r="E798" s="759" t="s">
        <v>19</v>
      </c>
      <c r="F798" s="759"/>
      <c r="G798" s="603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4"/>
      <c r="R798" s="604"/>
      <c r="S798" s="604"/>
      <c r="T798" s="604"/>
      <c r="U798" s="604"/>
      <c r="V798" s="604"/>
      <c r="W798" s="604"/>
      <c r="X798" s="604"/>
      <c r="Y798" s="604"/>
      <c r="Z798" s="604"/>
    </row>
    <row r="799" spans="1:26" ht="19.5" hidden="1">
      <c r="A799" s="608"/>
      <c r="B799" s="618"/>
      <c r="C799" s="763" t="s">
        <v>16</v>
      </c>
      <c r="D799" s="898" t="s">
        <v>38</v>
      </c>
      <c r="E799" s="761"/>
      <c r="F799" s="761"/>
      <c r="G799" s="613"/>
      <c r="H799" s="904"/>
      <c r="I799" s="184"/>
      <c r="J799" s="184"/>
      <c r="K799" s="163"/>
      <c r="L799" s="163"/>
      <c r="M799" s="163"/>
      <c r="N799" s="163"/>
      <c r="O799" s="163"/>
      <c r="P799" s="163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</row>
    <row r="800" spans="1:26" ht="18.75" hidden="1">
      <c r="A800" s="608"/>
      <c r="B800" s="618"/>
      <c r="C800" s="618"/>
      <c r="D800" s="618"/>
      <c r="E800" s="626"/>
      <c r="F800" s="626" t="s">
        <v>321</v>
      </c>
      <c r="G800" s="762"/>
      <c r="H800" s="185" t="s">
        <v>46</v>
      </c>
      <c r="I800" s="184">
        <f ca="1">IFERROR(__xludf.DUMMYFUNCTION("IMPORTRANGE(""https://docs.google.com/spreadsheets/d/1QqKyyYR6Q21VydFLVH3TRQUabQu_ym0Zz7PgGX0-kHA/edit?usp=sharing"",""แผน!JN44"")"),0)</f>
        <v>0</v>
      </c>
      <c r="J800" s="184">
        <f ca="1">IFERROR(__xludf.DUMMYFUNCTION("IMPORTRANGE(""https://docs.google.com/spreadsheets/d/1MaWodYyGHDf7siQLGxnXhG4mBNTNIuy296niS2xXulU/edit?usp=sharing"",""RTK!H44"")"),0)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</row>
    <row r="801" spans="1:26" ht="18.75" hidden="1">
      <c r="A801" s="608"/>
      <c r="B801" s="618"/>
      <c r="C801" s="618"/>
      <c r="D801" s="618"/>
      <c r="E801" s="626"/>
      <c r="F801" s="626"/>
      <c r="G801" s="762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IFERROR(__xludf.DUMMYFUNCTION("IMPORTRANGE(""https://docs.google.com/spreadsheets/d/1MaWodYyGHDf7siQLGxnXhG4mBNTNIuy296niS2xXulU/edit?usp=sharing"",""RTK!I44"")"),0)</f>
        <v>0</v>
      </c>
      <c r="K801" s="498"/>
      <c r="L801" s="498"/>
      <c r="M801" s="498"/>
      <c r="N801" s="498"/>
      <c r="O801" s="163"/>
      <c r="P801" s="163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</row>
    <row r="802" spans="1:26" ht="18.75" hidden="1">
      <c r="A802" s="614"/>
      <c r="B802" s="616"/>
      <c r="C802" s="616"/>
      <c r="D802" s="616"/>
      <c r="E802" s="720"/>
      <c r="F802" s="720" t="s">
        <v>322</v>
      </c>
      <c r="G802" s="366"/>
      <c r="H802" s="653" t="s">
        <v>46</v>
      </c>
      <c r="I802" s="166"/>
      <c r="J802" s="617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4"/>
      <c r="R802" s="604"/>
      <c r="S802" s="604"/>
      <c r="T802" s="604"/>
      <c r="U802" s="604"/>
      <c r="V802" s="604"/>
      <c r="W802" s="604"/>
      <c r="X802" s="604"/>
      <c r="Y802" s="604"/>
      <c r="Z802" s="604"/>
    </row>
    <row r="803" spans="1:26" ht="18.75" hidden="1">
      <c r="A803" s="614"/>
      <c r="B803" s="616"/>
      <c r="C803" s="616"/>
      <c r="D803" s="616"/>
      <c r="E803" s="720"/>
      <c r="F803" s="720"/>
      <c r="G803" s="366"/>
      <c r="H803" s="653" t="s">
        <v>34</v>
      </c>
      <c r="I803" s="166"/>
      <c r="J803" s="617">
        <v>0</v>
      </c>
      <c r="K803" s="167"/>
      <c r="L803" s="167"/>
      <c r="M803" s="167"/>
      <c r="N803" s="167"/>
      <c r="O803" s="167"/>
      <c r="P803" s="167"/>
      <c r="Q803" s="604"/>
      <c r="R803" s="604"/>
      <c r="S803" s="604"/>
      <c r="T803" s="604"/>
      <c r="U803" s="604"/>
      <c r="V803" s="604"/>
      <c r="W803" s="604"/>
      <c r="X803" s="604"/>
      <c r="Y803" s="604"/>
      <c r="Z803" s="604"/>
    </row>
    <row r="804" spans="1:26" ht="19.5" hidden="1">
      <c r="A804" s="793">
        <v>13</v>
      </c>
      <c r="B804" s="794" t="s">
        <v>323</v>
      </c>
      <c r="C804" s="795"/>
      <c r="D804" s="825"/>
      <c r="E804" s="795"/>
      <c r="F804" s="795"/>
      <c r="G804" s="796"/>
      <c r="H804" s="797" t="s">
        <v>46</v>
      </c>
      <c r="I804" s="798"/>
      <c r="J804" s="798">
        <f>J819</f>
        <v>0</v>
      </c>
      <c r="K804" s="799">
        <f>IF(I804&gt;0,J804*100/I804,0)</f>
        <v>0</v>
      </c>
      <c r="L804" s="800"/>
      <c r="M804" s="800"/>
      <c r="N804" s="800"/>
      <c r="O804" s="800"/>
      <c r="P804" s="800"/>
      <c r="Q804" s="604"/>
      <c r="R804" s="604"/>
      <c r="S804" s="604"/>
      <c r="T804" s="604"/>
      <c r="U804" s="604"/>
      <c r="V804" s="604"/>
      <c r="W804" s="604"/>
      <c r="X804" s="604"/>
      <c r="Y804" s="604"/>
      <c r="Z804" s="604"/>
    </row>
    <row r="805" spans="1:26" ht="19.5" hidden="1">
      <c r="A805" s="599"/>
      <c r="B805" s="759"/>
      <c r="C805" s="759" t="s">
        <v>16</v>
      </c>
      <c r="D805" s="864" t="s">
        <v>17</v>
      </c>
      <c r="E805" s="857"/>
      <c r="F805" s="857"/>
      <c r="G805" s="603"/>
      <c r="H805" s="646" t="s">
        <v>12</v>
      </c>
      <c r="I805" s="617"/>
      <c r="J805" s="617"/>
      <c r="K805" s="93"/>
      <c r="L805" s="647">
        <f t="shared" ref="L805:N805" si="327">L806+L807</f>
        <v>0</v>
      </c>
      <c r="M805" s="647">
        <f t="shared" si="327"/>
        <v>0</v>
      </c>
      <c r="N805" s="647">
        <f t="shared" si="327"/>
        <v>0</v>
      </c>
      <c r="O805" s="647">
        <f t="shared" ref="O805:O810" si="328">IF(L805&gt;0,N805*100/L805,0)</f>
        <v>0</v>
      </c>
      <c r="P805" s="647">
        <f t="shared" ref="P805:P810" si="329">IF(M805&gt;0,N805*100/M805,0)</f>
        <v>0</v>
      </c>
      <c r="Q805" s="604"/>
      <c r="R805" s="604"/>
      <c r="S805" s="604"/>
      <c r="T805" s="604"/>
      <c r="U805" s="604"/>
      <c r="V805" s="604"/>
      <c r="W805" s="604"/>
      <c r="X805" s="604"/>
      <c r="Y805" s="604"/>
      <c r="Z805" s="604"/>
    </row>
    <row r="806" spans="1:26" ht="18.75" hidden="1">
      <c r="A806" s="599"/>
      <c r="B806" s="759"/>
      <c r="C806" s="759"/>
      <c r="D806" s="616"/>
      <c r="E806" s="759" t="s">
        <v>185</v>
      </c>
      <c r="F806" s="759"/>
      <c r="G806" s="603"/>
      <c r="H806" s="165" t="s">
        <v>12</v>
      </c>
      <c r="I806" s="617"/>
      <c r="J806" s="617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4"/>
      <c r="R806" s="604"/>
      <c r="S806" s="604"/>
      <c r="T806" s="604"/>
      <c r="U806" s="604"/>
      <c r="V806" s="604"/>
      <c r="W806" s="604"/>
      <c r="X806" s="604"/>
      <c r="Y806" s="604"/>
      <c r="Z806" s="604"/>
    </row>
    <row r="807" spans="1:26" ht="18.75" hidden="1">
      <c r="A807" s="599"/>
      <c r="B807" s="759"/>
      <c r="C807" s="759"/>
      <c r="D807" s="616"/>
      <c r="E807" s="759" t="s">
        <v>186</v>
      </c>
      <c r="F807" s="759"/>
      <c r="G807" s="603"/>
      <c r="H807" s="165" t="s">
        <v>12</v>
      </c>
      <c r="I807" s="617"/>
      <c r="J807" s="617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4"/>
      <c r="R807" s="604"/>
      <c r="S807" s="604"/>
      <c r="T807" s="604"/>
      <c r="U807" s="604"/>
      <c r="V807" s="604"/>
      <c r="W807" s="604"/>
      <c r="X807" s="604"/>
      <c r="Y807" s="604"/>
      <c r="Z807" s="604"/>
    </row>
    <row r="808" spans="1:26" ht="19.5" hidden="1">
      <c r="A808" s="599"/>
      <c r="B808" s="607"/>
      <c r="C808" s="759"/>
      <c r="D808" s="905" t="s">
        <v>20</v>
      </c>
      <c r="E808" s="857"/>
      <c r="F808" s="857"/>
      <c r="G808" s="603"/>
      <c r="H808" s="646" t="s">
        <v>12</v>
      </c>
      <c r="I808" s="166"/>
      <c r="J808" s="166"/>
      <c r="K808" s="167"/>
      <c r="L808" s="647">
        <f t="shared" ref="L808:N808" si="331">L809+L810</f>
        <v>0</v>
      </c>
      <c r="M808" s="647">
        <f t="shared" si="331"/>
        <v>0</v>
      </c>
      <c r="N808" s="647">
        <f t="shared" si="331"/>
        <v>0</v>
      </c>
      <c r="O808" s="647">
        <f t="shared" si="328"/>
        <v>0</v>
      </c>
      <c r="P808" s="647">
        <f t="shared" si="329"/>
        <v>0</v>
      </c>
      <c r="Q808" s="604"/>
      <c r="R808" s="604"/>
      <c r="S808" s="604"/>
      <c r="T808" s="604"/>
      <c r="U808" s="604"/>
      <c r="V808" s="604"/>
      <c r="W808" s="604"/>
      <c r="X808" s="604"/>
      <c r="Y808" s="604"/>
      <c r="Z808" s="604"/>
    </row>
    <row r="809" spans="1:26" ht="18.75" hidden="1">
      <c r="A809" s="599"/>
      <c r="B809" s="759"/>
      <c r="C809" s="759"/>
      <c r="D809" s="616"/>
      <c r="E809" s="759" t="s">
        <v>185</v>
      </c>
      <c r="F809" s="759"/>
      <c r="G809" s="603"/>
      <c r="H809" s="165" t="s">
        <v>12</v>
      </c>
      <c r="I809" s="617"/>
      <c r="J809" s="617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4"/>
      <c r="R809" s="604"/>
      <c r="S809" s="604"/>
      <c r="T809" s="604"/>
      <c r="U809" s="604"/>
      <c r="V809" s="604"/>
      <c r="W809" s="604"/>
      <c r="X809" s="604"/>
      <c r="Y809" s="604"/>
      <c r="Z809" s="604"/>
    </row>
    <row r="810" spans="1:26" ht="18.75" hidden="1">
      <c r="A810" s="599"/>
      <c r="B810" s="759"/>
      <c r="C810" s="759"/>
      <c r="D810" s="616"/>
      <c r="E810" s="759" t="s">
        <v>186</v>
      </c>
      <c r="F810" s="759"/>
      <c r="G810" s="603"/>
      <c r="H810" s="165" t="s">
        <v>12</v>
      </c>
      <c r="I810" s="617"/>
      <c r="J810" s="617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4"/>
      <c r="R810" s="604"/>
      <c r="S810" s="604"/>
      <c r="T810" s="604"/>
      <c r="U810" s="604"/>
      <c r="V810" s="604"/>
      <c r="W810" s="604"/>
      <c r="X810" s="604"/>
      <c r="Y810" s="604"/>
      <c r="Z810" s="604"/>
    </row>
    <row r="811" spans="1:26" ht="18.75" hidden="1">
      <c r="A811" s="649"/>
      <c r="B811" s="607"/>
      <c r="C811" s="759"/>
      <c r="D811" s="607"/>
      <c r="E811" s="759"/>
      <c r="F811" s="759" t="s">
        <v>187</v>
      </c>
      <c r="G811" s="603"/>
      <c r="H811" s="165" t="s">
        <v>12</v>
      </c>
      <c r="I811" s="617"/>
      <c r="J811" s="617"/>
      <c r="K811" s="93"/>
      <c r="L811" s="93"/>
      <c r="M811" s="93"/>
      <c r="N811" s="93"/>
      <c r="O811" s="93"/>
      <c r="P811" s="93"/>
      <c r="Q811" s="604"/>
      <c r="R811" s="604"/>
      <c r="S811" s="604"/>
      <c r="T811" s="604"/>
      <c r="U811" s="604"/>
      <c r="V811" s="604"/>
      <c r="W811" s="604"/>
      <c r="X811" s="604"/>
      <c r="Y811" s="604"/>
      <c r="Z811" s="604"/>
    </row>
    <row r="812" spans="1:26" ht="18.75" hidden="1">
      <c r="A812" s="649"/>
      <c r="B812" s="607"/>
      <c r="C812" s="759"/>
      <c r="D812" s="607"/>
      <c r="E812" s="759"/>
      <c r="F812" s="759" t="s">
        <v>188</v>
      </c>
      <c r="G812" s="603"/>
      <c r="H812" s="165" t="s">
        <v>12</v>
      </c>
      <c r="I812" s="617"/>
      <c r="J812" s="617"/>
      <c r="K812" s="93"/>
      <c r="L812" s="93"/>
      <c r="M812" s="93"/>
      <c r="N812" s="93"/>
      <c r="O812" s="93"/>
      <c r="P812" s="93"/>
      <c r="Q812" s="604"/>
      <c r="R812" s="604"/>
      <c r="S812" s="604"/>
      <c r="T812" s="604"/>
      <c r="U812" s="604"/>
      <c r="V812" s="604"/>
      <c r="W812" s="604"/>
      <c r="X812" s="604"/>
      <c r="Y812" s="604"/>
      <c r="Z812" s="604"/>
    </row>
    <row r="813" spans="1:26" ht="18.75" hidden="1">
      <c r="A813" s="649"/>
      <c r="B813" s="607"/>
      <c r="C813" s="759"/>
      <c r="D813" s="607"/>
      <c r="E813" s="759"/>
      <c r="F813" s="759" t="s">
        <v>189</v>
      </c>
      <c r="G813" s="603"/>
      <c r="H813" s="165" t="s">
        <v>12</v>
      </c>
      <c r="I813" s="617"/>
      <c r="J813" s="617"/>
      <c r="K813" s="93"/>
      <c r="L813" s="93"/>
      <c r="M813" s="93"/>
      <c r="N813" s="93"/>
      <c r="O813" s="93"/>
      <c r="P813" s="93"/>
      <c r="Q813" s="604"/>
      <c r="R813" s="604"/>
      <c r="S813" s="604"/>
      <c r="T813" s="604"/>
      <c r="U813" s="604"/>
      <c r="V813" s="604"/>
      <c r="W813" s="604"/>
      <c r="X813" s="604"/>
      <c r="Y813" s="604"/>
      <c r="Z813" s="604"/>
    </row>
    <row r="814" spans="1:26" ht="18.75" hidden="1">
      <c r="A814" s="649"/>
      <c r="B814" s="607"/>
      <c r="C814" s="759"/>
      <c r="D814" s="607"/>
      <c r="E814" s="759"/>
      <c r="F814" s="759" t="s">
        <v>190</v>
      </c>
      <c r="G814" s="603"/>
      <c r="H814" s="165" t="s">
        <v>12</v>
      </c>
      <c r="I814" s="617"/>
      <c r="J814" s="617"/>
      <c r="K814" s="93"/>
      <c r="L814" s="93"/>
      <c r="M814" s="93"/>
      <c r="N814" s="93"/>
      <c r="O814" s="93"/>
      <c r="P814" s="93"/>
      <c r="Q814" s="604"/>
      <c r="R814" s="604"/>
      <c r="S814" s="604"/>
      <c r="T814" s="604"/>
      <c r="U814" s="604"/>
      <c r="V814" s="604"/>
      <c r="W814" s="604"/>
      <c r="X814" s="604"/>
      <c r="Y814" s="604"/>
      <c r="Z814" s="604"/>
    </row>
    <row r="815" spans="1:26" ht="19.5" hidden="1">
      <c r="A815" s="599"/>
      <c r="B815" s="607"/>
      <c r="C815" s="759"/>
      <c r="D815" s="905" t="s">
        <v>21</v>
      </c>
      <c r="E815" s="857"/>
      <c r="F815" s="857"/>
      <c r="G815" s="603"/>
      <c r="H815" s="783" t="s">
        <v>12</v>
      </c>
      <c r="I815" s="166"/>
      <c r="J815" s="166"/>
      <c r="K815" s="167"/>
      <c r="L815" s="647">
        <f t="shared" ref="L815:N815" si="332">L816+L817</f>
        <v>0</v>
      </c>
      <c r="M815" s="647">
        <f t="shared" si="332"/>
        <v>0</v>
      </c>
      <c r="N815" s="647">
        <f t="shared" si="332"/>
        <v>0</v>
      </c>
      <c r="O815" s="647">
        <f t="shared" ref="O815:O817" si="333">IF(L815&gt;0,N815*100/L815,0)</f>
        <v>0</v>
      </c>
      <c r="P815" s="647">
        <f t="shared" ref="P815:P817" si="334">IF(M815&gt;0,N815*100/M815,0)</f>
        <v>0</v>
      </c>
      <c r="Q815" s="604"/>
      <c r="R815" s="604"/>
      <c r="S815" s="604"/>
      <c r="T815" s="604"/>
      <c r="U815" s="604"/>
      <c r="V815" s="604"/>
      <c r="W815" s="604"/>
      <c r="X815" s="604"/>
      <c r="Y815" s="604"/>
      <c r="Z815" s="604"/>
    </row>
    <row r="816" spans="1:26" ht="18.75" hidden="1">
      <c r="A816" s="599"/>
      <c r="B816" s="607"/>
      <c r="C816" s="759"/>
      <c r="D816" s="607"/>
      <c r="E816" s="759" t="s">
        <v>18</v>
      </c>
      <c r="F816" s="759"/>
      <c r="G816" s="603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4"/>
      <c r="R816" s="604"/>
      <c r="S816" s="604"/>
      <c r="T816" s="604"/>
      <c r="U816" s="604"/>
      <c r="V816" s="604"/>
      <c r="W816" s="604"/>
      <c r="X816" s="604"/>
      <c r="Y816" s="604"/>
      <c r="Z816" s="604"/>
    </row>
    <row r="817" spans="1:26" ht="18.75" hidden="1">
      <c r="A817" s="599"/>
      <c r="B817" s="607"/>
      <c r="C817" s="759"/>
      <c r="D817" s="607"/>
      <c r="E817" s="759" t="s">
        <v>19</v>
      </c>
      <c r="F817" s="759"/>
      <c r="G817" s="603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4"/>
      <c r="R817" s="604"/>
      <c r="S817" s="604"/>
      <c r="T817" s="604"/>
      <c r="U817" s="604"/>
      <c r="V817" s="604"/>
      <c r="W817" s="604"/>
      <c r="X817" s="604"/>
      <c r="Y817" s="604"/>
      <c r="Z817" s="604"/>
    </row>
    <row r="818" spans="1:26" ht="19.5" hidden="1">
      <c r="A818" s="614"/>
      <c r="B818" s="616"/>
      <c r="C818" s="759" t="s">
        <v>16</v>
      </c>
      <c r="D818" s="906" t="s">
        <v>38</v>
      </c>
      <c r="E818" s="651"/>
      <c r="F818" s="651"/>
      <c r="G818" s="652"/>
      <c r="H818" s="366"/>
      <c r="I818" s="166"/>
      <c r="J818" s="166"/>
      <c r="K818" s="167"/>
      <c r="L818" s="167"/>
      <c r="M818" s="167"/>
      <c r="N818" s="167"/>
      <c r="O818" s="167"/>
      <c r="P818" s="167"/>
      <c r="Q818" s="604"/>
      <c r="R818" s="604"/>
      <c r="S818" s="604"/>
      <c r="T818" s="604"/>
      <c r="U818" s="604"/>
      <c r="V818" s="604"/>
      <c r="W818" s="604"/>
      <c r="X818" s="604"/>
      <c r="Y818" s="604"/>
      <c r="Z818" s="604"/>
    </row>
    <row r="819" spans="1:26" ht="19.5" hidden="1" thickBot="1">
      <c r="A819" s="827"/>
      <c r="B819" s="828"/>
      <c r="C819" s="830"/>
      <c r="D819" s="828"/>
      <c r="E819" s="830" t="s">
        <v>324</v>
      </c>
      <c r="F819" s="830"/>
      <c r="G819" s="831"/>
      <c r="H819" s="832" t="s">
        <v>46</v>
      </c>
      <c r="I819" s="833"/>
      <c r="J819" s="833"/>
      <c r="K819" s="834"/>
      <c r="L819" s="834"/>
      <c r="M819" s="834"/>
      <c r="N819" s="834"/>
      <c r="O819" s="834"/>
      <c r="P819" s="834"/>
      <c r="Q819" s="604"/>
      <c r="R819" s="604"/>
      <c r="S819" s="604"/>
      <c r="T819" s="604"/>
      <c r="U819" s="604"/>
      <c r="V819" s="604"/>
      <c r="W819" s="604"/>
      <c r="X819" s="604"/>
      <c r="Y819" s="604"/>
      <c r="Z819" s="604"/>
    </row>
    <row r="820" spans="1:26" ht="19.5">
      <c r="A820" s="907" t="s">
        <v>337</v>
      </c>
      <c r="B820" s="908"/>
      <c r="C820" s="908"/>
      <c r="D820" s="909"/>
      <c r="E820" s="908"/>
      <c r="F820" s="908"/>
      <c r="G820" s="910"/>
      <c r="H820" s="91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912"/>
      <c r="J820" s="912"/>
      <c r="K820" s="913"/>
      <c r="L820" s="913"/>
      <c r="M820" s="913"/>
      <c r="N820" s="913"/>
      <c r="O820" s="913"/>
      <c r="P820" s="913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</row>
    <row r="821" spans="1:26" ht="18.75">
      <c r="A821" s="744"/>
      <c r="B821" s="763" t="s">
        <v>326</v>
      </c>
      <c r="C821" s="763"/>
      <c r="D821" s="575"/>
      <c r="E821" s="763"/>
      <c r="F821" s="763"/>
      <c r="G821" s="189"/>
      <c r="H821" s="623" t="s">
        <v>12</v>
      </c>
      <c r="I821" s="270">
        <f ca="1">IFERROR(__xludf.DUMMYFUNCTION("IMPORTRANGE(""https://docs.google.com/spreadsheets/d/19vJNZY_5yjcGF2XGBMNZRCAIB0Kwfpjp8YEOfu-bneM/edit?usp=sharing"",""งานกองทุน!D44"")"),7645694.24)</f>
        <v>7645694.2400000002</v>
      </c>
      <c r="J821" s="270">
        <f ca="1">IFERROR(__xludf.DUMMYFUNCTION("IMPORTRANGE(""https://docs.google.com/spreadsheets/d/19vJNZY_5yjcGF2XGBMNZRCAIB0Kwfpjp8YEOfu-bneM/edit?usp=sharing"",""งานกองทุน!F44"")"),7203224.52)</f>
        <v>7203224.5199999996</v>
      </c>
      <c r="K821" s="498">
        <f t="shared" ref="K821:K828" ca="1" si="335">IF(I821&gt;0,J821*100/I821,0)</f>
        <v>94.212824812099726</v>
      </c>
      <c r="L821" s="498"/>
      <c r="M821" s="498"/>
      <c r="N821" s="498"/>
      <c r="O821" s="498"/>
      <c r="P821" s="49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</row>
    <row r="822" spans="1:26" ht="18.75">
      <c r="A822" s="744"/>
      <c r="B822" s="763"/>
      <c r="C822" s="763"/>
      <c r="D822" s="575"/>
      <c r="E822" s="763"/>
      <c r="F822" s="763"/>
      <c r="G822" s="189"/>
      <c r="H822" s="623" t="s">
        <v>35</v>
      </c>
      <c r="I822" s="270">
        <f ca="1">IFERROR(__xludf.DUMMYFUNCTION("IMPORTRANGE(""https://docs.google.com/spreadsheets/d/19vJNZY_5yjcGF2XGBMNZRCAIB0Kwfpjp8YEOfu-bneM/edit?usp=sharing"",""งานกองทุน!C44"")"),595)</f>
        <v>595</v>
      </c>
      <c r="J822" s="270">
        <f ca="1">IFERROR(__xludf.DUMMYFUNCTION("IMPORTRANGE(""https://docs.google.com/spreadsheets/d/19vJNZY_5yjcGF2XGBMNZRCAIB0Kwfpjp8YEOfu-bneM/edit?usp=sharing"",""งานกองทุน!E44"")"),595)</f>
        <v>595</v>
      </c>
      <c r="K822" s="498">
        <f t="shared" ca="1" si="335"/>
        <v>100</v>
      </c>
      <c r="L822" s="498"/>
      <c r="M822" s="498"/>
      <c r="N822" s="498"/>
      <c r="O822" s="498"/>
      <c r="P822" s="49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</row>
    <row r="823" spans="1:26" ht="18.75">
      <c r="A823" s="744"/>
      <c r="B823" s="763" t="s">
        <v>327</v>
      </c>
      <c r="C823" s="763"/>
      <c r="D823" s="575"/>
      <c r="E823" s="763"/>
      <c r="F823" s="763"/>
      <c r="G823" s="189"/>
      <c r="H823" s="623" t="s">
        <v>12</v>
      </c>
      <c r="I823" s="270">
        <f ca="1">IFERROR(__xludf.DUMMYFUNCTION("IMPORTRANGE(""https://docs.google.com/spreadsheets/d/19vJNZY_5yjcGF2XGBMNZRCAIB0Kwfpjp8YEOfu-bneM/edit?usp=sharing"",""งานกองทุน!I44"")"),21717285.8)</f>
        <v>21717285.800000001</v>
      </c>
      <c r="J823" s="270">
        <f ca="1">IFERROR(__xludf.DUMMYFUNCTION("IMPORTRANGE(""https://docs.google.com/spreadsheets/d/19vJNZY_5yjcGF2XGBMNZRCAIB0Kwfpjp8YEOfu-bneM/edit?usp=sharing"",""งานกองทุน!K44"")"),4334517.08)</f>
        <v>4334517.08</v>
      </c>
      <c r="K823" s="498">
        <f t="shared" ca="1" si="335"/>
        <v>19.958834266480942</v>
      </c>
      <c r="L823" s="498"/>
      <c r="M823" s="498"/>
      <c r="N823" s="498"/>
      <c r="O823" s="498"/>
      <c r="P823" s="49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</row>
    <row r="824" spans="1:26" ht="18.75">
      <c r="A824" s="744"/>
      <c r="B824" s="763"/>
      <c r="C824" s="763"/>
      <c r="D824" s="575"/>
      <c r="E824" s="763"/>
      <c r="F824" s="763"/>
      <c r="G824" s="189"/>
      <c r="H824" s="623" t="s">
        <v>35</v>
      </c>
      <c r="I824" s="270">
        <f ca="1">IFERROR(__xludf.DUMMYFUNCTION("IMPORTRANGE(""https://docs.google.com/spreadsheets/d/19vJNZY_5yjcGF2XGBMNZRCAIB0Kwfpjp8YEOfu-bneM/edit?usp=sharing"",""งานกองทุน!H44"")"),1227)</f>
        <v>1227</v>
      </c>
      <c r="J824" s="270">
        <f ca="1">IFERROR(__xludf.DUMMYFUNCTION("IMPORTRANGE(""https://docs.google.com/spreadsheets/d/19vJNZY_5yjcGF2XGBMNZRCAIB0Kwfpjp8YEOfu-bneM/edit?usp=sharing"",""งานกองทุน!J44"")"),541)</f>
        <v>541</v>
      </c>
      <c r="K824" s="498">
        <f t="shared" ca="1" si="335"/>
        <v>44.091279543602283</v>
      </c>
      <c r="L824" s="498"/>
      <c r="M824" s="498"/>
      <c r="N824" s="498"/>
      <c r="O824" s="498"/>
      <c r="P824" s="49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</row>
    <row r="825" spans="1:26" ht="18.75">
      <c r="A825" s="744"/>
      <c r="B825" s="763" t="s">
        <v>328</v>
      </c>
      <c r="C825" s="763"/>
      <c r="D825" s="575"/>
      <c r="E825" s="763"/>
      <c r="F825" s="763"/>
      <c r="G825" s="189"/>
      <c r="H825" s="623" t="s">
        <v>12</v>
      </c>
      <c r="I825" s="270">
        <f ca="1">IFERROR(__xludf.DUMMYFUNCTION("IMPORTRANGE(""https://docs.google.com/spreadsheets/d/19vJNZY_5yjcGF2XGBMNZRCAIB0Kwfpjp8YEOfu-bneM/edit?usp=sharing"",""งานกองทุน!N44"")"),2090847.33)</f>
        <v>2090847.33</v>
      </c>
      <c r="J825" s="270">
        <f ca="1">IFERROR(__xludf.DUMMYFUNCTION("IMPORTRANGE(""https://docs.google.com/spreadsheets/d/19vJNZY_5yjcGF2XGBMNZRCAIB0Kwfpjp8YEOfu-bneM/edit?usp=sharing"",""งานกองทุน!P44"")"),527776.38)</f>
        <v>527776.38</v>
      </c>
      <c r="K825" s="498">
        <f t="shared" ca="1" si="335"/>
        <v>25.24222464391984</v>
      </c>
      <c r="L825" s="498"/>
      <c r="M825" s="498"/>
      <c r="N825" s="498"/>
      <c r="O825" s="498"/>
      <c r="P825" s="49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</row>
    <row r="826" spans="1:26" ht="18.75">
      <c r="A826" s="744"/>
      <c r="B826" s="763"/>
      <c r="C826" s="763"/>
      <c r="D826" s="575"/>
      <c r="E826" s="763"/>
      <c r="F826" s="763"/>
      <c r="G826" s="189"/>
      <c r="H826" s="623" t="s">
        <v>35</v>
      </c>
      <c r="I826" s="270">
        <f ca="1">IFERROR(__xludf.DUMMYFUNCTION("IMPORTRANGE(""https://docs.google.com/spreadsheets/d/19vJNZY_5yjcGF2XGBMNZRCAIB0Kwfpjp8YEOfu-bneM/edit?usp=sharing"",""งานกองทุน!M44"")"),113)</f>
        <v>113</v>
      </c>
      <c r="J826" s="270">
        <f ca="1">IFERROR(__xludf.DUMMYFUNCTION("IMPORTRANGE(""https://docs.google.com/spreadsheets/d/19vJNZY_5yjcGF2XGBMNZRCAIB0Kwfpjp8YEOfu-bneM/edit?usp=sharing"",""งานกองทุน!O44"")"),93)</f>
        <v>93</v>
      </c>
      <c r="K826" s="498">
        <f t="shared" ca="1" si="335"/>
        <v>82.30088495575221</v>
      </c>
      <c r="L826" s="498"/>
      <c r="M826" s="498"/>
      <c r="N826" s="498"/>
      <c r="O826" s="498"/>
      <c r="P826" s="49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</row>
    <row r="827" spans="1:26" ht="18.75">
      <c r="A827" s="744"/>
      <c r="B827" s="763" t="s">
        <v>329</v>
      </c>
      <c r="C827" s="763"/>
      <c r="D827" s="575"/>
      <c r="E827" s="763"/>
      <c r="F827" s="763"/>
      <c r="G827" s="189"/>
      <c r="H827" s="623" t="s">
        <v>12</v>
      </c>
      <c r="I827" s="270">
        <f ca="1">IFERROR(__xludf.DUMMYFUNCTION("IMPORTRANGE(""https://docs.google.com/spreadsheets/d/19vJNZY_5yjcGF2XGBMNZRCAIB0Kwfpjp8YEOfu-bneM/edit?usp=sharing"",""งานกองทุน!S44"")"),9780000)</f>
        <v>9780000</v>
      </c>
      <c r="J827" s="270">
        <f ca="1">IFERROR(__xludf.DUMMYFUNCTION("IMPORTRANGE(""https://docs.google.com/spreadsheets/d/19vJNZY_5yjcGF2XGBMNZRCAIB0Kwfpjp8YEOfu-bneM/edit?usp=sharing"",""งานกองทุน!U44"")"),9780000)</f>
        <v>9780000</v>
      </c>
      <c r="K827" s="498">
        <f t="shared" ca="1" si="335"/>
        <v>100</v>
      </c>
      <c r="L827" s="498"/>
      <c r="M827" s="498"/>
      <c r="N827" s="498"/>
      <c r="O827" s="498"/>
      <c r="P827" s="49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</row>
    <row r="828" spans="1:26" ht="18.75">
      <c r="A828" s="841"/>
      <c r="B828" s="749"/>
      <c r="C828" s="749"/>
      <c r="D828" s="748"/>
      <c r="E828" s="749"/>
      <c r="F828" s="749"/>
      <c r="G828" s="842"/>
      <c r="H828" s="843" t="s">
        <v>35</v>
      </c>
      <c r="I828" s="506">
        <f ca="1">IFERROR(__xludf.DUMMYFUNCTION("IMPORTRANGE(""https://docs.google.com/spreadsheets/d/19vJNZY_5yjcGF2XGBMNZRCAIB0Kwfpjp8YEOfu-bneM/edit?usp=sharing"",""งานกองทุน!R44"")"),391)</f>
        <v>391</v>
      </c>
      <c r="J828" s="506">
        <f ca="1">IFERROR(__xludf.DUMMYFUNCTION("IMPORTRANGE(""https://docs.google.com/spreadsheets/d/19vJNZY_5yjcGF2XGBMNZRCAIB0Kwfpjp8YEOfu-bneM/edit?usp=sharing"",""งานกองทุน!T44"")"),239)</f>
        <v>239</v>
      </c>
      <c r="K828" s="507">
        <f t="shared" ca="1" si="335"/>
        <v>61.125319693094632</v>
      </c>
      <c r="L828" s="507"/>
      <c r="M828" s="507"/>
      <c r="N828" s="507"/>
      <c r="O828" s="507"/>
      <c r="P828" s="507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96C65-11C8-49B8-AA80-DF03FD2378B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354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364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8655342</v>
      </c>
      <c r="M8" s="22">
        <f t="shared" ca="1" si="0"/>
        <v>8927433.75</v>
      </c>
      <c r="N8" s="22">
        <f t="shared" ca="1" si="0"/>
        <v>8927436.75</v>
      </c>
      <c r="O8" s="22">
        <f t="shared" ref="O8:O16" ca="1" si="1">IF(L8&gt;0,N8*100/L8,0)</f>
        <v>103.14366260743942</v>
      </c>
      <c r="P8" s="22">
        <f t="shared" ref="P8:P16" ca="1" si="2">IF(M8&gt;0,N8*100/M8,0)</f>
        <v>100.00003360428185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8655342</v>
      </c>
      <c r="M10" s="30">
        <f t="shared" ca="1" si="3"/>
        <v>8927433.75</v>
      </c>
      <c r="N10" s="30">
        <f t="shared" ca="1" si="3"/>
        <v>8927436.75</v>
      </c>
      <c r="O10" s="30">
        <f t="shared" ca="1" si="1"/>
        <v>103.14366260743942</v>
      </c>
      <c r="P10" s="30">
        <f t="shared" ca="1" si="2"/>
        <v>100.00003360428185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3" t="s">
        <v>12</v>
      </c>
      <c r="I11" s="270"/>
      <c r="J11" s="270"/>
      <c r="K11" s="498"/>
      <c r="L11" s="498">
        <f t="shared" ref="L11:N11" ca="1" si="4">L12+L13</f>
        <v>8224742</v>
      </c>
      <c r="M11" s="498">
        <f t="shared" ca="1" si="4"/>
        <v>8496833.75</v>
      </c>
      <c r="N11" s="498">
        <f t="shared" ca="1" si="4"/>
        <v>8496836.75</v>
      </c>
      <c r="O11" s="498">
        <f t="shared" ca="1" si="1"/>
        <v>103.30824662949914</v>
      </c>
      <c r="P11" s="498">
        <f t="shared" ca="1" si="2"/>
        <v>100.0000353072696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7"/>
      <c r="J12" s="617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7"/>
      <c r="J13" s="617"/>
      <c r="K13" s="93"/>
      <c r="L13" s="93">
        <f t="shared" ca="1" si="5"/>
        <v>8224742</v>
      </c>
      <c r="M13" s="93">
        <f t="shared" ca="1" si="5"/>
        <v>8496833.75</v>
      </c>
      <c r="N13" s="93">
        <f t="shared" ca="1" si="5"/>
        <v>8496836.75</v>
      </c>
      <c r="O13" s="93">
        <f t="shared" ca="1" si="1"/>
        <v>103.30824662949914</v>
      </c>
      <c r="P13" s="93">
        <f t="shared" ca="1" si="2"/>
        <v>100.0000353072696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3" t="s">
        <v>12</v>
      </c>
      <c r="I14" s="270"/>
      <c r="J14" s="270"/>
      <c r="K14" s="498"/>
      <c r="L14" s="498">
        <f t="shared" ref="L14:N14" ca="1" si="6">L15+L16</f>
        <v>430600</v>
      </c>
      <c r="M14" s="498">
        <f t="shared" ca="1" si="6"/>
        <v>430600</v>
      </c>
      <c r="N14" s="498">
        <f t="shared" ca="1" si="6"/>
        <v>430600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7"/>
      <c r="J15" s="617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430600</v>
      </c>
      <c r="M16" s="52">
        <f t="shared" ca="1" si="7"/>
        <v>430600</v>
      </c>
      <c r="N16" s="52">
        <f t="shared" ca="1" si="7"/>
        <v>430600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5826107</v>
      </c>
      <c r="M18" s="22">
        <f t="shared" ca="1" si="8"/>
        <v>6117837.4299999997</v>
      </c>
      <c r="N18" s="22">
        <f t="shared" ca="1" si="8"/>
        <v>6117837.4299999997</v>
      </c>
      <c r="O18" s="22">
        <f t="shared" ref="O18:O26" ca="1" si="9">IF(L18&gt;0,N18*100/L18,0)</f>
        <v>105.00729612415289</v>
      </c>
      <c r="P18" s="22">
        <f t="shared" ref="P18:P26" ca="1" si="10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5826107</v>
      </c>
      <c r="M20" s="30">
        <f t="shared" ca="1" si="11"/>
        <v>6117837.4299999997</v>
      </c>
      <c r="N20" s="30">
        <f t="shared" ca="1" si="11"/>
        <v>6117837.4299999997</v>
      </c>
      <c r="O20" s="30">
        <f t="shared" ca="1" si="9"/>
        <v>105.00729612415289</v>
      </c>
      <c r="P20" s="30">
        <f t="shared" ca="1" si="10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3" t="s">
        <v>12</v>
      </c>
      <c r="I21" s="270"/>
      <c r="J21" s="270"/>
      <c r="K21" s="498"/>
      <c r="L21" s="498">
        <f t="shared" ref="L21:N21" ca="1" si="12">L22+L23</f>
        <v>5395507</v>
      </c>
      <c r="M21" s="498">
        <f t="shared" ca="1" si="12"/>
        <v>5687237.4299999997</v>
      </c>
      <c r="N21" s="498">
        <f t="shared" ca="1" si="12"/>
        <v>5687237.4299999997</v>
      </c>
      <c r="O21" s="498">
        <f t="shared" ca="1" si="9"/>
        <v>105.40691412317693</v>
      </c>
      <c r="P21" s="498">
        <f t="shared" ca="1" si="10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7"/>
      <c r="J22" s="617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7"/>
      <c r="J23" s="617"/>
      <c r="K23" s="93"/>
      <c r="L23" s="93">
        <f t="shared" ca="1" si="13"/>
        <v>5395507</v>
      </c>
      <c r="M23" s="93">
        <f t="shared" ca="1" si="13"/>
        <v>5687237.4299999997</v>
      </c>
      <c r="N23" s="93">
        <f t="shared" ca="1" si="13"/>
        <v>5687237.4299999997</v>
      </c>
      <c r="O23" s="93">
        <f t="shared" ca="1" si="9"/>
        <v>105.40691412317693</v>
      </c>
      <c r="P23" s="93">
        <f t="shared" ca="1" si="10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3" t="s">
        <v>12</v>
      </c>
      <c r="I24" s="270"/>
      <c r="J24" s="270"/>
      <c r="K24" s="498"/>
      <c r="L24" s="498">
        <f t="shared" ref="L24:N24" ca="1" si="14">L25+L26</f>
        <v>430600</v>
      </c>
      <c r="M24" s="498">
        <f t="shared" ca="1" si="14"/>
        <v>430600</v>
      </c>
      <c r="N24" s="498">
        <f t="shared" ca="1" si="14"/>
        <v>430600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7"/>
      <c r="J25" s="617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430600</v>
      </c>
      <c r="M26" s="52">
        <f t="shared" ca="1" si="15"/>
        <v>430600</v>
      </c>
      <c r="N26" s="52">
        <f t="shared" ca="1" si="15"/>
        <v>430600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2829235</v>
      </c>
      <c r="M28" s="22">
        <f t="shared" ca="1" si="16"/>
        <v>2809596.32</v>
      </c>
      <c r="N28" s="22">
        <f t="shared" si="16"/>
        <v>2809599.32</v>
      </c>
      <c r="O28" s="22">
        <f t="shared" ref="O28:O37" ca="1" si="17">IF(L28&gt;0,N28*100/L28,0)</f>
        <v>99.30597210906835</v>
      </c>
      <c r="P28" s="22">
        <f t="shared" ref="P28:P37" ca="1" si="18">IF(M28&gt;0,N28*100/M28,0)</f>
        <v>100.00010677690524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2829235</v>
      </c>
      <c r="M30" s="30">
        <f t="shared" ca="1" si="19"/>
        <v>2809596.32</v>
      </c>
      <c r="N30" s="30">
        <f t="shared" si="19"/>
        <v>2809599.32</v>
      </c>
      <c r="O30" s="30">
        <f t="shared" ca="1" si="17"/>
        <v>99.30597210906835</v>
      </c>
      <c r="P30" s="30">
        <f t="shared" ca="1" si="18"/>
        <v>100.00010677690524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3" t="s">
        <v>12</v>
      </c>
      <c r="I31" s="270"/>
      <c r="J31" s="270"/>
      <c r="K31" s="498"/>
      <c r="L31" s="498">
        <f t="shared" ref="L31:N31" ca="1" si="20">L32+L33</f>
        <v>2829235</v>
      </c>
      <c r="M31" s="498">
        <f t="shared" ca="1" si="20"/>
        <v>2809596.32</v>
      </c>
      <c r="N31" s="498">
        <f t="shared" si="20"/>
        <v>2809599.32</v>
      </c>
      <c r="O31" s="498">
        <f t="shared" ca="1" si="17"/>
        <v>99.30597210906835</v>
      </c>
      <c r="P31" s="498">
        <f t="shared" ca="1" si="18"/>
        <v>100.00010677690524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7"/>
      <c r="J32" s="617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7"/>
      <c r="J33" s="617"/>
      <c r="K33" s="93"/>
      <c r="L33" s="93">
        <f t="shared" ca="1" si="21"/>
        <v>2829235</v>
      </c>
      <c r="M33" s="93">
        <f t="shared" ca="1" si="21"/>
        <v>2809596.32</v>
      </c>
      <c r="N33" s="93">
        <f t="shared" si="21"/>
        <v>2809599.32</v>
      </c>
      <c r="O33" s="93">
        <f t="shared" ca="1" si="17"/>
        <v>99.30597210906835</v>
      </c>
      <c r="P33" s="93">
        <f t="shared" ca="1" si="18"/>
        <v>100.00010677690524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3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7"/>
      <c r="J35" s="617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7" t="s">
        <v>24</v>
      </c>
      <c r="B37" s="868"/>
      <c r="C37" s="868"/>
      <c r="D37" s="868"/>
      <c r="E37" s="868"/>
      <c r="F37" s="868"/>
      <c r="G37" s="869"/>
      <c r="H37" s="870"/>
      <c r="I37" s="871"/>
      <c r="J37" s="871"/>
      <c r="K37" s="872"/>
      <c r="L37" s="873">
        <f t="shared" ref="L37:N37" ca="1" si="24">L41+L53+L66+L88+L119+L132+L149+L165+L181+L261+L277+L298+L315+L328+L345+L389+L402</f>
        <v>5826107</v>
      </c>
      <c r="M37" s="873">
        <f t="shared" ca="1" si="24"/>
        <v>6117837.4299999997</v>
      </c>
      <c r="N37" s="873">
        <f t="shared" ca="1" si="24"/>
        <v>6117837.4299999997</v>
      </c>
      <c r="O37" s="873">
        <f t="shared" ca="1" si="17"/>
        <v>105.00729612415289</v>
      </c>
      <c r="P37" s="873">
        <f t="shared" ca="1" si="18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806992</v>
      </c>
      <c r="M41" s="85">
        <f t="shared" ca="1" si="25"/>
        <v>822783.13</v>
      </c>
      <c r="N41" s="85">
        <f t="shared" ca="1" si="25"/>
        <v>822783.13</v>
      </c>
      <c r="O41" s="85">
        <f t="shared" ref="O41:O49" ca="1" si="26">IF(L41&gt;0,N41*100/L41,0)</f>
        <v>101.95678891488392</v>
      </c>
      <c r="P41" s="85">
        <f t="shared" ref="P41:P49" ca="1" si="27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806992</v>
      </c>
      <c r="M43" s="92">
        <f t="shared" ca="1" si="28"/>
        <v>822783.13</v>
      </c>
      <c r="N43" s="92">
        <f t="shared" ca="1" si="28"/>
        <v>822783.13</v>
      </c>
      <c r="O43" s="92">
        <f t="shared" ca="1" si="26"/>
        <v>101.95678891488392</v>
      </c>
      <c r="P43" s="92">
        <f t="shared" ca="1" si="27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3" t="s">
        <v>12</v>
      </c>
      <c r="I44" s="270"/>
      <c r="J44" s="270"/>
      <c r="K44" s="498"/>
      <c r="L44" s="498">
        <f t="shared" ref="L44:N44" ca="1" si="29">L45+L46</f>
        <v>806992</v>
      </c>
      <c r="M44" s="498">
        <f t="shared" ca="1" si="29"/>
        <v>822783.13</v>
      </c>
      <c r="N44" s="498">
        <f t="shared" ca="1" si="29"/>
        <v>822783.13</v>
      </c>
      <c r="O44" s="498">
        <f t="shared" ca="1" si="26"/>
        <v>101.95678891488392</v>
      </c>
      <c r="P44" s="498">
        <f t="shared" ca="1" si="27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7"/>
      <c r="J45" s="617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7"/>
      <c r="J46" s="617"/>
      <c r="K46" s="93"/>
      <c r="L46" s="93">
        <f ca="1">IFERROR(__xludf.DUMMYFUNCTION("IMPORTRANGE(""https://docs.google.com/spreadsheets/d/1MeEWN-I1oV_STSDYn1IFDPWt_1FKiwhDph83XaGc0o0/edit?usp=sharing"",""งบพรบ!M45"")"),806992)</f>
        <v>806992</v>
      </c>
      <c r="M46" s="93">
        <f ca="1">IFERROR(__xludf.DUMMYFUNCTION("IMPORTRANGE(""https://docs.google.com/spreadsheets/d/1MeEWN-I1oV_STSDYn1IFDPWt_1FKiwhDph83XaGc0o0/edit?usp=sharing"",""งบพรบ!R45"")"),822783.13)</f>
        <v>822783.13</v>
      </c>
      <c r="N46" s="93">
        <f ca="1">IFERROR(__xludf.DUMMYFUNCTION("IMPORTRANGE(""https://docs.google.com/spreadsheets/d/1MeEWN-I1oV_STSDYn1IFDPWt_1FKiwhDph83XaGc0o0/edit?usp=sharing"",""งบพรบ!T45"")"),822783.13)</f>
        <v>822783.13</v>
      </c>
      <c r="O46" s="93">
        <f t="shared" ca="1" si="26"/>
        <v>101.95678891488392</v>
      </c>
      <c r="P46" s="93">
        <f t="shared" ca="1" si="27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3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7"/>
      <c r="J48" s="617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IFERROR(__xludf.DUMMYFUNCTION("IMPORTRANGE(""https://docs.google.com/spreadsheets/d/1MeEWN-I1oV_STSDYn1IFDPWt_1FKiwhDph83XaGc0o0/edit?usp=sharing"",""งบพรบ!P45"")"),0)</f>
        <v>0</v>
      </c>
      <c r="M49" s="52">
        <f ca="1">IFERROR(__xludf.DUMMYFUNCTION("IMPORTRANGE(""https://docs.google.com/spreadsheets/d/1MeEWN-I1oV_STSDYn1IFDPWt_1FKiwhDph83XaGc0o0/edit?usp=sharing"",""งบพรบ!S45"")"),0)</f>
        <v>0</v>
      </c>
      <c r="N49" s="52">
        <f ca="1">IFERROR(__xludf.DUMMYFUNCTION("IMPORTRANGE(""https://docs.google.com/spreadsheets/d/1MeEWN-I1oV_STSDYn1IFDPWt_1FKiwhDph83XaGc0o0/edit?usp=sharing"",""งบพรบ!U45"")"),0)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790400</v>
      </c>
      <c r="M53" s="116">
        <f t="shared" ca="1" si="31"/>
        <v>865929.3</v>
      </c>
      <c r="N53" s="116">
        <f t="shared" ca="1" si="31"/>
        <v>865929.3</v>
      </c>
      <c r="O53" s="116">
        <f t="shared" ref="O53:O61" ca="1" si="32">IF(L53&gt;0,N53*100/L53,0)</f>
        <v>109.55583248987854</v>
      </c>
      <c r="P53" s="116">
        <f t="shared" ref="P53:P61" ca="1" si="33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790400</v>
      </c>
      <c r="M55" s="123">
        <f t="shared" ca="1" si="34"/>
        <v>865929.3</v>
      </c>
      <c r="N55" s="123">
        <f t="shared" ca="1" si="34"/>
        <v>865929.3</v>
      </c>
      <c r="O55" s="123">
        <f t="shared" ca="1" si="32"/>
        <v>109.55583248987854</v>
      </c>
      <c r="P55" s="123">
        <f t="shared" ca="1" si="33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3" t="s">
        <v>12</v>
      </c>
      <c r="I56" s="270"/>
      <c r="J56" s="270"/>
      <c r="K56" s="498"/>
      <c r="L56" s="498">
        <f t="shared" ref="L56:N56" ca="1" si="35">L57+L58</f>
        <v>790400</v>
      </c>
      <c r="M56" s="498">
        <f t="shared" ca="1" si="35"/>
        <v>865929.3</v>
      </c>
      <c r="N56" s="498">
        <f t="shared" ca="1" si="35"/>
        <v>865929.3</v>
      </c>
      <c r="O56" s="498">
        <f t="shared" ca="1" si="32"/>
        <v>109.55583248987854</v>
      </c>
      <c r="P56" s="498">
        <f t="shared" ca="1" si="33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7"/>
      <c r="J57" s="617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7"/>
      <c r="J58" s="617"/>
      <c r="K58" s="93"/>
      <c r="L58" s="93">
        <f ca="1">IFERROR(__xludf.DUMMYFUNCTION("IMPORTRANGE(""https://docs.google.com/spreadsheets/d/1MeEWN-I1oV_STSDYn1IFDPWt_1FKiwhDph83XaGc0o0/edit?usp=sharing"",""งบพรบ!W45"")"),790400)</f>
        <v>790400</v>
      </c>
      <c r="M58" s="93">
        <f ca="1">IFERROR(__xludf.DUMMYFUNCTION("IMPORTRANGE(""https://docs.google.com/spreadsheets/d/1MeEWN-I1oV_STSDYn1IFDPWt_1FKiwhDph83XaGc0o0/edit?usp=sharing"",""งบพรบ!AB45"")"),865929.3)</f>
        <v>865929.3</v>
      </c>
      <c r="N58" s="93">
        <f ca="1">IFERROR(__xludf.DUMMYFUNCTION("IMPORTRANGE(""https://docs.google.com/spreadsheets/d/1MeEWN-I1oV_STSDYn1IFDPWt_1FKiwhDph83XaGc0o0/edit?usp=sharing"",""งบพรบ!AD45"")"),865929.3)</f>
        <v>865929.3</v>
      </c>
      <c r="O58" s="93">
        <f t="shared" ca="1" si="32"/>
        <v>109.55583248987854</v>
      </c>
      <c r="P58" s="93">
        <f t="shared" ca="1" si="33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3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7"/>
      <c r="J60" s="617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IFERROR(__xludf.DUMMYFUNCTION("IMPORTRANGE(""https://docs.google.com/spreadsheets/d/1MeEWN-I1oV_STSDYn1IFDPWt_1FKiwhDph83XaGc0o0/edit?usp=sharing"",""งบพรบ!Z45"")"),0)</f>
        <v>0</v>
      </c>
      <c r="M61" s="52">
        <f ca="1">IFERROR(__xludf.DUMMYFUNCTION("IMPORTRANGE(""https://docs.google.com/spreadsheets/d/1MeEWN-I1oV_STSDYn1IFDPWt_1FKiwhDph83XaGc0o0/edit?usp=sharing"",""งบพรบ!AC45"")"),0)</f>
        <v>0</v>
      </c>
      <c r="N61" s="52">
        <f ca="1">IFERROR(__xludf.DUMMYFUNCTION("IMPORTRANGE(""https://docs.google.com/spreadsheets/d/1MeEWN-I1oV_STSDYn1IFDPWt_1FKiwhDph83XaGc0o0/edit?usp=sharing"",""งบพรบ!AE45"")"),0)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1012000</v>
      </c>
      <c r="M66" s="155">
        <f t="shared" ca="1" si="39"/>
        <v>1032070</v>
      </c>
      <c r="N66" s="155">
        <f t="shared" ca="1" si="39"/>
        <v>1032070</v>
      </c>
      <c r="O66" s="155">
        <f t="shared" ref="O66:O74" ca="1" si="40">IF(L66&gt;0,N66*100/L66,0)</f>
        <v>101.98320158102767</v>
      </c>
      <c r="P66" s="155">
        <f t="shared" ref="P66:P74" ca="1" si="41">IF(M66&gt;0,N66*100/M66,0)</f>
        <v>100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7"/>
      <c r="J67" s="617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7"/>
      <c r="J68" s="617"/>
      <c r="K68" s="93"/>
      <c r="L68" s="93">
        <f t="shared" ca="1" si="42"/>
        <v>1012000</v>
      </c>
      <c r="M68" s="93">
        <f t="shared" ca="1" si="42"/>
        <v>1032070</v>
      </c>
      <c r="N68" s="93">
        <f t="shared" ca="1" si="42"/>
        <v>1032070</v>
      </c>
      <c r="O68" s="93">
        <f t="shared" ca="1" si="40"/>
        <v>101.98320158102767</v>
      </c>
      <c r="P68" s="93">
        <f t="shared" ca="1" si="41"/>
        <v>100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1012000</v>
      </c>
      <c r="M69" s="498">
        <f t="shared" ca="1" si="43"/>
        <v>1032070</v>
      </c>
      <c r="N69" s="498">
        <f t="shared" ca="1" si="43"/>
        <v>1032070</v>
      </c>
      <c r="O69" s="498">
        <f t="shared" ca="1" si="40"/>
        <v>101.98320158102767</v>
      </c>
      <c r="P69" s="498">
        <f t="shared" ca="1" si="41"/>
        <v>100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IFERROR(__xludf.DUMMYFUNCTION("IMPORTRANGE(""https://docs.google.com/spreadsheets/d/1MeEWN-I1oV_STSDYn1IFDPWt_1FKiwhDph83XaGc0o0/edit?usp=sharing"",""งบพรบ!AG45"")"),1012000)</f>
        <v>1012000</v>
      </c>
      <c r="M71" s="93">
        <f ca="1">IFERROR(__xludf.DUMMYFUNCTION("IMPORTRANGE(""https://docs.google.com/spreadsheets/d/1MeEWN-I1oV_STSDYn1IFDPWt_1FKiwhDph83XaGc0o0/edit?usp=sharing"",""งบพรบ!AL45"")"),1032070)</f>
        <v>1032070</v>
      </c>
      <c r="N71" s="93">
        <f ca="1">IFERROR(__xludf.DUMMYFUNCTION("IMPORTRANGE(""https://docs.google.com/spreadsheets/d/1MeEWN-I1oV_STSDYn1IFDPWt_1FKiwhDph83XaGc0o0/edit?usp=sharing"",""งบพรบ!AN45"")"),1032070)</f>
        <v>1032070</v>
      </c>
      <c r="O71" s="93">
        <f t="shared" ca="1" si="40"/>
        <v>101.98320158102767</v>
      </c>
      <c r="P71" s="93">
        <f t="shared" ca="1" si="41"/>
        <v>100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IFERROR(__xludf.DUMMYFUNCTION("IMPORTRANGE(""https://docs.google.com/spreadsheets/d/1MeEWN-I1oV_STSDYn1IFDPWt_1FKiwhDph83XaGc0o0/edit?usp=sharing"",""งบพรบ!AJ45"")"),0)</f>
        <v>0</v>
      </c>
      <c r="M74" s="93">
        <f ca="1">IFERROR(__xludf.DUMMYFUNCTION("IMPORTRANGE(""https://docs.google.com/spreadsheets/d/1MeEWN-I1oV_STSDYn1IFDPWt_1FKiwhDph83XaGc0o0/edit?usp=sharing"",""งบพรบ!AM45"")"),0)</f>
        <v>0</v>
      </c>
      <c r="N74" s="93">
        <f ca="1">IFERROR(__xludf.DUMMYFUNCTION("IMPORTRANGE(""https://docs.google.com/spreadsheets/d/1MeEWN-I1oV_STSDYn1IFDPWt_1FKiwhDph83XaGc0o0/edit?usp=sharing"",""งบพรบ!AO45"")"),0)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7" t="s">
        <v>38</v>
      </c>
      <c r="E75" s="173"/>
      <c r="F75" s="173"/>
      <c r="G75" s="174"/>
      <c r="H75" s="76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4" t="s">
        <v>34</v>
      </c>
      <c r="I78" s="184">
        <f ca="1">IFERROR(__xludf.DUMMYFUNCTION("IMPORTRANGE(""https://docs.google.com/spreadsheets/d/1QqKyyYR6Q21VydFLVH3TRQUabQu_ym0Zz7PgGX0-kHA/edit?usp=sharing"",""แผน!H45"")"),0)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4" t="s">
        <v>35</v>
      </c>
      <c r="I79" s="184">
        <f ca="1">IFERROR(__xludf.DUMMYFUNCTION("IMPORTRANGE(""https://docs.google.com/spreadsheets/d/1QqKyyYR6Q21VydFLVH3TRQUabQu_ym0Zz7PgGX0-kHA/edit?usp=sharing"",""แผน!I45"")"),0)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4" t="s">
        <v>34</v>
      </c>
      <c r="I80" s="184">
        <f ca="1">IFERROR(__xludf.DUMMYFUNCTION("IMPORTRANGE(""https://docs.google.com/spreadsheets/d/1QqKyyYR6Q21VydFLVH3TRQUabQu_ym0Zz7PgGX0-kHA/edit?usp=sharing"",""แผน!F45"")"),0)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4" t="s">
        <v>35</v>
      </c>
      <c r="I81" s="184">
        <f ca="1">IFERROR(__xludf.DUMMYFUNCTION("IMPORTRANGE(""https://docs.google.com/spreadsheets/d/1QqKyyYR6Q21VydFLVH3TRQUabQu_ym0Zz7PgGX0-kHA/edit?usp=sharing"",""แผน!G45"")"),0)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4" t="s">
        <v>34</v>
      </c>
      <c r="I82" s="184">
        <f ca="1">IFERROR(__xludf.DUMMYFUNCTION("IMPORTRANGE(""https://docs.google.com/spreadsheets/d/1QqKyyYR6Q21VydFLVH3TRQUabQu_ym0Zz7PgGX0-kHA/edit?usp=sharing"",""แผน!D45"")"),1)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4" t="s">
        <v>35</v>
      </c>
      <c r="I83" s="184">
        <f ca="1">IFERROR(__xludf.DUMMYFUNCTION("IMPORTRANGE(""https://docs.google.com/spreadsheets/d/1QqKyyYR6Q21VydFLVH3TRQUabQu_ym0Zz7PgGX0-kHA/edit?usp=sharing"",""แผน!E45"")"),30)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IFERROR(__xludf.DUMMYFUNCTION("IMPORTRANGE(""https://docs.google.com/spreadsheets/d/1QqKyyYR6Q21VydFLVH3TRQUabQu_ym0Zz7PgGX0-kHA/edit?usp=sharing"",""แผน!J45"")"),1)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111180</v>
      </c>
      <c r="M88" s="155">
        <f t="shared" ca="1" si="49"/>
        <v>127180</v>
      </c>
      <c r="N88" s="155">
        <f t="shared" ca="1" si="49"/>
        <v>127180</v>
      </c>
      <c r="O88" s="155">
        <f t="shared" ref="O88:O96" ca="1" si="50">IF(L88&gt;0,N88*100/L88,0)</f>
        <v>114.39107753193021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7"/>
      <c r="J89" s="617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7"/>
      <c r="J90" s="617"/>
      <c r="K90" s="93"/>
      <c r="L90" s="93">
        <f t="shared" ca="1" si="52"/>
        <v>111180</v>
      </c>
      <c r="M90" s="93">
        <f t="shared" ca="1" si="52"/>
        <v>127180</v>
      </c>
      <c r="N90" s="93">
        <f t="shared" ca="1" si="52"/>
        <v>127180</v>
      </c>
      <c r="O90" s="93">
        <f t="shared" ca="1" si="50"/>
        <v>114.39107753193021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111180</v>
      </c>
      <c r="M91" s="498">
        <f t="shared" ca="1" si="53"/>
        <v>127180</v>
      </c>
      <c r="N91" s="498">
        <f t="shared" ca="1" si="53"/>
        <v>127180</v>
      </c>
      <c r="O91" s="498">
        <f t="shared" ca="1" si="50"/>
        <v>114.39107753193021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IFERROR(__xludf.DUMMYFUNCTION("IMPORTRANGE(""https://docs.google.com/spreadsheets/d/1MeEWN-I1oV_STSDYn1IFDPWt_1FKiwhDph83XaGc0o0/edit?usp=sharing"",""งบพรบ!AQ45"")"),111180)</f>
        <v>111180</v>
      </c>
      <c r="M93" s="93">
        <f ca="1">IFERROR(__xludf.DUMMYFUNCTION("IMPORTRANGE(""https://docs.google.com/spreadsheets/d/1MeEWN-I1oV_STSDYn1IFDPWt_1FKiwhDph83XaGc0o0/edit?usp=sharing"",""งบพรบ!AV45"")"),127180)</f>
        <v>127180</v>
      </c>
      <c r="N93" s="93">
        <f ca="1">IFERROR(__xludf.DUMMYFUNCTION("IMPORTRANGE(""https://docs.google.com/spreadsheets/d/1MeEWN-I1oV_STSDYn1IFDPWt_1FKiwhDph83XaGc0o0/edit?usp=sharing"",""งบพรบ!AX45"")"),127180)</f>
        <v>127180</v>
      </c>
      <c r="O93" s="93">
        <f t="shared" ca="1" si="50"/>
        <v>114.39107753193021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IFERROR(__xludf.DUMMYFUNCTION("IMPORTRANGE(""https://docs.google.com/spreadsheets/d/1MeEWN-I1oV_STSDYn1IFDPWt_1FKiwhDph83XaGc0o0/edit?usp=sharing"",""งบพรบ!AT45"")"),0)</f>
        <v>0</v>
      </c>
      <c r="M96" s="93">
        <f ca="1">IFERROR(__xludf.DUMMYFUNCTION("IMPORTRANGE(""https://docs.google.com/spreadsheets/d/1MeEWN-I1oV_STSDYn1IFDPWt_1FKiwhDph83XaGc0o0/edit?usp=sharing"",""งบพรบ!AW45"")"),0)</f>
        <v>0</v>
      </c>
      <c r="N96" s="93">
        <f ca="1">IFERROR(__xludf.DUMMYFUNCTION("IMPORTRANGE(""https://docs.google.com/spreadsheets/d/1MeEWN-I1oV_STSDYn1IFDPWt_1FKiwhDph83XaGc0o0/edit?usp=sharing"",""งบพรบ!AY45"")"),0)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7" t="s">
        <v>38</v>
      </c>
      <c r="E97" s="173"/>
      <c r="F97" s="173"/>
      <c r="G97" s="174"/>
      <c r="H97" s="762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3" t="s">
        <v>46</v>
      </c>
      <c r="I98" s="270">
        <f ca="1">IFERROR(__xludf.DUMMYFUNCTION("IMPORTRANGE(""https://docs.google.com/spreadsheets/d/1QqKyyYR6Q21VydFLVH3TRQUabQu_ym0Zz7PgGX0-kHA/edit?usp=sharing"",""แผน!K45"")"),60)</f>
        <v>60</v>
      </c>
      <c r="J98" s="270">
        <f>J102</f>
        <v>60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3" t="s">
        <v>35</v>
      </c>
      <c r="I99" s="270">
        <f ca="1">IFERROR(__xludf.DUMMYFUNCTION("IMPORTRANGE(""https://docs.google.com/spreadsheets/d/1QqKyyYR6Q21VydFLVH3TRQUabQu_ym0Zz7PgGX0-kHA/edit?usp=sharing"",""แผน!L45"")"),20)</f>
        <v>20</v>
      </c>
      <c r="J99" s="270">
        <f>J104</f>
        <v>20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3" t="s">
        <v>49</v>
      </c>
      <c r="I100" s="270">
        <f ca="1">IFERROR(__xludf.DUMMYFUNCTION("IMPORTRANGE(""https://docs.google.com/spreadsheets/d/1QqKyyYR6Q21VydFLVH3TRQUabQu_ym0Zz7PgGX0-kHA/edit?usp=sharing"",""แผน!M45"")"),2)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3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6" t="s">
        <v>47</v>
      </c>
      <c r="F102" s="178"/>
      <c r="G102" s="179"/>
      <c r="H102" s="623" t="s">
        <v>46</v>
      </c>
      <c r="I102" s="270">
        <f ca="1">IFERROR(__xludf.DUMMYFUNCTION("IMPORTRANGE(""https://docs.google.com/spreadsheets/d/1QqKyyYR6Q21VydFLVH3TRQUabQu_ym0Zz7PgGX0-kHA/edit?usp=sharing"",""แผน!N45"")"),60)</f>
        <v>60</v>
      </c>
      <c r="J102" s="215">
        <v>60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3" t="s">
        <v>35</v>
      </c>
      <c r="I103" s="270">
        <f ca="1">IFERROR(__xludf.DUMMYFUNCTION("IMPORTRANGE(""https://docs.google.com/spreadsheets/d/1QqKyyYR6Q21VydFLVH3TRQUabQu_ym0Zz7PgGX0-kHA/edit?usp=sharing"",""แผน!O45"")"),20)</f>
        <v>20</v>
      </c>
      <c r="J103" s="215">
        <v>20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3" t="s">
        <v>35</v>
      </c>
      <c r="I104" s="270">
        <f ca="1">IFERROR(__xludf.DUMMYFUNCTION("IMPORTRANGE(""https://docs.google.com/spreadsheets/d/1QqKyyYR6Q21VydFLVH3TRQUabQu_ym0Zz7PgGX0-kHA/edit?usp=sharing"",""แผน!O45"")"),20)</f>
        <v>20</v>
      </c>
      <c r="J104" s="215">
        <v>20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3" t="s">
        <v>49</v>
      </c>
      <c r="I106" s="270">
        <f ca="1">IFERROR(__xludf.DUMMYFUNCTION("IMPORTRANGE(""https://docs.google.com/spreadsheets/d/1QqKyyYR6Q21VydFLVH3TRQUabQu_ym0Zz7PgGX0-kHA/edit?usp=sharing"",""แผน!P45"")"),1)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3" t="s">
        <v>49</v>
      </c>
      <c r="I107" s="270">
        <f ca="1">IFERROR(__xludf.DUMMYFUNCTION("IMPORTRANGE(""https://docs.google.com/spreadsheets/d/1QqKyyYR6Q21VydFLVH3TRQUabQu_ym0Zz7PgGX0-kHA/edit?usp=sharing"",""แผน!P45"")"),1)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3" t="s">
        <v>49</v>
      </c>
      <c r="I109" s="270">
        <f ca="1">IFERROR(__xludf.DUMMYFUNCTION("IMPORTRANGE(""https://docs.google.com/spreadsheets/d/1QqKyyYR6Q21VydFLVH3TRQUabQu_ym0Zz7PgGX0-kHA/edit?usp=sharing"",""แผน!Q45"")"),1)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3" t="s">
        <v>49</v>
      </c>
      <c r="I110" s="270">
        <f ca="1">IFERROR(__xludf.DUMMYFUNCTION("IMPORTRANGE(""https://docs.google.com/spreadsheets/d/1QqKyyYR6Q21VydFLVH3TRQUabQu_ym0Zz7PgGX0-kHA/edit?usp=sharing"",""แผน!Q45"")"),1)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7" t="s">
        <v>35</v>
      </c>
      <c r="I111" s="193">
        <f ca="1">IFERROR(__xludf.DUMMYFUNCTION("IMPORTRANGE(""https://docs.google.com/spreadsheets/d/1QqKyyYR6Q21VydFLVH3TRQUabQu_ym0Zz7PgGX0-kHA/edit?usp=sharing"",""แผน!R45"")"),20)</f>
        <v>20</v>
      </c>
      <c r="J111" s="681">
        <f>J114</f>
        <v>20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1">
        <f t="shared" si="59"/>
        <v>2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2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IFERROR(__xludf.DUMMYFUNCTION("IMPORTRANGE(""https://docs.google.com/spreadsheets/d/1QqKyyYR6Q21VydFLVH3TRQUabQu_ym0Zz7PgGX0-kHA/edit?usp=sharing"",""แผน!R45"")"),20)</f>
        <v>20</v>
      </c>
      <c r="J113" s="215">
        <v>20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IFERROR(__xludf.DUMMYFUNCTION("IMPORTRANGE(""https://docs.google.com/spreadsheets/d/1QqKyyYR6Q21VydFLVH3TRQUabQu_ym0Zz7PgGX0-kHA/edit?usp=sharing"",""แผน!R45"")"),20)</f>
        <v>20</v>
      </c>
      <c r="J114" s="215">
        <v>20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IFERROR(__xludf.DUMMYFUNCTION("IMPORTRANGE(""https://docs.google.com/spreadsheets/d/1QqKyyYR6Q21VydFLVH3TRQUabQu_ym0Zz7PgGX0-kHA/edit?usp=sharing"",""แผน!S45"")"),1)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IFERROR(__xludf.DUMMYFUNCTION("IMPORTRANGE(""https://docs.google.com/spreadsheets/d/1QqKyyYR6Q21VydFLVH3TRQUabQu_ym0Zz7PgGX0-kHA/edit?usp=sharing"",""แผน!T45"")"),1)</f>
        <v>1</v>
      </c>
      <c r="J116" s="215">
        <v>1</v>
      </c>
      <c r="K116" s="498">
        <f t="shared" ca="1" si="5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7"/>
      <c r="J120" s="617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7"/>
      <c r="J121" s="617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IFERROR(__xludf.DUMMYFUNCTION("IMPORTRANGE(""https://docs.google.com/spreadsheets/d/1MeEWN-I1oV_STSDYn1IFDPWt_1FKiwhDph83XaGc0o0/edit?usp=sharing"",""งบพรบ!BA45"")"),0)</f>
        <v>0</v>
      </c>
      <c r="M124" s="93">
        <f ca="1">IFERROR(__xludf.DUMMYFUNCTION("IMPORTRANGE(""https://docs.google.com/spreadsheets/d/1MeEWN-I1oV_STSDYn1IFDPWt_1FKiwhDph83XaGc0o0/edit?usp=sharing"",""งบพรบ!BF45"")"),0)</f>
        <v>0</v>
      </c>
      <c r="N124" s="93">
        <f ca="1">IFERROR(__xludf.DUMMYFUNCTION("IMPORTRANGE(""https://docs.google.com/spreadsheets/d/1MeEWN-I1oV_STSDYn1IFDPWt_1FKiwhDph83XaGc0o0/edit?usp=sharing"",""งบพรบ!BH45"")"),0)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IFERROR(__xludf.DUMMYFUNCTION("IMPORTRANGE(""https://docs.google.com/spreadsheets/d/1MeEWN-I1oV_STSDYn1IFDPWt_1FKiwhDph83XaGc0o0/edit?usp=sharing"",""งบพรบ!BD45"")"),0)</f>
        <v>0</v>
      </c>
      <c r="M127" s="93">
        <f ca="1">IFERROR(__xludf.DUMMYFUNCTION("IMPORTRANGE(""https://docs.google.com/spreadsheets/d/1MeEWN-I1oV_STSDYn1IFDPWt_1FKiwhDph83XaGc0o0/edit?usp=sharing"",""งบพรบ!BG45"")"),0)</f>
        <v>0</v>
      </c>
      <c r="N127" s="93">
        <f ca="1">IFERROR(__xludf.DUMMYFUNCTION("IMPORTRANGE(""https://docs.google.com/spreadsheets/d/1MeEWN-I1oV_STSDYn1IFDPWt_1FKiwhDph83XaGc0o0/edit?usp=sharing"",""งบพรบ!BI45"")"),0)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474465</v>
      </c>
      <c r="N132" s="155">
        <f t="shared" ca="1" si="69"/>
        <v>474465</v>
      </c>
      <c r="O132" s="155">
        <f t="shared" ref="O132:O140" ca="1" si="70">IF(L132&gt;0,N132*100/L132,0)</f>
        <v>104.28604398140516</v>
      </c>
      <c r="P132" s="155">
        <f t="shared" ref="P132:P140" ca="1" si="71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7"/>
      <c r="J133" s="617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7"/>
      <c r="J134" s="617"/>
      <c r="K134" s="93"/>
      <c r="L134" s="93">
        <f t="shared" ca="1" si="72"/>
        <v>454965</v>
      </c>
      <c r="M134" s="93">
        <f t="shared" ca="1" si="72"/>
        <v>474465</v>
      </c>
      <c r="N134" s="93">
        <f t="shared" ca="1" si="72"/>
        <v>474465</v>
      </c>
      <c r="O134" s="93">
        <f t="shared" ca="1" si="70"/>
        <v>104.28604398140516</v>
      </c>
      <c r="P134" s="93">
        <f t="shared" ca="1" si="71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145965</v>
      </c>
      <c r="M135" s="498">
        <f t="shared" ca="1" si="73"/>
        <v>165465</v>
      </c>
      <c r="N135" s="498">
        <f t="shared" ca="1" si="73"/>
        <v>165465</v>
      </c>
      <c r="O135" s="498">
        <f t="shared" ca="1" si="70"/>
        <v>113.35936697153427</v>
      </c>
      <c r="P135" s="498">
        <f t="shared" ca="1" si="71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IFERROR(__xludf.DUMMYFUNCTION("IMPORTRANGE(""https://docs.google.com/spreadsheets/d/1MeEWN-I1oV_STSDYn1IFDPWt_1FKiwhDph83XaGc0o0/edit?usp=sharing"",""งบพรบ!BK45"")"),145965)</f>
        <v>145965</v>
      </c>
      <c r="M137" s="93">
        <f ca="1">IFERROR(__xludf.DUMMYFUNCTION("IMPORTRANGE(""https://docs.google.com/spreadsheets/d/1MeEWN-I1oV_STSDYn1IFDPWt_1FKiwhDph83XaGc0o0/edit?usp=sharing"",""งบพรบ!BP45"")"),165465)</f>
        <v>165465</v>
      </c>
      <c r="N137" s="93">
        <f ca="1">IFERROR(__xludf.DUMMYFUNCTION("IMPORTRANGE(""https://docs.google.com/spreadsheets/d/1MeEWN-I1oV_STSDYn1IFDPWt_1FKiwhDph83XaGc0o0/edit?usp=sharing"",""งบพรบ!BR45"")"),165465)</f>
        <v>165465</v>
      </c>
      <c r="O137" s="93">
        <f t="shared" ca="1" si="70"/>
        <v>113.35936697153427</v>
      </c>
      <c r="P137" s="93">
        <f t="shared" ca="1" si="71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309000</v>
      </c>
      <c r="M138" s="498">
        <f t="shared" ca="1" si="74"/>
        <v>309000</v>
      </c>
      <c r="N138" s="498">
        <f t="shared" ca="1" si="74"/>
        <v>309000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IFERROR(__xludf.DUMMYFUNCTION("IMPORTRANGE(""https://docs.google.com/spreadsheets/d/1MeEWN-I1oV_STSDYn1IFDPWt_1FKiwhDph83XaGc0o0/edit?usp=sharing"",""งบพรบ!BN45"")"),309000)</f>
        <v>309000</v>
      </c>
      <c r="M140" s="93">
        <f ca="1">IFERROR(__xludf.DUMMYFUNCTION("IMPORTRANGE(""https://docs.google.com/spreadsheets/d/1MeEWN-I1oV_STSDYn1IFDPWt_1FKiwhDph83XaGc0o0/edit?usp=sharing"",""งบพรบ!BQ45"")"),309000)</f>
        <v>309000</v>
      </c>
      <c r="N140" s="93">
        <f ca="1">IFERROR(__xludf.DUMMYFUNCTION("IMPORTRANGE(""https://docs.google.com/spreadsheets/d/1MeEWN-I1oV_STSDYn1IFDPWt_1FKiwhDph83XaGc0o0/edit?usp=sharing"",""งบพรบ!BS45"")"),309000)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IFERROR(__xludf.DUMMYFUNCTION("IMPORTRANGE(""https://docs.google.com/spreadsheets/d/1QqKyyYR6Q21VydFLVH3TRQUabQu_ym0Zz7PgGX0-kHA/edit?usp=sharing"",""แผน!U45"")"),15)</f>
        <v>15</v>
      </c>
      <c r="J144" s="215">
        <v>15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IFERROR(__xludf.DUMMYFUNCTION("IMPORTRANGE(""https://docs.google.com/spreadsheets/d/1QqKyyYR6Q21VydFLVH3TRQUabQu_ym0Zz7PgGX0-kHA/edit?usp=sharing"",""แผน!V45"")"),30)</f>
        <v>30</v>
      </c>
      <c r="J145" s="215">
        <v>30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IFERROR(__xludf.DUMMYFUNCTION("IMPORTRANGE(""https://docs.google.com/spreadsheets/d/1QqKyyYR6Q21VydFLVH3TRQUabQu_ym0Zz7PgGX0-kHA/edit?usp=sharing"",""แผน!W45"")"),3)</f>
        <v>3</v>
      </c>
      <c r="J146" s="215">
        <v>3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8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31400</v>
      </c>
      <c r="N149" s="155">
        <f t="shared" ca="1" si="77"/>
        <v>31400</v>
      </c>
      <c r="O149" s="155">
        <f t="shared" ref="O149:O157" ca="1" si="78">IF(L149&gt;0,N149*100/L149,0)</f>
        <v>314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7"/>
      <c r="J150" s="617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7"/>
      <c r="J151" s="617"/>
      <c r="K151" s="93"/>
      <c r="L151" s="93">
        <f t="shared" ca="1" si="80"/>
        <v>10000</v>
      </c>
      <c r="M151" s="93">
        <f t="shared" ca="1" si="80"/>
        <v>31400</v>
      </c>
      <c r="N151" s="93">
        <f t="shared" ca="1" si="80"/>
        <v>31400</v>
      </c>
      <c r="O151" s="93">
        <f t="shared" ca="1" si="78"/>
        <v>314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31400</v>
      </c>
      <c r="N152" s="498">
        <f t="shared" ca="1" si="81"/>
        <v>31400</v>
      </c>
      <c r="O152" s="498">
        <f t="shared" ca="1" si="78"/>
        <v>314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IFERROR(__xludf.DUMMYFUNCTION("IMPORTRANGE(""https://docs.google.com/spreadsheets/d/1MeEWN-I1oV_STSDYn1IFDPWt_1FKiwhDph83XaGc0o0/edit?usp=sharing"",""งบพรบ!BU45"")"),10000)</f>
        <v>10000</v>
      </c>
      <c r="M154" s="93">
        <f ca="1">IFERROR(__xludf.DUMMYFUNCTION("IMPORTRANGE(""https://docs.google.com/spreadsheets/d/1MeEWN-I1oV_STSDYn1IFDPWt_1FKiwhDph83XaGc0o0/edit?usp=sharing"",""งบพรบ!BZ45"")"),31400)</f>
        <v>31400</v>
      </c>
      <c r="N154" s="93">
        <f ca="1">IFERROR(__xludf.DUMMYFUNCTION("IMPORTRANGE(""https://docs.google.com/spreadsheets/d/1MeEWN-I1oV_STSDYn1IFDPWt_1FKiwhDph83XaGc0o0/edit?usp=sharing"",""งบพรบ!CB45"")"),31400)</f>
        <v>31400</v>
      </c>
      <c r="O154" s="93">
        <f t="shared" ca="1" si="78"/>
        <v>314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IFERROR(__xludf.DUMMYFUNCTION("IMPORTRANGE(""https://docs.google.com/spreadsheets/d/1MeEWN-I1oV_STSDYn1IFDPWt_1FKiwhDph83XaGc0o0/edit?usp=sharing"",""งบพรบ!BX45"")"),0)</f>
        <v>0</v>
      </c>
      <c r="M157" s="93">
        <f ca="1">IFERROR(__xludf.DUMMYFUNCTION("IMPORTRANGE(""https://docs.google.com/spreadsheets/d/1MeEWN-I1oV_STSDYn1IFDPWt_1FKiwhDph83XaGc0o0/edit?usp=sharing"",""งบพรบ!CA45"")"),0)</f>
        <v>0</v>
      </c>
      <c r="N157" s="93">
        <f ca="1">IFERROR(__xludf.DUMMYFUNCTION("IMPORTRANGE(""https://docs.google.com/spreadsheets/d/1MeEWN-I1oV_STSDYn1IFDPWt_1FKiwhDph83XaGc0o0/edit?usp=sharing"",""งบพรบ!CC45"")"),0)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IFERROR(__xludf.DUMMYFUNCTION("IMPORTRANGE(""https://docs.google.com/spreadsheets/d/1QqKyyYR6Q21VydFLVH3TRQUabQu_ym0Zz7PgGX0-kHA/edit?usp=sharing"",""แผน!X45"")"),20)</f>
        <v>20</v>
      </c>
      <c r="J159" s="215">
        <v>20</v>
      </c>
      <c r="K159" s="498">
        <f ca="1">IF(I159&gt;0,J159*100/I159,0)</f>
        <v>100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7"/>
      <c r="J160" s="617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39060</v>
      </c>
      <c r="N165" s="155">
        <f t="shared" ca="1" si="84"/>
        <v>39060</v>
      </c>
      <c r="O165" s="155">
        <f t="shared" ref="O165:O173" ca="1" si="85">IF(L165&gt;0,N165*100/L165,0)</f>
        <v>169.38421509106678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7"/>
      <c r="J166" s="617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7"/>
      <c r="J167" s="617"/>
      <c r="K167" s="93"/>
      <c r="L167" s="93">
        <f t="shared" ca="1" si="87"/>
        <v>23060</v>
      </c>
      <c r="M167" s="93">
        <f t="shared" ca="1" si="87"/>
        <v>39060</v>
      </c>
      <c r="N167" s="93">
        <f t="shared" ca="1" si="87"/>
        <v>39060</v>
      </c>
      <c r="O167" s="93">
        <f t="shared" ca="1" si="85"/>
        <v>169.38421509106678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23060</v>
      </c>
      <c r="M168" s="498">
        <f t="shared" ca="1" si="88"/>
        <v>39060</v>
      </c>
      <c r="N168" s="498">
        <f t="shared" ca="1" si="88"/>
        <v>39060</v>
      </c>
      <c r="O168" s="498">
        <f t="shared" ca="1" si="85"/>
        <v>169.38421509106678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IFERROR(__xludf.DUMMYFUNCTION("IMPORTRANGE(""https://docs.google.com/spreadsheets/d/1MeEWN-I1oV_STSDYn1IFDPWt_1FKiwhDph83XaGc0o0/edit?usp=sharing"",""งบพรบ!CE45"")"),23060)</f>
        <v>23060</v>
      </c>
      <c r="M170" s="93">
        <f ca="1">IFERROR(__xludf.DUMMYFUNCTION("IMPORTRANGE(""https://docs.google.com/spreadsheets/d/1MeEWN-I1oV_STSDYn1IFDPWt_1FKiwhDph83XaGc0o0/edit?usp=sharing"",""งบพรบ!CJ45"")"),39060)</f>
        <v>39060</v>
      </c>
      <c r="N170" s="93">
        <f ca="1">IFERROR(__xludf.DUMMYFUNCTION("IMPORTRANGE(""https://docs.google.com/spreadsheets/d/1MeEWN-I1oV_STSDYn1IFDPWt_1FKiwhDph83XaGc0o0/edit?usp=sharing"",""งบพรบ!CL45"")"),39060)</f>
        <v>39060</v>
      </c>
      <c r="O170" s="93">
        <f t="shared" ca="1" si="85"/>
        <v>169.38421509106678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IFERROR(__xludf.DUMMYFUNCTION("IMPORTRANGE(""https://docs.google.com/spreadsheets/d/1MeEWN-I1oV_STSDYn1IFDPWt_1FKiwhDph83XaGc0o0/edit?usp=sharing"",""งบพรบ!CH45"")"),0)</f>
        <v>0</v>
      </c>
      <c r="M173" s="93">
        <f ca="1">IFERROR(__xludf.DUMMYFUNCTION("IMPORTRANGE(""https://docs.google.com/spreadsheets/d/1MeEWN-I1oV_STSDYn1IFDPWt_1FKiwhDph83XaGc0o0/edit?usp=sharing"",""งบพรบ!CK45"")"),0)</f>
        <v>0</v>
      </c>
      <c r="N173" s="93">
        <f ca="1">IFERROR(__xludf.DUMMYFUNCTION("IMPORTRANGE(""https://docs.google.com/spreadsheets/d/1MeEWN-I1oV_STSDYn1IFDPWt_1FKiwhDph83XaGc0o0/edit?usp=sharing"",""งบพรบ!CM45"")"),0)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7" t="s">
        <v>38</v>
      </c>
      <c r="E175" s="173"/>
      <c r="F175" s="173"/>
      <c r="G175" s="174"/>
      <c r="H175" s="76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6" t="s">
        <v>85</v>
      </c>
      <c r="E176" s="178"/>
      <c r="F176" s="178"/>
      <c r="G176" s="179"/>
      <c r="H176" s="623" t="s">
        <v>35</v>
      </c>
      <c r="I176" s="270">
        <f ca="1">IFERROR(__xludf.DUMMYFUNCTION("IMPORTRANGE(""https://docs.google.com/spreadsheets/d/1QqKyyYR6Q21VydFLVH3TRQUabQu_ym0Zz7PgGX0-kHA/edit?usp=sharing"",""แผน!Y45"")"),12)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571200</v>
      </c>
      <c r="M181" s="155">
        <f t="shared" ca="1" si="92"/>
        <v>585160</v>
      </c>
      <c r="N181" s="155">
        <f t="shared" ca="1" si="92"/>
        <v>585160</v>
      </c>
      <c r="O181" s="155">
        <f t="shared" ref="O181:O189" ca="1" si="93">IF(L181&gt;0,N181*100/L181,0)</f>
        <v>102.44397759103641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7"/>
      <c r="J182" s="617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7"/>
      <c r="J183" s="617"/>
      <c r="K183" s="93"/>
      <c r="L183" s="93">
        <f t="shared" ca="1" si="95"/>
        <v>571200</v>
      </c>
      <c r="M183" s="93">
        <f t="shared" ca="1" si="95"/>
        <v>585160</v>
      </c>
      <c r="N183" s="93">
        <f t="shared" ca="1" si="95"/>
        <v>585160</v>
      </c>
      <c r="O183" s="93">
        <f t="shared" ca="1" si="93"/>
        <v>102.44397759103641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571200</v>
      </c>
      <c r="M184" s="498">
        <f t="shared" ca="1" si="96"/>
        <v>585160</v>
      </c>
      <c r="N184" s="498">
        <f t="shared" ca="1" si="96"/>
        <v>585160</v>
      </c>
      <c r="O184" s="498">
        <f t="shared" ca="1" si="93"/>
        <v>102.44397759103641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IFERROR(__xludf.DUMMYFUNCTION("IMPORTRANGE(""https://docs.google.com/spreadsheets/d/1MeEWN-I1oV_STSDYn1IFDPWt_1FKiwhDph83XaGc0o0/edit?usp=sharing"",""งบพรบ!CO45"")"),571200)</f>
        <v>571200</v>
      </c>
      <c r="M186" s="93">
        <f ca="1">IFERROR(__xludf.DUMMYFUNCTION("IMPORTRANGE(""https://docs.google.com/spreadsheets/d/1MeEWN-I1oV_STSDYn1IFDPWt_1FKiwhDph83XaGc0o0/edit?usp=sharing"",""งบพรบ!CT45"")"),585160)</f>
        <v>585160</v>
      </c>
      <c r="N186" s="93">
        <f ca="1">IFERROR(__xludf.DUMMYFUNCTION("IMPORTRANGE(""https://docs.google.com/spreadsheets/d/1MeEWN-I1oV_STSDYn1IFDPWt_1FKiwhDph83XaGc0o0/edit?usp=sharing"",""งบพรบ!CV45"")"),585160)</f>
        <v>585160</v>
      </c>
      <c r="O186" s="93">
        <f t="shared" ca="1" si="93"/>
        <v>102.44397759103641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IFERROR(__xludf.DUMMYFUNCTION("IMPORTRANGE(""https://docs.google.com/spreadsheets/d/1MeEWN-I1oV_STSDYn1IFDPWt_1FKiwhDph83XaGc0o0/edit?usp=sharing"",""งบพรบ!CR45"")"),0)</f>
        <v>0</v>
      </c>
      <c r="M189" s="93">
        <f ca="1">IFERROR(__xludf.DUMMYFUNCTION("IMPORTRANGE(""https://docs.google.com/spreadsheets/d/1MeEWN-I1oV_STSDYn1IFDPWt_1FKiwhDph83XaGc0o0/edit?usp=sharing"",""งบพรบ!CU45"")"),0)</f>
        <v>0</v>
      </c>
      <c r="N189" s="93">
        <f ca="1">IFERROR(__xludf.DUMMYFUNCTION("IMPORTRANGE(""https://docs.google.com/spreadsheets/d/1MeEWN-I1oV_STSDYn1IFDPWt_1FKiwhDph83XaGc0o0/edit?usp=sharing"",""งบพรบ!CW45"")"),0)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8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IFERROR(__xludf.DUMMYFUNCTION("IMPORTRANGE(""https://docs.google.com/spreadsheets/d/1QqKyyYR6Q21VydFLVH3TRQUabQu_ym0Zz7PgGX0-kHA/edit?usp=sharing"",""แผน!Z45"")"),6000)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7" t="s">
        <v>38</v>
      </c>
      <c r="E192" s="173"/>
      <c r="F192" s="173"/>
      <c r="G192" s="174"/>
      <c r="H192" s="762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4" t="s">
        <v>90</v>
      </c>
      <c r="I193" s="270">
        <f ca="1">IFERROR(__xludf.DUMMYFUNCTION("IMPORTRANGE(""https://docs.google.com/spreadsheets/d/1QqKyyYR6Q21VydFLVH3TRQUabQu_ym0Zz7PgGX0-kHA/edit?usp=sharing"",""แผน!AC45"")"),4)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8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44000</v>
      </c>
      <c r="M198" s="155"/>
      <c r="N198" s="155">
        <f>N199+N200+N201+N202</f>
        <v>44000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IFERROR(__xludf.DUMMYFUNCTION("IMPORTRANGE(""https://docs.google.com/spreadsheets/d/1QqKyyYR6Q21VydFLVH3TRQUabQu_ym0Zz7PgGX0-kHA/edit?usp=sharing"",""แผน!AE45"")"),3000)</f>
        <v>3000</v>
      </c>
      <c r="M199" s="498"/>
      <c r="N199" s="840">
        <v>3000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3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IFERROR(__xludf.DUMMYFUNCTION("IMPORTRANGE(""https://docs.google.com/spreadsheets/d/1QqKyyYR6Q21VydFLVH3TRQUabQu_ym0Zz7PgGX0-kHA/edit?usp=sharing"",""แผน!AF45"")"),24000)</f>
        <v>24000</v>
      </c>
      <c r="M200" s="498"/>
      <c r="N200" s="840">
        <v>24000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3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IFERROR(__xludf.DUMMYFUNCTION("IMPORTRANGE(""https://docs.google.com/spreadsheets/d/1QqKyyYR6Q21VydFLVH3TRQUabQu_ym0Zz7PgGX0-kHA/edit?usp=sharing"",""แผน!AG45"")"),12000)</f>
        <v>12000</v>
      </c>
      <c r="M201" s="498"/>
      <c r="N201" s="840">
        <v>12000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3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IFERROR(__xludf.DUMMYFUNCTION("IMPORTRANGE(""https://docs.google.com/spreadsheets/d/1QqKyyYR6Q21VydFLVH3TRQUabQu_ym0Zz7PgGX0-kHA/edit?usp=sharing"",""แผน!AH45"")"),5000)</f>
        <v>5000</v>
      </c>
      <c r="M202" s="498"/>
      <c r="N202" s="840">
        <v>5000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7" t="s">
        <v>38</v>
      </c>
      <c r="E203" s="173"/>
      <c r="F203" s="173"/>
      <c r="G203" s="174"/>
      <c r="H203" s="76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2" t="s">
        <v>96</v>
      </c>
      <c r="I204" s="270">
        <f ca="1">IFERROR(__xludf.DUMMYFUNCTION("IMPORTRANGE(""https://docs.google.com/spreadsheets/d/1QqKyyYR6Q21VydFLVH3TRQUabQu_ym0Zz7PgGX0-kHA/edit?usp=sharing"",""แผน!AI45"")"),3)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2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2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8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IFERROR(__xludf.DUMMYFUNCTION("IMPORTRANGE(""https://docs.google.com/spreadsheets/d/1QqKyyYR6Q21VydFLVH3TRQUabQu_ym0Zz7PgGX0-kHA/edit?usp=sharing"",""แผน!AK45"")"),0)</f>
        <v>0</v>
      </c>
      <c r="M210" s="498"/>
      <c r="N210" s="840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IFERROR(__xludf.DUMMYFUNCTION("IMPORTRANGE(""https://docs.google.com/spreadsheets/d/1QqKyyYR6Q21VydFLVH3TRQUabQu_ym0Zz7PgGX0-kHA/edit?usp=sharing"",""แผน!AL45"")"),0)</f>
        <v>0</v>
      </c>
      <c r="M211" s="498"/>
      <c r="N211" s="840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IFERROR(__xludf.DUMMYFUNCTION("IMPORTRANGE(""https://docs.google.com/spreadsheets/d/1QqKyyYR6Q21VydFLVH3TRQUabQu_ym0Zz7PgGX0-kHA/edit?usp=sharing"",""แผน!AM45"")"),0)</f>
        <v>0</v>
      </c>
      <c r="M212" s="498"/>
      <c r="N212" s="840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7" t="s">
        <v>38</v>
      </c>
      <c r="E213" s="173"/>
      <c r="F213" s="173"/>
      <c r="G213" s="174"/>
      <c r="H213" s="762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2" t="s">
        <v>96</v>
      </c>
      <c r="I214" s="270">
        <f ca="1">IFERROR(__xludf.DUMMYFUNCTION("IMPORTRANGE(""https://docs.google.com/spreadsheets/d/1QqKyyYR6Q21VydFLVH3TRQUabQu_ym0Zz7PgGX0-kHA/edit?usp=sharing"",""แผน!AN45"")"),0)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2" t="s">
        <v>96</v>
      </c>
      <c r="I215" s="270">
        <f ca="1">IFERROR(__xludf.DUMMYFUNCTION("IMPORTRANGE(""https://docs.google.com/spreadsheets/d/1QqKyyYR6Q21VydFLVH3TRQUabQu_ym0Zz7PgGX0-kHA/edit?usp=sharing"",""แผน!AN45"")"),0)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12800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8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7100</v>
      </c>
      <c r="M217" s="155"/>
      <c r="N217" s="155">
        <f>N218+N219+N220</f>
        <v>7100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IFERROR(__xludf.DUMMYFUNCTION("IMPORTRANGE(""https://docs.google.com/spreadsheets/d/1QqKyyYR6Q21VydFLVH3TRQUabQu_ym0Zz7PgGX0-kHA/edit?usp=sharing"",""แผน!AP45"")"),3000)</f>
        <v>3000</v>
      </c>
      <c r="M218" s="498"/>
      <c r="N218" s="840">
        <v>3000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IFERROR(__xludf.DUMMYFUNCTION("IMPORTRANGE(""https://docs.google.com/spreadsheets/d/1QqKyyYR6Q21VydFLVH3TRQUabQu_ym0Zz7PgGX0-kHA/edit?usp=sharing"",""แผน!AQ45"")"),4100)</f>
        <v>4100</v>
      </c>
      <c r="M219" s="498"/>
      <c r="N219" s="840">
        <v>4100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IFERROR(__xludf.DUMMYFUNCTION("IMPORTRANGE(""https://docs.google.com/spreadsheets/d/1QqKyyYR6Q21VydFLVH3TRQUabQu_ym0Zz7PgGX0-kHA/edit?usp=sharing"",""แผน!AR45"")"),0)</f>
        <v>0</v>
      </c>
      <c r="M220" s="498"/>
      <c r="N220" s="840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7" t="s">
        <v>38</v>
      </c>
      <c r="E221" s="173"/>
      <c r="F221" s="173"/>
      <c r="G221" s="174"/>
      <c r="H221" s="76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4" t="s">
        <v>109</v>
      </c>
      <c r="I223" s="270">
        <f ca="1">IFERROR(__xludf.DUMMYFUNCTION("IMPORTRANGE(""https://docs.google.com/spreadsheets/d/1QqKyyYR6Q21VydFLVH3TRQUabQu_ym0Zz7PgGX0-kHA/edit?usp=sharing"",""แผน!AT45"")"),12800)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4" t="s">
        <v>109</v>
      </c>
      <c r="I224" s="270">
        <f ca="1">IFERROR(__xludf.DUMMYFUNCTION("IMPORTRANGE(""https://docs.google.com/spreadsheets/d/1QqKyyYR6Q21VydFLVH3TRQUabQu_ym0Zz7PgGX0-kHA/edit?usp=sharing"",""แผน!AT45"")"),12800)</f>
        <v>12800</v>
      </c>
      <c r="J224" s="215">
        <v>12800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4" t="s">
        <v>35</v>
      </c>
      <c r="I225" s="270">
        <f ca="1">IFERROR(__xludf.DUMMYFUNCTION("IMPORTRANGE(""https://docs.google.com/spreadsheets/d/1QqKyyYR6Q21VydFLVH3TRQUabQu_ym0Zz7PgGX0-kHA/edit?usp=sharing"",""แผน!AS45"")"),0)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40</v>
      </c>
      <c r="J226" s="345">
        <f t="shared" si="105"/>
        <v>40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8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338600</v>
      </c>
      <c r="M227" s="356"/>
      <c r="N227" s="356">
        <f t="shared" ref="N227:N231" si="107">N238+N249</f>
        <v>338600</v>
      </c>
      <c r="O227" s="882"/>
      <c r="P227" s="8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163000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7"/>
      <c r="J229" s="617"/>
      <c r="K229" s="93"/>
      <c r="L229" s="93">
        <f t="shared" ca="1" si="106"/>
        <v>145600</v>
      </c>
      <c r="M229" s="93"/>
      <c r="N229" s="93">
        <f t="shared" si="107"/>
        <v>145600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7"/>
      <c r="J230" s="617"/>
      <c r="K230" s="93"/>
      <c r="L230" s="93">
        <f t="shared" ca="1" si="106"/>
        <v>20000</v>
      </c>
      <c r="M230" s="93"/>
      <c r="N230" s="93">
        <f t="shared" si="107"/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7"/>
      <c r="J231" s="617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7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7">
        <f t="shared" ref="I233:J233" ca="1" si="108">I244+I255</f>
        <v>40</v>
      </c>
      <c r="J233" s="617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7"/>
      <c r="J234" s="617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7">
        <f t="shared" ref="I235:J236" si="109">I246+I257</f>
        <v>40</v>
      </c>
      <c r="J235" s="617">
        <f t="shared" si="109"/>
        <v>40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7">
        <f t="shared" si="109"/>
        <v>1</v>
      </c>
      <c r="J236" s="617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355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7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338600</v>
      </c>
      <c r="M238" s="155"/>
      <c r="N238" s="155">
        <f>N239+N240+N241+N242</f>
        <v>338600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IFERROR(__xludf.DUMMYFUNCTION("IMPORTRANGE(""https://docs.google.com/spreadsheets/d/1QqKyyYR6Q21VydFLVH3TRQUabQu_ym0Zz7PgGX0-kHA/edit?usp=sharing"",""แผน!AV45"")"),163000)</f>
        <v>163000</v>
      </c>
      <c r="M239" s="322"/>
      <c r="N239" s="883">
        <v>163000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IFERROR(__xludf.DUMMYFUNCTION("IMPORTRANGE(""https://docs.google.com/spreadsheets/d/1QqKyyYR6Q21VydFLVH3TRQUabQu_ym0Zz7PgGX0-kHA/edit?usp=sharing"",""แผน!AW45"")"),145600)</f>
        <v>145600</v>
      </c>
      <c r="M240" s="322"/>
      <c r="N240" s="883">
        <v>145600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IFERROR(__xludf.DUMMYFUNCTION("IMPORTRANGE(""https://docs.google.com/spreadsheets/d/1QqKyyYR6Q21VydFLVH3TRQUabQu_ym0Zz7PgGX0-kHA/edit?usp=sharing"",""แผน!AX45"")"),20000)</f>
        <v>20000</v>
      </c>
      <c r="M241" s="322"/>
      <c r="N241" s="883">
        <v>20000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IFERROR(__xludf.DUMMYFUNCTION("IMPORTRANGE(""https://docs.google.com/spreadsheets/d/1QqKyyYR6Q21VydFLVH3TRQUabQu_ym0Zz7PgGX0-kHA/edit?usp=sharing"",""แผน!AY45"")"),10000)</f>
        <v>10000</v>
      </c>
      <c r="M242" s="322"/>
      <c r="N242" s="883">
        <v>10000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77" t="s">
        <v>38</v>
      </c>
      <c r="E243" s="173"/>
      <c r="F243" s="173"/>
      <c r="G243" s="174"/>
      <c r="H243" s="762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4" t="s">
        <v>35</v>
      </c>
      <c r="I244" s="270">
        <f ca="1">IFERROR(__xludf.DUMMYFUNCTION("IMPORTRANGE(""https://docs.google.com/spreadsheets/d/1QqKyyYR6Q21VydFLVH3TRQUabQu_ym0Zz7PgGX0-kHA/edit?usp=sharing"",""แผน!BE45"")"),40)</f>
        <v>40</v>
      </c>
      <c r="J244" s="215">
        <v>40</v>
      </c>
      <c r="K244" s="498">
        <f ca="1">IF(I244&gt;0,J244*100/I244,0)</f>
        <v>100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84" t="s">
        <v>43</v>
      </c>
      <c r="E245" s="178"/>
      <c r="F245" s="178"/>
      <c r="G245" s="179"/>
      <c r="H245" s="764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4" t="s">
        <v>35</v>
      </c>
      <c r="I246" s="270">
        <v>40</v>
      </c>
      <c r="J246" s="215">
        <v>40</v>
      </c>
      <c r="K246" s="498">
        <f t="shared" ref="K246:K248" si="112">IF(I246&gt;0,J246*100/I246,0)</f>
        <v>100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4" t="s">
        <v>66</v>
      </c>
      <c r="I247" s="270">
        <v>1</v>
      </c>
      <c r="J247" s="215">
        <v>1</v>
      </c>
      <c r="K247" s="498">
        <f t="shared" si="112"/>
        <v>100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8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IFERROR(__xludf.DUMMYFUNCTION("IMPORTRANGE(""https://docs.google.com/spreadsheets/d/1QqKyyYR6Q21VydFLVH3TRQUabQu_ym0Zz7PgGX0-kHA/edit?usp=sharing"",""แผน!AZ45"")"),0)</f>
        <v>0</v>
      </c>
      <c r="M250" s="322"/>
      <c r="N250" s="88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IFERROR(__xludf.DUMMYFUNCTION("IMPORTRANGE(""https://docs.google.com/spreadsheets/d/1QqKyyYR6Q21VydFLVH3TRQUabQu_ym0Zz7PgGX0-kHA/edit?usp=sharing"",""แผน!BA45"")"),0)</f>
        <v>0</v>
      </c>
      <c r="M251" s="322"/>
      <c r="N251" s="88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IFERROR(__xludf.DUMMYFUNCTION("IMPORTRANGE(""https://docs.google.com/spreadsheets/d/1QqKyyYR6Q21VydFLVH3TRQUabQu_ym0Zz7PgGX0-kHA/edit?usp=sharing"",""แผน!BB45"")"),0)</f>
        <v>0</v>
      </c>
      <c r="M252" s="322"/>
      <c r="N252" s="88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IFERROR(__xludf.DUMMYFUNCTION("IMPORTRANGE(""https://docs.google.com/spreadsheets/d/1QqKyyYR6Q21VydFLVH3TRQUabQu_ym0Zz7PgGX0-kHA/edit?usp=sharing"",""แผน!BC45"")"),0)</f>
        <v>0</v>
      </c>
      <c r="M253" s="322"/>
      <c r="N253" s="88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7" t="s">
        <v>38</v>
      </c>
      <c r="E254" s="173"/>
      <c r="F254" s="173"/>
      <c r="G254" s="174"/>
      <c r="H254" s="762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4" t="s">
        <v>35</v>
      </c>
      <c r="I255" s="270">
        <f ca="1">IFERROR(__xludf.DUMMYFUNCTION("IMPORTRANGE(""https://docs.google.com/spreadsheets/d/1QqKyyYR6Q21VydFLVH3TRQUabQu_ym0Zz7PgGX0-kHA/edit?usp=sharing"",""แผน!BF45"")"),0)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4" t="s">
        <v>43</v>
      </c>
      <c r="E256" s="178"/>
      <c r="F256" s="178"/>
      <c r="G256" s="179"/>
      <c r="H256" s="764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4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4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30700</v>
      </c>
      <c r="N261" s="155">
        <f t="shared" ca="1" si="116"/>
        <v>30700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7"/>
      <c r="J262" s="617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7"/>
      <c r="J263" s="617"/>
      <c r="K263" s="93"/>
      <c r="L263" s="93">
        <f t="shared" ca="1" si="119"/>
        <v>30700</v>
      </c>
      <c r="M263" s="93">
        <f t="shared" ca="1" si="119"/>
        <v>30700</v>
      </c>
      <c r="N263" s="93">
        <f t="shared" ca="1" si="119"/>
        <v>30700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30700</v>
      </c>
      <c r="M264" s="498">
        <f t="shared" ca="1" si="120"/>
        <v>30700</v>
      </c>
      <c r="N264" s="498">
        <f t="shared" ca="1" si="120"/>
        <v>30700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IFERROR(__xludf.DUMMYFUNCTION("IMPORTRANGE(""https://docs.google.com/spreadsheets/d/1MeEWN-I1oV_STSDYn1IFDPWt_1FKiwhDph83XaGc0o0/edit?usp=sharing"",""งบพรบ!CY45"")"),30700)</f>
        <v>30700</v>
      </c>
      <c r="M266" s="93">
        <f ca="1">IFERROR(__xludf.DUMMYFUNCTION("IMPORTRANGE(""https://docs.google.com/spreadsheets/d/1MeEWN-I1oV_STSDYn1IFDPWt_1FKiwhDph83XaGc0o0/edit?usp=sharing"",""งบพรบ!DD45"")"),30700)</f>
        <v>30700</v>
      </c>
      <c r="N266" s="93">
        <f ca="1">IFERROR(__xludf.DUMMYFUNCTION("IMPORTRANGE(""https://docs.google.com/spreadsheets/d/1MeEWN-I1oV_STSDYn1IFDPWt_1FKiwhDph83XaGc0o0/edit?usp=sharing"",""งบพรบ!DF45"")"),30700)</f>
        <v>30700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IFERROR(__xludf.DUMMYFUNCTION("IMPORTRANGE(""https://docs.google.com/spreadsheets/d/1MeEWN-I1oV_STSDYn1IFDPWt_1FKiwhDph83XaGc0o0/edit?usp=sharing"",""งบพรบ!DB45"")"),0)</f>
        <v>0</v>
      </c>
      <c r="M269" s="93">
        <f ca="1">IFERROR(__xludf.DUMMYFUNCTION("IMPORTRANGE(""https://docs.google.com/spreadsheets/d/1MeEWN-I1oV_STSDYn1IFDPWt_1FKiwhDph83XaGc0o0/edit?usp=sharing"",""งบพรบ!DE45"")"),0)</f>
        <v>0</v>
      </c>
      <c r="N269" s="93">
        <f ca="1">IFERROR(__xludf.DUMMYFUNCTION("IMPORTRANGE(""https://docs.google.com/spreadsheets/d/1MeEWN-I1oV_STSDYn1IFDPWt_1FKiwhDph83XaGc0o0/edit?usp=sharing"",""งบพรบ!DG45"")"),0)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7" t="s">
        <v>38</v>
      </c>
      <c r="E270" s="173"/>
      <c r="F270" s="173"/>
      <c r="G270" s="174"/>
      <c r="H270" s="76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IFERROR(__xludf.DUMMYFUNCTION("IMPORTRANGE(""https://docs.google.com/spreadsheets/d/1QqKyyYR6Q21VydFLVH3TRQUabQu_ym0Zz7PgGX0-kHA/edit?usp=sharing"",""แผน!EA45"")"),26)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6">
        <v>0</v>
      </c>
      <c r="J272" s="506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30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5">
        <f t="shared" ref="I276:J276" ca="1" si="124">I287</f>
        <v>300</v>
      </c>
      <c r="J276" s="885">
        <f t="shared" si="124"/>
        <v>300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111710</v>
      </c>
      <c r="N277" s="155">
        <f t="shared" ca="1" si="125"/>
        <v>111710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7"/>
      <c r="J278" s="617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7"/>
      <c r="J279" s="617"/>
      <c r="K279" s="93"/>
      <c r="L279" s="93">
        <f t="shared" ca="1" si="128"/>
        <v>111710</v>
      </c>
      <c r="M279" s="93">
        <f t="shared" ca="1" si="128"/>
        <v>111710</v>
      </c>
      <c r="N279" s="93">
        <f t="shared" ca="1" si="128"/>
        <v>111710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111710</v>
      </c>
      <c r="M280" s="498">
        <f t="shared" ca="1" si="129"/>
        <v>111710</v>
      </c>
      <c r="N280" s="498">
        <f t="shared" ca="1" si="129"/>
        <v>111710</v>
      </c>
      <c r="O280" s="498">
        <f t="shared" ca="1" si="126"/>
        <v>100</v>
      </c>
      <c r="P280" s="49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IFERROR(__xludf.DUMMYFUNCTION("IMPORTRANGE(""https://docs.google.com/spreadsheets/d/1MeEWN-I1oV_STSDYn1IFDPWt_1FKiwhDph83XaGc0o0/edit?usp=sharing"",""งบพรบ!DI45"")"),111710)</f>
        <v>111710</v>
      </c>
      <c r="M282" s="93">
        <f ca="1">IFERROR(__xludf.DUMMYFUNCTION("IMPORTRANGE(""https://docs.google.com/spreadsheets/d/1MeEWN-I1oV_STSDYn1IFDPWt_1FKiwhDph83XaGc0o0/edit?usp=sharing"",""งบพรบ!DN45"")"),111710)</f>
        <v>111710</v>
      </c>
      <c r="N282" s="93">
        <f ca="1">IFERROR(__xludf.DUMMYFUNCTION("IMPORTRANGE(""https://docs.google.com/spreadsheets/d/1MeEWN-I1oV_STSDYn1IFDPWt_1FKiwhDph83XaGc0o0/edit?usp=sharing"",""งบพรบ!DP45"")"),111710)</f>
        <v>111710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IFERROR(__xludf.DUMMYFUNCTION("IMPORTRANGE(""https://docs.google.com/spreadsheets/d/1MeEWN-I1oV_STSDYn1IFDPWt_1FKiwhDph83XaGc0o0/edit?usp=sharing"",""งบพรบ!DL45"")"),0)</f>
        <v>0</v>
      </c>
      <c r="M285" s="93">
        <f ca="1">IFERROR(__xludf.DUMMYFUNCTION("IMPORTRANGE(""https://docs.google.com/spreadsheets/d/1MeEWN-I1oV_STSDYn1IFDPWt_1FKiwhDph83XaGc0o0/edit?usp=sharing"",""งบพรบ!DO45"")"),0)</f>
        <v>0</v>
      </c>
      <c r="N285" s="93">
        <f ca="1">IFERROR(__xludf.DUMMYFUNCTION("IMPORTRANGE(""https://docs.google.com/spreadsheets/d/1MeEWN-I1oV_STSDYn1IFDPWt_1FKiwhDph83XaGc0o0/edit?usp=sharing"",""งบพรบ!DQ45"")"),0)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7" t="s">
        <v>38</v>
      </c>
      <c r="E286" s="173"/>
      <c r="F286" s="173"/>
      <c r="G286" s="174"/>
      <c r="H286" s="76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6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IFERROR(__xludf.DUMMYFUNCTION("IMPORTRANGE(""https://docs.google.com/spreadsheets/d/1QqKyyYR6Q21VydFLVH3TRQUabQu_ym0Zz7PgGX0-kHA/edit?usp=sharing"",""แผน!EC45"")"),300)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6" t="s">
        <v>130</v>
      </c>
      <c r="E288" s="171"/>
      <c r="F288" s="178"/>
      <c r="G288" s="179"/>
      <c r="H288" s="180" t="s">
        <v>35</v>
      </c>
      <c r="I288" s="681">
        <f ca="1">IFERROR(__xludf.DUMMYFUNCTION("IMPORTRANGE(""https://docs.google.com/spreadsheets/d/1QqKyyYR6Q21VydFLVH3TRQUabQu_ym0Zz7PgGX0-kHA/edit?usp=sharing"",""แผน!EB45"")"),30)</f>
        <v>30</v>
      </c>
      <c r="J288" s="681">
        <f ca="1">IF(AND(J291&gt;=I288,J294&gt;=I288),J294,0)</f>
        <v>30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6" t="s">
        <v>132</v>
      </c>
      <c r="F290" s="178"/>
      <c r="G290" s="179"/>
      <c r="H290" s="764" t="s">
        <v>35</v>
      </c>
      <c r="I290" s="184">
        <f ca="1">IFERROR(__xludf.DUMMYFUNCTION("IMPORTRANGE(""https://docs.google.com/spreadsheets/d/1QqKyyYR6Q21VydFLVH3TRQUabQu_ym0Zz7PgGX0-kHA/edit?usp=sharing"",""แผน!EB45"")"),30)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6" t="s">
        <v>133</v>
      </c>
      <c r="F291" s="178"/>
      <c r="G291" s="179"/>
      <c r="H291" s="764" t="s">
        <v>35</v>
      </c>
      <c r="I291" s="184">
        <f ca="1">IFERROR(__xludf.DUMMYFUNCTION("IMPORTRANGE(""https://docs.google.com/spreadsheets/d/1QqKyyYR6Q21VydFLVH3TRQUabQu_ym0Zz7PgGX0-kHA/edit?usp=sharing"",""แผน!EB45"")"),30)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6" t="s">
        <v>132</v>
      </c>
      <c r="F293" s="178"/>
      <c r="G293" s="179"/>
      <c r="H293" s="764" t="s">
        <v>35</v>
      </c>
      <c r="I293" s="184">
        <f ca="1">IFERROR(__xludf.DUMMYFUNCTION("IMPORTRANGE(""https://docs.google.com/spreadsheets/d/1QqKyyYR6Q21VydFLVH3TRQUabQu_ym0Zz7PgGX0-kHA/edit?usp=sharing"",""แผน!EB45"")"),30)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4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IFERROR(__xludf.DUMMYFUNCTION("IMPORTRANGE(""https://docs.google.com/spreadsheets/d/1QqKyyYR6Q21VydFLVH3TRQUabQu_ym0Zz7PgGX0-kHA/edit?usp=sharing"",""แผน!EB45"")"),30)</f>
        <v>30</v>
      </c>
      <c r="J294" s="424">
        <v>30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97500</v>
      </c>
      <c r="N298" s="155">
        <f t="shared" ca="1" si="135"/>
        <v>97500</v>
      </c>
      <c r="O298" s="155">
        <f t="shared" ref="O298:O306" ca="1" si="136">IF(L298&gt;0,N298*100/L298,0)</f>
        <v>118.3252427184466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7"/>
      <c r="J299" s="617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7"/>
      <c r="J300" s="617"/>
      <c r="K300" s="93"/>
      <c r="L300" s="93">
        <f t="shared" ca="1" si="138"/>
        <v>82400</v>
      </c>
      <c r="M300" s="93">
        <f t="shared" ca="1" si="138"/>
        <v>97500</v>
      </c>
      <c r="N300" s="93">
        <f t="shared" ca="1" si="138"/>
        <v>97500</v>
      </c>
      <c r="O300" s="93">
        <f t="shared" ca="1" si="136"/>
        <v>118.3252427184466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97500</v>
      </c>
      <c r="N301" s="498">
        <f t="shared" ca="1" si="139"/>
        <v>97500</v>
      </c>
      <c r="O301" s="498">
        <f t="shared" ca="1" si="136"/>
        <v>118.3252427184466</v>
      </c>
      <c r="P301" s="49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IFERROR(__xludf.DUMMYFUNCTION("IMPORTRANGE(""https://docs.google.com/spreadsheets/d/1MeEWN-I1oV_STSDYn1IFDPWt_1FKiwhDph83XaGc0o0/edit?usp=sharing"",""งบพรบ!DS45"")"),82400)</f>
        <v>82400</v>
      </c>
      <c r="M303" s="93">
        <f ca="1">IFERROR(__xludf.DUMMYFUNCTION("IMPORTRANGE(""https://docs.google.com/spreadsheets/d/1MeEWN-I1oV_STSDYn1IFDPWt_1FKiwhDph83XaGc0o0/edit?usp=sharing"",""งบพรบ!DX45"")"),97500)</f>
        <v>97500</v>
      </c>
      <c r="N303" s="93">
        <f ca="1">IFERROR(__xludf.DUMMYFUNCTION("IMPORTRANGE(""https://docs.google.com/spreadsheets/d/1MeEWN-I1oV_STSDYn1IFDPWt_1FKiwhDph83XaGc0o0/edit?usp=sharing"",""งบพรบ!DZ45"")"),97500)</f>
        <v>97500</v>
      </c>
      <c r="O303" s="93">
        <f t="shared" ca="1" si="136"/>
        <v>118.3252427184466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IFERROR(__xludf.DUMMYFUNCTION("IMPORTRANGE(""https://docs.google.com/spreadsheets/d/1MeEWN-I1oV_STSDYn1IFDPWt_1FKiwhDph83XaGc0o0/edit?usp=sharing"",""งบพรบ!DV45"")"),0)</f>
        <v>0</v>
      </c>
      <c r="M306" s="93">
        <f ca="1">IFERROR(__xludf.DUMMYFUNCTION("IMPORTRANGE(""https://docs.google.com/spreadsheets/d/1MeEWN-I1oV_STSDYn1IFDPWt_1FKiwhDph83XaGc0o0/edit?usp=sharing"",""งบพรบ!DY45"")"),0)</f>
        <v>0</v>
      </c>
      <c r="N306" s="93">
        <f ca="1">IFERROR(__xludf.DUMMYFUNCTION("IMPORTRANGE(""https://docs.google.com/spreadsheets/d/1MeEWN-I1oV_STSDYn1IFDPWt_1FKiwhDph83XaGc0o0/edit?usp=sharing"",""งบพรบ!EA45"")"),0)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7" t="s">
        <v>38</v>
      </c>
      <c r="E307" s="173"/>
      <c r="F307" s="173"/>
      <c r="G307" s="174"/>
      <c r="H307" s="762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4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4" t="s">
        <v>35</v>
      </c>
      <c r="I309" s="270">
        <f ca="1">IFERROR(__xludf.DUMMYFUNCTION("IMPORTRANGE(""https://docs.google.com/spreadsheets/d/1QqKyyYR6Q21VydFLVH3TRQUabQu_ym0Zz7PgGX0-kHA/edit?usp=sharing"",""แผน!ED45"")"),20)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4" t="s">
        <v>35</v>
      </c>
      <c r="I310" s="270">
        <f ca="1">IFERROR(__xludf.DUMMYFUNCTION("IMPORTRANGE(""https://docs.google.com/spreadsheets/d/1QqKyyYR6Q21VydFLVH3TRQUabQu_ym0Zz7PgGX0-kHA/edit?usp=sharing"",""แผน!ED45"")"),20)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4" t="s">
        <v>35</v>
      </c>
      <c r="I311" s="270">
        <f ca="1">IFERROR(__xludf.DUMMYFUNCTION("IMPORTRANGE(""https://docs.google.com/spreadsheets/d/1QqKyyYR6Q21VydFLVH3TRQUabQu_ym0Zz7PgGX0-kHA/edit?usp=sharing"",""แผน!ED45"")"),20)</f>
        <v>20</v>
      </c>
      <c r="J311" s="215">
        <v>20</v>
      </c>
      <c r="K311" s="498">
        <f t="shared" ca="1" si="141"/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4" t="s">
        <v>35</v>
      </c>
      <c r="I312" s="270">
        <f ca="1">IFERROR(__xludf.DUMMYFUNCTION("IMPORTRANGE(""https://docs.google.com/spreadsheets/d/1QqKyyYR6Q21VydFLVH3TRQUabQu_ym0Zz7PgGX0-kHA/edit?usp=sharing"",""แผน!EE45"")"),4)</f>
        <v>4</v>
      </c>
      <c r="J312" s="215">
        <v>4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7"/>
      <c r="J316" s="617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7"/>
      <c r="J317" s="617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IFERROR(__xludf.DUMMYFUNCTION("IMPORTRANGE(""https://docs.google.com/spreadsheets/d/1MeEWN-I1oV_STSDYn1IFDPWt_1FKiwhDph83XaGc0o0/edit?usp=sharing"",""งบพรบ!EC45"")"),0)</f>
        <v>0</v>
      </c>
      <c r="M320" s="93">
        <f ca="1">IFERROR(__xludf.DUMMYFUNCTION("IMPORTRANGE(""https://docs.google.com/spreadsheets/d/1MeEWN-I1oV_STSDYn1IFDPWt_1FKiwhDph83XaGc0o0/edit?usp=sharing"",""งบพรบ!EH45"")"),0)</f>
        <v>0</v>
      </c>
      <c r="N320" s="93">
        <f ca="1">IFERROR(__xludf.DUMMYFUNCTION("IMPORTRANGE(""https://docs.google.com/spreadsheets/d/1MeEWN-I1oV_STSDYn1IFDPWt_1FKiwhDph83XaGc0o0/edit?usp=sharing"",""งบพรบ!EJ45"")"),0)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IFERROR(__xludf.DUMMYFUNCTION("IMPORTRANGE(""https://docs.google.com/spreadsheets/d/1MeEWN-I1oV_STSDYn1IFDPWt_1FKiwhDph83XaGc0o0/edit?usp=sharing"",""งบพรบ!EF45"")"),0)</f>
        <v>0</v>
      </c>
      <c r="M323" s="93">
        <f ca="1">IFERROR(__xludf.DUMMYFUNCTION("IMPORTRANGE(""https://docs.google.com/spreadsheets/d/1MeEWN-I1oV_STSDYn1IFDPWt_1FKiwhDph83XaGc0o0/edit?usp=sharing"",""งบพรบ!EI45"")"),0)</f>
        <v>0</v>
      </c>
      <c r="N323" s="93">
        <f ca="1">IFERROR(__xludf.DUMMYFUNCTION("IMPORTRANGE(""https://docs.google.com/spreadsheets/d/1MeEWN-I1oV_STSDYn1IFDPWt_1FKiwhDph83XaGc0o0/edit?usp=sharing"",""งบพรบ!EK45"")"),0)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7" t="s">
        <v>38</v>
      </c>
      <c r="E324" s="173"/>
      <c r="F324" s="173"/>
      <c r="G324" s="174"/>
      <c r="H324" s="762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3" t="s">
        <v>146</v>
      </c>
      <c r="I325" s="270">
        <f ca="1">IFERROR(__xludf.DUMMYFUNCTION("IMPORTRANGE(""https://docs.google.com/spreadsheets/d/1QqKyyYR6Q21VydFLVH3TRQUabQu_ym0Zz7PgGX0-kHA/edit?usp=sharing"",""แผน!EF45"")"),0)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IFERROR(__xludf.DUMMYFUNCTION("IMPORTRANGE(""https://docs.google.com/spreadsheets/d/1QqKyyYR6Q21VydFLVH3TRQUabQu_ym0Zz7PgGX0-kHA/edit?usp=sharing"",""แผน!EG45"")"),3000)</f>
        <v>3000</v>
      </c>
      <c r="J327" s="444">
        <f ca="1">J338+J341+J342+J343</f>
        <v>10441</v>
      </c>
      <c r="K327" s="445">
        <f ca="1">IF(I327&gt;0,J327*100/I327,0)</f>
        <v>348.03333333333336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176000</v>
      </c>
      <c r="M328" s="155">
        <f t="shared" ca="1" si="149"/>
        <v>178500</v>
      </c>
      <c r="N328" s="155">
        <f t="shared" ca="1" si="149"/>
        <v>178500</v>
      </c>
      <c r="O328" s="155">
        <f t="shared" ref="O328:O336" ca="1" si="150">IF(L328&gt;0,N328*100/L328,0)</f>
        <v>101.42045454545455</v>
      </c>
      <c r="P328" s="155">
        <f t="shared" ref="P328:P336" ca="1" si="151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7"/>
      <c r="J329" s="617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7"/>
      <c r="J330" s="617"/>
      <c r="K330" s="93"/>
      <c r="L330" s="93">
        <f t="shared" ca="1" si="152"/>
        <v>176000</v>
      </c>
      <c r="M330" s="93">
        <f t="shared" ca="1" si="152"/>
        <v>178500</v>
      </c>
      <c r="N330" s="93">
        <f t="shared" ca="1" si="152"/>
        <v>178500</v>
      </c>
      <c r="O330" s="93">
        <f t="shared" ca="1" si="150"/>
        <v>101.42045454545455</v>
      </c>
      <c r="P330" s="93">
        <f t="shared" ca="1" si="151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176000</v>
      </c>
      <c r="M331" s="498">
        <f t="shared" ca="1" si="153"/>
        <v>178500</v>
      </c>
      <c r="N331" s="498">
        <f t="shared" ca="1" si="153"/>
        <v>178500</v>
      </c>
      <c r="O331" s="498">
        <f t="shared" ca="1" si="150"/>
        <v>101.42045454545455</v>
      </c>
      <c r="P331" s="498">
        <f t="shared" ca="1" si="151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IFERROR(__xludf.DUMMYFUNCTION("IMPORTRANGE(""https://docs.google.com/spreadsheets/d/1MeEWN-I1oV_STSDYn1IFDPWt_1FKiwhDph83XaGc0o0/edit?usp=sharing"",""งบพรบ!EM45"")"),176000)</f>
        <v>176000</v>
      </c>
      <c r="M333" s="93">
        <f ca="1">IFERROR(__xludf.DUMMYFUNCTION("IMPORTRANGE(""https://docs.google.com/spreadsheets/d/1MeEWN-I1oV_STSDYn1IFDPWt_1FKiwhDph83XaGc0o0/edit?usp=sharing"",""งบพรบ!ER45"")"),178500)</f>
        <v>178500</v>
      </c>
      <c r="N333" s="93">
        <f ca="1">IFERROR(__xludf.DUMMYFUNCTION("IMPORTRANGE(""https://docs.google.com/spreadsheets/d/1MeEWN-I1oV_STSDYn1IFDPWt_1FKiwhDph83XaGc0o0/edit?usp=sharing"",""งบพรบ!ET45"")"),178500)</f>
        <v>178500</v>
      </c>
      <c r="O333" s="93">
        <f t="shared" ca="1" si="150"/>
        <v>101.42045454545455</v>
      </c>
      <c r="P333" s="93">
        <f t="shared" ca="1" si="151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IFERROR(__xludf.DUMMYFUNCTION("IMPORTRANGE(""https://docs.google.com/spreadsheets/d/1MeEWN-I1oV_STSDYn1IFDPWt_1FKiwhDph83XaGc0o0/edit?usp=sharing"",""งบพรบ!EP45"")"),0)</f>
        <v>0</v>
      </c>
      <c r="M336" s="93">
        <f ca="1">IFERROR(__xludf.DUMMYFUNCTION("IMPORTRANGE(""https://docs.google.com/spreadsheets/d/1MeEWN-I1oV_STSDYn1IFDPWt_1FKiwhDph83XaGc0o0/edit?usp=sharing"",""งบพรบ!ES45"")"),0)</f>
        <v>0</v>
      </c>
      <c r="N336" s="93">
        <f ca="1">IFERROR(__xludf.DUMMYFUNCTION("IMPORTRANGE(""https://docs.google.com/spreadsheets/d/1MeEWN-I1oV_STSDYn1IFDPWt_1FKiwhDph83XaGc0o0/edit?usp=sharing"",""งบพรบ!EU45"")"),0)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86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62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IFERROR(__xludf.DUMMYFUNCTION("IMPORTRANGE(""https://docs.google.com/spreadsheets/d/1QqKyyYR6Q21VydFLVH3TRQUabQu_ym0Zz7PgGX0-kHA/edit?usp=sharing"",""แผน!EG45"")"),3000)</f>
        <v>3000</v>
      </c>
      <c r="J338" s="270">
        <f ca="1">IFERROR(__xludf.DUMMYFUNCTION("IMPORTRANGE(""https://docs.google.com/spreadsheets/d/1kVcqe37tkHyjCSG3S0O1AXqVkqjo8mSIZil3BcpIysc/edit?usp=sharing"",""ศูนย์!D45"")"),9245)</f>
        <v>9245</v>
      </c>
      <c r="K338" s="498">
        <f ca="1">IF(I338&gt;0,J338*100/I338,0)</f>
        <v>308.16666666666669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IFERROR(__xludf.DUMMYFUNCTION("IMPORTRANGE(""https://docs.google.com/spreadsheets/d/1QqKyyYR6Q21VydFLVH3TRQUabQu_ym0Zz7PgGX0-kHA/edit?usp=sharing"",""แผน!EH45"")"),9)</f>
        <v>9</v>
      </c>
      <c r="J340" s="270">
        <f ca="1">IFERROR(__xludf.DUMMYFUNCTION("IMPORTRANGE(""https://docs.google.com/spreadsheets/d/1kVcqe37tkHyjCSG3S0O1AXqVkqjo8mSIZil3BcpIysc/edit?usp=sharing"",""ศูนย์!E45"")"),9)</f>
        <v>9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IFERROR(__xludf.DUMMYFUNCTION("IMPORTRANGE(""https://docs.google.com/spreadsheets/d/1kVcqe37tkHyjCSG3S0O1AXqVkqjo8mSIZil3BcpIysc/edit?usp=sharing"",""ศูนย์!F45"")"),1195)</f>
        <v>1195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IFERROR(__xludf.DUMMYFUNCTION("IMPORTRANGE(""https://docs.google.com/spreadsheets/d/1kVcqe37tkHyjCSG3S0O1AXqVkqjo8mSIZil3BcpIysc/edit?usp=sharing"",""ศูนย์!G45"")"),1)</f>
        <v>1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1645500</v>
      </c>
      <c r="M345" s="155">
        <f t="shared" ca="1" si="155"/>
        <v>1721380</v>
      </c>
      <c r="N345" s="155">
        <f t="shared" ca="1" si="155"/>
        <v>1721380</v>
      </c>
      <c r="O345" s="155">
        <f t="shared" ref="O345:O353" ca="1" si="156">IF(L345&gt;0,N345*100/L345,0)</f>
        <v>104.6113643269523</v>
      </c>
      <c r="P345" s="155">
        <f t="shared" ref="P345:P353" ca="1" si="157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7"/>
      <c r="J346" s="617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7"/>
      <c r="J347" s="617"/>
      <c r="K347" s="93"/>
      <c r="L347" s="93">
        <f t="shared" ca="1" si="158"/>
        <v>1645500</v>
      </c>
      <c r="M347" s="93">
        <f t="shared" ca="1" si="158"/>
        <v>1721380</v>
      </c>
      <c r="N347" s="93">
        <f t="shared" ca="1" si="158"/>
        <v>1721380</v>
      </c>
      <c r="O347" s="93">
        <f t="shared" ca="1" si="156"/>
        <v>104.6113643269523</v>
      </c>
      <c r="P347" s="93">
        <f t="shared" ca="1" si="157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1523900</v>
      </c>
      <c r="M348" s="498">
        <f t="shared" ca="1" si="159"/>
        <v>1599780</v>
      </c>
      <c r="N348" s="498">
        <f t="shared" ca="1" si="159"/>
        <v>1599780</v>
      </c>
      <c r="O348" s="498">
        <f t="shared" ca="1" si="156"/>
        <v>104.97932935231971</v>
      </c>
      <c r="P348" s="498">
        <f t="shared" ca="1" si="157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IFERROR(__xludf.DUMMYFUNCTION("IMPORTRANGE(""https://docs.google.com/spreadsheets/d/1MeEWN-I1oV_STSDYn1IFDPWt_1FKiwhDph83XaGc0o0/edit?usp=sharing"",""งบพรบ!EW45"")"),1523900)</f>
        <v>1523900</v>
      </c>
      <c r="M350" s="93">
        <f ca="1">IFERROR(__xludf.DUMMYFUNCTION("IMPORTRANGE(""https://docs.google.com/spreadsheets/d/1MeEWN-I1oV_STSDYn1IFDPWt_1FKiwhDph83XaGc0o0/edit?usp=sharing"",""งบพรบ!FB45"")"),1599780)</f>
        <v>1599780</v>
      </c>
      <c r="N350" s="93">
        <f ca="1">IFERROR(__xludf.DUMMYFUNCTION("IMPORTRANGE(""https://docs.google.com/spreadsheets/d/1MeEWN-I1oV_STSDYn1IFDPWt_1FKiwhDph83XaGc0o0/edit?usp=sharing"",""งบพรบ!FD45"")"),1599780)</f>
        <v>1599780</v>
      </c>
      <c r="O350" s="93">
        <f t="shared" ca="1" si="156"/>
        <v>104.97932935231971</v>
      </c>
      <c r="P350" s="93">
        <f t="shared" ca="1" si="157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121600</v>
      </c>
      <c r="M351" s="498">
        <f t="shared" ca="1" si="160"/>
        <v>121600</v>
      </c>
      <c r="N351" s="498">
        <f t="shared" ca="1" si="160"/>
        <v>121600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IFERROR(__xludf.DUMMYFUNCTION("IMPORTRANGE(""https://docs.google.com/spreadsheets/d/1MeEWN-I1oV_STSDYn1IFDPWt_1FKiwhDph83XaGc0o0/edit?usp=sharing"",""งบพรบ!EZ45"")"),121600)</f>
        <v>121600</v>
      </c>
      <c r="M353" s="93">
        <f ca="1">IFERROR(__xludf.DUMMYFUNCTION("IMPORTRANGE(""https://docs.google.com/spreadsheets/d/1MeEWN-I1oV_STSDYn1IFDPWt_1FKiwhDph83XaGc0o0/edit?usp=sharing"",""งบพรบ!FC45"")"),121600)</f>
        <v>121600</v>
      </c>
      <c r="N353" s="93">
        <f ca="1">IFERROR(__xludf.DUMMYFUNCTION("IMPORTRANGE(""https://docs.google.com/spreadsheets/d/1MeEWN-I1oV_STSDYn1IFDPWt_1FKiwhDph83XaGc0o0/edit?usp=sharing"",""งบพรบ!FE45"")"),121600)</f>
        <v>121600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8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IFERROR(__xludf.DUMMYFUNCTION("IMPORTRANGE(""https://docs.google.com/spreadsheets/d/1QqKyyYR6Q21VydFLVH3TRQUabQu_ym0Zz7PgGX0-kHA/edit?usp=sharing"",""แผน!EP45"")"),840)</f>
        <v>840</v>
      </c>
      <c r="J355" s="465">
        <f ca="1">J362</f>
        <v>1211</v>
      </c>
      <c r="K355" s="466">
        <f ca="1">IF(I355&gt;0,J355*100/I355,0)</f>
        <v>144.16666666666666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77" t="s">
        <v>38</v>
      </c>
      <c r="E357" s="173"/>
      <c r="F357" s="173"/>
      <c r="G357" s="174"/>
      <c r="H357" s="762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IFERROR(__xludf.DUMMYFUNCTION("IMPORTRANGE(""https://docs.google.com/spreadsheets/d/1XWAQStnk-4SwqDmLtmXYiTMKHgktTP8We1SCoS47DrQ/edit?usp=sharing"",""จัดที่ดิน!W45"")"),1266)</f>
        <v>1266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IFERROR(__xludf.DUMMYFUNCTION("IMPORTRANGE(""https://docs.google.com/spreadsheets/d/1QqKyyYR6Q21VydFLVH3TRQUabQu_ym0Zz7PgGX0-kHA/edit?usp=sharing"",""แผน!EO45"")"),10400)</f>
        <v>10400</v>
      </c>
      <c r="J359" s="270">
        <f ca="1">IFERROR(__xludf.DUMMYFUNCTION("IMPORTRANGE(""https://docs.google.com/spreadsheets/d/1XWAQStnk-4SwqDmLtmXYiTMKHgktTP8We1SCoS47DrQ/edit?usp=sharing"",""จัดที่ดิน!X45"")"),10667.33)</f>
        <v>10667.33</v>
      </c>
      <c r="K359" s="498">
        <f t="shared" ca="1" si="161"/>
        <v>102.57048076923077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4" t="s">
        <v>35</v>
      </c>
      <c r="I360" s="270">
        <f ca="1">IFERROR(__xludf.DUMMYFUNCTION("IMPORTRANGE(""https://docs.google.com/spreadsheets/d/1QqKyyYR6Q21VydFLVH3TRQUabQu_ym0Zz7PgGX0-kHA/edit?usp=sharing"",""แผน!EP45"")"),840)</f>
        <v>840</v>
      </c>
      <c r="J360" s="270">
        <f ca="1">IFERROR(__xludf.DUMMYFUNCTION("IMPORTRANGE(""https://docs.google.com/spreadsheets/d/1XWAQStnk-4SwqDmLtmXYiTMKHgktTP8We1SCoS47DrQ/edit?usp=sharing"",""จัดที่ดิน!Y45"")"),1227)</f>
        <v>1227</v>
      </c>
      <c r="K360" s="498">
        <f t="shared" ca="1" si="161"/>
        <v>146.07142857142858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IFERROR(__xludf.DUMMYFUNCTION("IMPORTRANGE(""https://docs.google.com/spreadsheets/d/1XWAQStnk-4SwqDmLtmXYiTMKHgktTP8We1SCoS47DrQ/edit?usp=sharing"",""จัดที่ดิน!Z45"")"),9439.11999999999)</f>
        <v>9439.1199999999899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4" t="s">
        <v>35</v>
      </c>
      <c r="I362" s="270">
        <f ca="1">IFERROR(__xludf.DUMMYFUNCTION("IMPORTRANGE(""https://docs.google.com/spreadsheets/d/1QqKyyYR6Q21VydFLVH3TRQUabQu_ym0Zz7PgGX0-kHA/edit?usp=sharing"",""แผน!EP45"")"),840)</f>
        <v>840</v>
      </c>
      <c r="J362" s="270">
        <f ca="1">IFERROR(__xludf.DUMMYFUNCTION("IMPORTRANGE(""https://docs.google.com/spreadsheets/d/1XWAQStnk-4SwqDmLtmXYiTMKHgktTP8We1SCoS47DrQ/edit?usp=sharing"",""จัดที่ดิน!AA45"")"),1211)</f>
        <v>1211</v>
      </c>
      <c r="K362" s="498">
        <f t="shared" ca="1" si="161"/>
        <v>144.16666666666666</v>
      </c>
      <c r="L362" s="163"/>
      <c r="M362" s="163"/>
      <c r="N362" s="163"/>
      <c r="O362" s="163"/>
      <c r="P362" s="163"/>
    </row>
    <row r="363" spans="1:26" ht="18.75" hidden="1">
      <c r="A363" s="499" t="s">
        <v>169</v>
      </c>
      <c r="B363" s="178"/>
      <c r="C363" s="171"/>
      <c r="D363" s="178"/>
      <c r="E363" s="447"/>
      <c r="F363" s="178"/>
      <c r="G363" s="179"/>
      <c r="H363" s="76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IFERROR(__xludf.DUMMYFUNCTION("IMPORTRANGE(""https://docs.google.com/spreadsheets/d/1XWAQStnk-4SwqDmLtmXYiTMKHgktTP8We1SCoS47DrQ/edit?usp=sharing"",""จัดที่ดิน!AB45"")"),9383.9)</f>
        <v>9383.9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t="shared" ref="I364:J364" ca="1" si="162">I365+I374</f>
        <v>1890</v>
      </c>
      <c r="J364" s="479">
        <f t="shared" ca="1" si="162"/>
        <v>2282</v>
      </c>
      <c r="K364" s="480">
        <f t="shared" ca="1" si="161"/>
        <v>120.74074074074075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IFERROR(__xludf.DUMMYFUNCTION("IMPORTRANGE(""https://docs.google.com/spreadsheets/d/1QqKyyYR6Q21VydFLVH3TRQUabQu_ym0Zz7PgGX0-kHA/edit?usp=sharing"",""แผน!EJ45"")"),370)</f>
        <v>370</v>
      </c>
      <c r="J365" s="491">
        <f ca="1">J372</f>
        <v>348</v>
      </c>
      <c r="K365" s="492">
        <f t="shared" ca="1" si="161"/>
        <v>94.054054054054049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77" t="s">
        <v>38</v>
      </c>
      <c r="E367" s="173"/>
      <c r="F367" s="173"/>
      <c r="G367" s="174"/>
      <c r="H367" s="762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IFERROR(__xludf.DUMMYFUNCTION("IMPORTRANGE(""https://docs.google.com/spreadsheets/d/1XWAQStnk-4SwqDmLtmXYiTMKHgktTP8We1SCoS47DrQ/edit?usp=sharing"",""จัดที่ดิน!E45"")"),356)</f>
        <v>356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IFERROR(__xludf.DUMMYFUNCTION("IMPORTRANGE(""https://docs.google.com/spreadsheets/d/1QqKyyYR6Q21VydFLVH3TRQUabQu_ym0Zz7PgGX0-kHA/edit?usp=sharing"",""แผน!EI45"")"),3700)</f>
        <v>3700</v>
      </c>
      <c r="J369" s="270">
        <f ca="1">IFERROR(__xludf.DUMMYFUNCTION("IMPORTRANGE(""https://docs.google.com/spreadsheets/d/1XWAQStnk-4SwqDmLtmXYiTMKHgktTP8We1SCoS47DrQ/edit?usp=sharing"",""จัดที่ดิน!F45"")"),4010.57)</f>
        <v>4010.57</v>
      </c>
      <c r="K369" s="498">
        <f t="shared" ca="1" si="163"/>
        <v>108.39378378378379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4" t="s">
        <v>35</v>
      </c>
      <c r="I370" s="270">
        <f ca="1">IFERROR(__xludf.DUMMYFUNCTION("IMPORTRANGE(""https://docs.google.com/spreadsheets/d/1QqKyyYR6Q21VydFLVH3TRQUabQu_ym0Zz7PgGX0-kHA/edit?usp=sharing"",""แผน!EJ45"")"),370)</f>
        <v>370</v>
      </c>
      <c r="J370" s="270">
        <f ca="1">IFERROR(__xludf.DUMMYFUNCTION("IMPORTRANGE(""https://docs.google.com/spreadsheets/d/1XWAQStnk-4SwqDmLtmXYiTMKHgktTP8We1SCoS47DrQ/edit?usp=sharing"",""จัดที่ดิน!G45"")"),345)</f>
        <v>345</v>
      </c>
      <c r="K370" s="498">
        <f t="shared" ca="1" si="163"/>
        <v>93.243243243243242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IFERROR(__xludf.DUMMYFUNCTION("IMPORTRANGE(""https://docs.google.com/spreadsheets/d/1XWAQStnk-4SwqDmLtmXYiTMKHgktTP8We1SCoS47DrQ/edit?usp=sharing"",""จัดที่ดิน!H45"")"),2947.34)</f>
        <v>2947.34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4" t="s">
        <v>35</v>
      </c>
      <c r="I372" s="270">
        <f ca="1">IFERROR(__xludf.DUMMYFUNCTION("IMPORTRANGE(""https://docs.google.com/spreadsheets/d/1QqKyyYR6Q21VydFLVH3TRQUabQu_ym0Zz7PgGX0-kHA/edit?usp=sharing"",""แผน!EJ45"")"),370)</f>
        <v>370</v>
      </c>
      <c r="J372" s="270">
        <f ca="1">IFERROR(__xludf.DUMMYFUNCTION("IMPORTRANGE(""https://docs.google.com/spreadsheets/d/1XWAQStnk-4SwqDmLtmXYiTMKHgktTP8We1SCoS47DrQ/edit?usp=sharing"",""จัดที่ดิน!I45"")"),348)</f>
        <v>348</v>
      </c>
      <c r="K372" s="498">
        <f t="shared" ca="1" si="163"/>
        <v>94.054054054054049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8"/>
      <c r="C373" s="171"/>
      <c r="D373" s="178"/>
      <c r="E373" s="447"/>
      <c r="F373" s="178"/>
      <c r="G373" s="179"/>
      <c r="H373" s="76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IFERROR(__xludf.DUMMYFUNCTION("IMPORTRANGE(""https://docs.google.com/spreadsheets/d/1XWAQStnk-4SwqDmLtmXYiTMKHgktTP8We1SCoS47DrQ/edit?usp=sharing"",""จัดที่ดิน!J45"")"),2978)</f>
        <v>2978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IFERROR(__xludf.DUMMYFUNCTION("IMPORTRANGE(""https://docs.google.com/spreadsheets/d/1QqKyyYR6Q21VydFLVH3TRQUabQu_ym0Zz7PgGX0-kHA/edit?usp=sharing"",""แผน!EU45"")"),1520)</f>
        <v>1520</v>
      </c>
      <c r="J374" s="491">
        <f ca="1">J381</f>
        <v>1934</v>
      </c>
      <c r="K374" s="492">
        <f t="shared" ca="1" si="163"/>
        <v>127.23684210526316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77" t="s">
        <v>38</v>
      </c>
      <c r="E376" s="173"/>
      <c r="F376" s="173"/>
      <c r="G376" s="174"/>
      <c r="H376" s="762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IFERROR(__xludf.DUMMYFUNCTION("IMPORTRANGE(""https://docs.google.com/spreadsheets/d/1XWAQStnk-4SwqDmLtmXYiTMKHgktTP8We1SCoS47DrQ/edit?usp=sharing"",""จัดที่ดิน!AH45"")"),910)</f>
        <v>910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IFERROR(__xludf.DUMMYFUNCTION("IMPORTRANGE(""https://docs.google.com/spreadsheets/d/1QqKyyYR6Q21VydFLVH3TRQUabQu_ym0Zz7PgGX0-kHA/edit?usp=sharing"",""แผน!ET45"")"),6700)</f>
        <v>6700</v>
      </c>
      <c r="J378" s="270">
        <f ca="1">IFERROR(__xludf.DUMMYFUNCTION("IMPORTRANGE(""https://docs.google.com/spreadsheets/d/1XWAQStnk-4SwqDmLtmXYiTMKHgktTP8We1SCoS47DrQ/edit?usp=sharing"",""จัดที่ดิน!AI45"")"),6656.76)</f>
        <v>6656.76</v>
      </c>
      <c r="K378" s="498">
        <f t="shared" ca="1" si="164"/>
        <v>99.354626865671648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4" t="s">
        <v>35</v>
      </c>
      <c r="I379" s="270">
        <f ca="1">IFERROR(__xludf.DUMMYFUNCTION("IMPORTRANGE(""https://docs.google.com/spreadsheets/d/1QqKyyYR6Q21VydFLVH3TRQUabQu_ym0Zz7PgGX0-kHA/edit?usp=sharing"",""แผน!EU45"")"),1520)</f>
        <v>1520</v>
      </c>
      <c r="J379" s="270">
        <f ca="1">IFERROR(__xludf.DUMMYFUNCTION("IMPORTRANGE(""https://docs.google.com/spreadsheets/d/1XWAQStnk-4SwqDmLtmXYiTMKHgktTP8We1SCoS47DrQ/edit?usp=sharing"",""จัดที่ดิน!AJ45"")"),1966)</f>
        <v>1966</v>
      </c>
      <c r="K379" s="498">
        <f t="shared" ca="1" si="164"/>
        <v>129.34210526315789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IFERROR(__xludf.DUMMYFUNCTION("IMPORTRANGE(""https://docs.google.com/spreadsheets/d/1XWAQStnk-4SwqDmLtmXYiTMKHgktTP8We1SCoS47DrQ/edit?usp=sharing"",""จัดที่ดิน!AK45"")"),19384.66)</f>
        <v>19384.66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4" t="s">
        <v>35</v>
      </c>
      <c r="I381" s="270">
        <f ca="1">IFERROR(__xludf.DUMMYFUNCTION("IMPORTRANGE(""https://docs.google.com/spreadsheets/d/1QqKyyYR6Q21VydFLVH3TRQUabQu_ym0Zz7PgGX0-kHA/edit?usp=sharing"",""แผน!EU45"")"),1520)</f>
        <v>1520</v>
      </c>
      <c r="J381" s="270">
        <f ca="1">IFERROR(__xludf.DUMMYFUNCTION("IMPORTRANGE(""https://docs.google.com/spreadsheets/d/1XWAQStnk-4SwqDmLtmXYiTMKHgktTP8We1SCoS47DrQ/edit?usp=sharing"",""จัดที่ดิน!AL45"")"),1934)</f>
        <v>1934</v>
      </c>
      <c r="K381" s="498">
        <f t="shared" ca="1" si="164"/>
        <v>127.23684210526316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8"/>
      <c r="C382" s="171"/>
      <c r="D382" s="178"/>
      <c r="E382" s="447"/>
      <c r="F382" s="178"/>
      <c r="G382" s="179"/>
      <c r="H382" s="76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IFERROR(__xludf.DUMMYFUNCTION("IMPORTRANGE(""https://docs.google.com/spreadsheets/d/1XWAQStnk-4SwqDmLtmXYiTMKHgktTP8We1SCoS47DrQ/edit?usp=sharing"",""จัดที่ดิน!AM45"")"),19122.23)</f>
        <v>19122.23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500"/>
      <c r="B383" s="501"/>
      <c r="C383" s="291"/>
      <c r="D383" s="889" t="s">
        <v>170</v>
      </c>
      <c r="E383" s="291"/>
      <c r="F383" s="291"/>
      <c r="G383" s="503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86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62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4" t="s">
        <v>171</v>
      </c>
      <c r="F385" s="381"/>
      <c r="G385" s="382"/>
      <c r="H385" s="505" t="s">
        <v>35</v>
      </c>
      <c r="I385" s="506">
        <f ca="1">IFERROR(__xludf.DUMMYFUNCTION("IMPORTRANGE(""https://docs.google.com/spreadsheets/d/1QqKyyYR6Q21VydFLVH3TRQUabQu_ym0Zz7PgGX0-kHA/edit?usp=sharing"",""แผน!EW45"")"),150)</f>
        <v>150</v>
      </c>
      <c r="J385" s="506">
        <f ca="1">IFERROR(__xludf.DUMMYFUNCTION("IMPORTRANGE(""https://docs.google.com/spreadsheets/d/1XWAQStnk-4SwqDmLtmXYiTMKHgktTP8We1SCoS47DrQ/edit?usp=sharing"",""จัดที่ดิน!AP45"")"),154)</f>
        <v>154</v>
      </c>
      <c r="K385" s="507">
        <f ca="1">IF(I385&gt;0,J385*100/I385,0)</f>
        <v>102.66666666666667</v>
      </c>
      <c r="L385" s="385"/>
      <c r="M385" s="385"/>
      <c r="N385" s="385"/>
      <c r="O385" s="385"/>
      <c r="P385" s="385"/>
    </row>
    <row r="386" spans="1:26" ht="19.5" hidden="1">
      <c r="A386" s="508" t="s">
        <v>172</v>
      </c>
      <c r="B386" s="509"/>
      <c r="C386" s="509"/>
      <c r="D386" s="509"/>
      <c r="E386" s="510"/>
      <c r="F386" s="510"/>
      <c r="G386" s="511"/>
      <c r="H386" s="512"/>
      <c r="I386" s="513"/>
      <c r="J386" s="513"/>
      <c r="K386" s="514"/>
      <c r="L386" s="514"/>
      <c r="M386" s="514"/>
      <c r="N386" s="514"/>
      <c r="O386" s="514"/>
      <c r="P386" s="514"/>
    </row>
    <row r="387" spans="1:26" ht="19.5" hidden="1">
      <c r="A387" s="515" t="s">
        <v>173</v>
      </c>
      <c r="B387" s="516"/>
      <c r="C387" s="516"/>
      <c r="D387" s="517"/>
      <c r="E387" s="516"/>
      <c r="F387" s="516"/>
      <c r="G387" s="516"/>
      <c r="H387" s="518"/>
      <c r="I387" s="519"/>
      <c r="J387" s="519"/>
      <c r="K387" s="520"/>
      <c r="L387" s="520"/>
      <c r="M387" s="520"/>
      <c r="N387" s="520"/>
      <c r="O387" s="520"/>
      <c r="P387" s="520"/>
    </row>
    <row r="388" spans="1:26" ht="19.5" hidden="1">
      <c r="A388" s="521"/>
      <c r="B388" s="522" t="s">
        <v>174</v>
      </c>
      <c r="C388" s="523"/>
      <c r="D388" s="524"/>
      <c r="E388" s="524"/>
      <c r="F388" s="524"/>
      <c r="G388" s="525"/>
      <c r="H388" s="526" t="s">
        <v>66</v>
      </c>
      <c r="I388" s="527">
        <f t="shared" ref="I388:J388" si="165">I400</f>
        <v>0</v>
      </c>
      <c r="J388" s="527">
        <f t="shared" si="165"/>
        <v>0</v>
      </c>
      <c r="K388" s="528">
        <f>IF(I388&gt;0,J388*100/I388,0)</f>
        <v>0</v>
      </c>
      <c r="L388" s="529"/>
      <c r="M388" s="529"/>
      <c r="N388" s="529"/>
      <c r="O388" s="529"/>
      <c r="P388" s="529"/>
    </row>
    <row r="389" spans="1:26" ht="19.5" hidden="1">
      <c r="A389" s="147"/>
      <c r="B389" s="148"/>
      <c r="C389" s="149" t="s">
        <v>16</v>
      </c>
      <c r="D389" s="87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7"/>
      <c r="J390" s="617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7"/>
      <c r="J391" s="617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IFERROR(__xludf.DUMMYFUNCTION("IMPORTRANGE(""https://docs.google.com/spreadsheets/d/1MeEWN-I1oV_STSDYn1IFDPWt_1FKiwhDph83XaGc0o0/edit?usp=sharing"",""งบพรบ!FG45"")"),0)</f>
        <v>0</v>
      </c>
      <c r="M394" s="93">
        <f ca="1">IFERROR(__xludf.DUMMYFUNCTION("IMPORTRANGE(""https://docs.google.com/spreadsheets/d/1MeEWN-I1oV_STSDYn1IFDPWt_1FKiwhDph83XaGc0o0/edit?usp=sharing"",""งบพรบ!FL45"")"),0)</f>
        <v>0</v>
      </c>
      <c r="N394" s="93">
        <f ca="1">IFERROR(__xludf.DUMMYFUNCTION("IMPORTRANGE(""https://docs.google.com/spreadsheets/d/1MeEWN-I1oV_STSDYn1IFDPWt_1FKiwhDph83XaGc0o0/edit?usp=sharing"",""งบพรบ!FN45"")"),0)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IFERROR(__xludf.DUMMYFUNCTION("IMPORTRANGE(""https://docs.google.com/spreadsheets/d/1MeEWN-I1oV_STSDYn1IFDPWt_1FKiwhDph83XaGc0o0/edit?usp=sharing"",""งบพรบ!FJ45"")"),0)</f>
        <v>0</v>
      </c>
      <c r="M397" s="93">
        <f ca="1">IFERROR(__xludf.DUMMYFUNCTION("IMPORTRANGE(""https://docs.google.com/spreadsheets/d/1MeEWN-I1oV_STSDYn1IFDPWt_1FKiwhDph83XaGc0o0/edit?usp=sharing"",""งบพรบ!FM45"")"),0)</f>
        <v>0</v>
      </c>
      <c r="N397" s="93">
        <f ca="1">IFERROR(__xludf.DUMMYFUNCTION("IMPORTRANGE(""https://docs.google.com/spreadsheets/d/1MeEWN-I1oV_STSDYn1IFDPWt_1FKiwhDph83XaGc0o0/edit?usp=sharing"",""งบพรบ!FO45"")"),0)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7" t="s">
        <v>38</v>
      </c>
      <c r="E398" s="173"/>
      <c r="F398" s="173"/>
      <c r="G398" s="174"/>
      <c r="H398" s="762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30"/>
      <c r="B399" s="148"/>
      <c r="C399" s="531"/>
      <c r="D399" s="532" t="s">
        <v>175</v>
      </c>
      <c r="E399" s="415"/>
      <c r="F399" s="148"/>
      <c r="G399" s="151"/>
      <c r="H399" s="533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4"/>
      <c r="M399" s="534"/>
      <c r="N399" s="534"/>
      <c r="O399" s="534"/>
      <c r="P399" s="534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1"/>
      <c r="B401" s="522" t="s">
        <v>177</v>
      </c>
      <c r="C401" s="523"/>
      <c r="D401" s="524"/>
      <c r="E401" s="524"/>
      <c r="F401" s="524"/>
      <c r="G401" s="525"/>
      <c r="H401" s="526" t="s">
        <v>66</v>
      </c>
      <c r="I401" s="527">
        <f t="shared" ref="I401:J401" si="173">I412</f>
        <v>0</v>
      </c>
      <c r="J401" s="527">
        <f t="shared" si="173"/>
        <v>0</v>
      </c>
      <c r="K401" s="528">
        <f t="shared" si="172"/>
        <v>0</v>
      </c>
      <c r="L401" s="529"/>
      <c r="M401" s="529"/>
      <c r="N401" s="529"/>
      <c r="O401" s="529"/>
      <c r="P401" s="529"/>
    </row>
    <row r="402" spans="1:26" ht="19.5" hidden="1">
      <c r="A402" s="147"/>
      <c r="B402" s="148"/>
      <c r="C402" s="149" t="s">
        <v>16</v>
      </c>
      <c r="D402" s="87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7"/>
      <c r="J403" s="617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7"/>
      <c r="J404" s="617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IFERROR(__xludf.DUMMYFUNCTION("IMPORTRANGE(""https://docs.google.com/spreadsheets/d/1MeEWN-I1oV_STSDYn1IFDPWt_1FKiwhDph83XaGc0o0/edit?usp=sharing"",""งบพรบ!FQ45"")"),0)</f>
        <v>0</v>
      </c>
      <c r="M407" s="93">
        <f ca="1">IFERROR(__xludf.DUMMYFUNCTION("IMPORTRANGE(""https://docs.google.com/spreadsheets/d/1MeEWN-I1oV_STSDYn1IFDPWt_1FKiwhDph83XaGc0o0/edit?usp=sharing"",""งบพรบ!FV45"")"),0)</f>
        <v>0</v>
      </c>
      <c r="N407" s="93">
        <f ca="1">IFERROR(__xludf.DUMMYFUNCTION("IMPORTRANGE(""https://docs.google.com/spreadsheets/d/1MeEWN-I1oV_STSDYn1IFDPWt_1FKiwhDph83XaGc0o0/edit?usp=sharing"",""งบพรบ!FX45"")"),0)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IFERROR(__xludf.DUMMYFUNCTION("IMPORTRANGE(""https://docs.google.com/spreadsheets/d/1MeEWN-I1oV_STSDYn1IFDPWt_1FKiwhDph83XaGc0o0/edit?usp=sharing"",""งบพรบ!FT45"")"),0)</f>
        <v>0</v>
      </c>
      <c r="M410" s="93">
        <f ca="1">IFERROR(__xludf.DUMMYFUNCTION("IMPORTRANGE(""https://docs.google.com/spreadsheets/d/1MeEWN-I1oV_STSDYn1IFDPWt_1FKiwhDph83XaGc0o0/edit?usp=sharing"",""งบพรบ!FW45"")"),0)</f>
        <v>0</v>
      </c>
      <c r="N410" s="93">
        <f ca="1">IFERROR(__xludf.DUMMYFUNCTION("IMPORTRANGE(""https://docs.google.com/spreadsheets/d/1MeEWN-I1oV_STSDYn1IFDPWt_1FKiwhDph83XaGc0o0/edit?usp=sharing"",""งบพรบ!FY45"")"),0)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90" t="s">
        <v>38</v>
      </c>
      <c r="E411" s="536"/>
      <c r="F411" s="536"/>
      <c r="G411" s="537"/>
      <c r="H411" s="762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8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9"/>
      <c r="B413" s="540"/>
      <c r="C413" s="540"/>
      <c r="D413" s="541" t="s">
        <v>179</v>
      </c>
      <c r="E413" s="540"/>
      <c r="F413" s="540"/>
      <c r="G413" s="542"/>
      <c r="H413" s="543" t="s">
        <v>180</v>
      </c>
      <c r="I413" s="544">
        <v>0</v>
      </c>
      <c r="J413" s="545">
        <v>0</v>
      </c>
      <c r="K413" s="546">
        <f t="shared" si="180"/>
        <v>0</v>
      </c>
      <c r="L413" s="547"/>
      <c r="M413" s="547"/>
      <c r="N413" s="547"/>
      <c r="O413" s="547"/>
      <c r="P413" s="547"/>
    </row>
    <row r="414" spans="1:26" ht="19.5">
      <c r="A414" s="548" t="s">
        <v>181</v>
      </c>
      <c r="B414" s="549"/>
      <c r="C414" s="549"/>
      <c r="D414" s="549"/>
      <c r="E414" s="549"/>
      <c r="F414" s="549"/>
      <c r="G414" s="550"/>
      <c r="H414" s="551"/>
      <c r="I414" s="552"/>
      <c r="J414" s="552"/>
      <c r="K414" s="553"/>
      <c r="L414" s="554">
        <f t="shared" ref="L414:N414" ca="1" si="181">L419+L444+L467+L502+L523+L544+L629+L655+L685+L737+L754+L770+L786+L805</f>
        <v>2829235</v>
      </c>
      <c r="M414" s="554">
        <f t="shared" ca="1" si="181"/>
        <v>2809596.32</v>
      </c>
      <c r="N414" s="554">
        <f t="shared" si="181"/>
        <v>2809599.32</v>
      </c>
      <c r="O414" s="554">
        <f ca="1">IF(L414&gt;0,N414*100/L414,0)</f>
        <v>99.30597210906835</v>
      </c>
      <c r="P414" s="554">
        <f ca="1">IF(M414&gt;0,N414*100/M414,0)</f>
        <v>100.00010677690524</v>
      </c>
    </row>
    <row r="415" spans="1:26" ht="19.5">
      <c r="A415" s="555" t="s">
        <v>182</v>
      </c>
      <c r="B415" s="556"/>
      <c r="C415" s="556"/>
      <c r="D415" s="556"/>
      <c r="E415" s="556"/>
      <c r="F415" s="556"/>
      <c r="G415" s="556"/>
      <c r="H415" s="557"/>
      <c r="I415" s="558"/>
      <c r="J415" s="558"/>
      <c r="K415" s="559"/>
      <c r="L415" s="560"/>
      <c r="M415" s="560"/>
      <c r="N415" s="560"/>
      <c r="O415" s="560"/>
      <c r="P415" s="560"/>
    </row>
    <row r="416" spans="1:26" ht="19.5">
      <c r="A416" s="555" t="s">
        <v>183</v>
      </c>
      <c r="B416" s="556"/>
      <c r="C416" s="556"/>
      <c r="D416" s="556"/>
      <c r="E416" s="556"/>
      <c r="F416" s="556"/>
      <c r="G416" s="561"/>
      <c r="H416" s="562"/>
      <c r="I416" s="563"/>
      <c r="J416" s="563"/>
      <c r="K416" s="560"/>
      <c r="L416" s="560"/>
      <c r="M416" s="560"/>
      <c r="N416" s="560"/>
      <c r="O416" s="560"/>
      <c r="P416" s="560"/>
    </row>
    <row r="417" spans="1:26" ht="39">
      <c r="A417" s="564">
        <v>1</v>
      </c>
      <c r="B417" s="566" t="s">
        <v>184</v>
      </c>
      <c r="C417" s="566"/>
      <c r="D417" s="567"/>
      <c r="E417" s="567"/>
      <c r="F417" s="567"/>
      <c r="G417" s="568"/>
      <c r="H417" s="569" t="s">
        <v>35</v>
      </c>
      <c r="I417" s="570">
        <f t="shared" ref="I417:J418" ca="1" si="182">I433</f>
        <v>20</v>
      </c>
      <c r="J417" s="570">
        <f t="shared" ca="1" si="182"/>
        <v>20</v>
      </c>
      <c r="K417" s="571">
        <f t="shared" ref="K417:K418" ca="1" si="183">IF(I417&gt;0,J417*100/I417,0)</f>
        <v>100</v>
      </c>
      <c r="L417" s="572"/>
      <c r="M417" s="572"/>
      <c r="N417" s="572"/>
      <c r="O417" s="572"/>
      <c r="P417" s="572"/>
    </row>
    <row r="418" spans="1:26" ht="19.5">
      <c r="A418" s="573"/>
      <c r="B418" s="564"/>
      <c r="C418" s="566"/>
      <c r="D418" s="567"/>
      <c r="E418" s="567"/>
      <c r="F418" s="567"/>
      <c r="G418" s="568"/>
      <c r="H418" s="569" t="s">
        <v>49</v>
      </c>
      <c r="I418" s="570">
        <f t="shared" ca="1" si="182"/>
        <v>1</v>
      </c>
      <c r="J418" s="570">
        <f t="shared" si="182"/>
        <v>1</v>
      </c>
      <c r="K418" s="571">
        <f t="shared" ca="1" si="183"/>
        <v>100</v>
      </c>
      <c r="L418" s="572"/>
      <c r="M418" s="572"/>
      <c r="N418" s="572"/>
      <c r="O418" s="572"/>
      <c r="P418" s="572"/>
    </row>
    <row r="419" spans="1:26" ht="19.5">
      <c r="A419" s="147"/>
      <c r="B419" s="148"/>
      <c r="C419" s="148" t="s">
        <v>16</v>
      </c>
      <c r="D419" s="891" t="s">
        <v>17</v>
      </c>
      <c r="E419" s="862"/>
      <c r="F419" s="86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101355</v>
      </c>
      <c r="N419" s="155">
        <f t="shared" si="184"/>
        <v>101355</v>
      </c>
      <c r="O419" s="155">
        <f t="shared" ref="O419:O424" ca="1" si="185">IF(L419&gt;0,N419*100/L419,0)</f>
        <v>128.85202135774219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7"/>
      <c r="J420" s="617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7"/>
      <c r="J421" s="617"/>
      <c r="K421" s="93"/>
      <c r="L421" s="93">
        <f t="shared" ca="1" si="187"/>
        <v>78660</v>
      </c>
      <c r="M421" s="93">
        <f t="shared" ca="1" si="187"/>
        <v>101355</v>
      </c>
      <c r="N421" s="93">
        <f t="shared" si="187"/>
        <v>101355</v>
      </c>
      <c r="O421" s="93">
        <f t="shared" ca="1" si="185"/>
        <v>128.85202135774219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101355</v>
      </c>
      <c r="N422" s="498">
        <f t="shared" si="188"/>
        <v>101355</v>
      </c>
      <c r="O422" s="498">
        <f t="shared" ca="1" si="185"/>
        <v>128.85202135774219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7"/>
      <c r="J423" s="617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7"/>
      <c r="J424" s="617"/>
      <c r="K424" s="93"/>
      <c r="L424" s="93">
        <f ca="1">IFERROR(__xludf.DUMMYFUNCTION("IMPORTRANGE(""https://docs.google.com/spreadsheets/d/1QqKyyYR6Q21VydFLVH3TRQUabQu_ym0Zz7PgGX0-kHA/edit?usp=sharing"",""แผน!EY45"")"),78660)</f>
        <v>78660</v>
      </c>
      <c r="M424" s="93">
        <f ca="1">L424+24700-2005</f>
        <v>101355</v>
      </c>
      <c r="N424" s="93">
        <f>N425+N426+N427+N428</f>
        <v>101355</v>
      </c>
      <c r="O424" s="93">
        <f t="shared" ca="1" si="185"/>
        <v>128.85202135774219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4"/>
      <c r="B425" s="575"/>
      <c r="C425" s="763"/>
      <c r="D425" s="763"/>
      <c r="E425" s="763"/>
      <c r="F425" s="763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40">
        <v>52560</v>
      </c>
      <c r="O425" s="498"/>
      <c r="P425" s="49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</row>
    <row r="426" spans="1:26" ht="18.75">
      <c r="A426" s="574"/>
      <c r="B426" s="575"/>
      <c r="C426" s="763"/>
      <c r="D426" s="763"/>
      <c r="E426" s="763"/>
      <c r="F426" s="763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40">
        <v>0</v>
      </c>
      <c r="O426" s="498"/>
      <c r="P426" s="49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</row>
    <row r="427" spans="1:26" ht="18.75">
      <c r="A427" s="574"/>
      <c r="B427" s="575"/>
      <c r="C427" s="763"/>
      <c r="D427" s="763"/>
      <c r="E427" s="763"/>
      <c r="F427" s="763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40">
        <v>0</v>
      </c>
      <c r="O427" s="498"/>
      <c r="P427" s="49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40">
        <v>48795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92" t="s">
        <v>38</v>
      </c>
      <c r="E432" s="580"/>
      <c r="F432" s="580"/>
      <c r="G432" s="581"/>
      <c r="H432" s="582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1">
        <f ca="1">I435</f>
        <v>20</v>
      </c>
      <c r="J433" s="681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1">
        <f t="shared" ref="I434:J434" ca="1" si="193">I438+I440</f>
        <v>1</v>
      </c>
      <c r="J434" s="681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3" t="s">
        <v>35</v>
      </c>
      <c r="I435" s="583">
        <f ca="1">IFERROR(__xludf.DUMMYFUNCTION("IMPORTRANGE(""https://docs.google.com/spreadsheets/d/1QqKyyYR6Q21VydFLVH3TRQUabQu_ym0Zz7PgGX0-kHA/edit?usp=sharing"",""แผน!FC45"")"),20)</f>
        <v>20</v>
      </c>
      <c r="J435" s="584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3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3" t="s">
        <v>35</v>
      </c>
      <c r="I437" s="583">
        <f ca="1">IFERROR(__xludf.DUMMYFUNCTION("IMPORTRANGE(""https://docs.google.com/spreadsheets/d/1QqKyyYR6Q21VydFLVH3TRQUabQu_ym0Zz7PgGX0-kHA/edit?usp=sharing"",""แผน!FD45"")"),0)</f>
        <v>0</v>
      </c>
      <c r="J437" s="215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3" t="s">
        <v>49</v>
      </c>
      <c r="I438" s="270">
        <f ca="1">IFERROR(__xludf.DUMMYFUNCTION("IMPORTRANGE(""https://docs.google.com/spreadsheets/d/1QqKyyYR6Q21VydFLVH3TRQUabQu_ym0Zz7PgGX0-kHA/edit?usp=sharing"",""แผน!FE45"")"),0)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3" t="s">
        <v>35</v>
      </c>
      <c r="I439" s="583">
        <f ca="1">IFERROR(__xludf.DUMMYFUNCTION("IMPORTRANGE(""https://docs.google.com/spreadsheets/d/1QqKyyYR6Q21VydFLVH3TRQUabQu_ym0Zz7PgGX0-kHA/edit?usp=sharing"",""แผน!FF45"")"),20)</f>
        <v>20</v>
      </c>
      <c r="J439" s="584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3" t="s">
        <v>49</v>
      </c>
      <c r="I440" s="270">
        <f ca="1">IFERROR(__xludf.DUMMYFUNCTION("IMPORTRANGE(""https://docs.google.com/spreadsheets/d/1QqKyyYR6Q21VydFLVH3TRQUabQu_ym0Zz7PgGX0-kHA/edit?usp=sharing"",""แผน!FG45"")"),1)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3" t="s">
        <v>35</v>
      </c>
      <c r="I441" s="270">
        <f ca="1">IFERROR(__xludf.DUMMYFUNCTION("IMPORTRANGE(""https://docs.google.com/spreadsheets/d/1QqKyyYR6Q21VydFLVH3TRQUabQu_ym0Zz7PgGX0-kHA/edit?usp=sharing"",""แผน!FH45"")"),0)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5">
        <v>2</v>
      </c>
      <c r="B442" s="586" t="s">
        <v>200</v>
      </c>
      <c r="C442" s="587"/>
      <c r="D442" s="587"/>
      <c r="E442" s="587"/>
      <c r="F442" s="587"/>
      <c r="G442" s="588"/>
      <c r="H442" s="589" t="s">
        <v>35</v>
      </c>
      <c r="I442" s="590">
        <f t="shared" ref="I442:J442" ca="1" si="195">I460</f>
        <v>70</v>
      </c>
      <c r="J442" s="590">
        <f t="shared" si="195"/>
        <v>70</v>
      </c>
      <c r="K442" s="591">
        <f t="shared" ca="1" si="194"/>
        <v>100</v>
      </c>
      <c r="L442" s="592"/>
      <c r="M442" s="592"/>
      <c r="N442" s="592"/>
      <c r="O442" s="592"/>
      <c r="P442" s="592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</row>
    <row r="443" spans="1:26" ht="19.5">
      <c r="A443" s="593"/>
      <c r="B443" s="594"/>
      <c r="C443" s="595"/>
      <c r="D443" s="595"/>
      <c r="E443" s="595"/>
      <c r="F443" s="595"/>
      <c r="G443" s="596"/>
      <c r="H443" s="569" t="s">
        <v>46</v>
      </c>
      <c r="I443" s="570">
        <f t="shared" ref="I443:J443" ca="1" si="196">I462</f>
        <v>180</v>
      </c>
      <c r="J443" s="570">
        <f t="shared" si="196"/>
        <v>180</v>
      </c>
      <c r="K443" s="571">
        <f t="shared" ca="1" si="194"/>
        <v>100</v>
      </c>
      <c r="L443" s="572"/>
      <c r="M443" s="572"/>
      <c r="N443" s="572"/>
      <c r="O443" s="572"/>
      <c r="P443" s="572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</row>
    <row r="444" spans="1:26" ht="19.5">
      <c r="A444" s="597"/>
      <c r="B444" s="763"/>
      <c r="C444" s="763" t="s">
        <v>16</v>
      </c>
      <c r="D444" s="863" t="s">
        <v>17</v>
      </c>
      <c r="E444" s="857"/>
      <c r="F444" s="857"/>
      <c r="G444" s="189"/>
      <c r="H444" s="598" t="s">
        <v>12</v>
      </c>
      <c r="I444" s="270"/>
      <c r="J444" s="270"/>
      <c r="K444" s="498"/>
      <c r="L444" s="195">
        <f t="shared" ref="L444:N444" ca="1" si="197">L445+L446</f>
        <v>468800</v>
      </c>
      <c r="M444" s="195">
        <f t="shared" ca="1" si="197"/>
        <v>481310</v>
      </c>
      <c r="N444" s="195">
        <f t="shared" si="197"/>
        <v>481310</v>
      </c>
      <c r="O444" s="195">
        <f t="shared" ref="O444:O449" ca="1" si="198">IF(L444&gt;0,N444*100/L444,0)</f>
        <v>102.66851535836177</v>
      </c>
      <c r="P444" s="195">
        <f t="shared" ref="P444:P449" ca="1" si="199">IF(M444&gt;0,N444*100/M444,0)</f>
        <v>100</v>
      </c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</row>
    <row r="445" spans="1:26" ht="18.75" hidden="1">
      <c r="A445" s="599"/>
      <c r="B445" s="759"/>
      <c r="C445" s="759"/>
      <c r="D445" s="720"/>
      <c r="E445" s="759" t="s">
        <v>185</v>
      </c>
      <c r="F445" s="759"/>
      <c r="G445" s="603"/>
      <c r="H445" s="165" t="s">
        <v>12</v>
      </c>
      <c r="I445" s="617"/>
      <c r="J445" s="617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4"/>
      <c r="R445" s="604"/>
      <c r="S445" s="604"/>
      <c r="T445" s="604"/>
      <c r="U445" s="604"/>
      <c r="V445" s="604"/>
      <c r="W445" s="604"/>
      <c r="X445" s="604"/>
      <c r="Y445" s="604"/>
      <c r="Z445" s="604"/>
    </row>
    <row r="446" spans="1:26" ht="18.75" hidden="1">
      <c r="A446" s="599"/>
      <c r="B446" s="607"/>
      <c r="C446" s="759"/>
      <c r="D446" s="720"/>
      <c r="E446" s="759" t="s">
        <v>186</v>
      </c>
      <c r="F446" s="759"/>
      <c r="G446" s="603"/>
      <c r="H446" s="165" t="s">
        <v>12</v>
      </c>
      <c r="I446" s="617"/>
      <c r="J446" s="617"/>
      <c r="K446" s="93"/>
      <c r="L446" s="93">
        <f t="shared" ca="1" si="200"/>
        <v>468800</v>
      </c>
      <c r="M446" s="93">
        <f t="shared" ca="1" si="200"/>
        <v>481310</v>
      </c>
      <c r="N446" s="93">
        <f t="shared" si="200"/>
        <v>481310</v>
      </c>
      <c r="O446" s="93">
        <f t="shared" ca="1" si="198"/>
        <v>102.66851535836177</v>
      </c>
      <c r="P446" s="93">
        <f t="shared" ca="1" si="199"/>
        <v>100</v>
      </c>
      <c r="Q446" s="604"/>
      <c r="R446" s="604"/>
      <c r="S446" s="604"/>
      <c r="T446" s="604"/>
      <c r="U446" s="604"/>
      <c r="V446" s="604"/>
      <c r="W446" s="604"/>
      <c r="X446" s="604"/>
      <c r="Y446" s="604"/>
      <c r="Z446" s="604"/>
    </row>
    <row r="447" spans="1:26" ht="18.75">
      <c r="A447" s="597"/>
      <c r="B447" s="575"/>
      <c r="C447" s="763"/>
      <c r="D447" s="606" t="s">
        <v>20</v>
      </c>
      <c r="E447" s="763"/>
      <c r="F447" s="763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468800</v>
      </c>
      <c r="M447" s="498">
        <f t="shared" ca="1" si="201"/>
        <v>481310</v>
      </c>
      <c r="N447" s="498">
        <f t="shared" si="201"/>
        <v>481310</v>
      </c>
      <c r="O447" s="498">
        <f t="shared" ca="1" si="198"/>
        <v>102.66851535836177</v>
      </c>
      <c r="P447" s="498">
        <f t="shared" ca="1" si="199"/>
        <v>100</v>
      </c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</row>
    <row r="448" spans="1:26" ht="18.75" hidden="1">
      <c r="A448" s="599"/>
      <c r="B448" s="607"/>
      <c r="C448" s="759"/>
      <c r="D448" s="720"/>
      <c r="E448" s="759" t="s">
        <v>185</v>
      </c>
      <c r="F448" s="759"/>
      <c r="G448" s="603"/>
      <c r="H448" s="165" t="s">
        <v>12</v>
      </c>
      <c r="I448" s="617"/>
      <c r="J448" s="617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</row>
    <row r="449" spans="1:26" ht="18.75" hidden="1">
      <c r="A449" s="599"/>
      <c r="B449" s="607"/>
      <c r="C449" s="759"/>
      <c r="D449" s="720"/>
      <c r="E449" s="759" t="s">
        <v>186</v>
      </c>
      <c r="F449" s="759"/>
      <c r="G449" s="603"/>
      <c r="H449" s="165" t="s">
        <v>12</v>
      </c>
      <c r="I449" s="617"/>
      <c r="J449" s="617"/>
      <c r="K449" s="93"/>
      <c r="L449" s="93">
        <f ca="1">IFERROR(__xludf.DUMMYFUNCTION("IMPORTRANGE(""https://docs.google.com/spreadsheets/d/1QqKyyYR6Q21VydFLVH3TRQUabQu_ym0Zz7PgGX0-kHA/edit?usp=sharing"",""แผน!FJ45"")"),468800)</f>
        <v>468800</v>
      </c>
      <c r="M449" s="93">
        <f ca="1">L449+12510</f>
        <v>481310</v>
      </c>
      <c r="N449" s="93">
        <f>N450+N451+N452+N453</f>
        <v>481310</v>
      </c>
      <c r="O449" s="93">
        <f t="shared" ca="1" si="198"/>
        <v>102.66851535836177</v>
      </c>
      <c r="P449" s="93">
        <f t="shared" ca="1" si="199"/>
        <v>100</v>
      </c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</row>
    <row r="450" spans="1:26" ht="18.75">
      <c r="A450" s="574"/>
      <c r="B450" s="575"/>
      <c r="C450" s="763"/>
      <c r="D450" s="763"/>
      <c r="E450" s="763"/>
      <c r="F450" s="763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40">
        <v>120258</v>
      </c>
      <c r="O450" s="498"/>
      <c r="P450" s="49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</row>
    <row r="451" spans="1:26" ht="18.75">
      <c r="A451" s="574"/>
      <c r="B451" s="575"/>
      <c r="C451" s="763"/>
      <c r="D451" s="763"/>
      <c r="E451" s="763"/>
      <c r="F451" s="763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40">
        <v>180255</v>
      </c>
      <c r="O451" s="498"/>
      <c r="P451" s="49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</row>
    <row r="452" spans="1:26" ht="18.75">
      <c r="A452" s="574"/>
      <c r="B452" s="575"/>
      <c r="C452" s="575"/>
      <c r="D452" s="575"/>
      <c r="E452" s="575"/>
      <c r="F452" s="763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40">
        <v>143000</v>
      </c>
      <c r="O452" s="498"/>
      <c r="P452" s="49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</row>
    <row r="453" spans="1:26" ht="18.75">
      <c r="A453" s="574"/>
      <c r="B453" s="575"/>
      <c r="C453" s="575"/>
      <c r="D453" s="575"/>
      <c r="E453" s="575"/>
      <c r="F453" s="763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40">
        <v>37797</v>
      </c>
      <c r="O453" s="498"/>
      <c r="P453" s="49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</row>
    <row r="454" spans="1:26" ht="18.75">
      <c r="A454" s="597"/>
      <c r="B454" s="575"/>
      <c r="C454" s="575"/>
      <c r="D454" s="606" t="s">
        <v>21</v>
      </c>
      <c r="E454" s="575"/>
      <c r="F454" s="763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</row>
    <row r="455" spans="1:26" ht="18.75" hidden="1">
      <c r="A455" s="599"/>
      <c r="B455" s="607"/>
      <c r="C455" s="607"/>
      <c r="D455" s="607"/>
      <c r="E455" s="607" t="s">
        <v>18</v>
      </c>
      <c r="F455" s="759"/>
      <c r="G455" s="603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4"/>
      <c r="R455" s="604"/>
      <c r="S455" s="604"/>
      <c r="T455" s="604"/>
      <c r="U455" s="604"/>
      <c r="V455" s="604"/>
      <c r="W455" s="604"/>
      <c r="X455" s="604"/>
      <c r="Y455" s="604"/>
      <c r="Z455" s="604"/>
    </row>
    <row r="456" spans="1:26" ht="18.75" hidden="1">
      <c r="A456" s="599"/>
      <c r="B456" s="607"/>
      <c r="C456" s="607"/>
      <c r="D456" s="607"/>
      <c r="E456" s="607" t="s">
        <v>19</v>
      </c>
      <c r="F456" s="759"/>
      <c r="G456" s="603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4"/>
      <c r="R456" s="604"/>
      <c r="S456" s="604"/>
      <c r="T456" s="604"/>
      <c r="U456" s="604"/>
      <c r="V456" s="604"/>
      <c r="W456" s="604"/>
      <c r="X456" s="604"/>
      <c r="Y456" s="604"/>
      <c r="Z456" s="604"/>
    </row>
    <row r="457" spans="1:26" ht="19.5">
      <c r="A457" s="608"/>
      <c r="B457" s="618"/>
      <c r="C457" s="575" t="s">
        <v>16</v>
      </c>
      <c r="D457" s="893" t="s">
        <v>38</v>
      </c>
      <c r="E457" s="611"/>
      <c r="F457" s="761"/>
      <c r="G457" s="613"/>
      <c r="H457" s="762"/>
      <c r="I457" s="270"/>
      <c r="J457" s="270"/>
      <c r="K457" s="498"/>
      <c r="L457" s="498"/>
      <c r="M457" s="498"/>
      <c r="N457" s="498"/>
      <c r="O457" s="498"/>
      <c r="P457" s="49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</row>
    <row r="458" spans="1:26" ht="18.75" hidden="1">
      <c r="A458" s="614"/>
      <c r="B458" s="616"/>
      <c r="C458" s="616"/>
      <c r="D458" s="616" t="s">
        <v>201</v>
      </c>
      <c r="E458" s="616"/>
      <c r="F458" s="720"/>
      <c r="G458" s="366"/>
      <c r="H458" s="370" t="s">
        <v>35</v>
      </c>
      <c r="I458" s="617">
        <v>0</v>
      </c>
      <c r="J458" s="617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4"/>
      <c r="R458" s="604"/>
      <c r="S458" s="604"/>
      <c r="T458" s="604"/>
      <c r="U458" s="604"/>
      <c r="V458" s="604"/>
      <c r="W458" s="604"/>
      <c r="X458" s="604"/>
      <c r="Y458" s="604"/>
      <c r="Z458" s="604"/>
    </row>
    <row r="459" spans="1:26" ht="18.75" hidden="1">
      <c r="A459" s="614"/>
      <c r="B459" s="616"/>
      <c r="C459" s="616"/>
      <c r="D459" s="616" t="s">
        <v>202</v>
      </c>
      <c r="E459" s="616"/>
      <c r="F459" s="720"/>
      <c r="G459" s="366"/>
      <c r="H459" s="370"/>
      <c r="I459" s="617"/>
      <c r="J459" s="617"/>
      <c r="K459" s="93"/>
      <c r="L459" s="93"/>
      <c r="M459" s="93"/>
      <c r="N459" s="93"/>
      <c r="O459" s="93"/>
      <c r="P459" s="93"/>
      <c r="Q459" s="604"/>
      <c r="R459" s="604"/>
      <c r="S459" s="604"/>
      <c r="T459" s="604"/>
      <c r="U459" s="604"/>
      <c r="V459" s="604"/>
      <c r="W459" s="604"/>
      <c r="X459" s="604"/>
      <c r="Y459" s="604"/>
      <c r="Z459" s="604"/>
    </row>
    <row r="460" spans="1:26" ht="18.75">
      <c r="A460" s="608"/>
      <c r="B460" s="618"/>
      <c r="C460" s="618"/>
      <c r="D460" s="618" t="s">
        <v>203</v>
      </c>
      <c r="E460" s="618"/>
      <c r="F460" s="626"/>
      <c r="G460" s="762"/>
      <c r="H460" s="764" t="s">
        <v>35</v>
      </c>
      <c r="I460" s="270">
        <f ca="1">IFERROR(__xludf.DUMMYFUNCTION("IMPORTRANGE(""https://docs.google.com/spreadsheets/d/1QqKyyYR6Q21VydFLVH3TRQUabQu_ym0Zz7PgGX0-kHA/edit?usp=sharing"",""แผน!FN45"")"),70)</f>
        <v>70</v>
      </c>
      <c r="J460" s="215">
        <v>70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</row>
    <row r="461" spans="1:26" ht="18.75">
      <c r="A461" s="608"/>
      <c r="B461" s="618"/>
      <c r="C461" s="618"/>
      <c r="D461" s="618" t="s">
        <v>204</v>
      </c>
      <c r="E461" s="626"/>
      <c r="F461" s="626"/>
      <c r="G461" s="762"/>
      <c r="H461" s="764"/>
      <c r="I461" s="270"/>
      <c r="J461" s="270"/>
      <c r="K461" s="498"/>
      <c r="L461" s="498"/>
      <c r="M461" s="498"/>
      <c r="N461" s="498"/>
      <c r="O461" s="498"/>
      <c r="P461" s="49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</row>
    <row r="462" spans="1:26" ht="18.75">
      <c r="A462" s="608"/>
      <c r="B462" s="618"/>
      <c r="C462" s="618"/>
      <c r="D462" s="618" t="s">
        <v>205</v>
      </c>
      <c r="E462" s="626"/>
      <c r="F462" s="626"/>
      <c r="G462" s="762"/>
      <c r="H462" s="764" t="s">
        <v>46</v>
      </c>
      <c r="I462" s="270">
        <f ca="1">IFERROR(__xludf.DUMMYFUNCTION("IMPORTRANGE(""https://docs.google.com/spreadsheets/d/1QqKyyYR6Q21VydFLVH3TRQUabQu_ym0Zz7PgGX0-kHA/edit?usp=sharing"",""แผน!FO45"")"),180)</f>
        <v>180</v>
      </c>
      <c r="J462" s="215">
        <v>180</v>
      </c>
      <c r="K462" s="498">
        <f t="shared" ref="K462:K466" ca="1" si="205">IF(I462&gt;0,J462*100/I462,0)</f>
        <v>100</v>
      </c>
      <c r="L462" s="498"/>
      <c r="M462" s="498"/>
      <c r="N462" s="498"/>
      <c r="O462" s="498"/>
      <c r="P462" s="49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</row>
    <row r="463" spans="1:26" ht="18.75">
      <c r="A463" s="608"/>
      <c r="B463" s="618"/>
      <c r="C463" s="618"/>
      <c r="D463" s="618" t="s">
        <v>59</v>
      </c>
      <c r="E463" s="626"/>
      <c r="F463" s="763"/>
      <c r="G463" s="189"/>
      <c r="H463" s="764" t="s">
        <v>46</v>
      </c>
      <c r="I463" s="270">
        <f ca="1">IFERROR(__xludf.DUMMYFUNCTION("IMPORTRANGE(""https://docs.google.com/spreadsheets/d/1QqKyyYR6Q21VydFLVH3TRQUabQu_ym0Zz7PgGX0-kHA/edit?usp=sharing"",""แผน!FO45"")"),180)</f>
        <v>180</v>
      </c>
      <c r="J463" s="215">
        <v>180</v>
      </c>
      <c r="K463" s="498">
        <f t="shared" ca="1" si="205"/>
        <v>100</v>
      </c>
      <c r="L463" s="498"/>
      <c r="M463" s="498"/>
      <c r="N463" s="498"/>
      <c r="O463" s="498"/>
      <c r="P463" s="49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</row>
    <row r="464" spans="1:26" ht="19.5">
      <c r="A464" s="608"/>
      <c r="B464" s="618"/>
      <c r="C464" s="618"/>
      <c r="D464" s="618"/>
      <c r="E464" s="626"/>
      <c r="F464" s="626"/>
      <c r="G464" s="620"/>
      <c r="H464" s="764" t="s">
        <v>35</v>
      </c>
      <c r="I464" s="270">
        <f ca="1">IFERROR(__xludf.DUMMYFUNCTION("IMPORTRANGE(""https://docs.google.com/spreadsheets/d/1QqKyyYR6Q21VydFLVH3TRQUabQu_ym0Zz7PgGX0-kHA/edit?usp=sharing"",""แผน!FN45"")"),70)</f>
        <v>70</v>
      </c>
      <c r="J464" s="215">
        <v>70</v>
      </c>
      <c r="K464" s="498">
        <f t="shared" ca="1" si="205"/>
        <v>100</v>
      </c>
      <c r="L464" s="498"/>
      <c r="M464" s="498"/>
      <c r="N464" s="498"/>
      <c r="O464" s="498"/>
      <c r="P464" s="49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</row>
    <row r="465" spans="1:26" ht="19.5">
      <c r="A465" s="585">
        <v>3</v>
      </c>
      <c r="B465" s="586" t="s">
        <v>206</v>
      </c>
      <c r="C465" s="587"/>
      <c r="D465" s="587"/>
      <c r="E465" s="587"/>
      <c r="F465" s="587"/>
      <c r="G465" s="588"/>
      <c r="H465" s="589" t="s">
        <v>35</v>
      </c>
      <c r="I465" s="590">
        <f ca="1">IFERROR(__xludf.DUMMYFUNCTION("IMPORTRANGE(""https://docs.google.com/spreadsheets/d/1QqKyyYR6Q21VydFLVH3TRQUabQu_ym0Zz7PgGX0-kHA/edit?usp=sharing"",""แผน!FX45"")"),61)</f>
        <v>61</v>
      </c>
      <c r="J465" s="590">
        <f>J485+J489+J492</f>
        <v>61</v>
      </c>
      <c r="K465" s="591">
        <f t="shared" ca="1" si="205"/>
        <v>100</v>
      </c>
      <c r="L465" s="592"/>
      <c r="M465" s="592"/>
      <c r="N465" s="592"/>
      <c r="O465" s="592"/>
      <c r="P465" s="592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</row>
    <row r="466" spans="1:26" ht="19.5">
      <c r="A466" s="593"/>
      <c r="B466" s="594"/>
      <c r="C466" s="595"/>
      <c r="D466" s="595"/>
      <c r="E466" s="595"/>
      <c r="F466" s="595"/>
      <c r="G466" s="596"/>
      <c r="H466" s="569" t="s">
        <v>46</v>
      </c>
      <c r="I466" s="570">
        <f ca="1">IFERROR(__xludf.DUMMYFUNCTION("IMPORTRANGE(""https://docs.google.com/spreadsheets/d/1QqKyyYR6Q21VydFLVH3TRQUabQu_ym0Zz7PgGX0-kHA/edit?usp=sharing"",""แผน!FW45"")"),600)</f>
        <v>600</v>
      </c>
      <c r="J466" s="570">
        <f>J495+J498</f>
        <v>600</v>
      </c>
      <c r="K466" s="571">
        <f t="shared" ca="1" si="205"/>
        <v>100</v>
      </c>
      <c r="L466" s="572"/>
      <c r="M466" s="572"/>
      <c r="N466" s="572"/>
      <c r="O466" s="572"/>
      <c r="P466" s="572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</row>
    <row r="467" spans="1:26" ht="19.5">
      <c r="A467" s="597"/>
      <c r="B467" s="763"/>
      <c r="C467" s="763" t="s">
        <v>16</v>
      </c>
      <c r="D467" s="863" t="s">
        <v>17</v>
      </c>
      <c r="E467" s="857"/>
      <c r="F467" s="857"/>
      <c r="G467" s="189"/>
      <c r="H467" s="598" t="s">
        <v>12</v>
      </c>
      <c r="I467" s="270"/>
      <c r="J467" s="270"/>
      <c r="K467" s="498"/>
      <c r="L467" s="195">
        <f t="shared" ref="L467:N467" ca="1" si="206">L468+L469</f>
        <v>481323</v>
      </c>
      <c r="M467" s="195">
        <f t="shared" ca="1" si="206"/>
        <v>470646</v>
      </c>
      <c r="N467" s="195">
        <f t="shared" si="206"/>
        <v>470646</v>
      </c>
      <c r="O467" s="195">
        <f t="shared" ref="O467:O472" ca="1" si="207">IF(L467&gt;0,N467*100/L467,0)</f>
        <v>97.781739081656184</v>
      </c>
      <c r="P467" s="195">
        <f t="shared" ref="P467:P472" ca="1" si="208">IF(M467&gt;0,N467*100/M467,0)</f>
        <v>100</v>
      </c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</row>
    <row r="468" spans="1:26" ht="18.75" hidden="1">
      <c r="A468" s="599"/>
      <c r="B468" s="759"/>
      <c r="C468" s="759"/>
      <c r="D468" s="720"/>
      <c r="E468" s="759" t="s">
        <v>185</v>
      </c>
      <c r="F468" s="759"/>
      <c r="G468" s="603"/>
      <c r="H468" s="165" t="s">
        <v>12</v>
      </c>
      <c r="I468" s="617"/>
      <c r="J468" s="617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4"/>
      <c r="R468" s="604"/>
      <c r="S468" s="604"/>
      <c r="T468" s="604"/>
      <c r="U468" s="604"/>
      <c r="V468" s="604"/>
      <c r="W468" s="604"/>
      <c r="X468" s="604"/>
      <c r="Y468" s="604"/>
      <c r="Z468" s="604"/>
    </row>
    <row r="469" spans="1:26" ht="18.75" hidden="1">
      <c r="A469" s="599"/>
      <c r="B469" s="607"/>
      <c r="C469" s="759"/>
      <c r="D469" s="720"/>
      <c r="E469" s="759" t="s">
        <v>186</v>
      </c>
      <c r="F469" s="759"/>
      <c r="G469" s="603"/>
      <c r="H469" s="165" t="s">
        <v>12</v>
      </c>
      <c r="I469" s="617"/>
      <c r="J469" s="617"/>
      <c r="K469" s="93"/>
      <c r="L469" s="93">
        <f t="shared" ca="1" si="209"/>
        <v>481323</v>
      </c>
      <c r="M469" s="93">
        <f t="shared" ca="1" si="209"/>
        <v>470646</v>
      </c>
      <c r="N469" s="93">
        <f t="shared" si="209"/>
        <v>470646</v>
      </c>
      <c r="O469" s="93">
        <f t="shared" ca="1" si="207"/>
        <v>97.781739081656184</v>
      </c>
      <c r="P469" s="93">
        <f t="shared" ca="1" si="208"/>
        <v>100</v>
      </c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</row>
    <row r="470" spans="1:26" ht="18.75">
      <c r="A470" s="597"/>
      <c r="B470" s="575"/>
      <c r="C470" s="763"/>
      <c r="D470" s="606" t="s">
        <v>20</v>
      </c>
      <c r="E470" s="763"/>
      <c r="F470" s="763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481323</v>
      </c>
      <c r="M470" s="498">
        <f t="shared" ca="1" si="210"/>
        <v>470646</v>
      </c>
      <c r="N470" s="498">
        <f t="shared" si="210"/>
        <v>470646</v>
      </c>
      <c r="O470" s="498">
        <f t="shared" ca="1" si="207"/>
        <v>97.781739081656184</v>
      </c>
      <c r="P470" s="498">
        <f t="shared" ca="1" si="208"/>
        <v>100</v>
      </c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</row>
    <row r="471" spans="1:26" ht="18.75" hidden="1">
      <c r="A471" s="599"/>
      <c r="B471" s="607"/>
      <c r="C471" s="759"/>
      <c r="D471" s="720"/>
      <c r="E471" s="759" t="s">
        <v>185</v>
      </c>
      <c r="F471" s="759"/>
      <c r="G471" s="603"/>
      <c r="H471" s="165" t="s">
        <v>12</v>
      </c>
      <c r="I471" s="617"/>
      <c r="J471" s="617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4"/>
      <c r="R471" s="604"/>
      <c r="S471" s="604"/>
      <c r="T471" s="604"/>
      <c r="U471" s="604"/>
      <c r="V471" s="604"/>
      <c r="W471" s="604"/>
      <c r="X471" s="604"/>
      <c r="Y471" s="604"/>
      <c r="Z471" s="604"/>
    </row>
    <row r="472" spans="1:26" ht="18.75" hidden="1">
      <c r="A472" s="599"/>
      <c r="B472" s="607"/>
      <c r="C472" s="759"/>
      <c r="D472" s="720"/>
      <c r="E472" s="759" t="s">
        <v>186</v>
      </c>
      <c r="F472" s="759"/>
      <c r="G472" s="603"/>
      <c r="H472" s="165" t="s">
        <v>12</v>
      </c>
      <c r="I472" s="617"/>
      <c r="J472" s="617"/>
      <c r="K472" s="93"/>
      <c r="L472" s="93">
        <f ca="1">IFERROR(__xludf.DUMMYFUNCTION("IMPORTRANGE(""https://docs.google.com/spreadsheets/d/1QqKyyYR6Q21VydFLVH3TRQUabQu_ym0Zz7PgGX0-kHA/edit?usp=sharing"",""แผน!FS45"")"),481323)</f>
        <v>481323</v>
      </c>
      <c r="M472" s="93">
        <f ca="1">L472+11220-21897</f>
        <v>470646</v>
      </c>
      <c r="N472" s="93">
        <f>N473+N474+N475+N476</f>
        <v>470646</v>
      </c>
      <c r="O472" s="93">
        <f t="shared" ca="1" si="207"/>
        <v>97.781739081656184</v>
      </c>
      <c r="P472" s="93">
        <f t="shared" ca="1" si="208"/>
        <v>100</v>
      </c>
      <c r="Q472" s="604"/>
      <c r="R472" s="604"/>
      <c r="S472" s="604"/>
      <c r="T472" s="604"/>
      <c r="U472" s="604"/>
      <c r="V472" s="604"/>
      <c r="W472" s="604"/>
      <c r="X472" s="604"/>
      <c r="Y472" s="604"/>
      <c r="Z472" s="604"/>
    </row>
    <row r="473" spans="1:26" ht="18.75">
      <c r="A473" s="574"/>
      <c r="B473" s="575"/>
      <c r="C473" s="763"/>
      <c r="D473" s="763"/>
      <c r="E473" s="763"/>
      <c r="F473" s="763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40">
        <v>56586</v>
      </c>
      <c r="O473" s="498"/>
      <c r="P473" s="49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</row>
    <row r="474" spans="1:26" ht="18.75">
      <c r="A474" s="574"/>
      <c r="B474" s="575"/>
      <c r="C474" s="763"/>
      <c r="D474" s="763"/>
      <c r="E474" s="763"/>
      <c r="F474" s="763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40">
        <v>376000</v>
      </c>
      <c r="O474" s="498"/>
      <c r="P474" s="49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</row>
    <row r="475" spans="1:26" ht="18.75">
      <c r="A475" s="574"/>
      <c r="B475" s="575"/>
      <c r="C475" s="575"/>
      <c r="D475" s="575"/>
      <c r="E475" s="575"/>
      <c r="F475" s="763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40">
        <v>0</v>
      </c>
      <c r="O475" s="498"/>
      <c r="P475" s="49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</row>
    <row r="476" spans="1:26" ht="18.75">
      <c r="A476" s="574"/>
      <c r="B476" s="575"/>
      <c r="C476" s="575"/>
      <c r="D476" s="575"/>
      <c r="E476" s="575"/>
      <c r="F476" s="763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40">
        <v>38060</v>
      </c>
      <c r="O476" s="498"/>
      <c r="P476" s="49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</row>
    <row r="477" spans="1:26" ht="18.75">
      <c r="A477" s="597"/>
      <c r="B477" s="575"/>
      <c r="C477" s="575"/>
      <c r="D477" s="606" t="s">
        <v>21</v>
      </c>
      <c r="E477" s="575"/>
      <c r="F477" s="575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</row>
    <row r="478" spans="1:26" ht="18.75" hidden="1">
      <c r="A478" s="599"/>
      <c r="B478" s="607"/>
      <c r="C478" s="607"/>
      <c r="D478" s="607"/>
      <c r="E478" s="607" t="s">
        <v>18</v>
      </c>
      <c r="F478" s="607"/>
      <c r="G478" s="603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4"/>
      <c r="R478" s="604"/>
      <c r="S478" s="604"/>
      <c r="T478" s="604"/>
      <c r="U478" s="604"/>
      <c r="V478" s="604"/>
      <c r="W478" s="604"/>
      <c r="X478" s="604"/>
      <c r="Y478" s="604"/>
      <c r="Z478" s="604"/>
    </row>
    <row r="479" spans="1:26" ht="18.75" hidden="1">
      <c r="A479" s="599"/>
      <c r="B479" s="607"/>
      <c r="C479" s="607"/>
      <c r="D479" s="607"/>
      <c r="E479" s="607" t="s">
        <v>19</v>
      </c>
      <c r="F479" s="607"/>
      <c r="G479" s="603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4"/>
      <c r="R479" s="604"/>
      <c r="S479" s="604"/>
      <c r="T479" s="604"/>
      <c r="U479" s="604"/>
      <c r="V479" s="604"/>
      <c r="W479" s="604"/>
      <c r="X479" s="604"/>
      <c r="Y479" s="604"/>
      <c r="Z479" s="604"/>
    </row>
    <row r="480" spans="1:26" ht="19.5">
      <c r="A480" s="608"/>
      <c r="B480" s="618"/>
      <c r="C480" s="575" t="s">
        <v>16</v>
      </c>
      <c r="D480" s="894" t="s">
        <v>38</v>
      </c>
      <c r="E480" s="611"/>
      <c r="F480" s="761"/>
      <c r="G480" s="613"/>
      <c r="H480" s="762"/>
      <c r="I480" s="270"/>
      <c r="J480" s="270"/>
      <c r="K480" s="498"/>
      <c r="L480" s="498"/>
      <c r="M480" s="498"/>
      <c r="N480" s="498"/>
      <c r="O480" s="498"/>
      <c r="P480" s="49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</row>
    <row r="481" spans="1:26" ht="19.5">
      <c r="A481" s="608"/>
      <c r="B481" s="618"/>
      <c r="C481" s="618"/>
      <c r="D481" s="625" t="s">
        <v>207</v>
      </c>
      <c r="E481" s="618"/>
      <c r="F481" s="618"/>
      <c r="G481" s="762"/>
      <c r="H481" s="189"/>
      <c r="I481" s="270"/>
      <c r="J481" s="270"/>
      <c r="K481" s="498"/>
      <c r="L481" s="498"/>
      <c r="M481" s="498"/>
      <c r="N481" s="498"/>
      <c r="O481" s="498"/>
      <c r="P481" s="49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</row>
    <row r="482" spans="1:26" ht="18.75">
      <c r="A482" s="608"/>
      <c r="B482" s="618"/>
      <c r="C482" s="618"/>
      <c r="D482" s="618"/>
      <c r="E482" s="618" t="s">
        <v>208</v>
      </c>
      <c r="F482" s="618"/>
      <c r="G482" s="762"/>
      <c r="H482" s="189"/>
      <c r="I482" s="270"/>
      <c r="J482" s="270"/>
      <c r="K482" s="498"/>
      <c r="L482" s="498"/>
      <c r="M482" s="498"/>
      <c r="N482" s="498"/>
      <c r="O482" s="498"/>
      <c r="P482" s="49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</row>
    <row r="483" spans="1:26" ht="18.75">
      <c r="A483" s="608"/>
      <c r="B483" s="618"/>
      <c r="C483" s="618"/>
      <c r="D483" s="618"/>
      <c r="E483" s="618"/>
      <c r="F483" s="618" t="s">
        <v>209</v>
      </c>
      <c r="G483" s="762"/>
      <c r="H483" s="623" t="s">
        <v>46</v>
      </c>
      <c r="I483" s="270">
        <f ca="1">IFERROR(__xludf.DUMMYFUNCTION("IMPORTRANGE(""https://docs.google.com/spreadsheets/d/1QqKyyYR6Q21VydFLVH3TRQUabQu_ym0Zz7PgGX0-kHA/edit?usp=sharing"",""แผน!FY45"")"),540)</f>
        <v>540</v>
      </c>
      <c r="J483" s="215">
        <v>540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</row>
    <row r="484" spans="1:26" ht="18.75">
      <c r="A484" s="608"/>
      <c r="B484" s="618"/>
      <c r="C484" s="618"/>
      <c r="D484" s="618"/>
      <c r="E484" s="618"/>
      <c r="F484" s="618" t="s">
        <v>210</v>
      </c>
      <c r="G484" s="762"/>
      <c r="H484" s="623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</row>
    <row r="485" spans="1:26" ht="18.75">
      <c r="A485" s="608"/>
      <c r="B485" s="618"/>
      <c r="C485" s="618"/>
      <c r="D485" s="618"/>
      <c r="E485" s="618"/>
      <c r="F485" s="618" t="s">
        <v>211</v>
      </c>
      <c r="G485" s="762"/>
      <c r="H485" s="623" t="s">
        <v>35</v>
      </c>
      <c r="I485" s="270">
        <f ca="1">IFERROR(__xludf.DUMMYFUNCTION("IMPORTRANGE(""https://docs.google.com/spreadsheets/d/1QqKyyYR6Q21VydFLVH3TRQUabQu_ym0Zz7PgGX0-kHA/edit?usp=sharing"",""แผน!FZ45"")"),54)</f>
        <v>54</v>
      </c>
      <c r="J485" s="215">
        <v>54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</row>
    <row r="486" spans="1:26" ht="18.75">
      <c r="A486" s="608"/>
      <c r="B486" s="618"/>
      <c r="C486" s="618"/>
      <c r="D486" s="618"/>
      <c r="E486" s="618" t="s">
        <v>62</v>
      </c>
      <c r="F486" s="618"/>
      <c r="G486" s="762"/>
      <c r="H486" s="623"/>
      <c r="I486" s="270"/>
      <c r="J486" s="270"/>
      <c r="K486" s="498"/>
      <c r="L486" s="498"/>
      <c r="M486" s="498"/>
      <c r="N486" s="498"/>
      <c r="O486" s="498"/>
      <c r="P486" s="49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</row>
    <row r="487" spans="1:26" ht="18.75">
      <c r="A487" s="608"/>
      <c r="B487" s="618"/>
      <c r="C487" s="618"/>
      <c r="D487" s="618"/>
      <c r="E487" s="618"/>
      <c r="F487" s="618" t="s">
        <v>209</v>
      </c>
      <c r="G487" s="762"/>
      <c r="H487" s="623" t="s">
        <v>46</v>
      </c>
      <c r="I487" s="270">
        <f ca="1">IFERROR(__xludf.DUMMYFUNCTION("IMPORTRANGE(""https://docs.google.com/spreadsheets/d/1QqKyyYR6Q21VydFLVH3TRQUabQu_ym0Zz7PgGX0-kHA/edit?usp=sharing"",""แผน!GA45"")"),60)</f>
        <v>60</v>
      </c>
      <c r="J487" s="215">
        <v>60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</row>
    <row r="488" spans="1:26" ht="18.75">
      <c r="A488" s="608"/>
      <c r="B488" s="618"/>
      <c r="C488" s="618"/>
      <c r="D488" s="618"/>
      <c r="E488" s="618"/>
      <c r="F488" s="618" t="s">
        <v>212</v>
      </c>
      <c r="G488" s="762"/>
      <c r="H488" s="623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</row>
    <row r="489" spans="1:26" ht="18.75">
      <c r="A489" s="608"/>
      <c r="B489" s="618"/>
      <c r="C489" s="618"/>
      <c r="D489" s="618"/>
      <c r="E489" s="618"/>
      <c r="F489" s="618" t="s">
        <v>213</v>
      </c>
      <c r="G489" s="762"/>
      <c r="H489" s="623" t="s">
        <v>35</v>
      </c>
      <c r="I489" s="270">
        <f ca="1">IFERROR(__xludf.DUMMYFUNCTION("IMPORTRANGE(""https://docs.google.com/spreadsheets/d/1QqKyyYR6Q21VydFLVH3TRQUabQu_ym0Zz7PgGX0-kHA/edit?usp=sharing"",""แผน!GB45"")"),6)</f>
        <v>6</v>
      </c>
      <c r="J489" s="215">
        <v>6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</row>
    <row r="490" spans="1:26" ht="18.75">
      <c r="A490" s="608"/>
      <c r="B490" s="618"/>
      <c r="C490" s="618"/>
      <c r="D490" s="618"/>
      <c r="E490" s="618" t="s">
        <v>63</v>
      </c>
      <c r="F490" s="626"/>
      <c r="G490" s="762"/>
      <c r="H490" s="623"/>
      <c r="I490" s="270"/>
      <c r="J490" s="270"/>
      <c r="K490" s="498"/>
      <c r="L490" s="498"/>
      <c r="M490" s="498"/>
      <c r="N490" s="498"/>
      <c r="O490" s="498"/>
      <c r="P490" s="49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</row>
    <row r="491" spans="1:26" ht="18.75">
      <c r="A491" s="608"/>
      <c r="B491" s="618"/>
      <c r="C491" s="618"/>
      <c r="D491" s="618"/>
      <c r="E491" s="618"/>
      <c r="F491" s="618" t="s">
        <v>214</v>
      </c>
      <c r="G491" s="762"/>
      <c r="H491" s="623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</row>
    <row r="492" spans="1:26" ht="18.75">
      <c r="A492" s="608"/>
      <c r="B492" s="618"/>
      <c r="C492" s="618"/>
      <c r="D492" s="618"/>
      <c r="E492" s="618"/>
      <c r="F492" s="618" t="s">
        <v>215</v>
      </c>
      <c r="G492" s="762"/>
      <c r="H492" s="623" t="s">
        <v>35</v>
      </c>
      <c r="I492" s="270">
        <f ca="1">IFERROR(__xludf.DUMMYFUNCTION("IMPORTRANGE(""https://docs.google.com/spreadsheets/d/1QqKyyYR6Q21VydFLVH3TRQUabQu_ym0Zz7PgGX0-kHA/edit?usp=sharing"",""แผน!GC45"")"),1)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</row>
    <row r="493" spans="1:26" ht="19.5">
      <c r="A493" s="608"/>
      <c r="B493" s="618"/>
      <c r="C493" s="618"/>
      <c r="D493" s="625" t="s">
        <v>59</v>
      </c>
      <c r="E493" s="618"/>
      <c r="F493" s="626"/>
      <c r="G493" s="762"/>
      <c r="H493" s="189"/>
      <c r="I493" s="270"/>
      <c r="J493" s="270"/>
      <c r="K493" s="498"/>
      <c r="L493" s="498"/>
      <c r="M493" s="498"/>
      <c r="N493" s="498"/>
      <c r="O493" s="498"/>
      <c r="P493" s="49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</row>
    <row r="494" spans="1:26" ht="18.75">
      <c r="A494" s="608"/>
      <c r="B494" s="618"/>
      <c r="C494" s="618"/>
      <c r="D494" s="618"/>
      <c r="E494" s="618" t="s">
        <v>208</v>
      </c>
      <c r="F494" s="626"/>
      <c r="G494" s="762"/>
      <c r="H494" s="189"/>
      <c r="I494" s="270"/>
      <c r="J494" s="270"/>
      <c r="K494" s="498"/>
      <c r="L494" s="498"/>
      <c r="M494" s="498"/>
      <c r="N494" s="498"/>
      <c r="O494" s="498"/>
      <c r="P494" s="49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</row>
    <row r="495" spans="1:26" ht="18.75">
      <c r="A495" s="608"/>
      <c r="B495" s="618"/>
      <c r="C495" s="618"/>
      <c r="D495" s="618"/>
      <c r="E495" s="618"/>
      <c r="F495" s="626" t="s">
        <v>216</v>
      </c>
      <c r="G495" s="762"/>
      <c r="H495" s="623" t="s">
        <v>46</v>
      </c>
      <c r="I495" s="270">
        <f ca="1">IFERROR(__xludf.DUMMYFUNCTION("IMPORTRANGE(""https://docs.google.com/spreadsheets/d/1QqKyyYR6Q21VydFLVH3TRQUabQu_ym0Zz7PgGX0-kHA/edit?usp=sharing"",""แผน!FY45"")"),540)</f>
        <v>540</v>
      </c>
      <c r="J495" s="215">
        <v>540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</row>
    <row r="496" spans="1:26" ht="18.75">
      <c r="A496" s="608"/>
      <c r="B496" s="618"/>
      <c r="C496" s="618"/>
      <c r="D496" s="618"/>
      <c r="E496" s="618"/>
      <c r="F496" s="626" t="s">
        <v>217</v>
      </c>
      <c r="G496" s="762"/>
      <c r="H496" s="623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</row>
    <row r="497" spans="1:26" ht="18.75">
      <c r="A497" s="608"/>
      <c r="B497" s="618"/>
      <c r="C497" s="618"/>
      <c r="D497" s="618"/>
      <c r="E497" s="618" t="s">
        <v>62</v>
      </c>
      <c r="F497" s="626"/>
      <c r="G497" s="762"/>
      <c r="H497" s="189"/>
      <c r="I497" s="270"/>
      <c r="J497" s="270"/>
      <c r="K497" s="498"/>
      <c r="L497" s="498"/>
      <c r="M497" s="498"/>
      <c r="N497" s="498"/>
      <c r="O497" s="498"/>
      <c r="P497" s="49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</row>
    <row r="498" spans="1:26" ht="18.75">
      <c r="A498" s="608"/>
      <c r="B498" s="618"/>
      <c r="C498" s="618"/>
      <c r="D498" s="618"/>
      <c r="E498" s="626"/>
      <c r="F498" s="626" t="s">
        <v>218</v>
      </c>
      <c r="G498" s="762"/>
      <c r="H498" s="623" t="s">
        <v>46</v>
      </c>
      <c r="I498" s="270">
        <f ca="1">IFERROR(__xludf.DUMMYFUNCTION("IMPORTRANGE(""https://docs.google.com/spreadsheets/d/1QqKyyYR6Q21VydFLVH3TRQUabQu_ym0Zz7PgGX0-kHA/edit?usp=sharing"",""แผน!GA45"")"),60)</f>
        <v>60</v>
      </c>
      <c r="J498" s="215">
        <v>60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</row>
    <row r="499" spans="1:26" ht="18.75">
      <c r="A499" s="608"/>
      <c r="B499" s="618"/>
      <c r="C499" s="618"/>
      <c r="D499" s="618"/>
      <c r="E499" s="626"/>
      <c r="F499" s="626" t="s">
        <v>219</v>
      </c>
      <c r="G499" s="762"/>
      <c r="H499" s="623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</row>
    <row r="500" spans="1:26" ht="19.5" hidden="1">
      <c r="A500" s="627">
        <v>4</v>
      </c>
      <c r="B500" s="628" t="s">
        <v>220</v>
      </c>
      <c r="C500" s="629"/>
      <c r="D500" s="630"/>
      <c r="E500" s="630"/>
      <c r="F500" s="630"/>
      <c r="G500" s="631"/>
      <c r="H500" s="632" t="s">
        <v>109</v>
      </c>
      <c r="I500" s="633"/>
      <c r="J500" s="633">
        <f t="shared" ref="J500:J501" si="214">J516</f>
        <v>0</v>
      </c>
      <c r="K500" s="634">
        <f t="shared" ref="K500:K501" si="215">IF(I500&gt;0,J500*100/I500,0)</f>
        <v>0</v>
      </c>
      <c r="L500" s="635"/>
      <c r="M500" s="635"/>
      <c r="N500" s="635"/>
      <c r="O500" s="635"/>
      <c r="P500" s="635"/>
      <c r="Q500" s="604"/>
      <c r="R500" s="604"/>
      <c r="S500" s="604"/>
      <c r="T500" s="604"/>
      <c r="U500" s="604"/>
      <c r="V500" s="604"/>
      <c r="W500" s="604"/>
      <c r="X500" s="604"/>
      <c r="Y500" s="604"/>
      <c r="Z500" s="604"/>
    </row>
    <row r="501" spans="1:26" ht="19.5" hidden="1">
      <c r="A501" s="636"/>
      <c r="B501" s="638" t="s">
        <v>221</v>
      </c>
      <c r="C501" s="638"/>
      <c r="D501" s="639"/>
      <c r="E501" s="639"/>
      <c r="F501" s="639"/>
      <c r="G501" s="640"/>
      <c r="H501" s="641" t="s">
        <v>35</v>
      </c>
      <c r="I501" s="642"/>
      <c r="J501" s="642">
        <f t="shared" si="214"/>
        <v>0</v>
      </c>
      <c r="K501" s="643">
        <f t="shared" si="215"/>
        <v>0</v>
      </c>
      <c r="L501" s="644"/>
      <c r="M501" s="644"/>
      <c r="N501" s="644"/>
      <c r="O501" s="644"/>
      <c r="P501" s="64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</row>
    <row r="502" spans="1:26" ht="19.5" hidden="1">
      <c r="A502" s="599"/>
      <c r="B502" s="759"/>
      <c r="C502" s="759" t="s">
        <v>16</v>
      </c>
      <c r="D502" s="864" t="s">
        <v>17</v>
      </c>
      <c r="E502" s="857"/>
      <c r="F502" s="857"/>
      <c r="G502" s="603"/>
      <c r="H502" s="646" t="s">
        <v>12</v>
      </c>
      <c r="I502" s="617"/>
      <c r="J502" s="617"/>
      <c r="K502" s="93"/>
      <c r="L502" s="647">
        <f t="shared" ref="L502:N502" si="216">L503+L504</f>
        <v>0</v>
      </c>
      <c r="M502" s="647">
        <f t="shared" si="216"/>
        <v>0</v>
      </c>
      <c r="N502" s="647">
        <f t="shared" si="216"/>
        <v>0</v>
      </c>
      <c r="O502" s="647">
        <f t="shared" ref="O502:O507" si="217">IF(L502&gt;0,N502*100/L502,0)</f>
        <v>0</v>
      </c>
      <c r="P502" s="647">
        <f t="shared" ref="P502:P507" si="218">IF(M502&gt;0,N502*100/M502,0)</f>
        <v>0</v>
      </c>
      <c r="Q502" s="604"/>
      <c r="R502" s="604"/>
      <c r="S502" s="604"/>
      <c r="T502" s="604"/>
      <c r="U502" s="604"/>
      <c r="V502" s="604"/>
      <c r="W502" s="604"/>
      <c r="X502" s="604"/>
      <c r="Y502" s="604"/>
      <c r="Z502" s="604"/>
    </row>
    <row r="503" spans="1:26" ht="18.75" hidden="1">
      <c r="A503" s="599"/>
      <c r="B503" s="759"/>
      <c r="C503" s="759"/>
      <c r="D503" s="720"/>
      <c r="E503" s="759" t="s">
        <v>185</v>
      </c>
      <c r="F503" s="759"/>
      <c r="G503" s="603"/>
      <c r="H503" s="165" t="s">
        <v>12</v>
      </c>
      <c r="I503" s="617"/>
      <c r="J503" s="617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4"/>
      <c r="R503" s="604"/>
      <c r="S503" s="604"/>
      <c r="T503" s="604"/>
      <c r="U503" s="604"/>
      <c r="V503" s="604"/>
      <c r="W503" s="604"/>
      <c r="X503" s="604"/>
      <c r="Y503" s="604"/>
      <c r="Z503" s="604"/>
    </row>
    <row r="504" spans="1:26" ht="18.75" hidden="1">
      <c r="A504" s="599"/>
      <c r="B504" s="607"/>
      <c r="C504" s="759"/>
      <c r="D504" s="720"/>
      <c r="E504" s="759" t="s">
        <v>186</v>
      </c>
      <c r="F504" s="759"/>
      <c r="G504" s="603"/>
      <c r="H504" s="165" t="s">
        <v>12</v>
      </c>
      <c r="I504" s="617"/>
      <c r="J504" s="617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4"/>
      <c r="R504" s="604"/>
      <c r="S504" s="604"/>
      <c r="T504" s="604"/>
      <c r="U504" s="604"/>
      <c r="V504" s="604"/>
      <c r="W504" s="604"/>
      <c r="X504" s="604"/>
      <c r="Y504" s="604"/>
      <c r="Z504" s="604"/>
    </row>
    <row r="505" spans="1:26" ht="18.75" hidden="1">
      <c r="A505" s="599"/>
      <c r="B505" s="607"/>
      <c r="C505" s="759"/>
      <c r="D505" s="648" t="s">
        <v>20</v>
      </c>
      <c r="E505" s="759"/>
      <c r="F505" s="759"/>
      <c r="G505" s="603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4"/>
      <c r="R505" s="604"/>
      <c r="S505" s="604"/>
      <c r="T505" s="604"/>
      <c r="U505" s="604"/>
      <c r="V505" s="604"/>
      <c r="W505" s="604"/>
      <c r="X505" s="604"/>
      <c r="Y505" s="604"/>
      <c r="Z505" s="604"/>
    </row>
    <row r="506" spans="1:26" ht="18.75" hidden="1">
      <c r="A506" s="599"/>
      <c r="B506" s="607"/>
      <c r="C506" s="759"/>
      <c r="D506" s="720"/>
      <c r="E506" s="759" t="s">
        <v>185</v>
      </c>
      <c r="F506" s="759"/>
      <c r="G506" s="603"/>
      <c r="H506" s="165" t="s">
        <v>12</v>
      </c>
      <c r="I506" s="617"/>
      <c r="J506" s="617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4"/>
      <c r="R506" s="604"/>
      <c r="S506" s="604"/>
      <c r="T506" s="604"/>
      <c r="U506" s="604"/>
      <c r="V506" s="604"/>
      <c r="W506" s="604"/>
      <c r="X506" s="604"/>
      <c r="Y506" s="604"/>
      <c r="Z506" s="604"/>
    </row>
    <row r="507" spans="1:26" ht="18.75" hidden="1">
      <c r="A507" s="599"/>
      <c r="B507" s="607"/>
      <c r="C507" s="759"/>
      <c r="D507" s="720"/>
      <c r="E507" s="759" t="s">
        <v>186</v>
      </c>
      <c r="F507" s="759"/>
      <c r="G507" s="603"/>
      <c r="H507" s="165" t="s">
        <v>12</v>
      </c>
      <c r="I507" s="617"/>
      <c r="J507" s="617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4"/>
      <c r="R507" s="604"/>
      <c r="S507" s="604"/>
      <c r="T507" s="604"/>
      <c r="U507" s="604"/>
      <c r="V507" s="604"/>
      <c r="W507" s="604"/>
      <c r="X507" s="604"/>
      <c r="Y507" s="604"/>
      <c r="Z507" s="604"/>
    </row>
    <row r="508" spans="1:26" ht="18.75" hidden="1">
      <c r="A508" s="649"/>
      <c r="B508" s="607"/>
      <c r="C508" s="759"/>
      <c r="D508" s="759"/>
      <c r="E508" s="759"/>
      <c r="F508" s="759" t="s">
        <v>187</v>
      </c>
      <c r="G508" s="603"/>
      <c r="H508" s="165" t="s">
        <v>12</v>
      </c>
      <c r="I508" s="617"/>
      <c r="J508" s="617"/>
      <c r="K508" s="93"/>
      <c r="L508" s="93"/>
      <c r="M508" s="93"/>
      <c r="N508" s="93">
        <v>0</v>
      </c>
      <c r="O508" s="93"/>
      <c r="P508" s="93"/>
      <c r="Q508" s="604"/>
      <c r="R508" s="604"/>
      <c r="S508" s="604"/>
      <c r="T508" s="604"/>
      <c r="U508" s="604"/>
      <c r="V508" s="604"/>
      <c r="W508" s="604"/>
      <c r="X508" s="604"/>
      <c r="Y508" s="604"/>
      <c r="Z508" s="604"/>
    </row>
    <row r="509" spans="1:26" ht="18.75" hidden="1">
      <c r="A509" s="649"/>
      <c r="B509" s="607"/>
      <c r="C509" s="759"/>
      <c r="D509" s="759"/>
      <c r="E509" s="759"/>
      <c r="F509" s="759" t="s">
        <v>188</v>
      </c>
      <c r="G509" s="603"/>
      <c r="H509" s="165" t="s">
        <v>12</v>
      </c>
      <c r="I509" s="617"/>
      <c r="J509" s="617"/>
      <c r="K509" s="93"/>
      <c r="L509" s="93"/>
      <c r="M509" s="93"/>
      <c r="N509" s="93">
        <v>0</v>
      </c>
      <c r="O509" s="93"/>
      <c r="P509" s="93"/>
      <c r="Q509" s="604"/>
      <c r="R509" s="604"/>
      <c r="S509" s="604"/>
      <c r="T509" s="604"/>
      <c r="U509" s="604"/>
      <c r="V509" s="604"/>
      <c r="W509" s="604"/>
      <c r="X509" s="604"/>
      <c r="Y509" s="604"/>
      <c r="Z509" s="604"/>
    </row>
    <row r="510" spans="1:26" ht="18.75" hidden="1">
      <c r="A510" s="649"/>
      <c r="B510" s="607"/>
      <c r="C510" s="607"/>
      <c r="D510" s="607"/>
      <c r="E510" s="759"/>
      <c r="F510" s="759" t="s">
        <v>189</v>
      </c>
      <c r="G510" s="603"/>
      <c r="H510" s="165" t="s">
        <v>12</v>
      </c>
      <c r="I510" s="617"/>
      <c r="J510" s="617"/>
      <c r="K510" s="93"/>
      <c r="L510" s="93"/>
      <c r="M510" s="93"/>
      <c r="N510" s="93">
        <v>0</v>
      </c>
      <c r="O510" s="93"/>
      <c r="P510" s="93"/>
      <c r="Q510" s="604"/>
      <c r="R510" s="604"/>
      <c r="S510" s="604"/>
      <c r="T510" s="604"/>
      <c r="U510" s="604"/>
      <c r="V510" s="604"/>
      <c r="W510" s="604"/>
      <c r="X510" s="604"/>
      <c r="Y510" s="604"/>
      <c r="Z510" s="604"/>
    </row>
    <row r="511" spans="1:26" ht="18.75" hidden="1">
      <c r="A511" s="649"/>
      <c r="B511" s="607"/>
      <c r="C511" s="607"/>
      <c r="D511" s="607"/>
      <c r="E511" s="759"/>
      <c r="F511" s="759" t="s">
        <v>190</v>
      </c>
      <c r="G511" s="603"/>
      <c r="H511" s="165" t="s">
        <v>12</v>
      </c>
      <c r="I511" s="617"/>
      <c r="J511" s="617"/>
      <c r="K511" s="93"/>
      <c r="L511" s="93"/>
      <c r="M511" s="93"/>
      <c r="N511" s="93">
        <v>0</v>
      </c>
      <c r="O511" s="93"/>
      <c r="P511" s="93"/>
      <c r="Q511" s="604"/>
      <c r="R511" s="604"/>
      <c r="S511" s="604"/>
      <c r="T511" s="604"/>
      <c r="U511" s="604"/>
      <c r="V511" s="604"/>
      <c r="W511" s="604"/>
      <c r="X511" s="604"/>
      <c r="Y511" s="604"/>
      <c r="Z511" s="604"/>
    </row>
    <row r="512" spans="1:26" ht="18.75" hidden="1">
      <c r="A512" s="599"/>
      <c r="B512" s="607"/>
      <c r="C512" s="607"/>
      <c r="D512" s="648" t="s">
        <v>21</v>
      </c>
      <c r="E512" s="607"/>
      <c r="F512" s="759"/>
      <c r="G512" s="603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4"/>
      <c r="R512" s="604"/>
      <c r="S512" s="604"/>
      <c r="T512" s="604"/>
      <c r="U512" s="604"/>
      <c r="V512" s="604"/>
      <c r="W512" s="604"/>
      <c r="X512" s="604"/>
      <c r="Y512" s="604"/>
      <c r="Z512" s="604"/>
    </row>
    <row r="513" spans="1:26" ht="18.75" hidden="1">
      <c r="A513" s="599"/>
      <c r="B513" s="607"/>
      <c r="C513" s="607"/>
      <c r="D513" s="607"/>
      <c r="E513" s="607" t="s">
        <v>18</v>
      </c>
      <c r="F513" s="759"/>
      <c r="G513" s="603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4"/>
      <c r="R513" s="604"/>
      <c r="S513" s="604"/>
      <c r="T513" s="604"/>
      <c r="U513" s="604"/>
      <c r="V513" s="604"/>
      <c r="W513" s="604"/>
      <c r="X513" s="604"/>
      <c r="Y513" s="604"/>
      <c r="Z513" s="604"/>
    </row>
    <row r="514" spans="1:26" ht="18.75" hidden="1">
      <c r="A514" s="599"/>
      <c r="B514" s="607"/>
      <c r="C514" s="607"/>
      <c r="D514" s="759"/>
      <c r="E514" s="607" t="s">
        <v>19</v>
      </c>
      <c r="F514" s="759"/>
      <c r="G514" s="603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4"/>
      <c r="R514" s="604"/>
      <c r="S514" s="604"/>
      <c r="T514" s="604"/>
      <c r="U514" s="604"/>
      <c r="V514" s="604"/>
      <c r="W514" s="604"/>
      <c r="X514" s="604"/>
      <c r="Y514" s="604"/>
      <c r="Z514" s="604"/>
    </row>
    <row r="515" spans="1:26" ht="19.5" hidden="1">
      <c r="A515" s="614"/>
      <c r="B515" s="616"/>
      <c r="C515" s="607" t="s">
        <v>16</v>
      </c>
      <c r="D515" s="895" t="s">
        <v>38</v>
      </c>
      <c r="E515" s="651"/>
      <c r="F515" s="651"/>
      <c r="G515" s="652"/>
      <c r="H515" s="366"/>
      <c r="I515" s="166"/>
      <c r="J515" s="166"/>
      <c r="K515" s="167"/>
      <c r="L515" s="167"/>
      <c r="M515" s="167"/>
      <c r="N515" s="167"/>
      <c r="O515" s="167"/>
      <c r="P515" s="167"/>
      <c r="Q515" s="604"/>
      <c r="R515" s="604"/>
      <c r="S515" s="604"/>
      <c r="T515" s="604"/>
      <c r="U515" s="604"/>
      <c r="V515" s="604"/>
      <c r="W515" s="604"/>
      <c r="X515" s="604"/>
      <c r="Y515" s="604"/>
      <c r="Z515" s="604"/>
    </row>
    <row r="516" spans="1:26" ht="18.75" hidden="1">
      <c r="A516" s="614"/>
      <c r="B516" s="616"/>
      <c r="C516" s="616"/>
      <c r="D516" s="616" t="s">
        <v>222</v>
      </c>
      <c r="E516" s="720"/>
      <c r="F516" s="720"/>
      <c r="G516" s="366"/>
      <c r="H516" s="653" t="s">
        <v>109</v>
      </c>
      <c r="I516" s="617"/>
      <c r="J516" s="617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4"/>
      <c r="R516" s="604"/>
      <c r="S516" s="604"/>
      <c r="T516" s="604"/>
      <c r="U516" s="604"/>
      <c r="V516" s="604"/>
      <c r="W516" s="604"/>
      <c r="X516" s="604"/>
      <c r="Y516" s="604"/>
      <c r="Z516" s="604"/>
    </row>
    <row r="517" spans="1:26" ht="19.5" hidden="1">
      <c r="A517" s="614"/>
      <c r="B517" s="616"/>
      <c r="C517" s="616"/>
      <c r="D517" s="616" t="s">
        <v>223</v>
      </c>
      <c r="E517" s="720"/>
      <c r="F517" s="720"/>
      <c r="G517" s="366"/>
      <c r="H517" s="654" t="s">
        <v>35</v>
      </c>
      <c r="I517" s="655"/>
      <c r="J517" s="655">
        <f>J518+J519</f>
        <v>0</v>
      </c>
      <c r="K517" s="656">
        <f t="shared" si="224"/>
        <v>0</v>
      </c>
      <c r="L517" s="167"/>
      <c r="M517" s="167"/>
      <c r="N517" s="167"/>
      <c r="O517" s="167"/>
      <c r="P517" s="167"/>
      <c r="Q517" s="604"/>
      <c r="R517" s="604"/>
      <c r="S517" s="604"/>
      <c r="T517" s="604"/>
      <c r="U517" s="604"/>
      <c r="V517" s="604"/>
      <c r="W517" s="604"/>
      <c r="X517" s="604"/>
      <c r="Y517" s="604"/>
      <c r="Z517" s="604"/>
    </row>
    <row r="518" spans="1:26" ht="18.75" hidden="1">
      <c r="A518" s="614"/>
      <c r="B518" s="616"/>
      <c r="C518" s="616"/>
      <c r="D518" s="616"/>
      <c r="E518" s="616" t="s">
        <v>224</v>
      </c>
      <c r="F518" s="720"/>
      <c r="G518" s="366"/>
      <c r="H518" s="370" t="s">
        <v>35</v>
      </c>
      <c r="I518" s="617"/>
      <c r="J518" s="617"/>
      <c r="K518" s="167"/>
      <c r="L518" s="167"/>
      <c r="M518" s="167"/>
      <c r="N518" s="167"/>
      <c r="O518" s="167"/>
      <c r="P518" s="167"/>
      <c r="Q518" s="604"/>
      <c r="R518" s="604"/>
      <c r="S518" s="604"/>
      <c r="T518" s="604"/>
      <c r="U518" s="604"/>
      <c r="V518" s="604"/>
      <c r="W518" s="604"/>
      <c r="X518" s="604"/>
      <c r="Y518" s="604"/>
      <c r="Z518" s="604"/>
    </row>
    <row r="519" spans="1:26" ht="18.75" hidden="1">
      <c r="A519" s="614"/>
      <c r="B519" s="616"/>
      <c r="C519" s="616"/>
      <c r="D519" s="616"/>
      <c r="E519" s="616" t="s">
        <v>225</v>
      </c>
      <c r="F519" s="720"/>
      <c r="G519" s="366"/>
      <c r="H519" s="653" t="s">
        <v>35</v>
      </c>
      <c r="I519" s="617"/>
      <c r="J519" s="617"/>
      <c r="K519" s="167"/>
      <c r="L519" s="167"/>
      <c r="M519" s="167"/>
      <c r="N519" s="167"/>
      <c r="O519" s="167"/>
      <c r="P519" s="167"/>
      <c r="Q519" s="604"/>
      <c r="R519" s="604"/>
      <c r="S519" s="604"/>
      <c r="T519" s="604"/>
      <c r="U519" s="604"/>
      <c r="V519" s="604"/>
      <c r="W519" s="604"/>
      <c r="X519" s="604"/>
      <c r="Y519" s="604"/>
      <c r="Z519" s="604"/>
    </row>
    <row r="520" spans="1:26" ht="19.5">
      <c r="A520" s="657" t="s">
        <v>137</v>
      </c>
      <c r="B520" s="658"/>
      <c r="C520" s="658"/>
      <c r="D520" s="659"/>
      <c r="E520" s="659"/>
      <c r="F520" s="659"/>
      <c r="G520" s="660"/>
      <c r="H520" s="661"/>
      <c r="I520" s="662"/>
      <c r="J520" s="662"/>
      <c r="K520" s="663"/>
      <c r="L520" s="663"/>
      <c r="M520" s="663"/>
      <c r="N520" s="663"/>
      <c r="O520" s="663"/>
      <c r="P520" s="663"/>
    </row>
    <row r="521" spans="1:26" ht="19.5" hidden="1">
      <c r="A521" s="664">
        <v>5</v>
      </c>
      <c r="B521" s="665" t="s">
        <v>226</v>
      </c>
      <c r="C521" s="666"/>
      <c r="D521" s="667"/>
      <c r="E521" s="667"/>
      <c r="F521" s="667"/>
      <c r="G521" s="667"/>
      <c r="H521" s="668"/>
      <c r="I521" s="669"/>
      <c r="J521" s="669"/>
      <c r="K521" s="670"/>
      <c r="L521" s="670"/>
      <c r="M521" s="670"/>
      <c r="N521" s="670"/>
      <c r="O521" s="670"/>
      <c r="P521" s="670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</row>
    <row r="522" spans="1:26" ht="19.5" hidden="1">
      <c r="A522" s="671"/>
      <c r="B522" s="672" t="s">
        <v>227</v>
      </c>
      <c r="C522" s="673"/>
      <c r="D522" s="673"/>
      <c r="E522" s="673"/>
      <c r="F522" s="673"/>
      <c r="G522" s="674"/>
      <c r="H522" s="675" t="s">
        <v>35</v>
      </c>
      <c r="I522" s="708">
        <f t="shared" ref="I522:J522" ca="1" si="225">I537</f>
        <v>0</v>
      </c>
      <c r="J522" s="708">
        <f t="shared" ca="1" si="225"/>
        <v>0</v>
      </c>
      <c r="K522" s="677">
        <f ca="1">IF(I522&gt;0,J522*100/I522,0)</f>
        <v>0</v>
      </c>
      <c r="L522" s="678"/>
      <c r="M522" s="678"/>
      <c r="N522" s="678"/>
      <c r="O522" s="678"/>
      <c r="P522" s="6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</row>
    <row r="523" spans="1:26" ht="19.5" hidden="1">
      <c r="A523" s="597"/>
      <c r="B523" s="763"/>
      <c r="C523" s="763" t="s">
        <v>16</v>
      </c>
      <c r="D523" s="863" t="s">
        <v>17</v>
      </c>
      <c r="E523" s="857"/>
      <c r="F523" s="857"/>
      <c r="G523" s="189"/>
      <c r="H523" s="598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</row>
    <row r="524" spans="1:26" ht="18.75" hidden="1">
      <c r="A524" s="599"/>
      <c r="B524" s="759"/>
      <c r="C524" s="759"/>
      <c r="D524" s="720"/>
      <c r="E524" s="759" t="s">
        <v>185</v>
      </c>
      <c r="F524" s="759"/>
      <c r="G524" s="603"/>
      <c r="H524" s="165" t="s">
        <v>12</v>
      </c>
      <c r="I524" s="617"/>
      <c r="J524" s="617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4"/>
      <c r="R524" s="604"/>
      <c r="S524" s="604"/>
      <c r="T524" s="604"/>
      <c r="U524" s="604"/>
      <c r="V524" s="604"/>
      <c r="W524" s="604"/>
      <c r="X524" s="604"/>
      <c r="Y524" s="604"/>
      <c r="Z524" s="604"/>
    </row>
    <row r="525" spans="1:26" ht="18.75" hidden="1">
      <c r="A525" s="599"/>
      <c r="B525" s="607"/>
      <c r="C525" s="759"/>
      <c r="D525" s="720"/>
      <c r="E525" s="759" t="s">
        <v>186</v>
      </c>
      <c r="F525" s="759"/>
      <c r="G525" s="603"/>
      <c r="H525" s="165" t="s">
        <v>12</v>
      </c>
      <c r="I525" s="617"/>
      <c r="J525" s="617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4"/>
      <c r="R525" s="604"/>
      <c r="S525" s="604"/>
      <c r="T525" s="604"/>
      <c r="U525" s="604"/>
      <c r="V525" s="604"/>
      <c r="W525" s="604"/>
      <c r="X525" s="604"/>
      <c r="Y525" s="604"/>
      <c r="Z525" s="604"/>
    </row>
    <row r="526" spans="1:26" ht="18.75" hidden="1">
      <c r="A526" s="597"/>
      <c r="B526" s="575"/>
      <c r="C526" s="763"/>
      <c r="D526" s="606" t="s">
        <v>20</v>
      </c>
      <c r="E526" s="763"/>
      <c r="F526" s="763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</row>
    <row r="527" spans="1:26" ht="18.75" hidden="1">
      <c r="A527" s="599"/>
      <c r="B527" s="607"/>
      <c r="C527" s="759"/>
      <c r="D527" s="720"/>
      <c r="E527" s="759" t="s">
        <v>185</v>
      </c>
      <c r="F527" s="759"/>
      <c r="G527" s="603"/>
      <c r="H527" s="165" t="s">
        <v>12</v>
      </c>
      <c r="I527" s="617"/>
      <c r="J527" s="617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4"/>
      <c r="R527" s="604"/>
      <c r="S527" s="604"/>
      <c r="T527" s="604"/>
      <c r="U527" s="604"/>
      <c r="V527" s="604"/>
      <c r="W527" s="604"/>
      <c r="X527" s="604"/>
      <c r="Y527" s="604"/>
      <c r="Z527" s="604"/>
    </row>
    <row r="528" spans="1:26" ht="18.75" hidden="1">
      <c r="A528" s="599"/>
      <c r="B528" s="607"/>
      <c r="C528" s="759"/>
      <c r="D528" s="720"/>
      <c r="E528" s="759" t="s">
        <v>186</v>
      </c>
      <c r="F528" s="759"/>
      <c r="G528" s="603"/>
      <c r="H528" s="165" t="s">
        <v>12</v>
      </c>
      <c r="I528" s="617"/>
      <c r="J528" s="617"/>
      <c r="K528" s="93"/>
      <c r="L528" s="93">
        <f ca="1">IFERROR(__xludf.DUMMYFUNCTION("IMPORTRANGE(""https://docs.google.com/spreadsheets/d/1QqKyyYR6Q21VydFLVH3TRQUabQu_ym0Zz7PgGX0-kHA/edit?usp=sharing"",""แผน!GQ45"")"),0)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4"/>
      <c r="R528" s="604"/>
      <c r="S528" s="604"/>
      <c r="T528" s="604"/>
      <c r="U528" s="604"/>
      <c r="V528" s="604"/>
      <c r="W528" s="604"/>
      <c r="X528" s="604"/>
      <c r="Y528" s="604"/>
      <c r="Z528" s="604"/>
    </row>
    <row r="529" spans="1:26" ht="18.75" hidden="1">
      <c r="A529" s="574"/>
      <c r="B529" s="575"/>
      <c r="C529" s="763"/>
      <c r="D529" s="763"/>
      <c r="E529" s="763"/>
      <c r="F529" s="763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40">
        <v>0</v>
      </c>
      <c r="O529" s="498"/>
      <c r="P529" s="49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</row>
    <row r="530" spans="1:26" ht="18.75" hidden="1">
      <c r="A530" s="574"/>
      <c r="B530" s="575"/>
      <c r="C530" s="763"/>
      <c r="D530" s="763"/>
      <c r="E530" s="763"/>
      <c r="F530" s="763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40">
        <v>0</v>
      </c>
      <c r="O530" s="498"/>
      <c r="P530" s="49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</row>
    <row r="531" spans="1:26" ht="18.75" hidden="1">
      <c r="A531" s="574"/>
      <c r="B531" s="575"/>
      <c r="C531" s="763"/>
      <c r="D531" s="763"/>
      <c r="E531" s="763"/>
      <c r="F531" s="763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40">
        <v>0</v>
      </c>
      <c r="O531" s="498"/>
      <c r="P531" s="49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</row>
    <row r="532" spans="1:26" ht="18.75" hidden="1">
      <c r="A532" s="574"/>
      <c r="B532" s="575"/>
      <c r="C532" s="763"/>
      <c r="D532" s="763"/>
      <c r="E532" s="763"/>
      <c r="F532" s="763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40">
        <v>0</v>
      </c>
      <c r="O532" s="498"/>
      <c r="P532" s="49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</row>
    <row r="533" spans="1:26" ht="18.75" hidden="1">
      <c r="A533" s="597"/>
      <c r="B533" s="575"/>
      <c r="C533" s="763"/>
      <c r="D533" s="606" t="s">
        <v>21</v>
      </c>
      <c r="E533" s="763"/>
      <c r="F533" s="763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</row>
    <row r="534" spans="1:26" ht="18.75" hidden="1">
      <c r="A534" s="599"/>
      <c r="B534" s="607"/>
      <c r="C534" s="759"/>
      <c r="D534" s="759"/>
      <c r="E534" s="759" t="s">
        <v>18</v>
      </c>
      <c r="F534" s="759"/>
      <c r="G534" s="603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4"/>
      <c r="R534" s="604"/>
      <c r="S534" s="604"/>
      <c r="T534" s="604"/>
      <c r="U534" s="604"/>
      <c r="V534" s="604"/>
      <c r="W534" s="604"/>
      <c r="X534" s="604"/>
      <c r="Y534" s="604"/>
      <c r="Z534" s="604"/>
    </row>
    <row r="535" spans="1:26" ht="18.75" hidden="1">
      <c r="A535" s="599"/>
      <c r="B535" s="607"/>
      <c r="C535" s="759"/>
      <c r="D535" s="759"/>
      <c r="E535" s="759" t="s">
        <v>19</v>
      </c>
      <c r="F535" s="759"/>
      <c r="G535" s="603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4"/>
      <c r="R535" s="604"/>
      <c r="S535" s="604"/>
      <c r="T535" s="604"/>
      <c r="U535" s="604"/>
      <c r="V535" s="604"/>
      <c r="W535" s="604"/>
      <c r="X535" s="604"/>
      <c r="Y535" s="604"/>
      <c r="Z535" s="604"/>
    </row>
    <row r="536" spans="1:26" ht="19.5" hidden="1">
      <c r="A536" s="608"/>
      <c r="B536" s="618"/>
      <c r="C536" s="763" t="s">
        <v>16</v>
      </c>
      <c r="D536" s="896" t="s">
        <v>38</v>
      </c>
      <c r="E536" s="761"/>
      <c r="F536" s="761"/>
      <c r="G536" s="613"/>
      <c r="H536" s="762"/>
      <c r="I536" s="184"/>
      <c r="J536" s="184"/>
      <c r="K536" s="163"/>
      <c r="L536" s="163"/>
      <c r="M536" s="163"/>
      <c r="N536" s="163"/>
      <c r="O536" s="163"/>
      <c r="P536" s="163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</row>
    <row r="537" spans="1:26" ht="19.5" hidden="1">
      <c r="A537" s="574"/>
      <c r="B537" s="575"/>
      <c r="C537" s="763"/>
      <c r="D537" s="763" t="s">
        <v>228</v>
      </c>
      <c r="E537" s="763"/>
      <c r="F537" s="763"/>
      <c r="G537" s="189"/>
      <c r="H537" s="623" t="s">
        <v>35</v>
      </c>
      <c r="I537" s="681">
        <f ca="1">IFERROR(__xludf.DUMMYFUNCTION("IMPORTRANGE(""https://docs.google.com/spreadsheets/d/1QqKyyYR6Q21VydFLVH3TRQUabQu_ym0Zz7PgGX0-kHA/edit?usp=sharing"",""แผน!GU45"")"),0)</f>
        <v>0</v>
      </c>
      <c r="J537" s="681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2"/>
      <c r="R537" s="682"/>
      <c r="S537" s="682"/>
      <c r="T537" s="682"/>
      <c r="U537" s="682"/>
      <c r="V537" s="682"/>
      <c r="W537" s="682"/>
      <c r="X537" s="682"/>
      <c r="Y537" s="682"/>
      <c r="Z537" s="682"/>
    </row>
    <row r="538" spans="1:26" ht="18.75" hidden="1">
      <c r="A538" s="574"/>
      <c r="B538" s="575"/>
      <c r="C538" s="763"/>
      <c r="D538" s="763"/>
      <c r="E538" s="763" t="s">
        <v>229</v>
      </c>
      <c r="F538" s="763"/>
      <c r="G538" s="189"/>
      <c r="H538" s="623" t="s">
        <v>35</v>
      </c>
      <c r="I538" s="270">
        <f ca="1">IFERROR(__xludf.DUMMYFUNCTION("IMPORTRANGE(""https://docs.google.com/spreadsheets/d/1QqKyyYR6Q21VydFLVH3TRQUabQu_ym0Zz7PgGX0-kHA/edit?usp=sharing"",""แผน!GV45"")"),0)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2"/>
      <c r="R538" s="682"/>
      <c r="S538" s="682"/>
      <c r="T538" s="682"/>
      <c r="U538" s="682"/>
      <c r="V538" s="682"/>
      <c r="W538" s="682"/>
      <c r="X538" s="682"/>
      <c r="Y538" s="682"/>
      <c r="Z538" s="682"/>
    </row>
    <row r="539" spans="1:26" ht="18.75" hidden="1">
      <c r="A539" s="574"/>
      <c r="B539" s="575"/>
      <c r="C539" s="763"/>
      <c r="D539" s="763"/>
      <c r="E539" s="763" t="s">
        <v>230</v>
      </c>
      <c r="F539" s="763"/>
      <c r="G539" s="189"/>
      <c r="H539" s="623" t="s">
        <v>35</v>
      </c>
      <c r="I539" s="270">
        <f ca="1">IFERROR(__xludf.DUMMYFUNCTION("IMPORTRANGE(""https://docs.google.com/spreadsheets/d/1QqKyyYR6Q21VydFLVH3TRQUabQu_ym0Zz7PgGX0-kHA/edit?usp=sharing"",""แผน!GW45"")"),0)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2"/>
      <c r="R539" s="682"/>
      <c r="S539" s="682"/>
      <c r="T539" s="682"/>
      <c r="U539" s="682"/>
      <c r="V539" s="682"/>
      <c r="W539" s="682"/>
      <c r="X539" s="682"/>
      <c r="Y539" s="682"/>
      <c r="Z539" s="682"/>
    </row>
    <row r="540" spans="1:26" ht="18.75" hidden="1">
      <c r="A540" s="574"/>
      <c r="B540" s="575"/>
      <c r="C540" s="763"/>
      <c r="D540" s="763"/>
      <c r="E540" s="763" t="s">
        <v>231</v>
      </c>
      <c r="F540" s="763"/>
      <c r="G540" s="189"/>
      <c r="H540" s="623" t="s">
        <v>35</v>
      </c>
      <c r="I540" s="270">
        <f ca="1">IFERROR(__xludf.DUMMYFUNCTION("IMPORTRANGE(""https://docs.google.com/spreadsheets/d/1QqKyyYR6Q21VydFLVH3TRQUabQu_ym0Zz7PgGX0-kHA/edit?usp=sharing"",""แผน!GX45"")"),0)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2"/>
      <c r="R540" s="682"/>
      <c r="S540" s="682"/>
      <c r="T540" s="682"/>
      <c r="U540" s="682"/>
      <c r="V540" s="682"/>
      <c r="W540" s="682"/>
      <c r="X540" s="682"/>
      <c r="Y540" s="682"/>
      <c r="Z540" s="682"/>
    </row>
    <row r="541" spans="1:26" ht="18.75" hidden="1">
      <c r="A541" s="574"/>
      <c r="B541" s="575"/>
      <c r="C541" s="763"/>
      <c r="D541" s="763"/>
      <c r="E541" s="769" t="s">
        <v>232</v>
      </c>
      <c r="F541" s="763"/>
      <c r="G541" s="189"/>
      <c r="H541" s="623" t="s">
        <v>35</v>
      </c>
      <c r="I541" s="270">
        <f ca="1">IFERROR(__xludf.DUMMYFUNCTION("IMPORTRANGE(""https://docs.google.com/spreadsheets/d/1QqKyyYR6Q21VydFLVH3TRQUabQu_ym0Zz7PgGX0-kHA/edit?usp=sharing"",""แผน!GY45"")"),0)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2"/>
      <c r="R541" s="682"/>
      <c r="S541" s="682"/>
      <c r="T541" s="682"/>
      <c r="U541" s="682"/>
      <c r="V541" s="682"/>
      <c r="W541" s="682"/>
      <c r="X541" s="682"/>
      <c r="Y541" s="682"/>
      <c r="Z541" s="682"/>
    </row>
    <row r="542" spans="1:26" ht="18.75" hidden="1">
      <c r="A542" s="574"/>
      <c r="B542" s="575"/>
      <c r="C542" s="763"/>
      <c r="D542" s="763" t="s">
        <v>59</v>
      </c>
      <c r="E542" s="763"/>
      <c r="F542" s="763"/>
      <c r="G542" s="189"/>
      <c r="H542" s="623" t="s">
        <v>35</v>
      </c>
      <c r="I542" s="270">
        <f ca="1">IFERROR(__xludf.DUMMYFUNCTION("IMPORTRANGE(""https://docs.google.com/spreadsheets/d/1QqKyyYR6Q21VydFLVH3TRQUabQu_ym0Zz7PgGX0-kHA/edit?usp=sharing"",""แผน!GZ45"")"),0)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2"/>
      <c r="R542" s="682"/>
      <c r="S542" s="682"/>
      <c r="T542" s="682"/>
      <c r="U542" s="682"/>
      <c r="V542" s="682"/>
      <c r="W542" s="682"/>
      <c r="X542" s="682"/>
      <c r="Y542" s="682"/>
      <c r="Z542" s="682"/>
    </row>
    <row r="543" spans="1:26" ht="19.5">
      <c r="A543" s="664">
        <v>6</v>
      </c>
      <c r="B543" s="685" t="s">
        <v>233</v>
      </c>
      <c r="C543" s="667"/>
      <c r="D543" s="667"/>
      <c r="E543" s="667"/>
      <c r="F543" s="667"/>
      <c r="G543" s="668"/>
      <c r="H543" s="686" t="s">
        <v>46</v>
      </c>
      <c r="I543" s="687">
        <f t="shared" ref="I543:J543" ca="1" si="235">I559</f>
        <v>59640.97</v>
      </c>
      <c r="J543" s="687">
        <f t="shared" si="235"/>
        <v>59640.97</v>
      </c>
      <c r="K543" s="688">
        <f t="shared" ca="1" si="234"/>
        <v>100</v>
      </c>
      <c r="L543" s="670"/>
      <c r="M543" s="670"/>
      <c r="N543" s="670"/>
      <c r="O543" s="670"/>
      <c r="P543" s="670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</row>
    <row r="544" spans="1:26" ht="19.5">
      <c r="A544" s="689"/>
      <c r="B544" s="690"/>
      <c r="C544" s="690" t="s">
        <v>16</v>
      </c>
      <c r="D544" s="897" t="s">
        <v>17</v>
      </c>
      <c r="E544" s="862"/>
      <c r="F544" s="862"/>
      <c r="G544" s="691"/>
      <c r="H544" s="275" t="s">
        <v>12</v>
      </c>
      <c r="I544" s="420"/>
      <c r="J544" s="420"/>
      <c r="K544" s="154"/>
      <c r="L544" s="155">
        <f t="shared" ref="L544:N544" ca="1" si="236">L545+L546</f>
        <v>444962</v>
      </c>
      <c r="M544" s="155">
        <f t="shared" ca="1" si="236"/>
        <v>434989.5</v>
      </c>
      <c r="N544" s="155">
        <f t="shared" si="236"/>
        <v>434989.5</v>
      </c>
      <c r="O544" s="155">
        <f t="shared" ref="O544:O549" ca="1" si="237">IF(L544&gt;0,N544*100/L544,0)</f>
        <v>97.75879738045046</v>
      </c>
      <c r="P544" s="155">
        <f t="shared" ref="P544:P549" ca="1" si="238">IF(M544&gt;0,N544*100/M544,0)</f>
        <v>100</v>
      </c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</row>
    <row r="545" spans="1:26" ht="18.75" hidden="1">
      <c r="A545" s="599"/>
      <c r="B545" s="759"/>
      <c r="C545" s="759"/>
      <c r="D545" s="759"/>
      <c r="E545" s="759" t="s">
        <v>185</v>
      </c>
      <c r="F545" s="759"/>
      <c r="G545" s="603"/>
      <c r="H545" s="165" t="s">
        <v>12</v>
      </c>
      <c r="I545" s="617"/>
      <c r="J545" s="617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4"/>
      <c r="R545" s="604"/>
      <c r="S545" s="604"/>
      <c r="T545" s="604"/>
      <c r="U545" s="604"/>
      <c r="V545" s="604"/>
      <c r="W545" s="604"/>
      <c r="X545" s="604"/>
      <c r="Y545" s="604"/>
      <c r="Z545" s="604"/>
    </row>
    <row r="546" spans="1:26" ht="18.75" hidden="1">
      <c r="A546" s="599"/>
      <c r="B546" s="607"/>
      <c r="C546" s="759"/>
      <c r="D546" s="759"/>
      <c r="E546" s="759" t="s">
        <v>186</v>
      </c>
      <c r="F546" s="759"/>
      <c r="G546" s="603"/>
      <c r="H546" s="165" t="s">
        <v>12</v>
      </c>
      <c r="I546" s="617"/>
      <c r="J546" s="617"/>
      <c r="K546" s="93"/>
      <c r="L546" s="93">
        <f t="shared" ca="1" si="239"/>
        <v>444962</v>
      </c>
      <c r="M546" s="93">
        <f t="shared" ca="1" si="240"/>
        <v>434989.5</v>
      </c>
      <c r="N546" s="93">
        <f t="shared" si="240"/>
        <v>434989.5</v>
      </c>
      <c r="O546" s="93">
        <f t="shared" ca="1" si="237"/>
        <v>97.75879738045046</v>
      </c>
      <c r="P546" s="93">
        <f t="shared" ca="1" si="238"/>
        <v>100</v>
      </c>
      <c r="Q546" s="604"/>
      <c r="R546" s="604"/>
      <c r="S546" s="604"/>
      <c r="T546" s="604"/>
      <c r="U546" s="604"/>
      <c r="V546" s="604"/>
      <c r="W546" s="604"/>
      <c r="X546" s="604"/>
      <c r="Y546" s="604"/>
      <c r="Z546" s="604"/>
    </row>
    <row r="547" spans="1:26" ht="18.75">
      <c r="A547" s="597"/>
      <c r="B547" s="575"/>
      <c r="C547" s="763"/>
      <c r="D547" s="606" t="s">
        <v>20</v>
      </c>
      <c r="E547" s="763"/>
      <c r="F547" s="763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444962</v>
      </c>
      <c r="M547" s="498">
        <f t="shared" ca="1" si="241"/>
        <v>434989.5</v>
      </c>
      <c r="N547" s="498">
        <f t="shared" si="241"/>
        <v>434989.5</v>
      </c>
      <c r="O547" s="498">
        <f t="shared" ca="1" si="237"/>
        <v>97.75879738045046</v>
      </c>
      <c r="P547" s="498">
        <f t="shared" ca="1" si="238"/>
        <v>100</v>
      </c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</row>
    <row r="548" spans="1:26" ht="18.75" hidden="1">
      <c r="A548" s="599"/>
      <c r="B548" s="607"/>
      <c r="C548" s="759"/>
      <c r="D548" s="720"/>
      <c r="E548" s="759" t="s">
        <v>185</v>
      </c>
      <c r="F548" s="759"/>
      <c r="G548" s="603"/>
      <c r="H548" s="165" t="s">
        <v>12</v>
      </c>
      <c r="I548" s="617"/>
      <c r="J548" s="617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4"/>
      <c r="R548" s="604"/>
      <c r="S548" s="604"/>
      <c r="T548" s="604"/>
      <c r="U548" s="604"/>
      <c r="V548" s="604"/>
      <c r="W548" s="604"/>
      <c r="X548" s="604"/>
      <c r="Y548" s="604"/>
      <c r="Z548" s="604"/>
    </row>
    <row r="549" spans="1:26" ht="18.75" hidden="1">
      <c r="A549" s="599"/>
      <c r="B549" s="607"/>
      <c r="C549" s="759"/>
      <c r="D549" s="720"/>
      <c r="E549" s="759" t="s">
        <v>186</v>
      </c>
      <c r="F549" s="759"/>
      <c r="G549" s="603"/>
      <c r="H549" s="165" t="s">
        <v>12</v>
      </c>
      <c r="I549" s="617"/>
      <c r="J549" s="617"/>
      <c r="K549" s="93"/>
      <c r="L549" s="93">
        <f ca="1">IFERROR(__xludf.DUMMYFUNCTION("IMPORTRANGE(""https://docs.google.com/spreadsheets/d/1QqKyyYR6Q21VydFLVH3TRQUabQu_ym0Zz7PgGX0-kHA/edit?usp=sharing"",""แผน!HB45"")"),444962)</f>
        <v>444962</v>
      </c>
      <c r="M549" s="93">
        <f ca="1">L549-9972.5</f>
        <v>434989.5</v>
      </c>
      <c r="N549" s="93">
        <f>N550+N551+N552+N553+N554</f>
        <v>434989.5</v>
      </c>
      <c r="O549" s="93">
        <f t="shared" ca="1" si="237"/>
        <v>97.75879738045046</v>
      </c>
      <c r="P549" s="93">
        <f t="shared" ca="1" si="238"/>
        <v>100</v>
      </c>
      <c r="Q549" s="604"/>
      <c r="R549" s="604"/>
      <c r="S549" s="604"/>
      <c r="T549" s="604"/>
      <c r="U549" s="604"/>
      <c r="V549" s="604"/>
      <c r="W549" s="604"/>
      <c r="X549" s="604"/>
      <c r="Y549" s="604"/>
      <c r="Z549" s="604"/>
    </row>
    <row r="550" spans="1:26" ht="18.75">
      <c r="A550" s="574"/>
      <c r="B550" s="575"/>
      <c r="C550" s="763"/>
      <c r="D550" s="763"/>
      <c r="E550" s="763"/>
      <c r="F550" s="763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40">
        <v>0</v>
      </c>
      <c r="O550" s="498"/>
      <c r="P550" s="49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</row>
    <row r="551" spans="1:26" ht="18.75">
      <c r="A551" s="574"/>
      <c r="B551" s="575"/>
      <c r="C551" s="575"/>
      <c r="D551" s="575"/>
      <c r="E551" s="763"/>
      <c r="F551" s="763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40">
        <v>0</v>
      </c>
      <c r="O551" s="498"/>
      <c r="P551" s="49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</row>
    <row r="552" spans="1:26" ht="18.75">
      <c r="A552" s="574"/>
      <c r="B552" s="575"/>
      <c r="C552" s="763"/>
      <c r="D552" s="763"/>
      <c r="E552" s="763"/>
      <c r="F552" s="763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40">
        <v>143000</v>
      </c>
      <c r="O552" s="498"/>
      <c r="P552" s="498"/>
      <c r="Q552" s="578"/>
      <c r="R552" s="578"/>
      <c r="S552" s="578"/>
      <c r="T552" s="578"/>
      <c r="U552" s="578"/>
      <c r="V552" s="578"/>
      <c r="W552" s="578"/>
      <c r="X552" s="578"/>
      <c r="Y552" s="578"/>
      <c r="Z552" s="578"/>
    </row>
    <row r="553" spans="1:26" ht="18.75">
      <c r="A553" s="574"/>
      <c r="B553" s="575"/>
      <c r="C553" s="575"/>
      <c r="D553" s="575"/>
      <c r="E553" s="763"/>
      <c r="F553" s="763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40">
        <v>290489.5</v>
      </c>
      <c r="O553" s="498"/>
      <c r="P553" s="49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</row>
    <row r="554" spans="1:26" ht="18.75">
      <c r="A554" s="574"/>
      <c r="B554" s="575"/>
      <c r="C554" s="575"/>
      <c r="D554" s="575"/>
      <c r="E554" s="763"/>
      <c r="F554" s="763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40">
        <v>1500</v>
      </c>
      <c r="O554" s="498"/>
      <c r="P554" s="49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</row>
    <row r="555" spans="1:26" ht="18.75">
      <c r="A555" s="597"/>
      <c r="B555" s="575"/>
      <c r="C555" s="575"/>
      <c r="D555" s="606" t="s">
        <v>21</v>
      </c>
      <c r="E555" s="763"/>
      <c r="F555" s="763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</row>
    <row r="556" spans="1:26" ht="18.75" hidden="1">
      <c r="A556" s="599"/>
      <c r="B556" s="607"/>
      <c r="C556" s="607"/>
      <c r="D556" s="759"/>
      <c r="E556" s="759" t="s">
        <v>18</v>
      </c>
      <c r="F556" s="759"/>
      <c r="G556" s="603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4"/>
      <c r="R556" s="604"/>
      <c r="S556" s="604"/>
      <c r="T556" s="604"/>
      <c r="U556" s="604"/>
      <c r="V556" s="604"/>
      <c r="W556" s="604"/>
      <c r="X556" s="604"/>
      <c r="Y556" s="604"/>
      <c r="Z556" s="604"/>
    </row>
    <row r="557" spans="1:26" ht="18.75" hidden="1">
      <c r="A557" s="599"/>
      <c r="B557" s="607"/>
      <c r="C557" s="607"/>
      <c r="D557" s="759"/>
      <c r="E557" s="759" t="s">
        <v>19</v>
      </c>
      <c r="F557" s="759"/>
      <c r="G557" s="603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4"/>
      <c r="R557" s="604"/>
      <c r="S557" s="604"/>
      <c r="T557" s="604"/>
      <c r="U557" s="604"/>
      <c r="V557" s="604"/>
      <c r="W557" s="604"/>
      <c r="X557" s="604"/>
      <c r="Y557" s="604"/>
      <c r="Z557" s="604"/>
    </row>
    <row r="558" spans="1:26" ht="19.5">
      <c r="A558" s="608"/>
      <c r="B558" s="618"/>
      <c r="C558" s="575" t="s">
        <v>16</v>
      </c>
      <c r="D558" s="896" t="s">
        <v>38</v>
      </c>
      <c r="E558" s="761"/>
      <c r="F558" s="761"/>
      <c r="G558" s="613"/>
      <c r="H558" s="762"/>
      <c r="I558" s="184"/>
      <c r="J558" s="184"/>
      <c r="K558" s="163"/>
      <c r="L558" s="163"/>
      <c r="M558" s="163"/>
      <c r="N558" s="163"/>
      <c r="O558" s="163"/>
      <c r="P558" s="163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</row>
    <row r="559" spans="1:26" ht="19.5">
      <c r="A559" s="692"/>
      <c r="B559" s="693" t="s">
        <v>235</v>
      </c>
      <c r="C559" s="694"/>
      <c r="D559" s="694"/>
      <c r="E559" s="673"/>
      <c r="F559" s="673"/>
      <c r="G559" s="674"/>
      <c r="H559" s="695" t="s">
        <v>46</v>
      </c>
      <c r="I559" s="708">
        <f t="shared" ref="I559:J559" ca="1" si="245">I576</f>
        <v>59640.97</v>
      </c>
      <c r="J559" s="708">
        <f t="shared" si="245"/>
        <v>59640.97</v>
      </c>
      <c r="K559" s="677">
        <f t="shared" ref="K559:K561" ca="1" si="246">IF(I559&gt;0,J559*100/I559,0)</f>
        <v>100</v>
      </c>
      <c r="L559" s="678"/>
      <c r="M559" s="678"/>
      <c r="N559" s="678"/>
      <c r="O559" s="678"/>
      <c r="P559" s="6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</row>
    <row r="560" spans="1:26" ht="19.5">
      <c r="A560" s="608"/>
      <c r="B560" s="618"/>
      <c r="C560" s="625" t="s">
        <v>236</v>
      </c>
      <c r="D560" s="618"/>
      <c r="E560" s="626"/>
      <c r="F560" s="626"/>
      <c r="G560" s="762"/>
      <c r="H560" s="767" t="s">
        <v>46</v>
      </c>
      <c r="I560" s="193">
        <f ca="1">IFERROR(__xludf.DUMMYFUNCTION("IMPORTRANGE(""https://docs.google.com/spreadsheets/d/1QqKyyYR6Q21VydFLVH3TRQUabQu_ym0Zz7PgGX0-kHA/edit?usp=sharing"",""แผน!HH45"")"),59640.97)</f>
        <v>59640.97</v>
      </c>
      <c r="J560" s="193">
        <f t="shared" ref="J560:J561" si="247">J562+J564+J566</f>
        <v>59639.479999999996</v>
      </c>
      <c r="K560" s="411">
        <f t="shared" ca="1" si="246"/>
        <v>99.997501717359725</v>
      </c>
      <c r="L560" s="163"/>
      <c r="M560" s="163"/>
      <c r="N560" s="163"/>
      <c r="O560" s="163"/>
      <c r="P560" s="163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</row>
    <row r="561" spans="1:26" ht="19.5">
      <c r="A561" s="608"/>
      <c r="B561" s="618"/>
      <c r="C561" s="618"/>
      <c r="D561" s="626"/>
      <c r="E561" s="626"/>
      <c r="F561" s="626"/>
      <c r="G561" s="762"/>
      <c r="H561" s="767" t="s">
        <v>34</v>
      </c>
      <c r="I561" s="193">
        <f ca="1">IFERROR(__xludf.DUMMYFUNCTION("IMPORTRANGE(""https://docs.google.com/spreadsheets/d/1QqKyyYR6Q21VydFLVH3TRQUabQu_ym0Zz7PgGX0-kHA/edit?usp=sharing"",""แผน!HG45"")"),7355)</f>
        <v>7355</v>
      </c>
      <c r="J561" s="193">
        <f t="shared" si="247"/>
        <v>7355</v>
      </c>
      <c r="K561" s="411">
        <f t="shared" ca="1" si="246"/>
        <v>100</v>
      </c>
      <c r="L561" s="163"/>
      <c r="M561" s="163"/>
      <c r="N561" s="163"/>
      <c r="O561" s="163"/>
      <c r="P561" s="163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</row>
    <row r="562" spans="1:26" ht="18.75">
      <c r="A562" s="608"/>
      <c r="B562" s="618"/>
      <c r="C562" s="618"/>
      <c r="D562" s="626" t="s">
        <v>237</v>
      </c>
      <c r="E562" s="626"/>
      <c r="F562" s="626"/>
      <c r="G562" s="762"/>
      <c r="H562" s="764" t="s">
        <v>46</v>
      </c>
      <c r="I562" s="184"/>
      <c r="J562" s="215">
        <v>49495</v>
      </c>
      <c r="K562" s="163"/>
      <c r="L562" s="163"/>
      <c r="M562" s="163"/>
      <c r="N562" s="163"/>
      <c r="O562" s="163"/>
      <c r="P562" s="163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</row>
    <row r="563" spans="1:26" ht="18.75">
      <c r="A563" s="608"/>
      <c r="B563" s="618"/>
      <c r="C563" s="618"/>
      <c r="D563" s="618"/>
      <c r="E563" s="626"/>
      <c r="F563" s="626"/>
      <c r="G563" s="762"/>
      <c r="H563" s="764" t="s">
        <v>34</v>
      </c>
      <c r="I563" s="184"/>
      <c r="J563" s="215">
        <v>6495</v>
      </c>
      <c r="K563" s="163"/>
      <c r="L563" s="163"/>
      <c r="M563" s="163"/>
      <c r="N563" s="163"/>
      <c r="O563" s="163"/>
      <c r="P563" s="163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</row>
    <row r="564" spans="1:26" ht="18.75">
      <c r="A564" s="608"/>
      <c r="B564" s="618"/>
      <c r="C564" s="618"/>
      <c r="D564" s="626" t="s">
        <v>238</v>
      </c>
      <c r="E564" s="626"/>
      <c r="F564" s="626"/>
      <c r="G564" s="762"/>
      <c r="H564" s="764" t="s">
        <v>46</v>
      </c>
      <c r="I564" s="184"/>
      <c r="J564" s="215">
        <v>8817.73</v>
      </c>
      <c r="K564" s="163"/>
      <c r="L564" s="163"/>
      <c r="M564" s="163"/>
      <c r="N564" s="163"/>
      <c r="O564" s="163"/>
      <c r="P564" s="163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</row>
    <row r="565" spans="1:26" ht="18.75">
      <c r="A565" s="608"/>
      <c r="B565" s="618"/>
      <c r="C565" s="618"/>
      <c r="D565" s="626"/>
      <c r="E565" s="626"/>
      <c r="F565" s="626"/>
      <c r="G565" s="762"/>
      <c r="H565" s="764" t="s">
        <v>34</v>
      </c>
      <c r="I565" s="184"/>
      <c r="J565" s="215">
        <v>697</v>
      </c>
      <c r="K565" s="163"/>
      <c r="L565" s="163"/>
      <c r="M565" s="163"/>
      <c r="N565" s="163"/>
      <c r="O565" s="163"/>
      <c r="P565" s="163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</row>
    <row r="566" spans="1:26" ht="18.75">
      <c r="A566" s="608"/>
      <c r="B566" s="618"/>
      <c r="C566" s="618"/>
      <c r="D566" s="626" t="s">
        <v>239</v>
      </c>
      <c r="E566" s="626"/>
      <c r="F566" s="626"/>
      <c r="G566" s="762"/>
      <c r="H566" s="764" t="s">
        <v>46</v>
      </c>
      <c r="I566" s="184"/>
      <c r="J566" s="922">
        <v>1326.75</v>
      </c>
      <c r="K566" s="163"/>
      <c r="L566" s="163"/>
      <c r="M566" s="163"/>
      <c r="N566" s="163"/>
      <c r="O566" s="163"/>
      <c r="P566" s="163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</row>
    <row r="567" spans="1:26" ht="18.75">
      <c r="A567" s="608"/>
      <c r="B567" s="618"/>
      <c r="C567" s="618"/>
      <c r="D567" s="626"/>
      <c r="E567" s="626"/>
      <c r="F567" s="626"/>
      <c r="G567" s="762"/>
      <c r="H567" s="764" t="s">
        <v>34</v>
      </c>
      <c r="I567" s="184"/>
      <c r="J567" s="215">
        <v>163</v>
      </c>
      <c r="K567" s="163"/>
      <c r="L567" s="163"/>
      <c r="M567" s="163"/>
      <c r="N567" s="163"/>
      <c r="O567" s="163"/>
      <c r="P567" s="163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</row>
    <row r="568" spans="1:26" ht="19.5">
      <c r="A568" s="608"/>
      <c r="B568" s="618"/>
      <c r="C568" s="625" t="s">
        <v>240</v>
      </c>
      <c r="D568" s="626"/>
      <c r="E568" s="626"/>
      <c r="F568" s="626"/>
      <c r="G568" s="762"/>
      <c r="H568" s="767" t="s">
        <v>46</v>
      </c>
      <c r="I568" s="193">
        <f ca="1">IFERROR(__xludf.DUMMYFUNCTION("IMPORTRANGE(""https://docs.google.com/spreadsheets/d/1QqKyyYR6Q21VydFLVH3TRQUabQu_ym0Zz7PgGX0-kHA/edit?usp=sharing"",""แผน!HH45"")"),59640.97)</f>
        <v>59640.97</v>
      </c>
      <c r="J568" s="681">
        <f t="shared" ref="J568:J569" si="248">J570+J572+J574</f>
        <v>59652</v>
      </c>
      <c r="K568" s="411">
        <f t="shared" ref="K568:K569" ca="1" si="249">IF(I568&gt;0,J568*100/I568,0)</f>
        <v>100.01849399833705</v>
      </c>
      <c r="L568" s="163"/>
      <c r="M568" s="163"/>
      <c r="N568" s="163"/>
      <c r="O568" s="163"/>
      <c r="P568" s="163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</row>
    <row r="569" spans="1:26" ht="19.5">
      <c r="A569" s="608"/>
      <c r="B569" s="618"/>
      <c r="C569" s="618"/>
      <c r="D569" s="618"/>
      <c r="E569" s="626"/>
      <c r="F569" s="626"/>
      <c r="G569" s="762"/>
      <c r="H569" s="767" t="s">
        <v>34</v>
      </c>
      <c r="I569" s="193">
        <f ca="1">IFERROR(__xludf.DUMMYFUNCTION("IMPORTRANGE(""https://docs.google.com/spreadsheets/d/1QqKyyYR6Q21VydFLVH3TRQUabQu_ym0Zz7PgGX0-kHA/edit?usp=sharing"",""แผน!HG45"")"),7355)</f>
        <v>7355</v>
      </c>
      <c r="J569" s="681">
        <f t="shared" si="248"/>
        <v>7355</v>
      </c>
      <c r="K569" s="411">
        <f t="shared" ca="1" si="249"/>
        <v>100</v>
      </c>
      <c r="L569" s="163"/>
      <c r="M569" s="163"/>
      <c r="N569" s="163"/>
      <c r="O569" s="163"/>
      <c r="P569" s="163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</row>
    <row r="570" spans="1:26" ht="18.75">
      <c r="A570" s="608"/>
      <c r="B570" s="618"/>
      <c r="C570" s="618"/>
      <c r="D570" s="626" t="s">
        <v>241</v>
      </c>
      <c r="E570" s="618"/>
      <c r="F570" s="626"/>
      <c r="G570" s="762"/>
      <c r="H570" s="764" t="s">
        <v>46</v>
      </c>
      <c r="I570" s="184"/>
      <c r="J570" s="215">
        <v>49472.800000000003</v>
      </c>
      <c r="K570" s="163"/>
      <c r="L570" s="163"/>
      <c r="M570" s="163"/>
      <c r="N570" s="163"/>
      <c r="O570" s="163"/>
      <c r="P570" s="163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</row>
    <row r="571" spans="1:26" ht="18.75">
      <c r="A571" s="608"/>
      <c r="B571" s="618"/>
      <c r="C571" s="618"/>
      <c r="D571" s="618"/>
      <c r="E571" s="626"/>
      <c r="F571" s="626"/>
      <c r="G571" s="762"/>
      <c r="H571" s="764" t="s">
        <v>34</v>
      </c>
      <c r="I571" s="184"/>
      <c r="J571" s="215">
        <v>6497</v>
      </c>
      <c r="K571" s="163"/>
      <c r="L571" s="163"/>
      <c r="M571" s="163"/>
      <c r="N571" s="163"/>
      <c r="O571" s="163"/>
      <c r="P571" s="163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</row>
    <row r="572" spans="1:26" ht="18.75">
      <c r="A572" s="608"/>
      <c r="B572" s="618"/>
      <c r="C572" s="618"/>
      <c r="D572" s="626" t="s">
        <v>242</v>
      </c>
      <c r="E572" s="626"/>
      <c r="F572" s="626"/>
      <c r="G572" s="762"/>
      <c r="H572" s="764" t="s">
        <v>46</v>
      </c>
      <c r="I572" s="184"/>
      <c r="J572" s="215">
        <v>8852.5</v>
      </c>
      <c r="K572" s="163"/>
      <c r="L572" s="163"/>
      <c r="M572" s="163"/>
      <c r="N572" s="163"/>
      <c r="O572" s="163"/>
      <c r="P572" s="163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</row>
    <row r="573" spans="1:26" ht="18.75">
      <c r="A573" s="608"/>
      <c r="B573" s="618"/>
      <c r="C573" s="618"/>
      <c r="D573" s="626"/>
      <c r="E573" s="626"/>
      <c r="F573" s="626"/>
      <c r="G573" s="762"/>
      <c r="H573" s="764" t="s">
        <v>34</v>
      </c>
      <c r="I573" s="184"/>
      <c r="J573" s="215">
        <v>695</v>
      </c>
      <c r="K573" s="163"/>
      <c r="L573" s="163"/>
      <c r="M573" s="163"/>
      <c r="N573" s="163"/>
      <c r="O573" s="163"/>
      <c r="P573" s="163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</row>
    <row r="574" spans="1:26" ht="18.75">
      <c r="A574" s="608"/>
      <c r="B574" s="618"/>
      <c r="C574" s="618"/>
      <c r="D574" s="626" t="s">
        <v>243</v>
      </c>
      <c r="E574" s="626"/>
      <c r="F574" s="626"/>
      <c r="G574" s="762"/>
      <c r="H574" s="764" t="s">
        <v>46</v>
      </c>
      <c r="I574" s="184"/>
      <c r="J574" s="215">
        <v>1326.7</v>
      </c>
      <c r="K574" s="163"/>
      <c r="L574" s="163"/>
      <c r="M574" s="163"/>
      <c r="N574" s="163"/>
      <c r="O574" s="163"/>
      <c r="P574" s="163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</row>
    <row r="575" spans="1:26" ht="18.75">
      <c r="A575" s="608"/>
      <c r="B575" s="618"/>
      <c r="C575" s="618"/>
      <c r="D575" s="618"/>
      <c r="E575" s="626"/>
      <c r="F575" s="626"/>
      <c r="G575" s="762"/>
      <c r="H575" s="764" t="s">
        <v>34</v>
      </c>
      <c r="I575" s="184"/>
      <c r="J575" s="215">
        <v>163</v>
      </c>
      <c r="K575" s="163"/>
      <c r="L575" s="163"/>
      <c r="M575" s="163"/>
      <c r="N575" s="163"/>
      <c r="O575" s="163"/>
      <c r="P575" s="163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</row>
    <row r="576" spans="1:26" ht="19.5">
      <c r="A576" s="608"/>
      <c r="B576" s="618"/>
      <c r="C576" s="625" t="s">
        <v>244</v>
      </c>
      <c r="D576" s="618"/>
      <c r="E576" s="618"/>
      <c r="F576" s="626"/>
      <c r="G576" s="762"/>
      <c r="H576" s="767" t="s">
        <v>46</v>
      </c>
      <c r="I576" s="193">
        <f ca="1">IFERROR(__xludf.DUMMYFUNCTION("IMPORTRANGE(""https://docs.google.com/spreadsheets/d/1QqKyyYR6Q21VydFLVH3TRQUabQu_ym0Zz7PgGX0-kHA/edit?usp=sharing"",""แผน!HH45"")"),59640.97)</f>
        <v>59640.97</v>
      </c>
      <c r="J576" s="681">
        <f t="shared" ref="J576:J577" si="250">J578+J580+J582+J588+J590</f>
        <v>59640.97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</row>
    <row r="577" spans="1:26" ht="19.5">
      <c r="A577" s="608"/>
      <c r="B577" s="618"/>
      <c r="C577" s="618"/>
      <c r="D577" s="618"/>
      <c r="E577" s="626"/>
      <c r="F577" s="626"/>
      <c r="G577" s="762"/>
      <c r="H577" s="767" t="s">
        <v>34</v>
      </c>
      <c r="I577" s="193">
        <f ca="1">IFERROR(__xludf.DUMMYFUNCTION("IMPORTRANGE(""https://docs.google.com/spreadsheets/d/1QqKyyYR6Q21VydFLVH3TRQUabQu_ym0Zz7PgGX0-kHA/edit?usp=sharing"",""แผน!HG45"")"),7355)</f>
        <v>7355</v>
      </c>
      <c r="J577" s="681">
        <f t="shared" si="250"/>
        <v>7355</v>
      </c>
      <c r="K577" s="411">
        <f t="shared" ca="1" si="251"/>
        <v>100</v>
      </c>
      <c r="L577" s="163"/>
      <c r="M577" s="163"/>
      <c r="N577" s="163"/>
      <c r="O577" s="163"/>
      <c r="P577" s="163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</row>
    <row r="578" spans="1:26" ht="18.75">
      <c r="A578" s="608"/>
      <c r="B578" s="618"/>
      <c r="C578" s="618"/>
      <c r="D578" s="626" t="s">
        <v>245</v>
      </c>
      <c r="E578" s="626"/>
      <c r="F578" s="626"/>
      <c r="G578" s="762"/>
      <c r="H578" s="764" t="s">
        <v>46</v>
      </c>
      <c r="I578" s="184"/>
      <c r="J578" s="215">
        <v>55455.445</v>
      </c>
      <c r="K578" s="163"/>
      <c r="L578" s="163"/>
      <c r="M578" s="163"/>
      <c r="N578" s="163"/>
      <c r="O578" s="163"/>
      <c r="P578" s="163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</row>
    <row r="579" spans="1:26" ht="18.75">
      <c r="A579" s="608"/>
      <c r="B579" s="618"/>
      <c r="C579" s="618"/>
      <c r="D579" s="618"/>
      <c r="E579" s="626"/>
      <c r="F579" s="626"/>
      <c r="G579" s="762"/>
      <c r="H579" s="764" t="s">
        <v>34</v>
      </c>
      <c r="I579" s="184"/>
      <c r="J579" s="215">
        <v>6933</v>
      </c>
      <c r="K579" s="163"/>
      <c r="L579" s="163"/>
      <c r="M579" s="163"/>
      <c r="N579" s="163"/>
      <c r="O579" s="163"/>
      <c r="P579" s="163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</row>
    <row r="580" spans="1:26" ht="18.75">
      <c r="A580" s="608"/>
      <c r="B580" s="618"/>
      <c r="C580" s="618"/>
      <c r="D580" s="626" t="s">
        <v>246</v>
      </c>
      <c r="E580" s="626"/>
      <c r="F580" s="626"/>
      <c r="G580" s="762"/>
      <c r="H580" s="764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</row>
    <row r="581" spans="1:26" ht="18.75">
      <c r="A581" s="608"/>
      <c r="B581" s="618"/>
      <c r="C581" s="618"/>
      <c r="D581" s="618"/>
      <c r="E581" s="626"/>
      <c r="F581" s="626"/>
      <c r="G581" s="762"/>
      <c r="H581" s="764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</row>
    <row r="582" spans="1:26" ht="19.5">
      <c r="A582" s="608"/>
      <c r="B582" s="618"/>
      <c r="C582" s="618"/>
      <c r="D582" s="626" t="s">
        <v>247</v>
      </c>
      <c r="E582" s="626"/>
      <c r="F582" s="626"/>
      <c r="G582" s="762"/>
      <c r="H582" s="764" t="s">
        <v>46</v>
      </c>
      <c r="I582" s="184"/>
      <c r="J582" s="681">
        <f t="shared" ref="J582:J583" si="252">J584+J586</f>
        <v>1296.8050000000001</v>
      </c>
      <c r="K582" s="411"/>
      <c r="L582" s="163"/>
      <c r="M582" s="163"/>
      <c r="N582" s="163"/>
      <c r="O582" s="163"/>
      <c r="P582" s="163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</row>
    <row r="583" spans="1:26" ht="19.5">
      <c r="A583" s="608"/>
      <c r="B583" s="618"/>
      <c r="C583" s="618"/>
      <c r="D583" s="618"/>
      <c r="E583" s="626"/>
      <c r="F583" s="626"/>
      <c r="G583" s="762"/>
      <c r="H583" s="764" t="s">
        <v>34</v>
      </c>
      <c r="I583" s="184"/>
      <c r="J583" s="681">
        <f t="shared" si="252"/>
        <v>161</v>
      </c>
      <c r="K583" s="411"/>
      <c r="L583" s="163"/>
      <c r="M583" s="163"/>
      <c r="N583" s="163"/>
      <c r="O583" s="163"/>
      <c r="P583" s="163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</row>
    <row r="584" spans="1:26" ht="18.75">
      <c r="A584" s="608"/>
      <c r="B584" s="618"/>
      <c r="C584" s="618"/>
      <c r="D584" s="618"/>
      <c r="E584" s="626" t="s">
        <v>248</v>
      </c>
      <c r="F584" s="626"/>
      <c r="G584" s="762"/>
      <c r="H584" s="764" t="s">
        <v>46</v>
      </c>
      <c r="I584" s="184"/>
      <c r="J584" s="215">
        <v>1296.8050000000001</v>
      </c>
      <c r="K584" s="163"/>
      <c r="L584" s="163"/>
      <c r="M584" s="163"/>
      <c r="N584" s="163"/>
      <c r="O584" s="163"/>
      <c r="P584" s="163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</row>
    <row r="585" spans="1:26" ht="18.75">
      <c r="A585" s="608"/>
      <c r="B585" s="618"/>
      <c r="C585" s="618"/>
      <c r="D585" s="618"/>
      <c r="E585" s="626"/>
      <c r="F585" s="626"/>
      <c r="G585" s="762"/>
      <c r="H585" s="764" t="s">
        <v>34</v>
      </c>
      <c r="I585" s="184"/>
      <c r="J585" s="215">
        <v>161</v>
      </c>
      <c r="K585" s="163"/>
      <c r="L585" s="163"/>
      <c r="M585" s="163"/>
      <c r="N585" s="163"/>
      <c r="O585" s="163"/>
      <c r="P585" s="163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</row>
    <row r="586" spans="1:26" ht="18.75">
      <c r="A586" s="608"/>
      <c r="B586" s="618"/>
      <c r="C586" s="618"/>
      <c r="D586" s="618"/>
      <c r="E586" s="626" t="s">
        <v>249</v>
      </c>
      <c r="F586" s="626"/>
      <c r="G586" s="762"/>
      <c r="H586" s="76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</row>
    <row r="587" spans="1:26" ht="18.75">
      <c r="A587" s="608"/>
      <c r="B587" s="618"/>
      <c r="C587" s="618"/>
      <c r="D587" s="618"/>
      <c r="E587" s="618"/>
      <c r="F587" s="626"/>
      <c r="G587" s="762"/>
      <c r="H587" s="76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</row>
    <row r="588" spans="1:26" ht="18.75">
      <c r="A588" s="608"/>
      <c r="B588" s="618"/>
      <c r="C588" s="618"/>
      <c r="D588" s="626" t="s">
        <v>250</v>
      </c>
      <c r="E588" s="626"/>
      <c r="F588" s="626"/>
      <c r="G588" s="762"/>
      <c r="H588" s="764" t="s">
        <v>46</v>
      </c>
      <c r="I588" s="184"/>
      <c r="J588" s="215">
        <v>2888.72</v>
      </c>
      <c r="K588" s="163"/>
      <c r="L588" s="163"/>
      <c r="M588" s="163"/>
      <c r="N588" s="163"/>
      <c r="O588" s="163"/>
      <c r="P588" s="163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</row>
    <row r="589" spans="1:26" ht="18.75">
      <c r="A589" s="608"/>
      <c r="B589" s="618"/>
      <c r="C589" s="618"/>
      <c r="D589" s="618"/>
      <c r="E589" s="618"/>
      <c r="F589" s="626"/>
      <c r="G589" s="762"/>
      <c r="H589" s="764" t="s">
        <v>34</v>
      </c>
      <c r="I589" s="184"/>
      <c r="J589" s="215">
        <v>261</v>
      </c>
      <c r="K589" s="163"/>
      <c r="L589" s="163"/>
      <c r="M589" s="163"/>
      <c r="N589" s="163"/>
      <c r="O589" s="163"/>
      <c r="P589" s="163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</row>
    <row r="590" spans="1:26" ht="18.75">
      <c r="A590" s="608"/>
      <c r="B590" s="618"/>
      <c r="C590" s="618"/>
      <c r="D590" s="626" t="s">
        <v>251</v>
      </c>
      <c r="E590" s="626"/>
      <c r="F590" s="626"/>
      <c r="G590" s="762"/>
      <c r="H590" s="76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</row>
    <row r="591" spans="1:26" ht="18.75">
      <c r="A591" s="696"/>
      <c r="B591" s="697"/>
      <c r="C591" s="697"/>
      <c r="D591" s="697"/>
      <c r="E591" s="578"/>
      <c r="F591" s="578"/>
      <c r="G591" s="698"/>
      <c r="H591" s="699" t="s">
        <v>34</v>
      </c>
      <c r="I591" s="700"/>
      <c r="J591" s="701">
        <v>0</v>
      </c>
      <c r="K591" s="702"/>
      <c r="L591" s="702"/>
      <c r="M591" s="702"/>
      <c r="N591" s="702"/>
      <c r="O591" s="702"/>
      <c r="P591" s="702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</row>
    <row r="592" spans="1:26" ht="19.5">
      <c r="A592" s="692"/>
      <c r="B592" s="693" t="s">
        <v>252</v>
      </c>
      <c r="C592" s="694"/>
      <c r="D592" s="694"/>
      <c r="E592" s="673"/>
      <c r="F592" s="673"/>
      <c r="G592" s="674"/>
      <c r="H592" s="695" t="s">
        <v>46</v>
      </c>
      <c r="I592" s="703">
        <f t="shared" ref="I592:J592" ca="1" si="253">I593</f>
        <v>1220.5999999999999</v>
      </c>
      <c r="J592" s="708">
        <f t="shared" si="253"/>
        <v>1220.5975000000001</v>
      </c>
      <c r="K592" s="677">
        <f t="shared" ref="K592:K594" ca="1" si="254">IF(I592&gt;0,J592*100/I592,0)</f>
        <v>99.999795182697056</v>
      </c>
      <c r="L592" s="678"/>
      <c r="M592" s="678"/>
      <c r="N592" s="678"/>
      <c r="O592" s="678"/>
      <c r="P592" s="6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</row>
    <row r="593" spans="1:26" ht="19.5">
      <c r="A593" s="608"/>
      <c r="B593" s="618"/>
      <c r="C593" s="625" t="s">
        <v>253</v>
      </c>
      <c r="D593" s="618"/>
      <c r="E593" s="618"/>
      <c r="F593" s="626"/>
      <c r="G593" s="762"/>
      <c r="H593" s="767" t="s">
        <v>46</v>
      </c>
      <c r="I593" s="704">
        <f ca="1">IFERROR(__xludf.DUMMYFUNCTION("IMPORTRANGE(""https://docs.google.com/spreadsheets/d/1QqKyyYR6Q21VydFLVH3TRQUabQu_ym0Zz7PgGX0-kHA/edit?usp=sharing"",""แผน!HJ45"")"),1220.6)</f>
        <v>1220.5999999999999</v>
      </c>
      <c r="J593" s="193">
        <f t="shared" ref="J593:J594" si="255">J595+J603+J609</f>
        <v>1220.5975000000001</v>
      </c>
      <c r="K593" s="411">
        <f t="shared" ca="1" si="254"/>
        <v>99.999795182697056</v>
      </c>
      <c r="L593" s="163"/>
      <c r="M593" s="163"/>
      <c r="N593" s="163"/>
      <c r="O593" s="163"/>
      <c r="P593" s="163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</row>
    <row r="594" spans="1:26" ht="19.5">
      <c r="A594" s="608"/>
      <c r="B594" s="618"/>
      <c r="C594" s="618"/>
      <c r="D594" s="618"/>
      <c r="E594" s="626"/>
      <c r="F594" s="626"/>
      <c r="G594" s="762"/>
      <c r="H594" s="767" t="s">
        <v>34</v>
      </c>
      <c r="I594" s="193">
        <f ca="1">IFERROR(__xludf.DUMMYFUNCTION("IMPORTRANGE(""https://docs.google.com/spreadsheets/d/1QqKyyYR6Q21VydFLVH3TRQUabQu_ym0Zz7PgGX0-kHA/edit?usp=sharing"",""แผน!HI45"")"),107)</f>
        <v>107</v>
      </c>
      <c r="J594" s="193">
        <f t="shared" si="255"/>
        <v>107</v>
      </c>
      <c r="K594" s="411">
        <f t="shared" ca="1" si="254"/>
        <v>100</v>
      </c>
      <c r="L594" s="163"/>
      <c r="M594" s="163"/>
      <c r="N594" s="163"/>
      <c r="O594" s="163"/>
      <c r="P594" s="163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</row>
    <row r="595" spans="1:26" ht="18.75">
      <c r="A595" s="608"/>
      <c r="B595" s="618"/>
      <c r="C595" s="618" t="s">
        <v>254</v>
      </c>
      <c r="D595" s="618"/>
      <c r="E595" s="618"/>
      <c r="F595" s="626"/>
      <c r="G595" s="762"/>
      <c r="H595" s="764" t="s">
        <v>46</v>
      </c>
      <c r="I595" s="184"/>
      <c r="J595" s="184">
        <f t="shared" ref="J595:J596" si="256">J597+J599</f>
        <v>1214.1275000000001</v>
      </c>
      <c r="K595" s="163"/>
      <c r="L595" s="163"/>
      <c r="M595" s="163"/>
      <c r="N595" s="163"/>
      <c r="O595" s="163"/>
      <c r="P595" s="163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</row>
    <row r="596" spans="1:26" ht="18.75">
      <c r="A596" s="608"/>
      <c r="B596" s="618"/>
      <c r="C596" s="618"/>
      <c r="D596" s="618"/>
      <c r="E596" s="626"/>
      <c r="F596" s="626"/>
      <c r="G596" s="762"/>
      <c r="H596" s="764" t="s">
        <v>34</v>
      </c>
      <c r="I596" s="184"/>
      <c r="J596" s="184">
        <f t="shared" si="256"/>
        <v>105</v>
      </c>
      <c r="K596" s="163"/>
      <c r="L596" s="163"/>
      <c r="M596" s="163"/>
      <c r="N596" s="163"/>
      <c r="O596" s="163"/>
      <c r="P596" s="163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</row>
    <row r="597" spans="1:26" ht="18.75">
      <c r="A597" s="608"/>
      <c r="B597" s="618"/>
      <c r="C597" s="618"/>
      <c r="D597" s="746" t="s">
        <v>255</v>
      </c>
      <c r="E597" s="626"/>
      <c r="F597" s="626"/>
      <c r="G597" s="762"/>
      <c r="H597" s="764" t="s">
        <v>46</v>
      </c>
      <c r="I597" s="184"/>
      <c r="J597" s="215">
        <v>1214.1275000000001</v>
      </c>
      <c r="K597" s="163"/>
      <c r="L597" s="163"/>
      <c r="M597" s="163"/>
      <c r="N597" s="163"/>
      <c r="O597" s="163"/>
      <c r="P597" s="163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</row>
    <row r="598" spans="1:26" ht="18.75">
      <c r="A598" s="608"/>
      <c r="B598" s="618"/>
      <c r="C598" s="618"/>
      <c r="D598" s="618"/>
      <c r="E598" s="626"/>
      <c r="F598" s="626"/>
      <c r="G598" s="762"/>
      <c r="H598" s="764" t="s">
        <v>34</v>
      </c>
      <c r="I598" s="270"/>
      <c r="J598" s="215">
        <v>105</v>
      </c>
      <c r="K598" s="163"/>
      <c r="L598" s="163"/>
      <c r="M598" s="163"/>
      <c r="N598" s="163"/>
      <c r="O598" s="163"/>
      <c r="P598" s="163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</row>
    <row r="599" spans="1:26" ht="18.75">
      <c r="A599" s="608"/>
      <c r="B599" s="618"/>
      <c r="C599" s="618"/>
      <c r="D599" s="746" t="s">
        <v>256</v>
      </c>
      <c r="E599" s="626"/>
      <c r="F599" s="626"/>
      <c r="G599" s="762"/>
      <c r="H599" s="764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</row>
    <row r="600" spans="1:26" ht="18.75">
      <c r="A600" s="608"/>
      <c r="B600" s="618"/>
      <c r="C600" s="618"/>
      <c r="D600" s="618"/>
      <c r="E600" s="626"/>
      <c r="F600" s="626"/>
      <c r="G600" s="762"/>
      <c r="H600" s="764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</row>
    <row r="601" spans="1:26" ht="18.75">
      <c r="A601" s="608"/>
      <c r="B601" s="618"/>
      <c r="C601" s="618"/>
      <c r="D601" s="746" t="s">
        <v>257</v>
      </c>
      <c r="E601" s="626"/>
      <c r="F601" s="626"/>
      <c r="G601" s="762"/>
      <c r="H601" s="76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</row>
    <row r="602" spans="1:26" ht="18.75">
      <c r="A602" s="608"/>
      <c r="B602" s="618"/>
      <c r="C602" s="618"/>
      <c r="D602" s="618"/>
      <c r="E602" s="626"/>
      <c r="F602" s="626"/>
      <c r="G602" s="762"/>
      <c r="H602" s="76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</row>
    <row r="603" spans="1:26" ht="18.75">
      <c r="A603" s="608"/>
      <c r="B603" s="618"/>
      <c r="C603" s="705" t="s">
        <v>258</v>
      </c>
      <c r="D603" s="618"/>
      <c r="E603" s="618"/>
      <c r="F603" s="626"/>
      <c r="G603" s="762"/>
      <c r="H603" s="764" t="s">
        <v>46</v>
      </c>
      <c r="I603" s="270"/>
      <c r="J603" s="270">
        <f t="shared" ref="J603:J604" si="257">J605+J607</f>
        <v>6.47</v>
      </c>
      <c r="K603" s="163"/>
      <c r="L603" s="163"/>
      <c r="M603" s="163"/>
      <c r="N603" s="163"/>
      <c r="O603" s="163"/>
      <c r="P603" s="163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</row>
    <row r="604" spans="1:26" ht="18.75">
      <c r="A604" s="608"/>
      <c r="B604" s="618"/>
      <c r="C604" s="618"/>
      <c r="D604" s="618"/>
      <c r="E604" s="626"/>
      <c r="F604" s="626"/>
      <c r="G604" s="762"/>
      <c r="H604" s="764" t="s">
        <v>34</v>
      </c>
      <c r="I604" s="270"/>
      <c r="J604" s="270">
        <f t="shared" si="257"/>
        <v>2</v>
      </c>
      <c r="K604" s="163"/>
      <c r="L604" s="163"/>
      <c r="M604" s="163"/>
      <c r="N604" s="163"/>
      <c r="O604" s="163"/>
      <c r="P604" s="163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</row>
    <row r="605" spans="1:26" ht="18.75">
      <c r="A605" s="608"/>
      <c r="B605" s="618"/>
      <c r="C605" s="618"/>
      <c r="D605" s="705" t="s">
        <v>259</v>
      </c>
      <c r="E605" s="626"/>
      <c r="F605" s="626"/>
      <c r="G605" s="762"/>
      <c r="H605" s="764" t="s">
        <v>46</v>
      </c>
      <c r="I605" s="270"/>
      <c r="J605" s="215">
        <v>6.47</v>
      </c>
      <c r="K605" s="163"/>
      <c r="L605" s="163"/>
      <c r="M605" s="163"/>
      <c r="N605" s="163"/>
      <c r="O605" s="163"/>
      <c r="P605" s="163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</row>
    <row r="606" spans="1:26" ht="18.75">
      <c r="A606" s="608"/>
      <c r="B606" s="618"/>
      <c r="C606" s="618"/>
      <c r="D606" s="618"/>
      <c r="E606" s="618"/>
      <c r="F606" s="626"/>
      <c r="G606" s="762"/>
      <c r="H606" s="764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</row>
    <row r="607" spans="1:26" ht="18.75">
      <c r="A607" s="608"/>
      <c r="B607" s="618"/>
      <c r="C607" s="618"/>
      <c r="D607" s="705" t="s">
        <v>260</v>
      </c>
      <c r="E607" s="618"/>
      <c r="F607" s="626"/>
      <c r="G607" s="762"/>
      <c r="H607" s="764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</row>
    <row r="608" spans="1:26" ht="18.75">
      <c r="A608" s="608"/>
      <c r="B608" s="618"/>
      <c r="C608" s="618"/>
      <c r="D608" s="618"/>
      <c r="E608" s="626"/>
      <c r="F608" s="626"/>
      <c r="G608" s="762"/>
      <c r="H608" s="764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</row>
    <row r="609" spans="1:26" ht="18.75">
      <c r="A609" s="608"/>
      <c r="B609" s="618"/>
      <c r="C609" s="618" t="s">
        <v>261</v>
      </c>
      <c r="D609" s="618"/>
      <c r="E609" s="618"/>
      <c r="F609" s="626"/>
      <c r="G609" s="762"/>
      <c r="H609" s="764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</row>
    <row r="610" spans="1:26" ht="18.75">
      <c r="A610" s="608"/>
      <c r="B610" s="618"/>
      <c r="C610" s="618"/>
      <c r="D610" s="618"/>
      <c r="E610" s="626"/>
      <c r="F610" s="626"/>
      <c r="G610" s="762"/>
      <c r="H610" s="764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</row>
    <row r="611" spans="1:26" ht="19.5">
      <c r="A611" s="692"/>
      <c r="B611" s="706" t="s">
        <v>262</v>
      </c>
      <c r="C611" s="694"/>
      <c r="D611" s="694"/>
      <c r="E611" s="673"/>
      <c r="F611" s="673"/>
      <c r="G611" s="674"/>
      <c r="H611" s="707" t="s">
        <v>46</v>
      </c>
      <c r="I611" s="708">
        <v>0</v>
      </c>
      <c r="J611" s="708">
        <f>J614+J616</f>
        <v>0</v>
      </c>
      <c r="K611" s="677">
        <f t="shared" ref="K611:K613" si="258">IF(I611&gt;0,J611*100/I611,0)</f>
        <v>0</v>
      </c>
      <c r="L611" s="678"/>
      <c r="M611" s="678"/>
      <c r="N611" s="678"/>
      <c r="O611" s="678"/>
      <c r="P611" s="6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</row>
    <row r="612" spans="1:26" ht="19.5" hidden="1">
      <c r="A612" s="709"/>
      <c r="B612" s="719"/>
      <c r="C612" s="711" t="s">
        <v>263</v>
      </c>
      <c r="D612" s="719"/>
      <c r="E612" s="719"/>
      <c r="F612" s="712"/>
      <c r="G612" s="713"/>
      <c r="H612" s="714" t="s">
        <v>46</v>
      </c>
      <c r="I612" s="716">
        <v>0</v>
      </c>
      <c r="J612" s="716">
        <f t="shared" ref="J612:J613" si="259">J614+J616</f>
        <v>0</v>
      </c>
      <c r="K612" s="717">
        <f t="shared" si="258"/>
        <v>0</v>
      </c>
      <c r="L612" s="718"/>
      <c r="M612" s="718"/>
      <c r="N612" s="718"/>
      <c r="O612" s="718"/>
      <c r="P612" s="718"/>
      <c r="Q612" s="604"/>
      <c r="R612" s="604"/>
      <c r="S612" s="604"/>
      <c r="T612" s="604"/>
      <c r="U612" s="604"/>
      <c r="V612" s="604"/>
      <c r="W612" s="604"/>
      <c r="X612" s="604"/>
      <c r="Y612" s="604"/>
      <c r="Z612" s="604"/>
    </row>
    <row r="613" spans="1:26" ht="19.5" hidden="1">
      <c r="A613" s="709"/>
      <c r="B613" s="719"/>
      <c r="C613" s="719" t="s">
        <v>264</v>
      </c>
      <c r="D613" s="719"/>
      <c r="E613" s="719"/>
      <c r="F613" s="712"/>
      <c r="G613" s="713"/>
      <c r="H613" s="714" t="s">
        <v>34</v>
      </c>
      <c r="I613" s="716">
        <v>0</v>
      </c>
      <c r="J613" s="716">
        <f t="shared" si="259"/>
        <v>0</v>
      </c>
      <c r="K613" s="717">
        <f t="shared" si="258"/>
        <v>0</v>
      </c>
      <c r="L613" s="718"/>
      <c r="M613" s="718"/>
      <c r="N613" s="718"/>
      <c r="O613" s="718"/>
      <c r="P613" s="718"/>
      <c r="Q613" s="604"/>
      <c r="R613" s="604"/>
      <c r="S613" s="604"/>
      <c r="T613" s="604"/>
      <c r="U613" s="604"/>
      <c r="V613" s="604"/>
      <c r="W613" s="604"/>
      <c r="X613" s="604"/>
      <c r="Y613" s="604"/>
      <c r="Z613" s="604"/>
    </row>
    <row r="614" spans="1:26" ht="18.75" hidden="1">
      <c r="A614" s="614"/>
      <c r="B614" s="616"/>
      <c r="C614" s="616"/>
      <c r="D614" s="720" t="s">
        <v>265</v>
      </c>
      <c r="E614" s="616"/>
      <c r="F614" s="720"/>
      <c r="G614" s="366"/>
      <c r="H614" s="370" t="s">
        <v>46</v>
      </c>
      <c r="I614" s="617"/>
      <c r="J614" s="617">
        <v>0</v>
      </c>
      <c r="K614" s="167"/>
      <c r="L614" s="167"/>
      <c r="M614" s="167"/>
      <c r="N614" s="167"/>
      <c r="O614" s="167"/>
      <c r="P614" s="167"/>
      <c r="Q614" s="604"/>
      <c r="R614" s="604"/>
      <c r="S614" s="604"/>
      <c r="T614" s="604"/>
      <c r="U614" s="604"/>
      <c r="V614" s="604"/>
      <c r="W614" s="604"/>
      <c r="X614" s="604"/>
      <c r="Y614" s="604"/>
      <c r="Z614" s="604"/>
    </row>
    <row r="615" spans="1:26" ht="18.75" hidden="1">
      <c r="A615" s="614"/>
      <c r="B615" s="616"/>
      <c r="C615" s="616"/>
      <c r="D615" s="616"/>
      <c r="E615" s="616"/>
      <c r="F615" s="720"/>
      <c r="G615" s="366"/>
      <c r="H615" s="370" t="s">
        <v>34</v>
      </c>
      <c r="I615" s="617"/>
      <c r="J615" s="617">
        <v>0</v>
      </c>
      <c r="K615" s="167"/>
      <c r="L615" s="167"/>
      <c r="M615" s="167"/>
      <c r="N615" s="167"/>
      <c r="O615" s="167"/>
      <c r="P615" s="167"/>
      <c r="Q615" s="604"/>
      <c r="R615" s="604"/>
      <c r="S615" s="604"/>
      <c r="T615" s="604"/>
      <c r="U615" s="604"/>
      <c r="V615" s="604"/>
      <c r="W615" s="604"/>
      <c r="X615" s="604"/>
      <c r="Y615" s="604"/>
      <c r="Z615" s="604"/>
    </row>
    <row r="616" spans="1:26" ht="18.75" hidden="1">
      <c r="A616" s="614"/>
      <c r="B616" s="616"/>
      <c r="C616" s="616"/>
      <c r="D616" s="721" t="s">
        <v>265</v>
      </c>
      <c r="E616" s="720"/>
      <c r="F616" s="720"/>
      <c r="G616" s="366"/>
      <c r="H616" s="370" t="s">
        <v>46</v>
      </c>
      <c r="I616" s="617"/>
      <c r="J616" s="617">
        <v>0</v>
      </c>
      <c r="K616" s="167"/>
      <c r="L616" s="167"/>
      <c r="M616" s="167"/>
      <c r="N616" s="167"/>
      <c r="O616" s="167"/>
      <c r="P616" s="167"/>
      <c r="Q616" s="604"/>
      <c r="R616" s="604"/>
      <c r="S616" s="604"/>
      <c r="T616" s="604"/>
      <c r="U616" s="604"/>
      <c r="V616" s="604"/>
      <c r="W616" s="604"/>
      <c r="X616" s="604"/>
      <c r="Y616" s="604"/>
      <c r="Z616" s="604"/>
    </row>
    <row r="617" spans="1:26" ht="18.75" hidden="1">
      <c r="A617" s="614"/>
      <c r="B617" s="616"/>
      <c r="C617" s="616"/>
      <c r="D617" s="616"/>
      <c r="E617" s="720"/>
      <c r="F617" s="720"/>
      <c r="G617" s="366"/>
      <c r="H617" s="370" t="s">
        <v>34</v>
      </c>
      <c r="I617" s="617"/>
      <c r="J617" s="617">
        <v>0</v>
      </c>
      <c r="K617" s="167"/>
      <c r="L617" s="167"/>
      <c r="M617" s="167"/>
      <c r="N617" s="167"/>
      <c r="O617" s="167"/>
      <c r="P617" s="167"/>
      <c r="Q617" s="604"/>
      <c r="R617" s="604"/>
      <c r="S617" s="604"/>
      <c r="T617" s="604"/>
      <c r="U617" s="604"/>
      <c r="V617" s="604"/>
      <c r="W617" s="604"/>
      <c r="X617" s="604"/>
      <c r="Y617" s="604"/>
      <c r="Z617" s="604"/>
    </row>
    <row r="618" spans="1:26" ht="18.75" hidden="1">
      <c r="A618" s="614"/>
      <c r="B618" s="616"/>
      <c r="C618" s="616"/>
      <c r="D618" s="721" t="s">
        <v>266</v>
      </c>
      <c r="E618" s="720"/>
      <c r="F618" s="720"/>
      <c r="G618" s="366"/>
      <c r="H618" s="370" t="s">
        <v>46</v>
      </c>
      <c r="I618" s="617"/>
      <c r="J618" s="617">
        <v>0</v>
      </c>
      <c r="K618" s="167"/>
      <c r="L618" s="167"/>
      <c r="M618" s="167"/>
      <c r="N618" s="167"/>
      <c r="O618" s="167"/>
      <c r="P618" s="167"/>
      <c r="Q618" s="604"/>
      <c r="R618" s="604"/>
      <c r="S618" s="604"/>
      <c r="T618" s="604"/>
      <c r="U618" s="604"/>
      <c r="V618" s="604"/>
      <c r="W618" s="604"/>
      <c r="X618" s="604"/>
      <c r="Y618" s="604"/>
      <c r="Z618" s="604"/>
    </row>
    <row r="619" spans="1:26" ht="18.75" hidden="1">
      <c r="A619" s="614"/>
      <c r="B619" s="616"/>
      <c r="C619" s="616"/>
      <c r="D619" s="616"/>
      <c r="E619" s="720"/>
      <c r="F619" s="720"/>
      <c r="G619" s="366"/>
      <c r="H619" s="370" t="s">
        <v>34</v>
      </c>
      <c r="I619" s="617"/>
      <c r="J619" s="617">
        <v>0</v>
      </c>
      <c r="K619" s="167"/>
      <c r="L619" s="167"/>
      <c r="M619" s="167"/>
      <c r="N619" s="167"/>
      <c r="O619" s="167"/>
      <c r="P619" s="167"/>
      <c r="Q619" s="604"/>
      <c r="R619" s="604"/>
      <c r="S619" s="604"/>
      <c r="T619" s="604"/>
      <c r="U619" s="604"/>
      <c r="V619" s="604"/>
      <c r="W619" s="604"/>
      <c r="X619" s="604"/>
      <c r="Y619" s="604"/>
      <c r="Z619" s="604"/>
    </row>
    <row r="620" spans="1:26" ht="19.5">
      <c r="A620" s="722"/>
      <c r="B620" s="731"/>
      <c r="C620" s="724" t="s">
        <v>267</v>
      </c>
      <c r="D620" s="731"/>
      <c r="E620" s="731"/>
      <c r="F620" s="725"/>
      <c r="G620" s="726"/>
      <c r="H620" s="727" t="s">
        <v>46</v>
      </c>
      <c r="I620" s="728">
        <f ca="1">IFERROR(__xludf.DUMMYFUNCTION("IMPORTRANGE(""https://docs.google.com/spreadsheets/d/1QqKyyYR6Q21VydFLVH3TRQUabQu_ym0Zz7PgGX0-kHA/edit?usp=sharing"",""แผน!HL45"")"),0)</f>
        <v>0</v>
      </c>
      <c r="J620" s="728">
        <f t="shared" ref="J620:J621" si="260">J622+J624+J626</f>
        <v>0</v>
      </c>
      <c r="K620" s="729">
        <f t="shared" ref="K620:K621" ca="1" si="261">IF(I620&gt;0,J620*100/I620,0)</f>
        <v>0</v>
      </c>
      <c r="L620" s="730"/>
      <c r="M620" s="730"/>
      <c r="N620" s="730"/>
      <c r="O620" s="730"/>
      <c r="P620" s="730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</row>
    <row r="621" spans="1:26" ht="19.5">
      <c r="A621" s="722"/>
      <c r="B621" s="731"/>
      <c r="C621" s="731" t="s">
        <v>268</v>
      </c>
      <c r="D621" s="731"/>
      <c r="E621" s="731"/>
      <c r="F621" s="725"/>
      <c r="G621" s="726"/>
      <c r="H621" s="727" t="s">
        <v>34</v>
      </c>
      <c r="I621" s="728">
        <f ca="1">IFERROR(__xludf.DUMMYFUNCTION("IMPORTRANGE(""https://docs.google.com/spreadsheets/d/1QqKyyYR6Q21VydFLVH3TRQUabQu_ym0Zz7PgGX0-kHA/edit?usp=sharing"",""แผน!HK45"")"),0)</f>
        <v>0</v>
      </c>
      <c r="J621" s="728">
        <f t="shared" si="260"/>
        <v>0</v>
      </c>
      <c r="K621" s="729">
        <f t="shared" ca="1" si="261"/>
        <v>0</v>
      </c>
      <c r="L621" s="730"/>
      <c r="M621" s="730"/>
      <c r="N621" s="730"/>
      <c r="O621" s="730"/>
      <c r="P621" s="730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</row>
    <row r="622" spans="1:26" ht="18.75">
      <c r="A622" s="608"/>
      <c r="B622" s="618"/>
      <c r="C622" s="618"/>
      <c r="D622" s="746" t="s">
        <v>269</v>
      </c>
      <c r="E622" s="626"/>
      <c r="F622" s="626"/>
      <c r="G622" s="762"/>
      <c r="H622" s="764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</row>
    <row r="623" spans="1:26" ht="18.75">
      <c r="A623" s="608"/>
      <c r="B623" s="618"/>
      <c r="C623" s="618"/>
      <c r="D623" s="618"/>
      <c r="E623" s="626"/>
      <c r="F623" s="626"/>
      <c r="G623" s="762"/>
      <c r="H623" s="764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</row>
    <row r="624" spans="1:26" ht="18.75">
      <c r="A624" s="608"/>
      <c r="B624" s="618"/>
      <c r="C624" s="618"/>
      <c r="D624" s="746" t="s">
        <v>265</v>
      </c>
      <c r="E624" s="626"/>
      <c r="F624" s="626"/>
      <c r="G624" s="762"/>
      <c r="H624" s="764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</row>
    <row r="625" spans="1:26" ht="18.75">
      <c r="A625" s="608"/>
      <c r="B625" s="618"/>
      <c r="C625" s="618"/>
      <c r="D625" s="618"/>
      <c r="E625" s="626"/>
      <c r="F625" s="626"/>
      <c r="G625" s="762"/>
      <c r="H625" s="764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</row>
    <row r="626" spans="1:26" ht="18.75">
      <c r="A626" s="608"/>
      <c r="B626" s="618"/>
      <c r="C626" s="618"/>
      <c r="D626" s="746" t="s">
        <v>270</v>
      </c>
      <c r="E626" s="626"/>
      <c r="F626" s="626"/>
      <c r="G626" s="762"/>
      <c r="H626" s="76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</row>
    <row r="627" spans="1:26" ht="18.75">
      <c r="A627" s="732"/>
      <c r="B627" s="733"/>
      <c r="C627" s="733"/>
      <c r="D627" s="733"/>
      <c r="E627" s="734"/>
      <c r="F627" s="734"/>
      <c r="G627" s="735"/>
      <c r="H627" s="422" t="s">
        <v>34</v>
      </c>
      <c r="I627" s="506"/>
      <c r="J627" s="424">
        <v>0</v>
      </c>
      <c r="K627" s="385"/>
      <c r="L627" s="385"/>
      <c r="M627" s="385"/>
      <c r="N627" s="385"/>
      <c r="O627" s="385"/>
      <c r="P627" s="385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</row>
    <row r="628" spans="1:26" ht="19.5">
      <c r="A628" s="736">
        <v>7</v>
      </c>
      <c r="B628" s="737" t="s">
        <v>271</v>
      </c>
      <c r="C628" s="738"/>
      <c r="D628" s="738"/>
      <c r="E628" s="738"/>
      <c r="F628" s="738"/>
      <c r="G628" s="739"/>
      <c r="H628" s="740" t="s">
        <v>35</v>
      </c>
      <c r="I628" s="741">
        <f t="shared" ref="I628:J628" ca="1" si="262">I651</f>
        <v>1200</v>
      </c>
      <c r="J628" s="741">
        <f t="shared" ca="1" si="262"/>
        <v>1212</v>
      </c>
      <c r="K628" s="742">
        <f ca="1">IF(I628&gt;0,J628*100/I628,0)</f>
        <v>101</v>
      </c>
      <c r="L628" s="743"/>
      <c r="M628" s="743"/>
      <c r="N628" s="743"/>
      <c r="O628" s="743"/>
      <c r="P628" s="743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</row>
    <row r="629" spans="1:26" ht="19.5">
      <c r="A629" s="597"/>
      <c r="B629" s="763"/>
      <c r="C629" s="763" t="s">
        <v>16</v>
      </c>
      <c r="D629" s="863" t="s">
        <v>17</v>
      </c>
      <c r="E629" s="857"/>
      <c r="F629" s="857"/>
      <c r="G629" s="189"/>
      <c r="H629" s="598" t="s">
        <v>12</v>
      </c>
      <c r="I629" s="270"/>
      <c r="J629" s="270"/>
      <c r="K629" s="498"/>
      <c r="L629" s="195">
        <f t="shared" ref="L629:N629" ca="1" si="263">L630+L631</f>
        <v>1155630</v>
      </c>
      <c r="M629" s="195">
        <f t="shared" ca="1" si="263"/>
        <v>1067653</v>
      </c>
      <c r="N629" s="195">
        <f t="shared" si="263"/>
        <v>1067656</v>
      </c>
      <c r="O629" s="195">
        <f t="shared" ref="O629:O634" ca="1" si="264">IF(L629&gt;0,N629*100/L629,0)</f>
        <v>92.387355814577333</v>
      </c>
      <c r="P629" s="195">
        <f t="shared" ref="P629:P634" ca="1" si="265">IF(M629&gt;0,N629*100/M629,0)</f>
        <v>100.0002809901719</v>
      </c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</row>
    <row r="630" spans="1:26" ht="18.75" hidden="1">
      <c r="A630" s="599"/>
      <c r="B630" s="759"/>
      <c r="C630" s="759"/>
      <c r="D630" s="720"/>
      <c r="E630" s="759" t="s">
        <v>185</v>
      </c>
      <c r="F630" s="759"/>
      <c r="G630" s="603"/>
      <c r="H630" s="165" t="s">
        <v>12</v>
      </c>
      <c r="I630" s="617"/>
      <c r="J630" s="617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4"/>
      <c r="R630" s="604"/>
      <c r="S630" s="604"/>
      <c r="T630" s="604"/>
      <c r="U630" s="604"/>
      <c r="V630" s="604"/>
      <c r="W630" s="604"/>
      <c r="X630" s="604"/>
      <c r="Y630" s="604"/>
      <c r="Z630" s="604"/>
    </row>
    <row r="631" spans="1:26" ht="18.75" hidden="1">
      <c r="A631" s="599"/>
      <c r="B631" s="607"/>
      <c r="C631" s="759"/>
      <c r="D631" s="720"/>
      <c r="E631" s="759" t="s">
        <v>186</v>
      </c>
      <c r="F631" s="759"/>
      <c r="G631" s="603"/>
      <c r="H631" s="165" t="s">
        <v>12</v>
      </c>
      <c r="I631" s="617"/>
      <c r="J631" s="617"/>
      <c r="K631" s="93"/>
      <c r="L631" s="93">
        <f t="shared" ca="1" si="266"/>
        <v>1155630</v>
      </c>
      <c r="M631" s="93">
        <f t="shared" ca="1" si="266"/>
        <v>1067653</v>
      </c>
      <c r="N631" s="93">
        <f t="shared" si="266"/>
        <v>1067656</v>
      </c>
      <c r="O631" s="93">
        <f t="shared" ca="1" si="264"/>
        <v>92.387355814577333</v>
      </c>
      <c r="P631" s="93">
        <f t="shared" ca="1" si="265"/>
        <v>100.0002809901719</v>
      </c>
      <c r="Q631" s="604"/>
      <c r="R631" s="604"/>
      <c r="S631" s="604"/>
      <c r="T631" s="604"/>
      <c r="U631" s="604"/>
      <c r="V631" s="604"/>
      <c r="W631" s="604"/>
      <c r="X631" s="604"/>
      <c r="Y631" s="604"/>
      <c r="Z631" s="604"/>
    </row>
    <row r="632" spans="1:26" ht="18.75">
      <c r="A632" s="597"/>
      <c r="B632" s="575"/>
      <c r="C632" s="763"/>
      <c r="D632" s="606" t="s">
        <v>20</v>
      </c>
      <c r="E632" s="763"/>
      <c r="F632" s="763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1155630</v>
      </c>
      <c r="M632" s="498">
        <f t="shared" ca="1" si="267"/>
        <v>1067653</v>
      </c>
      <c r="N632" s="498">
        <f t="shared" si="267"/>
        <v>1067656</v>
      </c>
      <c r="O632" s="498">
        <f t="shared" ca="1" si="264"/>
        <v>92.387355814577333</v>
      </c>
      <c r="P632" s="498">
        <f t="shared" ca="1" si="265"/>
        <v>100.0002809901719</v>
      </c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</row>
    <row r="633" spans="1:26" ht="18.75" hidden="1">
      <c r="A633" s="599"/>
      <c r="B633" s="607"/>
      <c r="C633" s="759"/>
      <c r="D633" s="720"/>
      <c r="E633" s="759" t="s">
        <v>185</v>
      </c>
      <c r="F633" s="759"/>
      <c r="G633" s="603"/>
      <c r="H633" s="165" t="s">
        <v>12</v>
      </c>
      <c r="I633" s="617"/>
      <c r="J633" s="617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4"/>
      <c r="R633" s="604"/>
      <c r="S633" s="604"/>
      <c r="T633" s="604"/>
      <c r="U633" s="604"/>
      <c r="V633" s="604"/>
      <c r="W633" s="604"/>
      <c r="X633" s="604"/>
      <c r="Y633" s="604"/>
      <c r="Z633" s="604"/>
    </row>
    <row r="634" spans="1:26" ht="18.75" hidden="1">
      <c r="A634" s="599"/>
      <c r="B634" s="607"/>
      <c r="C634" s="759"/>
      <c r="D634" s="720"/>
      <c r="E634" s="759" t="s">
        <v>186</v>
      </c>
      <c r="F634" s="759"/>
      <c r="G634" s="603"/>
      <c r="H634" s="165" t="s">
        <v>12</v>
      </c>
      <c r="I634" s="617"/>
      <c r="J634" s="617"/>
      <c r="K634" s="93"/>
      <c r="L634" s="93">
        <f ca="1">IFERROR(__xludf.DUMMYFUNCTION("IMPORTRANGE(""https://docs.google.com/spreadsheets/d/1QqKyyYR6Q21VydFLVH3TRQUabQu_ym0Zz7PgGX0-kHA/edit?usp=sharing"",""แผน!HN45"")"),1155630)</f>
        <v>1155630</v>
      </c>
      <c r="M634" s="93">
        <f ca="1">L634-87977</f>
        <v>1067653</v>
      </c>
      <c r="N634" s="93">
        <f>N635+N636+N637+N638</f>
        <v>1067656</v>
      </c>
      <c r="O634" s="93">
        <f t="shared" ca="1" si="264"/>
        <v>92.387355814577333</v>
      </c>
      <c r="P634" s="93">
        <f t="shared" ca="1" si="265"/>
        <v>100.0002809901719</v>
      </c>
      <c r="Q634" s="604"/>
      <c r="R634" s="604"/>
      <c r="S634" s="604"/>
      <c r="T634" s="604"/>
      <c r="U634" s="604"/>
      <c r="V634" s="604"/>
      <c r="W634" s="604"/>
      <c r="X634" s="604"/>
      <c r="Y634" s="604"/>
      <c r="Z634" s="604"/>
    </row>
    <row r="635" spans="1:26" ht="18.75">
      <c r="A635" s="574"/>
      <c r="B635" s="575"/>
      <c r="C635" s="763"/>
      <c r="D635" s="763"/>
      <c r="E635" s="763"/>
      <c r="F635" s="763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40">
        <v>0</v>
      </c>
      <c r="O635" s="498"/>
      <c r="P635" s="49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</row>
    <row r="636" spans="1:26" ht="18.75">
      <c r="A636" s="574"/>
      <c r="B636" s="575"/>
      <c r="C636" s="763"/>
      <c r="D636" s="763"/>
      <c r="E636" s="763"/>
      <c r="F636" s="763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40">
        <v>0</v>
      </c>
      <c r="O636" s="498"/>
      <c r="P636" s="49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</row>
    <row r="637" spans="1:26" ht="18.75">
      <c r="A637" s="574"/>
      <c r="B637" s="575"/>
      <c r="C637" s="763"/>
      <c r="D637" s="763"/>
      <c r="E637" s="763"/>
      <c r="F637" s="763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40">
        <v>286000</v>
      </c>
      <c r="O637" s="498"/>
      <c r="P637" s="498"/>
      <c r="Q637" s="578"/>
      <c r="R637" s="578"/>
      <c r="S637" s="578"/>
      <c r="T637" s="578"/>
      <c r="U637" s="578"/>
      <c r="V637" s="578"/>
      <c r="W637" s="578"/>
      <c r="X637" s="578"/>
      <c r="Y637" s="578"/>
      <c r="Z637" s="578"/>
    </row>
    <row r="638" spans="1:26" ht="18.75">
      <c r="A638" s="574"/>
      <c r="B638" s="575"/>
      <c r="C638" s="763"/>
      <c r="D638" s="763"/>
      <c r="E638" s="763"/>
      <c r="F638" s="763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40">
        <v>781656</v>
      </c>
      <c r="O638" s="498"/>
      <c r="P638" s="49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</row>
    <row r="639" spans="1:26" ht="18.75">
      <c r="A639" s="597"/>
      <c r="B639" s="575"/>
      <c r="C639" s="763"/>
      <c r="D639" s="606" t="s">
        <v>21</v>
      </c>
      <c r="E639" s="763"/>
      <c r="F639" s="763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</row>
    <row r="640" spans="1:26" ht="18.75" hidden="1">
      <c r="A640" s="599"/>
      <c r="B640" s="607"/>
      <c r="C640" s="759"/>
      <c r="D640" s="759"/>
      <c r="E640" s="759" t="s">
        <v>18</v>
      </c>
      <c r="F640" s="759"/>
      <c r="G640" s="603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4"/>
      <c r="R640" s="604"/>
      <c r="S640" s="604"/>
      <c r="T640" s="604"/>
      <c r="U640" s="604"/>
      <c r="V640" s="604"/>
      <c r="W640" s="604"/>
      <c r="X640" s="604"/>
      <c r="Y640" s="604"/>
      <c r="Z640" s="604"/>
    </row>
    <row r="641" spans="1:26" ht="18.75" hidden="1">
      <c r="A641" s="599"/>
      <c r="B641" s="607"/>
      <c r="C641" s="759"/>
      <c r="D641" s="759"/>
      <c r="E641" s="759" t="s">
        <v>19</v>
      </c>
      <c r="F641" s="759"/>
      <c r="G641" s="603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4"/>
      <c r="R641" s="604"/>
      <c r="S641" s="604"/>
      <c r="T641" s="604"/>
      <c r="U641" s="604"/>
      <c r="V641" s="604"/>
      <c r="W641" s="604"/>
      <c r="X641" s="604"/>
      <c r="Y641" s="604"/>
      <c r="Z641" s="604"/>
    </row>
    <row r="642" spans="1:26" ht="19.5">
      <c r="A642" s="608"/>
      <c r="B642" s="618"/>
      <c r="C642" s="763" t="s">
        <v>16</v>
      </c>
      <c r="D642" s="896" t="s">
        <v>38</v>
      </c>
      <c r="E642" s="761"/>
      <c r="F642" s="761"/>
      <c r="G642" s="613"/>
      <c r="H642" s="762"/>
      <c r="I642" s="184"/>
      <c r="J642" s="184"/>
      <c r="K642" s="163"/>
      <c r="L642" s="163"/>
      <c r="M642" s="163"/>
      <c r="N642" s="163"/>
      <c r="O642" s="163"/>
      <c r="P642" s="163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</row>
    <row r="643" spans="1:26" ht="18.75">
      <c r="A643" s="744"/>
      <c r="B643" s="575"/>
      <c r="C643" s="763"/>
      <c r="D643" s="626"/>
      <c r="E643" s="746" t="s">
        <v>272</v>
      </c>
      <c r="F643" s="626"/>
      <c r="G643" s="762"/>
      <c r="H643" s="764" t="s">
        <v>273</v>
      </c>
      <c r="I643" s="270">
        <f ca="1">IFERROR(__xludf.DUMMYFUNCTION("IMPORTRANGE(""https://docs.google.com/spreadsheets/d/1QqKyyYR6Q21VydFLVH3TRQUabQu_ym0Zz7PgGX0-kHA/edit?usp=sharing"",""แผน!HR45"")"),0)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</row>
    <row r="644" spans="1:26" ht="18.75">
      <c r="A644" s="744"/>
      <c r="B644" s="575"/>
      <c r="C644" s="763"/>
      <c r="D644" s="626"/>
      <c r="E644" s="746" t="s">
        <v>274</v>
      </c>
      <c r="F644" s="626"/>
      <c r="G644" s="762"/>
      <c r="H644" s="764" t="s">
        <v>275</v>
      </c>
      <c r="I644" s="270">
        <f ca="1">IFERROR(__xludf.DUMMYFUNCTION("IMPORTRANGE(""https://docs.google.com/spreadsheets/d/1QqKyyYR6Q21VydFLVH3TRQUabQu_ym0Zz7PgGX0-kHA/edit?usp=sharing"",""แผน!HR45"")"),0)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</row>
    <row r="645" spans="1:26" ht="18.75">
      <c r="A645" s="744"/>
      <c r="B645" s="575"/>
      <c r="C645" s="763"/>
      <c r="D645" s="626"/>
      <c r="E645" s="746" t="s">
        <v>276</v>
      </c>
      <c r="F645" s="626"/>
      <c r="G645" s="762"/>
      <c r="H645" s="76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IFERROR(__xludf.DUMMYFUNCTION("IMPORTRANGE(""https://docs.google.com/spreadsheets/d/1XWAQStnk-4SwqDmLtmXYiTMKHgktTP8We1SCoS47DrQ/edit?usp=sharing"",""จัดที่ดิน!AS45"")"),1276)</f>
        <v>1276</v>
      </c>
      <c r="K645" s="163">
        <f t="shared" si="271"/>
        <v>0</v>
      </c>
      <c r="L645" s="163"/>
      <c r="M645" s="163"/>
      <c r="N645" s="498"/>
      <c r="O645" s="163"/>
      <c r="P645" s="163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</row>
    <row r="646" spans="1:26" ht="18.75">
      <c r="A646" s="744"/>
      <c r="B646" s="575"/>
      <c r="C646" s="763"/>
      <c r="D646" s="626"/>
      <c r="E646" s="626"/>
      <c r="F646" s="626"/>
      <c r="G646" s="762"/>
      <c r="H646" s="76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IFERROR(__xludf.DUMMYFUNCTION("IMPORTRANGE(""https://docs.google.com/spreadsheets/d/1XWAQStnk-4SwqDmLtmXYiTMKHgktTP8We1SCoS47DrQ/edit?usp=sharing"",""จัดที่ดิน!AT45"")"),591.74)</f>
        <v>591.74</v>
      </c>
      <c r="K646" s="498">
        <f t="shared" si="271"/>
        <v>0</v>
      </c>
      <c r="L646" s="163"/>
      <c r="M646" s="163"/>
      <c r="N646" s="498"/>
      <c r="O646" s="163"/>
      <c r="P646" s="163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</row>
    <row r="647" spans="1:26" ht="18.75">
      <c r="A647" s="744"/>
      <c r="B647" s="575"/>
      <c r="C647" s="763"/>
      <c r="D647" s="626"/>
      <c r="E647" s="746" t="s">
        <v>162</v>
      </c>
      <c r="F647" s="626"/>
      <c r="G647" s="762"/>
      <c r="H647" s="764" t="s">
        <v>35</v>
      </c>
      <c r="I647" s="270">
        <f ca="1">IFERROR(__xludf.DUMMYFUNCTION("IMPORTRANGE(""https://docs.google.com/spreadsheets/d/1QqKyyYR6Q21VydFLVH3TRQUabQu_ym0Zz7PgGX0-kHA/edit?usp=sharing"",""แผน!HS45"")"),1200)</f>
        <v>1200</v>
      </c>
      <c r="J647" s="270">
        <f ca="1">IFERROR(__xludf.DUMMYFUNCTION("IMPORTRANGE(""https://docs.google.com/spreadsheets/d/1XWAQStnk-4SwqDmLtmXYiTMKHgktTP8We1SCoS47DrQ/edit?usp=sharing"",""จัดที่ดิน!AU45"")"),1193)</f>
        <v>1193</v>
      </c>
      <c r="K647" s="163">
        <f t="shared" ca="1" si="271"/>
        <v>99.416666666666671</v>
      </c>
      <c r="L647" s="163"/>
      <c r="M647" s="163"/>
      <c r="N647" s="163"/>
      <c r="O647" s="163"/>
      <c r="P647" s="163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</row>
    <row r="648" spans="1:26" ht="18.75">
      <c r="A648" s="744"/>
      <c r="B648" s="575"/>
      <c r="C648" s="763"/>
      <c r="D648" s="626"/>
      <c r="E648" s="626"/>
      <c r="F648" s="626"/>
      <c r="G648" s="762"/>
      <c r="H648" s="76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IFERROR(__xludf.DUMMYFUNCTION("IMPORTRANGE(""https://docs.google.com/spreadsheets/d/1XWAQStnk-4SwqDmLtmXYiTMKHgktTP8We1SCoS47DrQ/edit?usp=sharing"",""จัดที่ดิน!AV45"")"),592.16)</f>
        <v>592.16</v>
      </c>
      <c r="K648" s="498">
        <f t="shared" si="271"/>
        <v>0</v>
      </c>
      <c r="L648" s="163"/>
      <c r="M648" s="163"/>
      <c r="N648" s="163"/>
      <c r="O648" s="163"/>
      <c r="P648" s="163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</row>
    <row r="649" spans="1:26" ht="18.75">
      <c r="A649" s="744"/>
      <c r="B649" s="575"/>
      <c r="C649" s="763"/>
      <c r="D649" s="626"/>
      <c r="E649" s="746" t="s">
        <v>277</v>
      </c>
      <c r="F649" s="626"/>
      <c r="G649" s="762"/>
      <c r="H649" s="764" t="s">
        <v>35</v>
      </c>
      <c r="I649" s="270">
        <f ca="1">IFERROR(__xludf.DUMMYFUNCTION("IMPORTRANGE(""https://docs.google.com/spreadsheets/d/1QqKyyYR6Q21VydFLVH3TRQUabQu_ym0Zz7PgGX0-kHA/edit?usp=sharing"",""แผน!HS45"")"),1200)</f>
        <v>1200</v>
      </c>
      <c r="J649" s="270">
        <f ca="1">IFERROR(__xludf.DUMMYFUNCTION("IMPORTRANGE(""https://docs.google.com/spreadsheets/d/1XWAQStnk-4SwqDmLtmXYiTMKHgktTP8We1SCoS47DrQ/edit?usp=sharing"",""จัดที่ดิน!AW45"")"),1213)</f>
        <v>1213</v>
      </c>
      <c r="K649" s="163">
        <f t="shared" ca="1" si="271"/>
        <v>101.08333333333333</v>
      </c>
      <c r="L649" s="163"/>
      <c r="M649" s="163"/>
      <c r="N649" s="163"/>
      <c r="O649" s="163"/>
      <c r="P649" s="163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</row>
    <row r="650" spans="1:26" ht="18.75">
      <c r="A650" s="744"/>
      <c r="B650" s="575"/>
      <c r="C650" s="763"/>
      <c r="D650" s="626"/>
      <c r="E650" s="626"/>
      <c r="F650" s="626"/>
      <c r="G650" s="762"/>
      <c r="H650" s="76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IFERROR(__xludf.DUMMYFUNCTION("IMPORTRANGE(""https://docs.google.com/spreadsheets/d/1XWAQStnk-4SwqDmLtmXYiTMKHgktTP8We1SCoS47DrQ/edit?usp=sharing"",""จัดที่ดิน!AX45"")"),600.59)</f>
        <v>600.59</v>
      </c>
      <c r="K650" s="498">
        <f t="shared" si="271"/>
        <v>0</v>
      </c>
      <c r="L650" s="163"/>
      <c r="M650" s="163"/>
      <c r="N650" s="163"/>
      <c r="O650" s="163"/>
      <c r="P650" s="163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</row>
    <row r="651" spans="1:26" ht="18.75">
      <c r="A651" s="744"/>
      <c r="B651" s="575"/>
      <c r="C651" s="763"/>
      <c r="D651" s="626"/>
      <c r="E651" s="746" t="s">
        <v>278</v>
      </c>
      <c r="F651" s="626"/>
      <c r="G651" s="762"/>
      <c r="H651" s="764" t="s">
        <v>35</v>
      </c>
      <c r="I651" s="270">
        <f ca="1">IFERROR(__xludf.DUMMYFUNCTION("IMPORTRANGE(""https://docs.google.com/spreadsheets/d/1QqKyyYR6Q21VydFLVH3TRQUabQu_ym0Zz7PgGX0-kHA/edit?usp=sharing"",""แผน!HS45"")"),1200)</f>
        <v>1200</v>
      </c>
      <c r="J651" s="270">
        <f ca="1">IFERROR(__xludf.DUMMYFUNCTION("IMPORTRANGE(""https://docs.google.com/spreadsheets/d/1XWAQStnk-4SwqDmLtmXYiTMKHgktTP8We1SCoS47DrQ/edit?usp=sharing"",""จัดที่ดิน!AY45"")"),1212)</f>
        <v>1212</v>
      </c>
      <c r="K651" s="163">
        <f t="shared" ca="1" si="271"/>
        <v>101</v>
      </c>
      <c r="L651" s="163"/>
      <c r="M651" s="163"/>
      <c r="N651" s="163"/>
      <c r="O651" s="163"/>
      <c r="P651" s="163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</row>
    <row r="652" spans="1:26" ht="18.75">
      <c r="A652" s="74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8"/>
      <c r="C652" s="749"/>
      <c r="D652" s="734"/>
      <c r="E652" s="734"/>
      <c r="F652" s="734"/>
      <c r="G652" s="735"/>
      <c r="H652" s="505" t="s">
        <v>46</v>
      </c>
      <c r="I652" s="506">
        <v>0</v>
      </c>
      <c r="J652" s="506">
        <f ca="1">IFERROR(__xludf.DUMMYFUNCTION("IMPORTRANGE(""https://docs.google.com/spreadsheets/d/1XWAQStnk-4SwqDmLtmXYiTMKHgktTP8We1SCoS47DrQ/edit?usp=sharing"",""จัดที่ดิน!AZ45"")"),598.0575)</f>
        <v>598.0575</v>
      </c>
      <c r="K652" s="507">
        <f t="shared" si="271"/>
        <v>0</v>
      </c>
      <c r="L652" s="385"/>
      <c r="M652" s="385"/>
      <c r="N652" s="385"/>
      <c r="O652" s="385"/>
      <c r="P652" s="385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</row>
    <row r="653" spans="1:26" ht="19.5">
      <c r="A653" s="750">
        <v>8</v>
      </c>
      <c r="B653" s="737" t="s">
        <v>279</v>
      </c>
      <c r="C653" s="738"/>
      <c r="D653" s="738"/>
      <c r="E653" s="738"/>
      <c r="F653" s="738"/>
      <c r="G653" s="739"/>
      <c r="H653" s="739"/>
      <c r="I653" s="751"/>
      <c r="J653" s="751"/>
      <c r="K653" s="743"/>
      <c r="L653" s="743"/>
      <c r="M653" s="743"/>
      <c r="N653" s="743"/>
      <c r="O653" s="743"/>
      <c r="P653" s="743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</row>
    <row r="654" spans="1:26" ht="19.5" hidden="1">
      <c r="A654" s="673"/>
      <c r="B654" s="672" t="s">
        <v>280</v>
      </c>
      <c r="C654" s="673"/>
      <c r="D654" s="673"/>
      <c r="E654" s="673"/>
      <c r="F654" s="673"/>
      <c r="G654" s="674"/>
      <c r="H654" s="707" t="s">
        <v>46</v>
      </c>
      <c r="I654" s="708">
        <f t="shared" ref="I654:J654" ca="1" si="272">I669</f>
        <v>0</v>
      </c>
      <c r="J654" s="708">
        <f t="shared" si="272"/>
        <v>0</v>
      </c>
      <c r="K654" s="677">
        <f ca="1">IF(I654&gt;0,J654*100/I654,0)</f>
        <v>0</v>
      </c>
      <c r="L654" s="678"/>
      <c r="M654" s="678"/>
      <c r="N654" s="678"/>
      <c r="O654" s="678"/>
      <c r="P654" s="6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</row>
    <row r="655" spans="1:26" ht="19.5" hidden="1">
      <c r="A655" s="597"/>
      <c r="B655" s="763"/>
      <c r="C655" s="763" t="s">
        <v>16</v>
      </c>
      <c r="D655" s="863" t="s">
        <v>17</v>
      </c>
      <c r="E655" s="857"/>
      <c r="F655" s="857"/>
      <c r="G655" s="189"/>
      <c r="H655" s="598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</row>
    <row r="656" spans="1:26" ht="18.75" hidden="1">
      <c r="A656" s="599"/>
      <c r="B656" s="759"/>
      <c r="C656" s="759"/>
      <c r="D656" s="720"/>
      <c r="E656" s="759" t="s">
        <v>185</v>
      </c>
      <c r="F656" s="759"/>
      <c r="G656" s="603"/>
      <c r="H656" s="165" t="s">
        <v>12</v>
      </c>
      <c r="I656" s="617"/>
      <c r="J656" s="617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4"/>
      <c r="R656" s="604"/>
      <c r="S656" s="604"/>
      <c r="T656" s="604"/>
      <c r="U656" s="604"/>
      <c r="V656" s="604"/>
      <c r="W656" s="604"/>
      <c r="X656" s="604"/>
      <c r="Y656" s="604"/>
      <c r="Z656" s="604"/>
    </row>
    <row r="657" spans="1:26" ht="18.75" hidden="1">
      <c r="A657" s="599"/>
      <c r="B657" s="607"/>
      <c r="C657" s="759"/>
      <c r="D657" s="720"/>
      <c r="E657" s="759" t="s">
        <v>186</v>
      </c>
      <c r="F657" s="759"/>
      <c r="G657" s="603"/>
      <c r="H657" s="165" t="s">
        <v>12</v>
      </c>
      <c r="I657" s="617"/>
      <c r="J657" s="617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4"/>
      <c r="R657" s="604"/>
      <c r="S657" s="604"/>
      <c r="T657" s="604"/>
      <c r="U657" s="604"/>
      <c r="V657" s="604"/>
      <c r="W657" s="604"/>
      <c r="X657" s="604"/>
      <c r="Y657" s="604"/>
      <c r="Z657" s="604"/>
    </row>
    <row r="658" spans="1:26" ht="18.75" hidden="1">
      <c r="A658" s="597"/>
      <c r="B658" s="575"/>
      <c r="C658" s="763"/>
      <c r="D658" s="606" t="s">
        <v>20</v>
      </c>
      <c r="E658" s="763"/>
      <c r="F658" s="763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</row>
    <row r="659" spans="1:26" ht="18.75" hidden="1">
      <c r="A659" s="599"/>
      <c r="B659" s="607"/>
      <c r="C659" s="759"/>
      <c r="D659" s="720"/>
      <c r="E659" s="759" t="s">
        <v>185</v>
      </c>
      <c r="F659" s="759"/>
      <c r="G659" s="603"/>
      <c r="H659" s="165" t="s">
        <v>12</v>
      </c>
      <c r="I659" s="617"/>
      <c r="J659" s="617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4"/>
      <c r="R659" s="604"/>
      <c r="S659" s="604"/>
      <c r="T659" s="604"/>
      <c r="U659" s="604"/>
      <c r="V659" s="604"/>
      <c r="W659" s="604"/>
      <c r="X659" s="604"/>
      <c r="Y659" s="604"/>
      <c r="Z659" s="604"/>
    </row>
    <row r="660" spans="1:26" ht="18.75" hidden="1">
      <c r="A660" s="599"/>
      <c r="B660" s="607"/>
      <c r="C660" s="759"/>
      <c r="D660" s="720"/>
      <c r="E660" s="759" t="s">
        <v>186</v>
      </c>
      <c r="F660" s="759"/>
      <c r="G660" s="603"/>
      <c r="H660" s="165" t="s">
        <v>12</v>
      </c>
      <c r="I660" s="617"/>
      <c r="J660" s="617"/>
      <c r="K660" s="93"/>
      <c r="L660" s="93">
        <f ca="1">IFERROR(__xludf.DUMMYFUNCTION("IMPORTRANGE(""https://docs.google.com/spreadsheets/d/1QqKyyYR6Q21VydFLVH3TRQUabQu_ym0Zz7PgGX0-kHA/edit?usp=sharing"",""แผน!HV45"")"),0)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4"/>
      <c r="R660" s="604"/>
      <c r="S660" s="604"/>
      <c r="T660" s="604"/>
      <c r="U660" s="604"/>
      <c r="V660" s="604"/>
      <c r="W660" s="604"/>
      <c r="X660" s="604"/>
      <c r="Y660" s="604"/>
      <c r="Z660" s="604"/>
    </row>
    <row r="661" spans="1:26" ht="18.75" hidden="1">
      <c r="A661" s="574"/>
      <c r="B661" s="575"/>
      <c r="C661" s="763"/>
      <c r="D661" s="763"/>
      <c r="E661" s="763"/>
      <c r="F661" s="763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40">
        <v>0</v>
      </c>
      <c r="O661" s="498"/>
      <c r="P661" s="49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</row>
    <row r="662" spans="1:26" ht="18.75" hidden="1">
      <c r="A662" s="574"/>
      <c r="B662" s="575"/>
      <c r="C662" s="763"/>
      <c r="D662" s="763"/>
      <c r="E662" s="763"/>
      <c r="F662" s="763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40">
        <v>0</v>
      </c>
      <c r="O662" s="498"/>
      <c r="P662" s="49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</row>
    <row r="663" spans="1:26" ht="18.75" hidden="1">
      <c r="A663" s="574"/>
      <c r="B663" s="575"/>
      <c r="C663" s="575"/>
      <c r="D663" s="763"/>
      <c r="E663" s="763"/>
      <c r="F663" s="763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40">
        <v>0</v>
      </c>
      <c r="O663" s="498"/>
      <c r="P663" s="49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</row>
    <row r="664" spans="1:26" ht="18.75" hidden="1">
      <c r="A664" s="574"/>
      <c r="B664" s="575"/>
      <c r="C664" s="575"/>
      <c r="D664" s="575"/>
      <c r="E664" s="763"/>
      <c r="F664" s="763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40">
        <v>0</v>
      </c>
      <c r="O664" s="498"/>
      <c r="P664" s="49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</row>
    <row r="665" spans="1:26" ht="18.75" hidden="1">
      <c r="A665" s="597"/>
      <c r="B665" s="575"/>
      <c r="C665" s="575"/>
      <c r="D665" s="606" t="s">
        <v>21</v>
      </c>
      <c r="E665" s="763"/>
      <c r="F665" s="763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</row>
    <row r="666" spans="1:26" ht="18.75" hidden="1">
      <c r="A666" s="599"/>
      <c r="B666" s="607"/>
      <c r="C666" s="607"/>
      <c r="D666" s="607"/>
      <c r="E666" s="759" t="s">
        <v>18</v>
      </c>
      <c r="F666" s="759"/>
      <c r="G666" s="603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4"/>
      <c r="R666" s="604"/>
      <c r="S666" s="604"/>
      <c r="T666" s="604"/>
      <c r="U666" s="604"/>
      <c r="V666" s="604"/>
      <c r="W666" s="604"/>
      <c r="X666" s="604"/>
      <c r="Y666" s="604"/>
      <c r="Z666" s="604"/>
    </row>
    <row r="667" spans="1:26" ht="18.75" hidden="1">
      <c r="A667" s="599"/>
      <c r="B667" s="607"/>
      <c r="C667" s="607"/>
      <c r="D667" s="607"/>
      <c r="E667" s="759" t="s">
        <v>19</v>
      </c>
      <c r="F667" s="759"/>
      <c r="G667" s="603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4"/>
      <c r="R667" s="604"/>
      <c r="S667" s="604"/>
      <c r="T667" s="604"/>
      <c r="U667" s="604"/>
      <c r="V667" s="604"/>
      <c r="W667" s="604"/>
      <c r="X667" s="604"/>
      <c r="Y667" s="604"/>
      <c r="Z667" s="604"/>
    </row>
    <row r="668" spans="1:26" ht="19.5" hidden="1">
      <c r="A668" s="608"/>
      <c r="B668" s="618"/>
      <c r="C668" s="575" t="s">
        <v>16</v>
      </c>
      <c r="D668" s="893" t="s">
        <v>38</v>
      </c>
      <c r="E668" s="761"/>
      <c r="F668" s="761"/>
      <c r="G668" s="613"/>
      <c r="H668" s="762"/>
      <c r="I668" s="184"/>
      <c r="J668" s="184"/>
      <c r="K668" s="163"/>
      <c r="L668" s="163"/>
      <c r="M668" s="163"/>
      <c r="N668" s="163"/>
      <c r="O668" s="163"/>
      <c r="P668" s="163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</row>
    <row r="669" spans="1:26" ht="19.5" hidden="1">
      <c r="A669" s="608"/>
      <c r="B669" s="618"/>
      <c r="C669" s="618"/>
      <c r="D669" s="618" t="s">
        <v>281</v>
      </c>
      <c r="E669" s="626"/>
      <c r="F669" s="626"/>
      <c r="G669" s="762"/>
      <c r="H669" s="767" t="s">
        <v>46</v>
      </c>
      <c r="I669" s="681">
        <f ca="1">IFERROR(__xludf.DUMMYFUNCTION("IMPORTRANGE(""https://docs.google.com/spreadsheets/d/1QqKyyYR6Q21VydFLVH3TRQUabQu_ym0Zz7PgGX0-kHA/edit?usp=sharing"",""แผน!IA45"")"),0)</f>
        <v>0</v>
      </c>
      <c r="J669" s="681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</row>
    <row r="670" spans="1:26" ht="18.75" hidden="1">
      <c r="A670" s="608"/>
      <c r="B670" s="618"/>
      <c r="C670" s="618"/>
      <c r="D670" s="618"/>
      <c r="E670" s="626" t="s">
        <v>282</v>
      </c>
      <c r="F670" s="626"/>
      <c r="G670" s="762"/>
      <c r="H670" s="764" t="s">
        <v>66</v>
      </c>
      <c r="I670" s="270">
        <f ca="1">IFERROR(__xludf.DUMMYFUNCTION("IMPORTRANGE(""https://docs.google.com/spreadsheets/d/1QqKyyYR6Q21VydFLVH3TRQUabQu_ym0Zz7PgGX0-kHA/edit?usp=sharing"",""แผน!HZ45"")"),0)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</row>
    <row r="671" spans="1:26" ht="18.75" hidden="1">
      <c r="A671" s="608"/>
      <c r="B671" s="618"/>
      <c r="C671" s="618"/>
      <c r="D671" s="618"/>
      <c r="E671" s="626" t="s">
        <v>283</v>
      </c>
      <c r="F671" s="626"/>
      <c r="G671" s="762"/>
      <c r="H671" s="764" t="s">
        <v>66</v>
      </c>
      <c r="I671" s="270">
        <f ca="1">IFERROR(__xludf.DUMMYFUNCTION("IMPORTRANGE(""https://docs.google.com/spreadsheets/d/1QqKyyYR6Q21VydFLVH3TRQUabQu_ym0Zz7PgGX0-kHA/edit?usp=sharing"",""แผน!HZ45"")"),0)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</row>
    <row r="672" spans="1:26" ht="18.75" hidden="1">
      <c r="A672" s="608"/>
      <c r="B672" s="618"/>
      <c r="C672" s="618"/>
      <c r="D672" s="618"/>
      <c r="E672" s="626" t="s">
        <v>284</v>
      </c>
      <c r="F672" s="626"/>
      <c r="G672" s="762"/>
      <c r="H672" s="764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</row>
    <row r="673" spans="1:26" ht="18.75" hidden="1">
      <c r="A673" s="608"/>
      <c r="B673" s="618"/>
      <c r="C673" s="618"/>
      <c r="D673" s="618"/>
      <c r="E673" s="626" t="s">
        <v>285</v>
      </c>
      <c r="F673" s="626"/>
      <c r="G673" s="762"/>
      <c r="H673" s="764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</row>
    <row r="674" spans="1:26" ht="18.75" hidden="1">
      <c r="A674" s="608"/>
      <c r="B674" s="618"/>
      <c r="C674" s="618"/>
      <c r="D674" s="618"/>
      <c r="E674" s="626" t="s">
        <v>286</v>
      </c>
      <c r="F674" s="626"/>
      <c r="G674" s="762"/>
      <c r="H674" s="764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</row>
    <row r="675" spans="1:26" ht="19.5" hidden="1">
      <c r="A675" s="608"/>
      <c r="B675" s="618"/>
      <c r="C675" s="618"/>
      <c r="D675" s="618"/>
      <c r="E675" s="626" t="s">
        <v>287</v>
      </c>
      <c r="F675" s="626"/>
      <c r="G675" s="762"/>
      <c r="H675" s="764" t="s">
        <v>46</v>
      </c>
      <c r="I675" s="270"/>
      <c r="J675" s="681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</row>
    <row r="676" spans="1:26" ht="18.75" hidden="1">
      <c r="A676" s="608"/>
      <c r="B676" s="618"/>
      <c r="C676" s="618"/>
      <c r="D676" s="618"/>
      <c r="E676" s="626"/>
      <c r="F676" s="626" t="s">
        <v>288</v>
      </c>
      <c r="G676" s="762"/>
      <c r="H676" s="764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</row>
    <row r="677" spans="1:26" ht="18.75" hidden="1">
      <c r="A677" s="608"/>
      <c r="B677" s="618"/>
      <c r="C677" s="618"/>
      <c r="D677" s="618"/>
      <c r="E677" s="626"/>
      <c r="F677" s="626" t="s">
        <v>289</v>
      </c>
      <c r="G677" s="762"/>
      <c r="H677" s="764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</row>
    <row r="678" spans="1:26" ht="19.5" hidden="1">
      <c r="A678" s="608"/>
      <c r="B678" s="618"/>
      <c r="C678" s="618"/>
      <c r="D678" s="618" t="s">
        <v>290</v>
      </c>
      <c r="E678" s="626"/>
      <c r="F678" s="626"/>
      <c r="G678" s="762"/>
      <c r="H678" s="764" t="s">
        <v>46</v>
      </c>
      <c r="I678" s="681">
        <f ca="1">IFERROR(__xludf.DUMMYFUNCTION("IMPORTRANGE(""https://docs.google.com/spreadsheets/d/1QqKyyYR6Q21VydFLVH3TRQUabQu_ym0Zz7PgGX0-kHA/edit?usp=sharing"",""แผน!IB45"")"),0)</f>
        <v>0</v>
      </c>
      <c r="J678" s="681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</row>
    <row r="679" spans="1:26" ht="18.75" hidden="1">
      <c r="A679" s="608"/>
      <c r="B679" s="618"/>
      <c r="C679" s="618"/>
      <c r="D679" s="618"/>
      <c r="E679" s="626" t="s">
        <v>291</v>
      </c>
      <c r="F679" s="626"/>
      <c r="G679" s="762"/>
      <c r="H679" s="764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</row>
    <row r="680" spans="1:26" ht="18.75" hidden="1">
      <c r="A680" s="608"/>
      <c r="B680" s="618"/>
      <c r="C680" s="618"/>
      <c r="D680" s="618"/>
      <c r="E680" s="626"/>
      <c r="F680" s="626" t="s">
        <v>288</v>
      </c>
      <c r="G680" s="762"/>
      <c r="H680" s="764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</row>
    <row r="681" spans="1:26" ht="18.75" hidden="1">
      <c r="A681" s="608"/>
      <c r="B681" s="618"/>
      <c r="C681" s="618"/>
      <c r="D681" s="618"/>
      <c r="E681" s="626"/>
      <c r="F681" s="626" t="s">
        <v>289</v>
      </c>
      <c r="G681" s="762"/>
      <c r="H681" s="764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</row>
    <row r="682" spans="1:26" ht="18.75" hidden="1">
      <c r="A682" s="608"/>
      <c r="B682" s="618"/>
      <c r="C682" s="618"/>
      <c r="D682" s="618"/>
      <c r="E682" s="626" t="s">
        <v>292</v>
      </c>
      <c r="F682" s="626"/>
      <c r="G682" s="762"/>
      <c r="H682" s="764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</row>
    <row r="683" spans="1:26" ht="18.75" hidden="1">
      <c r="A683" s="608"/>
      <c r="B683" s="618"/>
      <c r="C683" s="618"/>
      <c r="D683" s="618"/>
      <c r="E683" s="626"/>
      <c r="F683" s="626" t="s">
        <v>293</v>
      </c>
      <c r="G683" s="762"/>
      <c r="H683" s="764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</row>
    <row r="684" spans="1:26" ht="19.5">
      <c r="A684" s="753"/>
      <c r="B684" s="754" t="s">
        <v>294</v>
      </c>
      <c r="C684" s="753"/>
      <c r="D684" s="753"/>
      <c r="E684" s="753"/>
      <c r="F684" s="753"/>
      <c r="G684" s="755"/>
      <c r="H684" s="755"/>
      <c r="I684" s="756"/>
      <c r="J684" s="756"/>
      <c r="K684" s="757"/>
      <c r="L684" s="757"/>
      <c r="M684" s="757"/>
      <c r="N684" s="757"/>
      <c r="O684" s="757"/>
      <c r="P684" s="757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</row>
    <row r="685" spans="1:26" ht="19.5">
      <c r="A685" s="597"/>
      <c r="B685" s="763"/>
      <c r="C685" s="763" t="s">
        <v>16</v>
      </c>
      <c r="D685" s="863" t="s">
        <v>17</v>
      </c>
      <c r="E685" s="857"/>
      <c r="F685" s="857"/>
      <c r="G685" s="189"/>
      <c r="H685" s="598" t="s">
        <v>12</v>
      </c>
      <c r="I685" s="270"/>
      <c r="J685" s="270"/>
      <c r="K685" s="498"/>
      <c r="L685" s="195">
        <f t="shared" ref="L685:N685" ca="1" si="282">L686+L687</f>
        <v>1940</v>
      </c>
      <c r="M685" s="195">
        <f t="shared" ca="1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</row>
    <row r="686" spans="1:26" ht="18.75" hidden="1">
      <c r="A686" s="599"/>
      <c r="B686" s="759"/>
      <c r="C686" s="759"/>
      <c r="D686" s="720"/>
      <c r="E686" s="759" t="s">
        <v>185</v>
      </c>
      <c r="F686" s="759"/>
      <c r="G686" s="603"/>
      <c r="H686" s="165" t="s">
        <v>12</v>
      </c>
      <c r="I686" s="617"/>
      <c r="J686" s="617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4"/>
      <c r="R686" s="604"/>
      <c r="S686" s="604"/>
      <c r="T686" s="604"/>
      <c r="U686" s="604"/>
      <c r="V686" s="604"/>
      <c r="W686" s="604"/>
      <c r="X686" s="604"/>
      <c r="Y686" s="604"/>
      <c r="Z686" s="604"/>
    </row>
    <row r="687" spans="1:26" ht="18.75" hidden="1">
      <c r="A687" s="599"/>
      <c r="B687" s="607"/>
      <c r="C687" s="759"/>
      <c r="D687" s="720"/>
      <c r="E687" s="759" t="s">
        <v>186</v>
      </c>
      <c r="F687" s="759"/>
      <c r="G687" s="603"/>
      <c r="H687" s="165" t="s">
        <v>12</v>
      </c>
      <c r="I687" s="617"/>
      <c r="J687" s="617"/>
      <c r="K687" s="93"/>
      <c r="L687" s="93">
        <f t="shared" ca="1" si="285"/>
        <v>1940</v>
      </c>
      <c r="M687" s="93">
        <f t="shared" ca="1" si="285"/>
        <v>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4"/>
      <c r="R687" s="604"/>
      <c r="S687" s="604"/>
      <c r="T687" s="604"/>
      <c r="U687" s="604"/>
      <c r="V687" s="604"/>
      <c r="W687" s="604"/>
      <c r="X687" s="604"/>
      <c r="Y687" s="604"/>
      <c r="Z687" s="604"/>
    </row>
    <row r="688" spans="1:26" ht="18.75">
      <c r="A688" s="597"/>
      <c r="B688" s="575"/>
      <c r="C688" s="763"/>
      <c r="D688" s="606" t="s">
        <v>20</v>
      </c>
      <c r="E688" s="763"/>
      <c r="F688" s="763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1940</v>
      </c>
      <c r="M688" s="498">
        <f t="shared" ca="1" si="286"/>
        <v>0</v>
      </c>
      <c r="N688" s="498">
        <f t="shared" si="286"/>
        <v>0</v>
      </c>
      <c r="O688" s="498">
        <f t="shared" ca="1" si="283"/>
        <v>0</v>
      </c>
      <c r="P688" s="498">
        <f t="shared" ca="1" si="284"/>
        <v>0</v>
      </c>
      <c r="Q688" s="578"/>
      <c r="R688" s="578"/>
      <c r="S688" s="578"/>
      <c r="T688" s="578"/>
      <c r="U688" s="578"/>
      <c r="V688" s="578"/>
      <c r="W688" s="578"/>
      <c r="X688" s="578"/>
      <c r="Y688" s="578"/>
      <c r="Z688" s="578"/>
    </row>
    <row r="689" spans="1:26" ht="18.75" hidden="1">
      <c r="A689" s="599"/>
      <c r="B689" s="607"/>
      <c r="C689" s="759"/>
      <c r="D689" s="720"/>
      <c r="E689" s="759" t="s">
        <v>185</v>
      </c>
      <c r="F689" s="759"/>
      <c r="G689" s="603"/>
      <c r="H689" s="165" t="s">
        <v>12</v>
      </c>
      <c r="I689" s="617"/>
      <c r="J689" s="617"/>
      <c r="K689" s="93"/>
      <c r="L689" s="93">
        <v>0</v>
      </c>
      <c r="M689" s="93">
        <v>0</v>
      </c>
      <c r="N689" s="93">
        <v>0</v>
      </c>
      <c r="O689" s="93"/>
      <c r="P689" s="93"/>
      <c r="Q689" s="604"/>
      <c r="R689" s="604"/>
      <c r="S689" s="604"/>
      <c r="T689" s="604"/>
      <c r="U689" s="604"/>
      <c r="V689" s="604"/>
      <c r="W689" s="604"/>
      <c r="X689" s="604"/>
      <c r="Y689" s="604"/>
      <c r="Z689" s="604"/>
    </row>
    <row r="690" spans="1:26" ht="18.75" hidden="1">
      <c r="A690" s="599"/>
      <c r="B690" s="607"/>
      <c r="C690" s="759"/>
      <c r="D690" s="720"/>
      <c r="E690" s="759" t="s">
        <v>186</v>
      </c>
      <c r="F690" s="759"/>
      <c r="G690" s="603"/>
      <c r="H690" s="165" t="s">
        <v>12</v>
      </c>
      <c r="I690" s="617"/>
      <c r="J690" s="617"/>
      <c r="K690" s="93"/>
      <c r="L690" s="93">
        <f ca="1">IFERROR(__xludf.DUMMYFUNCTION("IMPORTRANGE(""https://docs.google.com/spreadsheets/d/1QqKyyYR6Q21VydFLVH3TRQUabQu_ym0Zz7PgGX0-kHA/edit?usp=sharing"",""แผน!HW45"")"),1940)</f>
        <v>1940</v>
      </c>
      <c r="M690" s="93">
        <f ca="1">L690-1940</f>
        <v>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4"/>
      <c r="R690" s="604"/>
      <c r="S690" s="604"/>
      <c r="T690" s="604"/>
      <c r="U690" s="604"/>
      <c r="V690" s="604"/>
      <c r="W690" s="604"/>
      <c r="X690" s="604"/>
      <c r="Y690" s="604"/>
      <c r="Z690" s="604"/>
    </row>
    <row r="691" spans="1:26" ht="18.75">
      <c r="A691" s="574"/>
      <c r="B691" s="575"/>
      <c r="C691" s="763"/>
      <c r="D691" s="763"/>
      <c r="E691" s="763"/>
      <c r="F691" s="763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40">
        <v>0</v>
      </c>
      <c r="O691" s="498"/>
      <c r="P691" s="49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</row>
    <row r="692" spans="1:26" ht="18.75">
      <c r="A692" s="574"/>
      <c r="B692" s="575"/>
      <c r="C692" s="763"/>
      <c r="D692" s="763"/>
      <c r="E692" s="763"/>
      <c r="F692" s="763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40">
        <v>0</v>
      </c>
      <c r="O692" s="498"/>
      <c r="P692" s="49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</row>
    <row r="693" spans="1:26" ht="18.75">
      <c r="A693" s="574"/>
      <c r="B693" s="575"/>
      <c r="C693" s="763"/>
      <c r="D693" s="763"/>
      <c r="E693" s="763"/>
      <c r="F693" s="763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40">
        <v>0</v>
      </c>
      <c r="O693" s="498"/>
      <c r="P693" s="49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</row>
    <row r="694" spans="1:26" ht="18.75">
      <c r="A694" s="574"/>
      <c r="B694" s="575"/>
      <c r="C694" s="763"/>
      <c r="D694" s="763"/>
      <c r="E694" s="763"/>
      <c r="F694" s="763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40">
        <v>0</v>
      </c>
      <c r="O694" s="498"/>
      <c r="P694" s="49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</row>
    <row r="695" spans="1:26" ht="18.75">
      <c r="A695" s="597"/>
      <c r="B695" s="575"/>
      <c r="C695" s="763"/>
      <c r="D695" s="606" t="s">
        <v>21</v>
      </c>
      <c r="E695" s="763"/>
      <c r="F695" s="763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</row>
    <row r="696" spans="1:26" ht="18.75" hidden="1">
      <c r="A696" s="599"/>
      <c r="B696" s="607"/>
      <c r="C696" s="759"/>
      <c r="D696" s="759"/>
      <c r="E696" s="759" t="s">
        <v>18</v>
      </c>
      <c r="F696" s="759"/>
      <c r="G696" s="603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4"/>
      <c r="R696" s="604"/>
      <c r="S696" s="604"/>
      <c r="T696" s="604"/>
      <c r="U696" s="604"/>
      <c r="V696" s="604"/>
      <c r="W696" s="604"/>
      <c r="X696" s="604"/>
      <c r="Y696" s="604"/>
      <c r="Z696" s="604"/>
    </row>
    <row r="697" spans="1:26" ht="18.75" hidden="1">
      <c r="A697" s="599"/>
      <c r="B697" s="607"/>
      <c r="C697" s="759"/>
      <c r="D697" s="759"/>
      <c r="E697" s="759" t="s">
        <v>19</v>
      </c>
      <c r="F697" s="759"/>
      <c r="G697" s="603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4"/>
      <c r="R697" s="604"/>
      <c r="S697" s="604"/>
      <c r="T697" s="604"/>
      <c r="U697" s="604"/>
      <c r="V697" s="604"/>
      <c r="W697" s="604"/>
      <c r="X697" s="604"/>
      <c r="Y697" s="604"/>
      <c r="Z697" s="604"/>
    </row>
    <row r="698" spans="1:26" ht="19.5">
      <c r="A698" s="608"/>
      <c r="B698" s="618"/>
      <c r="C698" s="763" t="s">
        <v>16</v>
      </c>
      <c r="D698" s="898" t="s">
        <v>38</v>
      </c>
      <c r="E698" s="761"/>
      <c r="F698" s="761"/>
      <c r="G698" s="613"/>
      <c r="H698" s="762"/>
      <c r="I698" s="184"/>
      <c r="J698" s="184"/>
      <c r="K698" s="163"/>
      <c r="L698" s="163"/>
      <c r="M698" s="163"/>
      <c r="N698" s="163"/>
      <c r="O698" s="163"/>
      <c r="P698" s="163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</row>
    <row r="699" spans="1:26" ht="18.75">
      <c r="A699" s="744"/>
      <c r="B699" s="763"/>
      <c r="C699" s="763"/>
      <c r="D699" s="763" t="s">
        <v>295</v>
      </c>
      <c r="E699" s="763"/>
      <c r="F699" s="763"/>
      <c r="G699" s="189"/>
      <c r="H699" s="764" t="s">
        <v>46</v>
      </c>
      <c r="I699" s="765">
        <f ca="1">IFERROR(__xludf.DUMMYFUNCTION("IMPORTRANGE(""https://docs.google.com/spreadsheets/d/1QqKyyYR6Q21VydFLVH3TRQUabQu_ym0Zz7PgGX0-kHA/edit?usp=sharing"",""แผน!IC45"")"),0)</f>
        <v>0</v>
      </c>
      <c r="J699" s="270">
        <f ca="1">IFERROR(__xludf.DUMMYFUNCTION("IMPORTRANGE(""https://docs.google.com/spreadsheets/d/1XWAQStnk-4SwqDmLtmXYiTMKHgktTP8We1SCoS47DrQ/edit?usp=sharing"",""จัดที่ดิน!BB45"")"),0)</f>
        <v>0</v>
      </c>
      <c r="K699" s="498">
        <f t="shared" ref="K699:K701" ca="1" si="290">IF(I699&gt;0,J699*100/I699,0)</f>
        <v>0</v>
      </c>
      <c r="L699" s="498"/>
      <c r="M699" s="189"/>
      <c r="N699" s="766"/>
      <c r="O699" s="498"/>
      <c r="P699" s="49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</row>
    <row r="700" spans="1:26" ht="18.75">
      <c r="A700" s="744"/>
      <c r="B700" s="763"/>
      <c r="C700" s="763"/>
      <c r="D700" s="763" t="s">
        <v>296</v>
      </c>
      <c r="E700" s="763"/>
      <c r="F700" s="763"/>
      <c r="G700" s="189"/>
      <c r="H700" s="764" t="s">
        <v>35</v>
      </c>
      <c r="I700" s="765">
        <f ca="1">IFERROR(__xludf.DUMMYFUNCTION("IMPORTRANGE(""https://docs.google.com/spreadsheets/d/1QqKyyYR6Q21VydFLVH3TRQUabQu_ym0Zz7PgGX0-kHA/edit?usp=sharing"",""แผน!ID45"")"),0)</f>
        <v>0</v>
      </c>
      <c r="J700" s="270">
        <f ca="1">IFERROR(__xludf.DUMMYFUNCTION("IMPORTRANGE(""https://docs.google.com/spreadsheets/d/1XWAQStnk-4SwqDmLtmXYiTMKHgktTP8We1SCoS47DrQ/edit?usp=sharing"",""จัดที่ดิน!BD45"")"),0)</f>
        <v>0</v>
      </c>
      <c r="K700" s="498">
        <f t="shared" ca="1" si="290"/>
        <v>0</v>
      </c>
      <c r="L700" s="498"/>
      <c r="M700" s="189"/>
      <c r="N700" s="766"/>
      <c r="O700" s="498"/>
      <c r="P700" s="49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</row>
    <row r="701" spans="1:26" ht="19.5">
      <c r="A701" s="744"/>
      <c r="B701" s="763"/>
      <c r="C701" s="763"/>
      <c r="D701" s="763" t="s">
        <v>297</v>
      </c>
      <c r="E701" s="763"/>
      <c r="F701" s="763"/>
      <c r="G701" s="189"/>
      <c r="H701" s="767" t="s">
        <v>46</v>
      </c>
      <c r="I701" s="768">
        <f ca="1">IFERROR(__xludf.DUMMYFUNCTION("IMPORTRANGE(""https://docs.google.com/spreadsheets/d/1QqKyyYR6Q21VydFLVH3TRQUabQu_ym0Zz7PgGX0-kHA/edit?usp=sharing"",""แผน!IE45"")"),47)</f>
        <v>47</v>
      </c>
      <c r="J701" s="681">
        <f>J704+J707</f>
        <v>0</v>
      </c>
      <c r="K701" s="195">
        <f t="shared" ca="1" si="290"/>
        <v>0</v>
      </c>
      <c r="L701" s="498"/>
      <c r="M701" s="189"/>
      <c r="N701" s="766"/>
      <c r="O701" s="498"/>
      <c r="P701" s="49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</row>
    <row r="702" spans="1:26" ht="18.75">
      <c r="A702" s="744"/>
      <c r="B702" s="763"/>
      <c r="C702" s="763"/>
      <c r="D702" s="763"/>
      <c r="E702" s="763" t="s">
        <v>298</v>
      </c>
      <c r="F702" s="763"/>
      <c r="G702" s="189"/>
      <c r="H702" s="764" t="s">
        <v>35</v>
      </c>
      <c r="I702" s="765"/>
      <c r="J702" s="215">
        <v>0</v>
      </c>
      <c r="K702" s="498"/>
      <c r="L702" s="498"/>
      <c r="M702" s="189"/>
      <c r="N702" s="766"/>
      <c r="O702" s="498"/>
      <c r="P702" s="49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</row>
    <row r="703" spans="1:26" ht="18.75">
      <c r="A703" s="744"/>
      <c r="B703" s="763"/>
      <c r="C703" s="763"/>
      <c r="D703" s="763"/>
      <c r="E703" s="763"/>
      <c r="F703" s="763"/>
      <c r="G703" s="189"/>
      <c r="H703" s="764" t="s">
        <v>34</v>
      </c>
      <c r="I703" s="765"/>
      <c r="J703" s="215">
        <v>0</v>
      </c>
      <c r="K703" s="498"/>
      <c r="L703" s="498"/>
      <c r="M703" s="189"/>
      <c r="N703" s="766"/>
      <c r="O703" s="498"/>
      <c r="P703" s="49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</row>
    <row r="704" spans="1:26" ht="18.75">
      <c r="A704" s="744"/>
      <c r="B704" s="763"/>
      <c r="C704" s="763"/>
      <c r="D704" s="763"/>
      <c r="E704" s="763"/>
      <c r="F704" s="763"/>
      <c r="G704" s="189"/>
      <c r="H704" s="764" t="s">
        <v>46</v>
      </c>
      <c r="I704" s="765">
        <f ca="1">IFERROR(__xludf.DUMMYFUNCTION("IMPORTRANGE(""https://docs.google.com/spreadsheets/d/1QqKyyYR6Q21VydFLVH3TRQUabQu_ym0Zz7PgGX0-kHA/edit?usp=sharing"",""แผน!IF45"")"),0)</f>
        <v>0</v>
      </c>
      <c r="J704" s="215">
        <v>0</v>
      </c>
      <c r="K704" s="498"/>
      <c r="L704" s="498"/>
      <c r="M704" s="189"/>
      <c r="N704" s="766"/>
      <c r="O704" s="498"/>
      <c r="P704" s="49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</row>
    <row r="705" spans="1:26" ht="18.75">
      <c r="A705" s="744"/>
      <c r="B705" s="763"/>
      <c r="C705" s="763"/>
      <c r="D705" s="763"/>
      <c r="E705" s="763" t="s">
        <v>299</v>
      </c>
      <c r="F705" s="763"/>
      <c r="G705" s="189"/>
      <c r="H705" s="764" t="s">
        <v>35</v>
      </c>
      <c r="I705" s="765"/>
      <c r="J705" s="215">
        <v>0</v>
      </c>
      <c r="K705" s="498"/>
      <c r="L705" s="498"/>
      <c r="M705" s="189"/>
      <c r="N705" s="766"/>
      <c r="O705" s="498"/>
      <c r="P705" s="49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</row>
    <row r="706" spans="1:26" ht="18.75">
      <c r="A706" s="744"/>
      <c r="B706" s="763"/>
      <c r="C706" s="763"/>
      <c r="D706" s="763"/>
      <c r="E706" s="763"/>
      <c r="F706" s="763"/>
      <c r="G706" s="189"/>
      <c r="H706" s="764" t="s">
        <v>34</v>
      </c>
      <c r="I706" s="765"/>
      <c r="J706" s="215">
        <v>0</v>
      </c>
      <c r="K706" s="498"/>
      <c r="L706" s="498"/>
      <c r="M706" s="189"/>
      <c r="N706" s="766"/>
      <c r="O706" s="498"/>
      <c r="P706" s="49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</row>
    <row r="707" spans="1:26" ht="18.75">
      <c r="A707" s="744"/>
      <c r="B707" s="763"/>
      <c r="C707" s="763"/>
      <c r="D707" s="763"/>
      <c r="E707" s="763"/>
      <c r="F707" s="763"/>
      <c r="G707" s="189"/>
      <c r="H707" s="764" t="s">
        <v>46</v>
      </c>
      <c r="I707" s="765">
        <f ca="1">IFERROR(__xludf.DUMMYFUNCTION("IMPORTRANGE(""https://docs.google.com/spreadsheets/d/1QqKyyYR6Q21VydFLVH3TRQUabQu_ym0Zz7PgGX0-kHA/edit?usp=sharing"",""แผน!IG45"")"),47)</f>
        <v>47</v>
      </c>
      <c r="J707" s="215">
        <v>0</v>
      </c>
      <c r="K707" s="498"/>
      <c r="L707" s="498"/>
      <c r="M707" s="189"/>
      <c r="N707" s="766"/>
      <c r="O707" s="498"/>
      <c r="P707" s="49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</row>
    <row r="708" spans="1:26" ht="19.5">
      <c r="A708" s="744"/>
      <c r="B708" s="763"/>
      <c r="C708" s="763"/>
      <c r="D708" s="769" t="s">
        <v>300</v>
      </c>
      <c r="E708" s="763"/>
      <c r="F708" s="763"/>
      <c r="G708" s="189"/>
      <c r="H708" s="767" t="s">
        <v>46</v>
      </c>
      <c r="I708" s="768">
        <f ca="1">IFERROR(__xludf.DUMMYFUNCTION("IMPORTRANGE(""https://docs.google.com/spreadsheets/d/1QqKyyYR6Q21VydFLVH3TRQUabQu_ym0Zz7PgGX0-kHA/edit?usp=sharing"",""แผน!IH45"")"),0)</f>
        <v>0</v>
      </c>
      <c r="J708" s="681">
        <f>J714+J717</f>
        <v>0</v>
      </c>
      <c r="K708" s="195">
        <f ca="1">IF(I708&gt;0,J708*100/I708,0)</f>
        <v>0</v>
      </c>
      <c r="L708" s="498"/>
      <c r="M708" s="189"/>
      <c r="N708" s="766"/>
      <c r="O708" s="498"/>
      <c r="P708" s="49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</row>
    <row r="709" spans="1:26" ht="18.75">
      <c r="A709" s="744"/>
      <c r="B709" s="763"/>
      <c r="C709" s="763"/>
      <c r="D709" s="763"/>
      <c r="E709" s="763" t="s">
        <v>301</v>
      </c>
      <c r="F709" s="763"/>
      <c r="G709" s="189"/>
      <c r="H709" s="764" t="s">
        <v>34</v>
      </c>
      <c r="I709" s="765"/>
      <c r="J709" s="215">
        <v>0</v>
      </c>
      <c r="K709" s="498"/>
      <c r="L709" s="766"/>
      <c r="M709" s="189"/>
      <c r="N709" s="766"/>
      <c r="O709" s="498"/>
      <c r="P709" s="49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</row>
    <row r="710" spans="1:26" ht="18.75">
      <c r="A710" s="744"/>
      <c r="B710" s="763"/>
      <c r="C710" s="763"/>
      <c r="D710" s="763"/>
      <c r="E710" s="763"/>
      <c r="F710" s="763"/>
      <c r="G710" s="189"/>
      <c r="H710" s="764" t="s">
        <v>46</v>
      </c>
      <c r="I710" s="765"/>
      <c r="J710" s="215">
        <v>0</v>
      </c>
      <c r="K710" s="498"/>
      <c r="L710" s="766"/>
      <c r="M710" s="189"/>
      <c r="N710" s="766"/>
      <c r="O710" s="498"/>
      <c r="P710" s="49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</row>
    <row r="711" spans="1:26" ht="18.75">
      <c r="A711" s="744"/>
      <c r="B711" s="763"/>
      <c r="C711" s="763"/>
      <c r="D711" s="763"/>
      <c r="E711" s="763" t="s">
        <v>302</v>
      </c>
      <c r="F711" s="763"/>
      <c r="G711" s="189"/>
      <c r="H711" s="762"/>
      <c r="I711" s="765"/>
      <c r="J711" s="270"/>
      <c r="K711" s="498"/>
      <c r="L711" s="766"/>
      <c r="M711" s="189"/>
      <c r="N711" s="766"/>
      <c r="O711" s="498"/>
      <c r="P711" s="49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</row>
    <row r="712" spans="1:26" ht="18.75">
      <c r="A712" s="744"/>
      <c r="B712" s="763"/>
      <c r="C712" s="763"/>
      <c r="D712" s="763"/>
      <c r="E712" s="763"/>
      <c r="F712" s="763" t="s">
        <v>303</v>
      </c>
      <c r="G712" s="189"/>
      <c r="H712" s="764" t="s">
        <v>35</v>
      </c>
      <c r="I712" s="765"/>
      <c r="J712" s="215">
        <v>0</v>
      </c>
      <c r="K712" s="498"/>
      <c r="L712" s="766"/>
      <c r="M712" s="189"/>
      <c r="N712" s="766"/>
      <c r="O712" s="498"/>
      <c r="P712" s="49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</row>
    <row r="713" spans="1:26" ht="18.75">
      <c r="A713" s="744"/>
      <c r="B713" s="763"/>
      <c r="C713" s="763"/>
      <c r="D713" s="763"/>
      <c r="E713" s="763"/>
      <c r="F713" s="763"/>
      <c r="G713" s="189"/>
      <c r="H713" s="764" t="s">
        <v>34</v>
      </c>
      <c r="I713" s="765"/>
      <c r="J713" s="215">
        <v>0</v>
      </c>
      <c r="K713" s="498"/>
      <c r="L713" s="766"/>
      <c r="M713" s="189"/>
      <c r="N713" s="766"/>
      <c r="O713" s="498"/>
      <c r="P713" s="49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</row>
    <row r="714" spans="1:26" ht="18.75">
      <c r="A714" s="744"/>
      <c r="B714" s="763"/>
      <c r="C714" s="763"/>
      <c r="D714" s="763"/>
      <c r="E714" s="763"/>
      <c r="F714" s="763"/>
      <c r="G714" s="189"/>
      <c r="H714" s="764" t="s">
        <v>46</v>
      </c>
      <c r="I714" s="765"/>
      <c r="J714" s="215">
        <v>0</v>
      </c>
      <c r="K714" s="498"/>
      <c r="L714" s="766"/>
      <c r="M714" s="189"/>
      <c r="N714" s="766"/>
      <c r="O714" s="498"/>
      <c r="P714" s="49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</row>
    <row r="715" spans="1:26" ht="18.75">
      <c r="A715" s="744"/>
      <c r="B715" s="763"/>
      <c r="C715" s="763"/>
      <c r="D715" s="763"/>
      <c r="E715" s="763"/>
      <c r="F715" s="763" t="s">
        <v>304</v>
      </c>
      <c r="G715" s="189"/>
      <c r="H715" s="764" t="s">
        <v>35</v>
      </c>
      <c r="I715" s="765"/>
      <c r="J715" s="215">
        <v>0</v>
      </c>
      <c r="K715" s="498"/>
      <c r="L715" s="766"/>
      <c r="M715" s="189"/>
      <c r="N715" s="766"/>
      <c r="O715" s="498"/>
      <c r="P715" s="49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</row>
    <row r="716" spans="1:26" ht="18.75">
      <c r="A716" s="744"/>
      <c r="B716" s="763"/>
      <c r="C716" s="763"/>
      <c r="D716" s="763"/>
      <c r="E716" s="763"/>
      <c r="F716" s="763"/>
      <c r="G716" s="189"/>
      <c r="H716" s="764" t="s">
        <v>34</v>
      </c>
      <c r="I716" s="765"/>
      <c r="J716" s="215">
        <v>0</v>
      </c>
      <c r="K716" s="498"/>
      <c r="L716" s="766"/>
      <c r="M716" s="189"/>
      <c r="N716" s="766"/>
      <c r="O716" s="498"/>
      <c r="P716" s="49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</row>
    <row r="717" spans="1:26" ht="18.75">
      <c r="A717" s="744"/>
      <c r="B717" s="763"/>
      <c r="C717" s="763"/>
      <c r="D717" s="763"/>
      <c r="E717" s="763"/>
      <c r="F717" s="763"/>
      <c r="G717" s="189"/>
      <c r="H717" s="764" t="s">
        <v>46</v>
      </c>
      <c r="I717" s="765"/>
      <c r="J717" s="215">
        <v>0</v>
      </c>
      <c r="K717" s="498"/>
      <c r="L717" s="766"/>
      <c r="M717" s="189"/>
      <c r="N717" s="766"/>
      <c r="O717" s="498"/>
      <c r="P717" s="49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</row>
    <row r="718" spans="1:26" ht="18.75">
      <c r="A718" s="744"/>
      <c r="B718" s="763"/>
      <c r="C718" s="763"/>
      <c r="D718" s="763" t="s">
        <v>305</v>
      </c>
      <c r="E718" s="763"/>
      <c r="F718" s="763"/>
      <c r="G718" s="189"/>
      <c r="H718" s="764" t="s">
        <v>35</v>
      </c>
      <c r="I718" s="765"/>
      <c r="J718" s="270">
        <f ca="1">IFERROR(__xludf.DUMMYFUNCTION("IMPORTRANGE(""https://docs.google.com/spreadsheets/d/1XWAQStnk-4SwqDmLtmXYiTMKHgktTP8We1SCoS47DrQ/edit?usp=sharing"",""จัดที่ดิน!BF45"")"),0)</f>
        <v>0</v>
      </c>
      <c r="K718" s="498"/>
      <c r="L718" s="498"/>
      <c r="M718" s="189"/>
      <c r="N718" s="766"/>
      <c r="O718" s="498"/>
      <c r="P718" s="49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</row>
    <row r="719" spans="1:26" ht="18.75">
      <c r="A719" s="744"/>
      <c r="B719" s="763"/>
      <c r="C719" s="763"/>
      <c r="D719" s="763"/>
      <c r="E719" s="763"/>
      <c r="F719" s="763"/>
      <c r="G719" s="189"/>
      <c r="H719" s="764" t="s">
        <v>34</v>
      </c>
      <c r="I719" s="765"/>
      <c r="J719" s="270">
        <f ca="1">IFERROR(__xludf.DUMMYFUNCTION("IMPORTRANGE(""https://docs.google.com/spreadsheets/d/1XWAQStnk-4SwqDmLtmXYiTMKHgktTP8We1SCoS47DrQ/edit?usp=sharing"",""จัดที่ดิน!BG45"")"),0)</f>
        <v>0</v>
      </c>
      <c r="K719" s="498"/>
      <c r="L719" s="766"/>
      <c r="M719" s="189"/>
      <c r="N719" s="766"/>
      <c r="O719" s="498"/>
      <c r="P719" s="49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</row>
    <row r="720" spans="1:26" ht="18.75">
      <c r="A720" s="744"/>
      <c r="B720" s="763"/>
      <c r="C720" s="763"/>
      <c r="D720" s="763"/>
      <c r="E720" s="763"/>
      <c r="F720" s="763"/>
      <c r="G720" s="189"/>
      <c r="H720" s="764" t="s">
        <v>46</v>
      </c>
      <c r="I720" s="765">
        <f ca="1">IFERROR(__xludf.DUMMYFUNCTION("IMPORTRANGE(""https://docs.google.com/spreadsheets/d/1QqKyyYR6Q21VydFLVH3TRQUabQu_ym0Zz7PgGX0-kHA/edit?usp=sharing"",""แผน!II45"")"),0)</f>
        <v>0</v>
      </c>
      <c r="J720" s="270">
        <f ca="1">IFERROR(__xludf.DUMMYFUNCTION("IMPORTRANGE(""https://docs.google.com/spreadsheets/d/1XWAQStnk-4SwqDmLtmXYiTMKHgktTP8We1SCoS47DrQ/edit?usp=sharing"",""จัดที่ดิน!BH45"")"),0)</f>
        <v>0</v>
      </c>
      <c r="K720" s="498">
        <f t="shared" ref="K720:K723" ca="1" si="291">IF(I720&gt;0,J720*100/I720,0)</f>
        <v>0</v>
      </c>
      <c r="L720" s="766"/>
      <c r="M720" s="189"/>
      <c r="N720" s="766"/>
      <c r="O720" s="498"/>
      <c r="P720" s="49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</row>
    <row r="721" spans="1:26" ht="19.5">
      <c r="A721" s="744"/>
      <c r="B721" s="763"/>
      <c r="C721" s="763"/>
      <c r="D721" s="763" t="s">
        <v>306</v>
      </c>
      <c r="E721" s="763"/>
      <c r="F721" s="763"/>
      <c r="G721" s="189"/>
      <c r="H721" s="767" t="s">
        <v>35</v>
      </c>
      <c r="I721" s="768">
        <f ca="1">IFERROR(__xludf.DUMMYFUNCTION("IMPORTRANGE(""https://docs.google.com/spreadsheets/d/1QqKyyYR6Q21VydFLVH3TRQUabQu_ym0Zz7PgGX0-kHA/edit?usp=sharing"",""แผน!IJ45"")"),0)</f>
        <v>0</v>
      </c>
      <c r="J721" s="681">
        <f ca="1">J723+J726</f>
        <v>0</v>
      </c>
      <c r="K721" s="195">
        <f t="shared" ca="1" si="291"/>
        <v>0</v>
      </c>
      <c r="L721" s="766"/>
      <c r="M721" s="189"/>
      <c r="N721" s="766"/>
      <c r="O721" s="498"/>
      <c r="P721" s="49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</row>
    <row r="722" spans="1:26" ht="19.5">
      <c r="A722" s="744"/>
      <c r="B722" s="763"/>
      <c r="C722" s="763"/>
      <c r="D722" s="763"/>
      <c r="E722" s="763"/>
      <c r="F722" s="763"/>
      <c r="G722" s="189"/>
      <c r="H722" s="767" t="s">
        <v>46</v>
      </c>
      <c r="I722" s="768">
        <f ca="1">IFERROR(__xludf.DUMMYFUNCTION("IMPORTRANGE(""https://docs.google.com/spreadsheets/d/1QqKyyYR6Q21VydFLVH3TRQUabQu_ym0Zz7PgGX0-kHA/edit?usp=sharing"",""แผน!IK45"")"),0)</f>
        <v>0</v>
      </c>
      <c r="J722" s="681">
        <f ca="1">J725+J728</f>
        <v>0</v>
      </c>
      <c r="K722" s="195">
        <f t="shared" ca="1" si="291"/>
        <v>0</v>
      </c>
      <c r="L722" s="498"/>
      <c r="M722" s="189"/>
      <c r="N722" s="766"/>
      <c r="O722" s="498"/>
      <c r="P722" s="49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</row>
    <row r="723" spans="1:26" ht="18.75">
      <c r="A723" s="744"/>
      <c r="B723" s="763"/>
      <c r="C723" s="763"/>
      <c r="D723" s="763"/>
      <c r="E723" s="763" t="s">
        <v>307</v>
      </c>
      <c r="F723" s="763"/>
      <c r="G723" s="189"/>
      <c r="H723" s="764" t="s">
        <v>35</v>
      </c>
      <c r="I723" s="765">
        <f ca="1">IFERROR(__xludf.DUMMYFUNCTION("IMPORTRANGE(""https://docs.google.com/spreadsheets/d/1QqKyyYR6Q21VydFLVH3TRQUabQu_ym0Zz7PgGX0-kHA/edit?usp=sharing"",""แผน!IL45"")"),0)</f>
        <v>0</v>
      </c>
      <c r="J723" s="270">
        <f ca="1">IFERROR(__xludf.DUMMYFUNCTION("IMPORTRANGE(""https://docs.google.com/spreadsheets/d/1XWAQStnk-4SwqDmLtmXYiTMKHgktTP8We1SCoS47DrQ/edit?usp=sharing"",""จัดที่ดิน!BM45"")"),0)</f>
        <v>0</v>
      </c>
      <c r="K723" s="498">
        <f t="shared" ca="1" si="291"/>
        <v>0</v>
      </c>
      <c r="L723" s="498"/>
      <c r="M723" s="189"/>
      <c r="N723" s="766"/>
      <c r="O723" s="498"/>
      <c r="P723" s="49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</row>
    <row r="724" spans="1:26" ht="18.75">
      <c r="A724" s="744"/>
      <c r="B724" s="763"/>
      <c r="C724" s="763"/>
      <c r="D724" s="763"/>
      <c r="E724" s="763"/>
      <c r="F724" s="763"/>
      <c r="G724" s="189"/>
      <c r="H724" s="764" t="s">
        <v>34</v>
      </c>
      <c r="I724" s="765"/>
      <c r="J724" s="270">
        <f ca="1">IFERROR(__xludf.DUMMYFUNCTION("IMPORTRANGE(""https://docs.google.com/spreadsheets/d/1XWAQStnk-4SwqDmLtmXYiTMKHgktTP8We1SCoS47DrQ/edit?usp=sharing"",""จัดที่ดิน!BN45"")"),0)</f>
        <v>0</v>
      </c>
      <c r="K724" s="498"/>
      <c r="L724" s="766"/>
      <c r="M724" s="189"/>
      <c r="N724" s="766"/>
      <c r="O724" s="498"/>
      <c r="P724" s="49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</row>
    <row r="725" spans="1:26" ht="18.75">
      <c r="A725" s="744"/>
      <c r="B725" s="763"/>
      <c r="C725" s="763"/>
      <c r="D725" s="763"/>
      <c r="E725" s="763"/>
      <c r="F725" s="763"/>
      <c r="G725" s="189"/>
      <c r="H725" s="764" t="s">
        <v>46</v>
      </c>
      <c r="I725" s="765">
        <f ca="1">IFERROR(__xludf.DUMMYFUNCTION("IMPORTRANGE(""https://docs.google.com/spreadsheets/d/1QqKyyYR6Q21VydFLVH3TRQUabQu_ym0Zz7PgGX0-kHA/edit?usp=sharing"",""แผน!IM45"")"),0)</f>
        <v>0</v>
      </c>
      <c r="J725" s="270">
        <f ca="1">IFERROR(__xludf.DUMMYFUNCTION("IMPORTRANGE(""https://docs.google.com/spreadsheets/d/1XWAQStnk-4SwqDmLtmXYiTMKHgktTP8We1SCoS47DrQ/edit?usp=sharing"",""จัดที่ดิน!BO45"")"),0)</f>
        <v>0</v>
      </c>
      <c r="K725" s="498">
        <f t="shared" ref="K725:K726" ca="1" si="292">IF(I725&gt;0,J725*100/I725,0)</f>
        <v>0</v>
      </c>
      <c r="L725" s="766"/>
      <c r="M725" s="189"/>
      <c r="N725" s="766"/>
      <c r="O725" s="498"/>
      <c r="P725" s="49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</row>
    <row r="726" spans="1:26" ht="18.75">
      <c r="A726" s="744"/>
      <c r="B726" s="763"/>
      <c r="C726" s="763"/>
      <c r="D726" s="763"/>
      <c r="E726" s="763" t="s">
        <v>308</v>
      </c>
      <c r="F726" s="763"/>
      <c r="G726" s="189"/>
      <c r="H726" s="764" t="s">
        <v>35</v>
      </c>
      <c r="I726" s="765">
        <f ca="1">IFERROR(__xludf.DUMMYFUNCTION("IMPORTRANGE(""https://docs.google.com/spreadsheets/d/1QqKyyYR6Q21VydFLVH3TRQUabQu_ym0Zz7PgGX0-kHA/edit?usp=sharing"",""แผน!IN45"")"),0)</f>
        <v>0</v>
      </c>
      <c r="J726" s="270">
        <f ca="1">IFERROR(__xludf.DUMMYFUNCTION("IMPORTRANGE(""https://docs.google.com/spreadsheets/d/1XWAQStnk-4SwqDmLtmXYiTMKHgktTP8We1SCoS47DrQ/edit?usp=sharing"",""จัดที่ดิน!BR45"")"),0)</f>
        <v>0</v>
      </c>
      <c r="K726" s="498">
        <f t="shared" ca="1" si="292"/>
        <v>0</v>
      </c>
      <c r="L726" s="498"/>
      <c r="M726" s="189"/>
      <c r="N726" s="766"/>
      <c r="O726" s="498"/>
      <c r="P726" s="49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</row>
    <row r="727" spans="1:26" ht="18.75">
      <c r="A727" s="744"/>
      <c r="B727" s="763"/>
      <c r="C727" s="763"/>
      <c r="D727" s="763"/>
      <c r="E727" s="763"/>
      <c r="F727" s="763"/>
      <c r="G727" s="189"/>
      <c r="H727" s="764" t="s">
        <v>34</v>
      </c>
      <c r="I727" s="765"/>
      <c r="J727" s="270">
        <f ca="1">IFERROR(__xludf.DUMMYFUNCTION("IMPORTRANGE(""https://docs.google.com/spreadsheets/d/1XWAQStnk-4SwqDmLtmXYiTMKHgktTP8We1SCoS47DrQ/edit?usp=sharing"",""จัดที่ดิน!BS45"")"),0)</f>
        <v>0</v>
      </c>
      <c r="K727" s="498"/>
      <c r="L727" s="766"/>
      <c r="M727" s="189"/>
      <c r="N727" s="766"/>
      <c r="O727" s="498"/>
      <c r="P727" s="49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</row>
    <row r="728" spans="1:26" ht="18.75">
      <c r="A728" s="744"/>
      <c r="B728" s="763"/>
      <c r="C728" s="763"/>
      <c r="D728" s="763"/>
      <c r="E728" s="763"/>
      <c r="F728" s="763"/>
      <c r="G728" s="189"/>
      <c r="H728" s="764" t="s">
        <v>46</v>
      </c>
      <c r="I728" s="765">
        <f ca="1">IFERROR(__xludf.DUMMYFUNCTION("IMPORTRANGE(""https://docs.google.com/spreadsheets/d/1QqKyyYR6Q21VydFLVH3TRQUabQu_ym0Zz7PgGX0-kHA/edit?usp=sharing"",""แผน!IO45"")"),0)</f>
        <v>0</v>
      </c>
      <c r="J728" s="270">
        <f ca="1">IFERROR(__xludf.DUMMYFUNCTION("IMPORTRANGE(""https://docs.google.com/spreadsheets/d/1XWAQStnk-4SwqDmLtmXYiTMKHgktTP8We1SCoS47DrQ/edit?usp=sharing"",""จัดที่ดิน!BT45"")"),0)</f>
        <v>0</v>
      </c>
      <c r="K728" s="498">
        <f t="shared" ref="K728:K729" ca="1" si="293">IF(I728&gt;0,J728*100/I728,0)</f>
        <v>0</v>
      </c>
      <c r="L728" s="766"/>
      <c r="M728" s="189"/>
      <c r="N728" s="766"/>
      <c r="O728" s="498"/>
      <c r="P728" s="49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</row>
    <row r="729" spans="1:26" ht="19.5">
      <c r="A729" s="744"/>
      <c r="B729" s="763"/>
      <c r="C729" s="763"/>
      <c r="D729" s="763" t="s">
        <v>309</v>
      </c>
      <c r="E729" s="763"/>
      <c r="F729" s="763"/>
      <c r="G729" s="189"/>
      <c r="H729" s="767" t="s">
        <v>46</v>
      </c>
      <c r="I729" s="768">
        <f ca="1">IFERROR(__xludf.DUMMYFUNCTION("IMPORTRANGE(""https://docs.google.com/spreadsheets/d/1QqKyyYR6Q21VydFLVH3TRQUabQu_ym0Zz7PgGX0-kHA/edit?usp=sharing"",""แผน!IP45"")"),0)</f>
        <v>0</v>
      </c>
      <c r="J729" s="681">
        <f>J732+J735</f>
        <v>0</v>
      </c>
      <c r="K729" s="195">
        <f t="shared" ca="1" si="293"/>
        <v>0</v>
      </c>
      <c r="L729" s="498"/>
      <c r="M729" s="189"/>
      <c r="N729" s="766"/>
      <c r="O729" s="498"/>
      <c r="P729" s="49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</row>
    <row r="730" spans="1:26" ht="18.75">
      <c r="A730" s="744"/>
      <c r="B730" s="763"/>
      <c r="C730" s="763"/>
      <c r="D730" s="763"/>
      <c r="E730" s="763" t="s">
        <v>310</v>
      </c>
      <c r="F730" s="763"/>
      <c r="G730" s="189"/>
      <c r="H730" s="764" t="s">
        <v>35</v>
      </c>
      <c r="I730" s="765"/>
      <c r="J730" s="215">
        <v>0</v>
      </c>
      <c r="K730" s="498"/>
      <c r="L730" s="766"/>
      <c r="M730" s="498"/>
      <c r="N730" s="766"/>
      <c r="O730" s="498"/>
      <c r="P730" s="49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</row>
    <row r="731" spans="1:26" ht="18.75">
      <c r="A731" s="744"/>
      <c r="B731" s="763"/>
      <c r="C731" s="763"/>
      <c r="D731" s="763"/>
      <c r="E731" s="763"/>
      <c r="F731" s="763"/>
      <c r="G731" s="189"/>
      <c r="H731" s="764" t="s">
        <v>34</v>
      </c>
      <c r="I731" s="765"/>
      <c r="J731" s="215">
        <v>0</v>
      </c>
      <c r="K731" s="498"/>
      <c r="L731" s="766"/>
      <c r="M731" s="498"/>
      <c r="N731" s="766"/>
      <c r="O731" s="498"/>
      <c r="P731" s="49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</row>
    <row r="732" spans="1:26" ht="18.75">
      <c r="A732" s="744"/>
      <c r="B732" s="763"/>
      <c r="C732" s="763"/>
      <c r="D732" s="763"/>
      <c r="E732" s="763"/>
      <c r="F732" s="763"/>
      <c r="G732" s="189"/>
      <c r="H732" s="764" t="s">
        <v>46</v>
      </c>
      <c r="I732" s="765"/>
      <c r="J732" s="215">
        <v>0</v>
      </c>
      <c r="K732" s="498"/>
      <c r="L732" s="766"/>
      <c r="M732" s="498"/>
      <c r="N732" s="766"/>
      <c r="O732" s="498"/>
      <c r="P732" s="49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</row>
    <row r="733" spans="1:26" ht="18.75">
      <c r="A733" s="744"/>
      <c r="B733" s="763"/>
      <c r="C733" s="763"/>
      <c r="D733" s="763"/>
      <c r="E733" s="763" t="s">
        <v>311</v>
      </c>
      <c r="F733" s="763"/>
      <c r="G733" s="189"/>
      <c r="H733" s="764" t="s">
        <v>35</v>
      </c>
      <c r="I733" s="765"/>
      <c r="J733" s="215">
        <v>0</v>
      </c>
      <c r="K733" s="498"/>
      <c r="L733" s="766"/>
      <c r="M733" s="498"/>
      <c r="N733" s="766"/>
      <c r="O733" s="498"/>
      <c r="P733" s="49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</row>
    <row r="734" spans="1:26" ht="18.75">
      <c r="A734" s="744"/>
      <c r="B734" s="763"/>
      <c r="C734" s="763"/>
      <c r="D734" s="763"/>
      <c r="E734" s="763"/>
      <c r="F734" s="763"/>
      <c r="G734" s="189"/>
      <c r="H734" s="764" t="s">
        <v>34</v>
      </c>
      <c r="I734" s="765"/>
      <c r="J734" s="215">
        <v>0</v>
      </c>
      <c r="K734" s="498"/>
      <c r="L734" s="766"/>
      <c r="M734" s="498"/>
      <c r="N734" s="766"/>
      <c r="O734" s="498"/>
      <c r="P734" s="49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</row>
    <row r="735" spans="1:26" ht="19.5">
      <c r="A735" s="770"/>
      <c r="B735" s="771" t="s">
        <v>312</v>
      </c>
      <c r="C735" s="734"/>
      <c r="D735" s="734"/>
      <c r="E735" s="734"/>
      <c r="F735" s="734"/>
      <c r="G735" s="735"/>
      <c r="H735" s="422" t="s">
        <v>46</v>
      </c>
      <c r="I735" s="772"/>
      <c r="J735" s="424">
        <v>0</v>
      </c>
      <c r="K735" s="507"/>
      <c r="L735" s="773"/>
      <c r="M735" s="507"/>
      <c r="N735" s="773"/>
      <c r="O735" s="507"/>
      <c r="P735" s="507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</row>
    <row r="736" spans="1:26" ht="19.5" hidden="1">
      <c r="A736" s="774">
        <v>9</v>
      </c>
      <c r="B736" s="775" t="s">
        <v>313</v>
      </c>
      <c r="C736" s="776"/>
      <c r="D736" s="776"/>
      <c r="E736" s="776"/>
      <c r="F736" s="776"/>
      <c r="G736" s="777"/>
      <c r="H736" s="778" t="s">
        <v>46</v>
      </c>
      <c r="I736" s="779"/>
      <c r="J736" s="779">
        <f>J751</f>
        <v>0</v>
      </c>
      <c r="K736" s="780">
        <f>IF(I736&gt;0,J736*100/I736,0)</f>
        <v>0</v>
      </c>
      <c r="L736" s="781"/>
      <c r="M736" s="781"/>
      <c r="N736" s="781"/>
      <c r="O736" s="781"/>
      <c r="P736" s="781"/>
      <c r="Q736" s="604"/>
      <c r="R736" s="604"/>
      <c r="S736" s="604"/>
      <c r="T736" s="604"/>
      <c r="U736" s="604"/>
      <c r="V736" s="604"/>
      <c r="W736" s="604"/>
      <c r="X736" s="604"/>
      <c r="Y736" s="604"/>
      <c r="Z736" s="604"/>
    </row>
    <row r="737" spans="1:26" ht="19.5" hidden="1">
      <c r="A737" s="599"/>
      <c r="B737" s="759"/>
      <c r="C737" s="759" t="s">
        <v>16</v>
      </c>
      <c r="D737" s="864" t="s">
        <v>17</v>
      </c>
      <c r="E737" s="857"/>
      <c r="F737" s="857"/>
      <c r="G737" s="603"/>
      <c r="H737" s="646" t="s">
        <v>12</v>
      </c>
      <c r="I737" s="617"/>
      <c r="J737" s="617"/>
      <c r="K737" s="93"/>
      <c r="L737" s="647">
        <f t="shared" ref="L737:N737" si="294">L738+L739</f>
        <v>0</v>
      </c>
      <c r="M737" s="647">
        <f t="shared" si="294"/>
        <v>0</v>
      </c>
      <c r="N737" s="647">
        <f t="shared" si="294"/>
        <v>0</v>
      </c>
      <c r="O737" s="647">
        <f t="shared" ref="O737:O742" si="295">IF(L737&gt;0,N737*100/L737,0)</f>
        <v>0</v>
      </c>
      <c r="P737" s="647">
        <f t="shared" ref="P737:P742" si="296">IF(M737&gt;0,N737*100/M737,0)</f>
        <v>0</v>
      </c>
      <c r="Q737" s="604"/>
      <c r="R737" s="604"/>
      <c r="S737" s="604"/>
      <c r="T737" s="604"/>
      <c r="U737" s="604"/>
      <c r="V737" s="604"/>
      <c r="W737" s="604"/>
      <c r="X737" s="604"/>
      <c r="Y737" s="604"/>
      <c r="Z737" s="604"/>
    </row>
    <row r="738" spans="1:26" ht="18.75" hidden="1">
      <c r="A738" s="599"/>
      <c r="B738" s="759"/>
      <c r="C738" s="759"/>
      <c r="D738" s="720"/>
      <c r="E738" s="759" t="s">
        <v>185</v>
      </c>
      <c r="F738" s="759"/>
      <c r="G738" s="603"/>
      <c r="H738" s="165" t="s">
        <v>12</v>
      </c>
      <c r="I738" s="617"/>
      <c r="J738" s="617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4"/>
      <c r="R738" s="604"/>
      <c r="S738" s="604"/>
      <c r="T738" s="604"/>
      <c r="U738" s="604"/>
      <c r="V738" s="604"/>
      <c r="W738" s="604"/>
      <c r="X738" s="604"/>
      <c r="Y738" s="604"/>
      <c r="Z738" s="604"/>
    </row>
    <row r="739" spans="1:26" ht="18.75" hidden="1">
      <c r="A739" s="599"/>
      <c r="B739" s="607"/>
      <c r="C739" s="759"/>
      <c r="D739" s="720"/>
      <c r="E739" s="759" t="s">
        <v>186</v>
      </c>
      <c r="F739" s="759"/>
      <c r="G739" s="603"/>
      <c r="H739" s="165" t="s">
        <v>12</v>
      </c>
      <c r="I739" s="617"/>
      <c r="J739" s="617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4"/>
      <c r="R739" s="604"/>
      <c r="S739" s="604"/>
      <c r="T739" s="604"/>
      <c r="U739" s="604"/>
      <c r="V739" s="604"/>
      <c r="W739" s="604"/>
      <c r="X739" s="604"/>
      <c r="Y739" s="604"/>
      <c r="Z739" s="604"/>
    </row>
    <row r="740" spans="1:26" ht="19.5" hidden="1">
      <c r="A740" s="599"/>
      <c r="B740" s="607"/>
      <c r="C740" s="759"/>
      <c r="D740" s="645" t="s">
        <v>20</v>
      </c>
      <c r="E740" s="759"/>
      <c r="F740" s="759"/>
      <c r="G740" s="603"/>
      <c r="H740" s="646" t="s">
        <v>12</v>
      </c>
      <c r="I740" s="166"/>
      <c r="J740" s="166"/>
      <c r="K740" s="167"/>
      <c r="L740" s="647">
        <f t="shared" ref="L740:N740" si="298">L741+L742</f>
        <v>0</v>
      </c>
      <c r="M740" s="647">
        <f t="shared" si="298"/>
        <v>0</v>
      </c>
      <c r="N740" s="647">
        <f t="shared" si="298"/>
        <v>0</v>
      </c>
      <c r="O740" s="647">
        <f t="shared" si="295"/>
        <v>0</v>
      </c>
      <c r="P740" s="647">
        <f t="shared" si="296"/>
        <v>0</v>
      </c>
      <c r="Q740" s="604"/>
      <c r="R740" s="604"/>
      <c r="S740" s="604"/>
      <c r="T740" s="604"/>
      <c r="U740" s="604"/>
      <c r="V740" s="604"/>
      <c r="W740" s="604"/>
      <c r="X740" s="604"/>
      <c r="Y740" s="604"/>
      <c r="Z740" s="604"/>
    </row>
    <row r="741" spans="1:26" ht="18.75" hidden="1">
      <c r="A741" s="599"/>
      <c r="B741" s="607"/>
      <c r="C741" s="759"/>
      <c r="D741" s="720"/>
      <c r="E741" s="759" t="s">
        <v>185</v>
      </c>
      <c r="F741" s="759"/>
      <c r="G741" s="603"/>
      <c r="H741" s="165" t="s">
        <v>12</v>
      </c>
      <c r="I741" s="617"/>
      <c r="J741" s="617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4"/>
      <c r="R741" s="604"/>
      <c r="S741" s="604"/>
      <c r="T741" s="604"/>
      <c r="U741" s="604"/>
      <c r="V741" s="604"/>
      <c r="W741" s="604"/>
      <c r="X741" s="604"/>
      <c r="Y741" s="604"/>
      <c r="Z741" s="604"/>
    </row>
    <row r="742" spans="1:26" ht="18.75" hidden="1">
      <c r="A742" s="599"/>
      <c r="B742" s="607"/>
      <c r="C742" s="759"/>
      <c r="D742" s="720"/>
      <c r="E742" s="759" t="s">
        <v>186</v>
      </c>
      <c r="F742" s="759"/>
      <c r="G742" s="603"/>
      <c r="H742" s="165" t="s">
        <v>12</v>
      </c>
      <c r="I742" s="617"/>
      <c r="J742" s="617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4"/>
      <c r="R742" s="604"/>
      <c r="S742" s="604"/>
      <c r="T742" s="604"/>
      <c r="U742" s="604"/>
      <c r="V742" s="604"/>
      <c r="W742" s="604"/>
      <c r="X742" s="604"/>
      <c r="Y742" s="604"/>
      <c r="Z742" s="604"/>
    </row>
    <row r="743" spans="1:26" ht="18.75" hidden="1">
      <c r="A743" s="649"/>
      <c r="B743" s="607"/>
      <c r="C743" s="759"/>
      <c r="D743" s="759"/>
      <c r="E743" s="759"/>
      <c r="F743" s="759" t="s">
        <v>187</v>
      </c>
      <c r="G743" s="603"/>
      <c r="H743" s="165" t="s">
        <v>12</v>
      </c>
      <c r="I743" s="617"/>
      <c r="J743" s="617"/>
      <c r="K743" s="93"/>
      <c r="L743" s="93"/>
      <c r="M743" s="93"/>
      <c r="N743" s="93"/>
      <c r="O743" s="93"/>
      <c r="P743" s="93"/>
      <c r="Q743" s="604"/>
      <c r="R743" s="604"/>
      <c r="S743" s="604"/>
      <c r="T743" s="604"/>
      <c r="U743" s="604"/>
      <c r="V743" s="604"/>
      <c r="W743" s="604"/>
      <c r="X743" s="604"/>
      <c r="Y743" s="604"/>
      <c r="Z743" s="604"/>
    </row>
    <row r="744" spans="1:26" ht="18.75" hidden="1">
      <c r="A744" s="649"/>
      <c r="B744" s="607"/>
      <c r="C744" s="759"/>
      <c r="D744" s="759"/>
      <c r="E744" s="759"/>
      <c r="F744" s="759" t="s">
        <v>188</v>
      </c>
      <c r="G744" s="603"/>
      <c r="H744" s="165" t="s">
        <v>12</v>
      </c>
      <c r="I744" s="617"/>
      <c r="J744" s="617"/>
      <c r="K744" s="93"/>
      <c r="L744" s="93"/>
      <c r="M744" s="93"/>
      <c r="N744" s="93"/>
      <c r="O744" s="93"/>
      <c r="P744" s="93"/>
      <c r="Q744" s="604"/>
      <c r="R744" s="604"/>
      <c r="S744" s="604"/>
      <c r="T744" s="604"/>
      <c r="U744" s="604"/>
      <c r="V744" s="604"/>
      <c r="W744" s="604"/>
      <c r="X744" s="604"/>
      <c r="Y744" s="604"/>
      <c r="Z744" s="604"/>
    </row>
    <row r="745" spans="1:26" ht="18.75" hidden="1">
      <c r="A745" s="649"/>
      <c r="B745" s="607"/>
      <c r="C745" s="759"/>
      <c r="D745" s="759"/>
      <c r="E745" s="759"/>
      <c r="F745" s="759" t="s">
        <v>189</v>
      </c>
      <c r="G745" s="603"/>
      <c r="H745" s="165" t="s">
        <v>12</v>
      </c>
      <c r="I745" s="617"/>
      <c r="J745" s="617"/>
      <c r="K745" s="93"/>
      <c r="L745" s="93"/>
      <c r="M745" s="93"/>
      <c r="N745" s="93"/>
      <c r="O745" s="93"/>
      <c r="P745" s="93"/>
      <c r="Q745" s="604"/>
      <c r="R745" s="604"/>
      <c r="S745" s="604"/>
      <c r="T745" s="604"/>
      <c r="U745" s="604"/>
      <c r="V745" s="604"/>
      <c r="W745" s="604"/>
      <c r="X745" s="604"/>
      <c r="Y745" s="604"/>
      <c r="Z745" s="604"/>
    </row>
    <row r="746" spans="1:26" ht="18.75" hidden="1">
      <c r="A746" s="649"/>
      <c r="B746" s="607"/>
      <c r="C746" s="759"/>
      <c r="D746" s="759"/>
      <c r="E746" s="759"/>
      <c r="F746" s="759" t="s">
        <v>190</v>
      </c>
      <c r="G746" s="603"/>
      <c r="H746" s="165" t="s">
        <v>12</v>
      </c>
      <c r="I746" s="617"/>
      <c r="J746" s="617"/>
      <c r="K746" s="93"/>
      <c r="L746" s="93"/>
      <c r="M746" s="93"/>
      <c r="N746" s="93"/>
      <c r="O746" s="93"/>
      <c r="P746" s="93"/>
      <c r="Q746" s="604"/>
      <c r="R746" s="604"/>
      <c r="S746" s="604"/>
      <c r="T746" s="604"/>
      <c r="U746" s="604"/>
      <c r="V746" s="604"/>
      <c r="W746" s="604"/>
      <c r="X746" s="604"/>
      <c r="Y746" s="604"/>
      <c r="Z746" s="604"/>
    </row>
    <row r="747" spans="1:26" ht="19.5" hidden="1">
      <c r="A747" s="599"/>
      <c r="B747" s="607"/>
      <c r="C747" s="759"/>
      <c r="D747" s="645" t="s">
        <v>21</v>
      </c>
      <c r="E747" s="759"/>
      <c r="F747" s="759"/>
      <c r="G747" s="603"/>
      <c r="H747" s="783" t="s">
        <v>12</v>
      </c>
      <c r="I747" s="166"/>
      <c r="J747" s="166"/>
      <c r="K747" s="167"/>
      <c r="L747" s="647">
        <f t="shared" ref="L747:N747" si="299">L748+L749</f>
        <v>0</v>
      </c>
      <c r="M747" s="647">
        <f t="shared" si="299"/>
        <v>0</v>
      </c>
      <c r="N747" s="647">
        <f t="shared" si="299"/>
        <v>0</v>
      </c>
      <c r="O747" s="647">
        <f t="shared" ref="O747:O749" si="300">IF(L747&gt;0,N747*100/L747,0)</f>
        <v>0</v>
      </c>
      <c r="P747" s="647">
        <f t="shared" ref="P747:P749" si="301">IF(M747&gt;0,N747*100/M747,0)</f>
        <v>0</v>
      </c>
      <c r="Q747" s="604"/>
      <c r="R747" s="604"/>
      <c r="S747" s="604"/>
      <c r="T747" s="604"/>
      <c r="U747" s="604"/>
      <c r="V747" s="604"/>
      <c r="W747" s="604"/>
      <c r="X747" s="604"/>
      <c r="Y747" s="604"/>
      <c r="Z747" s="604"/>
    </row>
    <row r="748" spans="1:26" ht="18.75" hidden="1">
      <c r="A748" s="599"/>
      <c r="B748" s="607"/>
      <c r="C748" s="759"/>
      <c r="D748" s="759"/>
      <c r="E748" s="759" t="s">
        <v>18</v>
      </c>
      <c r="F748" s="759"/>
      <c r="G748" s="603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4"/>
      <c r="R748" s="604"/>
      <c r="S748" s="604"/>
      <c r="T748" s="604"/>
      <c r="U748" s="604"/>
      <c r="V748" s="604"/>
      <c r="W748" s="604"/>
      <c r="X748" s="604"/>
      <c r="Y748" s="604"/>
      <c r="Z748" s="604"/>
    </row>
    <row r="749" spans="1:26" ht="18.75" hidden="1">
      <c r="A749" s="599"/>
      <c r="B749" s="607"/>
      <c r="C749" s="759"/>
      <c r="D749" s="759"/>
      <c r="E749" s="759" t="s">
        <v>19</v>
      </c>
      <c r="F749" s="759"/>
      <c r="G749" s="603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4"/>
      <c r="R749" s="604"/>
      <c r="S749" s="604"/>
      <c r="T749" s="604"/>
      <c r="U749" s="604"/>
      <c r="V749" s="604"/>
      <c r="W749" s="604"/>
      <c r="X749" s="604"/>
      <c r="Y749" s="604"/>
      <c r="Z749" s="604"/>
    </row>
    <row r="750" spans="1:26" ht="19.5" hidden="1">
      <c r="A750" s="614"/>
      <c r="B750" s="616"/>
      <c r="C750" s="759" t="s">
        <v>16</v>
      </c>
      <c r="D750" s="899" t="s">
        <v>38</v>
      </c>
      <c r="E750" s="651"/>
      <c r="F750" s="651"/>
      <c r="G750" s="652"/>
      <c r="H750" s="366"/>
      <c r="I750" s="166"/>
      <c r="J750" s="166"/>
      <c r="K750" s="167"/>
      <c r="L750" s="167"/>
      <c r="M750" s="167"/>
      <c r="N750" s="167"/>
      <c r="O750" s="167"/>
      <c r="P750" s="167"/>
      <c r="Q750" s="604"/>
      <c r="R750" s="604"/>
      <c r="S750" s="604"/>
      <c r="T750" s="604"/>
      <c r="U750" s="604"/>
      <c r="V750" s="604"/>
      <c r="W750" s="604"/>
      <c r="X750" s="604"/>
      <c r="Y750" s="604"/>
      <c r="Z750" s="604"/>
    </row>
    <row r="751" spans="1:26" ht="18.75" hidden="1">
      <c r="A751" s="649"/>
      <c r="B751" s="607"/>
      <c r="C751" s="759"/>
      <c r="D751" s="759"/>
      <c r="E751" s="759" t="s">
        <v>314</v>
      </c>
      <c r="F751" s="759"/>
      <c r="G751" s="603"/>
      <c r="H751" s="165" t="s">
        <v>46</v>
      </c>
      <c r="I751" s="617"/>
      <c r="J751" s="617"/>
      <c r="K751" s="93"/>
      <c r="L751" s="93"/>
      <c r="M751" s="93"/>
      <c r="N751" s="93"/>
      <c r="O751" s="93"/>
      <c r="P751" s="93"/>
      <c r="Q751" s="604"/>
      <c r="R751" s="604"/>
      <c r="S751" s="604"/>
      <c r="T751" s="604"/>
      <c r="U751" s="604"/>
      <c r="V751" s="604"/>
      <c r="W751" s="604"/>
      <c r="X751" s="604"/>
      <c r="Y751" s="604"/>
      <c r="Z751" s="604"/>
    </row>
    <row r="752" spans="1:26" ht="18.75" hidden="1">
      <c r="A752" s="649"/>
      <c r="B752" s="607"/>
      <c r="C752" s="759"/>
      <c r="D752" s="759"/>
      <c r="E752" s="759"/>
      <c r="F752" s="759"/>
      <c r="G752" s="603"/>
      <c r="H752" s="165" t="s">
        <v>315</v>
      </c>
      <c r="I752" s="617"/>
      <c r="J752" s="617"/>
      <c r="K752" s="93"/>
      <c r="L752" s="93"/>
      <c r="M752" s="93"/>
      <c r="N752" s="93"/>
      <c r="O752" s="93"/>
      <c r="P752" s="93"/>
      <c r="Q752" s="604"/>
      <c r="R752" s="604"/>
      <c r="S752" s="604"/>
      <c r="T752" s="604"/>
      <c r="U752" s="604"/>
      <c r="V752" s="604"/>
      <c r="W752" s="604"/>
      <c r="X752" s="604"/>
      <c r="Y752" s="604"/>
      <c r="Z752" s="604"/>
    </row>
    <row r="753" spans="1:26" ht="19.5" hidden="1">
      <c r="A753" s="785">
        <v>10</v>
      </c>
      <c r="B753" s="786" t="s">
        <v>316</v>
      </c>
      <c r="C753" s="787"/>
      <c r="D753" s="787"/>
      <c r="E753" s="787"/>
      <c r="F753" s="787"/>
      <c r="G753" s="788"/>
      <c r="H753" s="789" t="s">
        <v>46</v>
      </c>
      <c r="I753" s="790"/>
      <c r="J753" s="790">
        <f>J768</f>
        <v>0</v>
      </c>
      <c r="K753" s="791">
        <f>IF(I753&gt;0,J753*100/I753,0)</f>
        <v>0</v>
      </c>
      <c r="L753" s="792"/>
      <c r="M753" s="792"/>
      <c r="N753" s="792"/>
      <c r="O753" s="792"/>
      <c r="P753" s="792"/>
      <c r="Q753" s="604"/>
      <c r="R753" s="604"/>
      <c r="S753" s="604"/>
      <c r="T753" s="604"/>
      <c r="U753" s="604"/>
      <c r="V753" s="604"/>
      <c r="W753" s="604"/>
      <c r="X753" s="604"/>
      <c r="Y753" s="604"/>
      <c r="Z753" s="604"/>
    </row>
    <row r="754" spans="1:26" ht="19.5" hidden="1">
      <c r="A754" s="599"/>
      <c r="B754" s="759"/>
      <c r="C754" s="759" t="s">
        <v>16</v>
      </c>
      <c r="D754" s="864" t="s">
        <v>17</v>
      </c>
      <c r="E754" s="857"/>
      <c r="F754" s="857"/>
      <c r="G754" s="603"/>
      <c r="H754" s="646" t="s">
        <v>12</v>
      </c>
      <c r="I754" s="617"/>
      <c r="J754" s="617"/>
      <c r="K754" s="93"/>
      <c r="L754" s="647">
        <f t="shared" ref="L754:N754" si="302">L755+L756</f>
        <v>0</v>
      </c>
      <c r="M754" s="647">
        <f t="shared" si="302"/>
        <v>0</v>
      </c>
      <c r="N754" s="647">
        <f t="shared" si="302"/>
        <v>0</v>
      </c>
      <c r="O754" s="647">
        <f t="shared" ref="O754:O759" si="303">IF(L754&gt;0,N754*100/L754,0)</f>
        <v>0</v>
      </c>
      <c r="P754" s="647">
        <f t="shared" ref="P754:P759" si="304">IF(M754&gt;0,N754*100/M754,0)</f>
        <v>0</v>
      </c>
      <c r="Q754" s="604"/>
      <c r="R754" s="604"/>
      <c r="S754" s="604"/>
      <c r="T754" s="604"/>
      <c r="U754" s="604"/>
      <c r="V754" s="604"/>
      <c r="W754" s="604"/>
      <c r="X754" s="604"/>
      <c r="Y754" s="604"/>
      <c r="Z754" s="604"/>
    </row>
    <row r="755" spans="1:26" ht="18.75" hidden="1">
      <c r="A755" s="599"/>
      <c r="B755" s="759"/>
      <c r="C755" s="759"/>
      <c r="D755" s="720"/>
      <c r="E755" s="759" t="s">
        <v>185</v>
      </c>
      <c r="F755" s="759"/>
      <c r="G755" s="603"/>
      <c r="H755" s="165" t="s">
        <v>12</v>
      </c>
      <c r="I755" s="617"/>
      <c r="J755" s="617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4"/>
      <c r="R755" s="604"/>
      <c r="S755" s="604"/>
      <c r="T755" s="604"/>
      <c r="U755" s="604"/>
      <c r="V755" s="604"/>
      <c r="W755" s="604"/>
      <c r="X755" s="604"/>
      <c r="Y755" s="604"/>
      <c r="Z755" s="604"/>
    </row>
    <row r="756" spans="1:26" ht="18.75" hidden="1">
      <c r="A756" s="599"/>
      <c r="B756" s="607"/>
      <c r="C756" s="759"/>
      <c r="D756" s="720"/>
      <c r="E756" s="759" t="s">
        <v>186</v>
      </c>
      <c r="F756" s="759"/>
      <c r="G756" s="603"/>
      <c r="H756" s="165" t="s">
        <v>12</v>
      </c>
      <c r="I756" s="617"/>
      <c r="J756" s="617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4"/>
      <c r="R756" s="604"/>
      <c r="S756" s="604"/>
      <c r="T756" s="604"/>
      <c r="U756" s="604"/>
      <c r="V756" s="604"/>
      <c r="W756" s="604"/>
      <c r="X756" s="604"/>
      <c r="Y756" s="604"/>
      <c r="Z756" s="604"/>
    </row>
    <row r="757" spans="1:26" ht="19.5" hidden="1">
      <c r="A757" s="599"/>
      <c r="B757" s="607"/>
      <c r="C757" s="759"/>
      <c r="D757" s="645" t="s">
        <v>20</v>
      </c>
      <c r="E757" s="759"/>
      <c r="F757" s="759"/>
      <c r="G757" s="603"/>
      <c r="H757" s="646" t="s">
        <v>12</v>
      </c>
      <c r="I757" s="166"/>
      <c r="J757" s="166"/>
      <c r="K757" s="167"/>
      <c r="L757" s="647">
        <f t="shared" ref="L757:N757" si="306">L758+L759</f>
        <v>0</v>
      </c>
      <c r="M757" s="647">
        <f t="shared" si="306"/>
        <v>0</v>
      </c>
      <c r="N757" s="647">
        <f t="shared" si="306"/>
        <v>0</v>
      </c>
      <c r="O757" s="647">
        <f t="shared" si="303"/>
        <v>0</v>
      </c>
      <c r="P757" s="647">
        <f t="shared" si="304"/>
        <v>0</v>
      </c>
      <c r="Q757" s="604"/>
      <c r="R757" s="604"/>
      <c r="S757" s="604"/>
      <c r="T757" s="604"/>
      <c r="U757" s="604"/>
      <c r="V757" s="604"/>
      <c r="W757" s="604"/>
      <c r="X757" s="604"/>
      <c r="Y757" s="604"/>
      <c r="Z757" s="604"/>
    </row>
    <row r="758" spans="1:26" ht="18.75" hidden="1">
      <c r="A758" s="599"/>
      <c r="B758" s="607"/>
      <c r="C758" s="759"/>
      <c r="D758" s="720"/>
      <c r="E758" s="759" t="s">
        <v>185</v>
      </c>
      <c r="F758" s="759"/>
      <c r="G758" s="603"/>
      <c r="H758" s="165" t="s">
        <v>12</v>
      </c>
      <c r="I758" s="617"/>
      <c r="J758" s="617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4"/>
      <c r="R758" s="604"/>
      <c r="S758" s="604"/>
      <c r="T758" s="604"/>
      <c r="U758" s="604"/>
      <c r="V758" s="604"/>
      <c r="W758" s="604"/>
      <c r="X758" s="604"/>
      <c r="Y758" s="604"/>
      <c r="Z758" s="604"/>
    </row>
    <row r="759" spans="1:26" ht="18.75" hidden="1">
      <c r="A759" s="599"/>
      <c r="B759" s="607"/>
      <c r="C759" s="759"/>
      <c r="D759" s="720"/>
      <c r="E759" s="759" t="s">
        <v>186</v>
      </c>
      <c r="F759" s="759"/>
      <c r="G759" s="603"/>
      <c r="H759" s="165" t="s">
        <v>12</v>
      </c>
      <c r="I759" s="617"/>
      <c r="J759" s="617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4"/>
      <c r="R759" s="604"/>
      <c r="S759" s="604"/>
      <c r="T759" s="604"/>
      <c r="U759" s="604"/>
      <c r="V759" s="604"/>
      <c r="W759" s="604"/>
      <c r="X759" s="604"/>
      <c r="Y759" s="604"/>
      <c r="Z759" s="604"/>
    </row>
    <row r="760" spans="1:26" ht="18.75" hidden="1">
      <c r="A760" s="649"/>
      <c r="B760" s="607"/>
      <c r="C760" s="759"/>
      <c r="D760" s="759"/>
      <c r="E760" s="759"/>
      <c r="F760" s="759" t="s">
        <v>187</v>
      </c>
      <c r="G760" s="603"/>
      <c r="H760" s="165" t="s">
        <v>12</v>
      </c>
      <c r="I760" s="617"/>
      <c r="J760" s="617"/>
      <c r="K760" s="93"/>
      <c r="L760" s="93"/>
      <c r="M760" s="93"/>
      <c r="N760" s="93"/>
      <c r="O760" s="93"/>
      <c r="P760" s="93"/>
      <c r="Q760" s="604"/>
      <c r="R760" s="604"/>
      <c r="S760" s="604"/>
      <c r="T760" s="604"/>
      <c r="U760" s="604"/>
      <c r="V760" s="604"/>
      <c r="W760" s="604"/>
      <c r="X760" s="604"/>
      <c r="Y760" s="604"/>
      <c r="Z760" s="604"/>
    </row>
    <row r="761" spans="1:26" ht="18.75" hidden="1">
      <c r="A761" s="649"/>
      <c r="B761" s="607"/>
      <c r="C761" s="759"/>
      <c r="D761" s="759"/>
      <c r="E761" s="759"/>
      <c r="F761" s="759" t="s">
        <v>188</v>
      </c>
      <c r="G761" s="603"/>
      <c r="H761" s="165" t="s">
        <v>12</v>
      </c>
      <c r="I761" s="617"/>
      <c r="J761" s="617"/>
      <c r="K761" s="93"/>
      <c r="L761" s="93"/>
      <c r="M761" s="93"/>
      <c r="N761" s="93"/>
      <c r="O761" s="93"/>
      <c r="P761" s="93"/>
      <c r="Q761" s="604"/>
      <c r="R761" s="604"/>
      <c r="S761" s="604"/>
      <c r="T761" s="604"/>
      <c r="U761" s="604"/>
      <c r="V761" s="604"/>
      <c r="W761" s="604"/>
      <c r="X761" s="604"/>
      <c r="Y761" s="604"/>
      <c r="Z761" s="604"/>
    </row>
    <row r="762" spans="1:26" ht="18.75" hidden="1">
      <c r="A762" s="649"/>
      <c r="B762" s="607"/>
      <c r="C762" s="759"/>
      <c r="D762" s="759"/>
      <c r="E762" s="759"/>
      <c r="F762" s="759" t="s">
        <v>189</v>
      </c>
      <c r="G762" s="603"/>
      <c r="H762" s="165" t="s">
        <v>12</v>
      </c>
      <c r="I762" s="617"/>
      <c r="J762" s="617"/>
      <c r="K762" s="93"/>
      <c r="L762" s="93"/>
      <c r="M762" s="93"/>
      <c r="N762" s="93"/>
      <c r="O762" s="93"/>
      <c r="P762" s="93"/>
      <c r="Q762" s="604"/>
      <c r="R762" s="604"/>
      <c r="S762" s="604"/>
      <c r="T762" s="604"/>
      <c r="U762" s="604"/>
      <c r="V762" s="604"/>
      <c r="W762" s="604"/>
      <c r="X762" s="604"/>
      <c r="Y762" s="604"/>
      <c r="Z762" s="604"/>
    </row>
    <row r="763" spans="1:26" ht="18.75" hidden="1">
      <c r="A763" s="649"/>
      <c r="B763" s="607"/>
      <c r="C763" s="759"/>
      <c r="D763" s="759"/>
      <c r="E763" s="759"/>
      <c r="F763" s="759" t="s">
        <v>190</v>
      </c>
      <c r="G763" s="603"/>
      <c r="H763" s="165" t="s">
        <v>12</v>
      </c>
      <c r="I763" s="617"/>
      <c r="J763" s="617"/>
      <c r="K763" s="93"/>
      <c r="L763" s="93"/>
      <c r="M763" s="93"/>
      <c r="N763" s="93"/>
      <c r="O763" s="93"/>
      <c r="P763" s="93"/>
      <c r="Q763" s="604"/>
      <c r="R763" s="604"/>
      <c r="S763" s="604"/>
      <c r="T763" s="604"/>
      <c r="U763" s="604"/>
      <c r="V763" s="604"/>
      <c r="W763" s="604"/>
      <c r="X763" s="604"/>
      <c r="Y763" s="604"/>
      <c r="Z763" s="604"/>
    </row>
    <row r="764" spans="1:26" ht="19.5" hidden="1">
      <c r="A764" s="599"/>
      <c r="B764" s="607"/>
      <c r="C764" s="759"/>
      <c r="D764" s="645" t="s">
        <v>21</v>
      </c>
      <c r="E764" s="759"/>
      <c r="F764" s="759"/>
      <c r="G764" s="603"/>
      <c r="H764" s="783" t="s">
        <v>12</v>
      </c>
      <c r="I764" s="166"/>
      <c r="J764" s="166"/>
      <c r="K764" s="167"/>
      <c r="L764" s="647">
        <f t="shared" ref="L764:N764" si="307">L765+L766</f>
        <v>0</v>
      </c>
      <c r="M764" s="647">
        <f t="shared" si="307"/>
        <v>0</v>
      </c>
      <c r="N764" s="647">
        <f t="shared" si="307"/>
        <v>0</v>
      </c>
      <c r="O764" s="647">
        <f t="shared" ref="O764:O766" si="308">IF(L764&gt;0,N764*100/L764,0)</f>
        <v>0</v>
      </c>
      <c r="P764" s="647">
        <f t="shared" ref="P764:P766" si="309">IF(M764&gt;0,N764*100/M764,0)</f>
        <v>0</v>
      </c>
      <c r="Q764" s="604"/>
      <c r="R764" s="604"/>
      <c r="S764" s="604"/>
      <c r="T764" s="604"/>
      <c r="U764" s="604"/>
      <c r="V764" s="604"/>
      <c r="W764" s="604"/>
      <c r="X764" s="604"/>
      <c r="Y764" s="604"/>
      <c r="Z764" s="604"/>
    </row>
    <row r="765" spans="1:26" ht="18.75" hidden="1">
      <c r="A765" s="599"/>
      <c r="B765" s="607"/>
      <c r="C765" s="759"/>
      <c r="D765" s="759"/>
      <c r="E765" s="759" t="s">
        <v>18</v>
      </c>
      <c r="F765" s="759"/>
      <c r="G765" s="603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4"/>
      <c r="R765" s="604"/>
      <c r="S765" s="604"/>
      <c r="T765" s="604"/>
      <c r="U765" s="604"/>
      <c r="V765" s="604"/>
      <c r="W765" s="604"/>
      <c r="X765" s="604"/>
      <c r="Y765" s="604"/>
      <c r="Z765" s="604"/>
    </row>
    <row r="766" spans="1:26" ht="18.75" hidden="1">
      <c r="A766" s="599"/>
      <c r="B766" s="607"/>
      <c r="C766" s="759"/>
      <c r="D766" s="759"/>
      <c r="E766" s="759" t="s">
        <v>19</v>
      </c>
      <c r="F766" s="759"/>
      <c r="G766" s="603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4"/>
      <c r="R766" s="604"/>
      <c r="S766" s="604"/>
      <c r="T766" s="604"/>
      <c r="U766" s="604"/>
      <c r="V766" s="604"/>
      <c r="W766" s="604"/>
      <c r="X766" s="604"/>
      <c r="Y766" s="604"/>
      <c r="Z766" s="604"/>
    </row>
    <row r="767" spans="1:26" ht="19.5" hidden="1">
      <c r="A767" s="614"/>
      <c r="B767" s="616"/>
      <c r="C767" s="759" t="s">
        <v>16</v>
      </c>
      <c r="D767" s="899" t="s">
        <v>38</v>
      </c>
      <c r="E767" s="651"/>
      <c r="F767" s="651"/>
      <c r="G767" s="652"/>
      <c r="H767" s="366"/>
      <c r="I767" s="166"/>
      <c r="J767" s="166"/>
      <c r="K767" s="167"/>
      <c r="L767" s="167"/>
      <c r="M767" s="167"/>
      <c r="N767" s="167"/>
      <c r="O767" s="167"/>
      <c r="P767" s="167"/>
      <c r="Q767" s="604"/>
      <c r="R767" s="604"/>
      <c r="S767" s="604"/>
      <c r="T767" s="604"/>
      <c r="U767" s="604"/>
      <c r="V767" s="604"/>
      <c r="W767" s="604"/>
      <c r="X767" s="604"/>
      <c r="Y767" s="604"/>
      <c r="Z767" s="604"/>
    </row>
    <row r="768" spans="1:26" ht="18.75" hidden="1">
      <c r="A768" s="649"/>
      <c r="B768" s="607"/>
      <c r="C768" s="759"/>
      <c r="D768" s="759"/>
      <c r="E768" s="759" t="s">
        <v>317</v>
      </c>
      <c r="F768" s="759"/>
      <c r="G768" s="603"/>
      <c r="H768" s="165" t="s">
        <v>46</v>
      </c>
      <c r="I768" s="617"/>
      <c r="J768" s="617"/>
      <c r="K768" s="93"/>
      <c r="L768" s="93"/>
      <c r="M768" s="93"/>
      <c r="N768" s="93"/>
      <c r="O768" s="93"/>
      <c r="P768" s="93"/>
      <c r="Q768" s="604"/>
      <c r="R768" s="604"/>
      <c r="S768" s="604"/>
      <c r="T768" s="604"/>
      <c r="U768" s="604"/>
      <c r="V768" s="604"/>
      <c r="W768" s="604"/>
      <c r="X768" s="604"/>
      <c r="Y768" s="604"/>
      <c r="Z768" s="604"/>
    </row>
    <row r="769" spans="1:26" ht="19.5" hidden="1">
      <c r="A769" s="793">
        <v>11</v>
      </c>
      <c r="B769" s="794" t="s">
        <v>318</v>
      </c>
      <c r="C769" s="795"/>
      <c r="D769" s="795"/>
      <c r="E769" s="795"/>
      <c r="F769" s="795"/>
      <c r="G769" s="796"/>
      <c r="H769" s="797" t="s">
        <v>46</v>
      </c>
      <c r="I769" s="798"/>
      <c r="J769" s="798">
        <f>J784</f>
        <v>0</v>
      </c>
      <c r="K769" s="799">
        <f>IF(I769&gt;0,J769*100/I769,0)</f>
        <v>0</v>
      </c>
      <c r="L769" s="800"/>
      <c r="M769" s="800"/>
      <c r="N769" s="800"/>
      <c r="O769" s="800"/>
      <c r="P769" s="800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</row>
    <row r="770" spans="1:26" ht="19.5" hidden="1">
      <c r="A770" s="599"/>
      <c r="B770" s="759"/>
      <c r="C770" s="759" t="s">
        <v>16</v>
      </c>
      <c r="D770" s="864" t="s">
        <v>17</v>
      </c>
      <c r="E770" s="857"/>
      <c r="F770" s="857"/>
      <c r="G770" s="603"/>
      <c r="H770" s="646" t="s">
        <v>12</v>
      </c>
      <c r="I770" s="617"/>
      <c r="J770" s="617"/>
      <c r="K770" s="93"/>
      <c r="L770" s="647">
        <f t="shared" ref="L770:N770" si="310">L771+L772</f>
        <v>0</v>
      </c>
      <c r="M770" s="647">
        <f t="shared" si="310"/>
        <v>0</v>
      </c>
      <c r="N770" s="647">
        <f t="shared" si="310"/>
        <v>0</v>
      </c>
      <c r="O770" s="647">
        <f t="shared" ref="O770:O775" si="311">IF(L770&gt;0,N770*100/L770,0)</f>
        <v>0</v>
      </c>
      <c r="P770" s="647">
        <f t="shared" ref="P770:P775" si="312">IF(M770&gt;0,N770*100/M770,0)</f>
        <v>0</v>
      </c>
      <c r="Q770" s="604"/>
      <c r="R770" s="604"/>
      <c r="S770" s="604"/>
      <c r="T770" s="604"/>
      <c r="U770" s="604"/>
      <c r="V770" s="604"/>
      <c r="W770" s="604"/>
      <c r="X770" s="604"/>
      <c r="Y770" s="604"/>
      <c r="Z770" s="604"/>
    </row>
    <row r="771" spans="1:26" ht="18.75" hidden="1">
      <c r="A771" s="599"/>
      <c r="B771" s="759"/>
      <c r="C771" s="759"/>
      <c r="D771" s="720"/>
      <c r="E771" s="759" t="s">
        <v>185</v>
      </c>
      <c r="F771" s="759"/>
      <c r="G771" s="603"/>
      <c r="H771" s="165" t="s">
        <v>12</v>
      </c>
      <c r="I771" s="617"/>
      <c r="J771" s="617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4"/>
      <c r="R771" s="604"/>
      <c r="S771" s="604"/>
      <c r="T771" s="604"/>
      <c r="U771" s="604"/>
      <c r="V771" s="604"/>
      <c r="W771" s="604"/>
      <c r="X771" s="604"/>
      <c r="Y771" s="604"/>
      <c r="Z771" s="604"/>
    </row>
    <row r="772" spans="1:26" ht="18.75" hidden="1">
      <c r="A772" s="599"/>
      <c r="B772" s="607"/>
      <c r="C772" s="759"/>
      <c r="D772" s="720"/>
      <c r="E772" s="759" t="s">
        <v>186</v>
      </c>
      <c r="F772" s="759"/>
      <c r="G772" s="603"/>
      <c r="H772" s="165" t="s">
        <v>12</v>
      </c>
      <c r="I772" s="617"/>
      <c r="J772" s="617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4"/>
      <c r="R772" s="604"/>
      <c r="S772" s="604"/>
      <c r="T772" s="604"/>
      <c r="U772" s="604"/>
      <c r="V772" s="604"/>
      <c r="W772" s="604"/>
      <c r="X772" s="604"/>
      <c r="Y772" s="604"/>
      <c r="Z772" s="604"/>
    </row>
    <row r="773" spans="1:26" ht="19.5" hidden="1">
      <c r="A773" s="599"/>
      <c r="B773" s="607"/>
      <c r="C773" s="759"/>
      <c r="D773" s="645" t="s">
        <v>20</v>
      </c>
      <c r="E773" s="759"/>
      <c r="F773" s="759"/>
      <c r="G773" s="603"/>
      <c r="H773" s="646" t="s">
        <v>12</v>
      </c>
      <c r="I773" s="166"/>
      <c r="J773" s="166"/>
      <c r="K773" s="167"/>
      <c r="L773" s="647">
        <f t="shared" ref="L773:N773" si="314">L774+L775</f>
        <v>0</v>
      </c>
      <c r="M773" s="647">
        <f t="shared" si="314"/>
        <v>0</v>
      </c>
      <c r="N773" s="647">
        <f t="shared" si="314"/>
        <v>0</v>
      </c>
      <c r="O773" s="647">
        <f t="shared" si="311"/>
        <v>0</v>
      </c>
      <c r="P773" s="647">
        <f t="shared" si="312"/>
        <v>0</v>
      </c>
      <c r="Q773" s="604"/>
      <c r="R773" s="604"/>
      <c r="S773" s="604"/>
      <c r="T773" s="604"/>
      <c r="U773" s="604"/>
      <c r="V773" s="604"/>
      <c r="W773" s="604"/>
      <c r="X773" s="604"/>
      <c r="Y773" s="604"/>
      <c r="Z773" s="604"/>
    </row>
    <row r="774" spans="1:26" ht="18.75" hidden="1">
      <c r="A774" s="599"/>
      <c r="B774" s="607"/>
      <c r="C774" s="759"/>
      <c r="D774" s="720"/>
      <c r="E774" s="759" t="s">
        <v>185</v>
      </c>
      <c r="F774" s="759"/>
      <c r="G774" s="603"/>
      <c r="H774" s="165" t="s">
        <v>12</v>
      </c>
      <c r="I774" s="617"/>
      <c r="J774" s="617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4"/>
      <c r="R774" s="604"/>
      <c r="S774" s="604"/>
      <c r="T774" s="604"/>
      <c r="U774" s="604"/>
      <c r="V774" s="604"/>
      <c r="W774" s="604"/>
      <c r="X774" s="604"/>
      <c r="Y774" s="604"/>
      <c r="Z774" s="604"/>
    </row>
    <row r="775" spans="1:26" ht="18.75" hidden="1">
      <c r="A775" s="599"/>
      <c r="B775" s="607"/>
      <c r="C775" s="759"/>
      <c r="D775" s="720"/>
      <c r="E775" s="759" t="s">
        <v>186</v>
      </c>
      <c r="F775" s="759"/>
      <c r="G775" s="603"/>
      <c r="H775" s="165" t="s">
        <v>12</v>
      </c>
      <c r="I775" s="617"/>
      <c r="J775" s="617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4"/>
      <c r="R775" s="604"/>
      <c r="S775" s="604"/>
      <c r="T775" s="604"/>
      <c r="U775" s="604"/>
      <c r="V775" s="604"/>
      <c r="W775" s="604"/>
      <c r="X775" s="604"/>
      <c r="Y775" s="604"/>
      <c r="Z775" s="604"/>
    </row>
    <row r="776" spans="1:26" ht="18.75" hidden="1">
      <c r="A776" s="649"/>
      <c r="B776" s="607"/>
      <c r="C776" s="759"/>
      <c r="D776" s="759"/>
      <c r="E776" s="759"/>
      <c r="F776" s="759" t="s">
        <v>187</v>
      </c>
      <c r="G776" s="603"/>
      <c r="H776" s="165" t="s">
        <v>12</v>
      </c>
      <c r="I776" s="617"/>
      <c r="J776" s="617"/>
      <c r="K776" s="93"/>
      <c r="L776" s="93"/>
      <c r="M776" s="93"/>
      <c r="N776" s="93"/>
      <c r="O776" s="93"/>
      <c r="P776" s="93"/>
      <c r="Q776" s="604"/>
      <c r="R776" s="604"/>
      <c r="S776" s="604"/>
      <c r="T776" s="604"/>
      <c r="U776" s="604"/>
      <c r="V776" s="604"/>
      <c r="W776" s="604"/>
      <c r="X776" s="604"/>
      <c r="Y776" s="604"/>
      <c r="Z776" s="604"/>
    </row>
    <row r="777" spans="1:26" ht="18.75" hidden="1">
      <c r="A777" s="649"/>
      <c r="B777" s="607"/>
      <c r="C777" s="759"/>
      <c r="D777" s="759"/>
      <c r="E777" s="759"/>
      <c r="F777" s="759" t="s">
        <v>188</v>
      </c>
      <c r="G777" s="603"/>
      <c r="H777" s="165" t="s">
        <v>12</v>
      </c>
      <c r="I777" s="617"/>
      <c r="J777" s="617"/>
      <c r="K777" s="93"/>
      <c r="L777" s="93"/>
      <c r="M777" s="93"/>
      <c r="N777" s="93"/>
      <c r="O777" s="93"/>
      <c r="P777" s="93"/>
      <c r="Q777" s="604"/>
      <c r="R777" s="604"/>
      <c r="S777" s="604"/>
      <c r="T777" s="604"/>
      <c r="U777" s="604"/>
      <c r="V777" s="604"/>
      <c r="W777" s="604"/>
      <c r="X777" s="604"/>
      <c r="Y777" s="604"/>
      <c r="Z777" s="604"/>
    </row>
    <row r="778" spans="1:26" ht="18.75" hidden="1">
      <c r="A778" s="649"/>
      <c r="B778" s="607"/>
      <c r="C778" s="759"/>
      <c r="D778" s="759"/>
      <c r="E778" s="759"/>
      <c r="F778" s="759" t="s">
        <v>189</v>
      </c>
      <c r="G778" s="603"/>
      <c r="H778" s="165" t="s">
        <v>12</v>
      </c>
      <c r="I778" s="617"/>
      <c r="J778" s="617"/>
      <c r="K778" s="93"/>
      <c r="L778" s="93"/>
      <c r="M778" s="93"/>
      <c r="N778" s="93"/>
      <c r="O778" s="93"/>
      <c r="P778" s="93"/>
      <c r="Q778" s="604"/>
      <c r="R778" s="604"/>
      <c r="S778" s="604"/>
      <c r="T778" s="604"/>
      <c r="U778" s="604"/>
      <c r="V778" s="604"/>
      <c r="W778" s="604"/>
      <c r="X778" s="604"/>
      <c r="Y778" s="604"/>
      <c r="Z778" s="604"/>
    </row>
    <row r="779" spans="1:26" ht="18.75" hidden="1">
      <c r="A779" s="649"/>
      <c r="B779" s="607"/>
      <c r="C779" s="759"/>
      <c r="D779" s="759"/>
      <c r="E779" s="759"/>
      <c r="F779" s="759" t="s">
        <v>190</v>
      </c>
      <c r="G779" s="603"/>
      <c r="H779" s="165" t="s">
        <v>12</v>
      </c>
      <c r="I779" s="617"/>
      <c r="J779" s="617"/>
      <c r="K779" s="93"/>
      <c r="L779" s="93"/>
      <c r="M779" s="93"/>
      <c r="N779" s="93"/>
      <c r="O779" s="93"/>
      <c r="P779" s="93"/>
      <c r="Q779" s="604"/>
      <c r="R779" s="604"/>
      <c r="S779" s="604"/>
      <c r="T779" s="604"/>
      <c r="U779" s="604"/>
      <c r="V779" s="604"/>
      <c r="W779" s="604"/>
      <c r="X779" s="604"/>
      <c r="Y779" s="604"/>
      <c r="Z779" s="604"/>
    </row>
    <row r="780" spans="1:26" ht="19.5" hidden="1">
      <c r="A780" s="599"/>
      <c r="B780" s="607"/>
      <c r="C780" s="759"/>
      <c r="D780" s="645" t="s">
        <v>21</v>
      </c>
      <c r="E780" s="759"/>
      <c r="F780" s="759"/>
      <c r="G780" s="603"/>
      <c r="H780" s="783" t="s">
        <v>12</v>
      </c>
      <c r="I780" s="166"/>
      <c r="J780" s="166"/>
      <c r="K780" s="167"/>
      <c r="L780" s="647">
        <f t="shared" ref="L780:N780" si="315">L781+L782</f>
        <v>0</v>
      </c>
      <c r="M780" s="647">
        <f t="shared" si="315"/>
        <v>0</v>
      </c>
      <c r="N780" s="647">
        <f t="shared" si="315"/>
        <v>0</v>
      </c>
      <c r="O780" s="647">
        <f t="shared" ref="O780:O782" si="316">IF(L780&gt;0,N780*100/L780,0)</f>
        <v>0</v>
      </c>
      <c r="P780" s="647">
        <f t="shared" ref="P780:P782" si="317">IF(M780&gt;0,N780*100/M780,0)</f>
        <v>0</v>
      </c>
      <c r="Q780" s="604"/>
      <c r="R780" s="604"/>
      <c r="S780" s="604"/>
      <c r="T780" s="604"/>
      <c r="U780" s="604"/>
      <c r="V780" s="604"/>
      <c r="W780" s="604"/>
      <c r="X780" s="604"/>
      <c r="Y780" s="604"/>
      <c r="Z780" s="604"/>
    </row>
    <row r="781" spans="1:26" ht="18.75" hidden="1">
      <c r="A781" s="599"/>
      <c r="B781" s="607"/>
      <c r="C781" s="759"/>
      <c r="D781" s="759"/>
      <c r="E781" s="759" t="s">
        <v>18</v>
      </c>
      <c r="F781" s="759"/>
      <c r="G781" s="603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4"/>
      <c r="R781" s="604"/>
      <c r="S781" s="604"/>
      <c r="T781" s="604"/>
      <c r="U781" s="604"/>
      <c r="V781" s="604"/>
      <c r="W781" s="604"/>
      <c r="X781" s="604"/>
      <c r="Y781" s="604"/>
      <c r="Z781" s="604"/>
    </row>
    <row r="782" spans="1:26" ht="18.75" hidden="1">
      <c r="A782" s="599"/>
      <c r="B782" s="607"/>
      <c r="C782" s="759"/>
      <c r="D782" s="759"/>
      <c r="E782" s="759" t="s">
        <v>19</v>
      </c>
      <c r="F782" s="759"/>
      <c r="G782" s="603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4"/>
      <c r="R782" s="604"/>
      <c r="S782" s="604"/>
      <c r="T782" s="604"/>
      <c r="U782" s="604"/>
      <c r="V782" s="604"/>
      <c r="W782" s="604"/>
      <c r="X782" s="604"/>
      <c r="Y782" s="604"/>
      <c r="Z782" s="604"/>
    </row>
    <row r="783" spans="1:26" ht="19.5" hidden="1">
      <c r="A783" s="614"/>
      <c r="B783" s="616"/>
      <c r="C783" s="759" t="s">
        <v>16</v>
      </c>
      <c r="D783" s="899" t="s">
        <v>38</v>
      </c>
      <c r="E783" s="651"/>
      <c r="F783" s="651"/>
      <c r="G783" s="652"/>
      <c r="H783" s="801"/>
      <c r="I783" s="166"/>
      <c r="J783" s="166"/>
      <c r="K783" s="167"/>
      <c r="L783" s="167"/>
      <c r="M783" s="167"/>
      <c r="N783" s="167"/>
      <c r="O783" s="167"/>
      <c r="P783" s="167"/>
      <c r="Q783" s="604"/>
      <c r="R783" s="604"/>
      <c r="S783" s="604"/>
      <c r="T783" s="604"/>
      <c r="U783" s="604"/>
      <c r="V783" s="604"/>
      <c r="W783" s="604"/>
      <c r="X783" s="604"/>
      <c r="Y783" s="604"/>
      <c r="Z783" s="604"/>
    </row>
    <row r="784" spans="1:26" ht="18.75" hidden="1">
      <c r="A784" s="649"/>
      <c r="B784" s="607"/>
      <c r="C784" s="759"/>
      <c r="D784" s="759"/>
      <c r="E784" s="759" t="s">
        <v>319</v>
      </c>
      <c r="F784" s="759"/>
      <c r="G784" s="603"/>
      <c r="H784" s="165" t="s">
        <v>46</v>
      </c>
      <c r="I784" s="617"/>
      <c r="J784" s="617"/>
      <c r="K784" s="93"/>
      <c r="L784" s="93"/>
      <c r="M784" s="93"/>
      <c r="N784" s="93"/>
      <c r="O784" s="93"/>
      <c r="P784" s="93"/>
      <c r="Q784" s="604"/>
      <c r="R784" s="604"/>
      <c r="S784" s="604"/>
      <c r="T784" s="604"/>
      <c r="U784" s="604"/>
      <c r="V784" s="604"/>
      <c r="W784" s="604"/>
      <c r="X784" s="604"/>
      <c r="Y784" s="604"/>
      <c r="Z784" s="604"/>
    </row>
    <row r="785" spans="1:26" ht="19.5">
      <c r="A785" s="802">
        <v>12</v>
      </c>
      <c r="B785" s="803" t="s">
        <v>320</v>
      </c>
      <c r="C785" s="804"/>
      <c r="D785" s="804"/>
      <c r="E785" s="804"/>
      <c r="F785" s="804"/>
      <c r="G785" s="805"/>
      <c r="H785" s="806" t="s">
        <v>46</v>
      </c>
      <c r="I785" s="807">
        <f t="shared" ref="I785:J785" ca="1" si="318">I801+I803</f>
        <v>3000</v>
      </c>
      <c r="J785" s="807">
        <f t="shared" ca="1" si="318"/>
        <v>3768</v>
      </c>
      <c r="K785" s="808">
        <f ca="1">IF(I785&gt;0,J785*100/I785,0)</f>
        <v>125.6</v>
      </c>
      <c r="L785" s="809"/>
      <c r="M785" s="809"/>
      <c r="N785" s="809"/>
      <c r="O785" s="809"/>
      <c r="P785" s="809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</row>
    <row r="786" spans="1:26" ht="19.5">
      <c r="A786" s="597"/>
      <c r="B786" s="575"/>
      <c r="C786" s="763" t="s">
        <v>16</v>
      </c>
      <c r="D786" s="863" t="s">
        <v>17</v>
      </c>
      <c r="E786" s="857"/>
      <c r="F786" s="857"/>
      <c r="G786" s="189"/>
      <c r="H786" s="810" t="s">
        <v>12</v>
      </c>
      <c r="I786" s="811"/>
      <c r="J786" s="811"/>
      <c r="K786" s="812"/>
      <c r="L786" s="195">
        <f t="shared" ref="L786:N786" ca="1" si="319">L787+L788</f>
        <v>197920</v>
      </c>
      <c r="M786" s="195">
        <f t="shared" ca="1" si="319"/>
        <v>253642.82</v>
      </c>
      <c r="N786" s="195">
        <f t="shared" si="319"/>
        <v>253642.82</v>
      </c>
      <c r="O786" s="195">
        <f t="shared" ref="O786:O791" ca="1" si="320">IF(L786&gt;0,N786*100/L786,0)</f>
        <v>128.15421382376718</v>
      </c>
      <c r="P786" s="195">
        <f t="shared" ref="P786:P791" ca="1" si="321">IF(M786&gt;0,N786*100/M786,0)</f>
        <v>100</v>
      </c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</row>
    <row r="787" spans="1:26" ht="18.75" hidden="1">
      <c r="A787" s="599"/>
      <c r="B787" s="607"/>
      <c r="C787" s="759"/>
      <c r="D787" s="720"/>
      <c r="E787" s="759" t="s">
        <v>185</v>
      </c>
      <c r="F787" s="759"/>
      <c r="G787" s="603"/>
      <c r="H787" s="813" t="s">
        <v>12</v>
      </c>
      <c r="I787" s="811"/>
      <c r="J787" s="811"/>
      <c r="K787" s="812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4"/>
      <c r="R787" s="604"/>
      <c r="S787" s="604"/>
      <c r="T787" s="604"/>
      <c r="U787" s="604"/>
      <c r="V787" s="604"/>
      <c r="W787" s="604"/>
      <c r="X787" s="604"/>
      <c r="Y787" s="604"/>
      <c r="Z787" s="604"/>
    </row>
    <row r="788" spans="1:26" ht="18.75" hidden="1">
      <c r="A788" s="599"/>
      <c r="B788" s="607"/>
      <c r="C788" s="607"/>
      <c r="D788" s="616"/>
      <c r="E788" s="759" t="s">
        <v>186</v>
      </c>
      <c r="F788" s="759"/>
      <c r="G788" s="603"/>
      <c r="H788" s="813" t="s">
        <v>12</v>
      </c>
      <c r="I788" s="811"/>
      <c r="J788" s="811"/>
      <c r="K788" s="812"/>
      <c r="L788" s="93">
        <f t="shared" ca="1" si="322"/>
        <v>197920</v>
      </c>
      <c r="M788" s="93">
        <f t="shared" ca="1" si="322"/>
        <v>253642.82</v>
      </c>
      <c r="N788" s="93">
        <f t="shared" si="322"/>
        <v>253642.82</v>
      </c>
      <c r="O788" s="93">
        <f t="shared" ca="1" si="320"/>
        <v>128.15421382376718</v>
      </c>
      <c r="P788" s="93">
        <f t="shared" ca="1" si="321"/>
        <v>100</v>
      </c>
      <c r="Q788" s="604"/>
      <c r="R788" s="604"/>
      <c r="S788" s="604"/>
      <c r="T788" s="604"/>
      <c r="U788" s="604"/>
      <c r="V788" s="604"/>
      <c r="W788" s="604"/>
      <c r="X788" s="604"/>
      <c r="Y788" s="604"/>
      <c r="Z788" s="604"/>
    </row>
    <row r="789" spans="1:26" ht="18.75">
      <c r="A789" s="597"/>
      <c r="B789" s="575"/>
      <c r="C789" s="575"/>
      <c r="D789" s="606" t="s">
        <v>20</v>
      </c>
      <c r="E789" s="763"/>
      <c r="F789" s="763"/>
      <c r="G789" s="189"/>
      <c r="H789" s="814" t="s">
        <v>12</v>
      </c>
      <c r="I789" s="815"/>
      <c r="J789" s="815"/>
      <c r="K789" s="816"/>
      <c r="L789" s="498">
        <f t="shared" ref="L789:N789" ca="1" si="323">L790+L791</f>
        <v>197920</v>
      </c>
      <c r="M789" s="498">
        <f t="shared" ca="1" si="323"/>
        <v>253642.82</v>
      </c>
      <c r="N789" s="498">
        <f t="shared" si="323"/>
        <v>253642.82</v>
      </c>
      <c r="O789" s="498">
        <f t="shared" ca="1" si="320"/>
        <v>128.15421382376718</v>
      </c>
      <c r="P789" s="498">
        <f t="shared" ca="1" si="321"/>
        <v>100</v>
      </c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</row>
    <row r="790" spans="1:26" ht="18.75" hidden="1">
      <c r="A790" s="599"/>
      <c r="B790" s="607"/>
      <c r="C790" s="607"/>
      <c r="D790" s="616"/>
      <c r="E790" s="759" t="s">
        <v>185</v>
      </c>
      <c r="F790" s="759"/>
      <c r="G790" s="603"/>
      <c r="H790" s="813" t="s">
        <v>12</v>
      </c>
      <c r="I790" s="811"/>
      <c r="J790" s="811"/>
      <c r="K790" s="812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4"/>
      <c r="R790" s="604"/>
      <c r="S790" s="604"/>
      <c r="T790" s="604"/>
      <c r="U790" s="604"/>
      <c r="V790" s="604"/>
      <c r="W790" s="604"/>
      <c r="X790" s="604"/>
      <c r="Y790" s="604"/>
      <c r="Z790" s="604"/>
    </row>
    <row r="791" spans="1:26" ht="18.75" hidden="1">
      <c r="A791" s="599"/>
      <c r="B791" s="607"/>
      <c r="C791" s="607"/>
      <c r="D791" s="616"/>
      <c r="E791" s="759" t="s">
        <v>186</v>
      </c>
      <c r="F791" s="759"/>
      <c r="G791" s="603"/>
      <c r="H791" s="813" t="s">
        <v>12</v>
      </c>
      <c r="I791" s="811"/>
      <c r="J791" s="811"/>
      <c r="K791" s="812"/>
      <c r="L791" s="93">
        <f ca="1">IFERROR(__xludf.DUMMYFUNCTION("IMPORTRANGE(""https://docs.google.com/spreadsheets/d/1QqKyyYR6Q21VydFLVH3TRQUabQu_ym0Zz7PgGX0-kHA/edit?usp=sharing"",""แผน!JJ45"")"),197920)</f>
        <v>197920</v>
      </c>
      <c r="M791" s="93">
        <f ca="1">L791+60000-4277.18</f>
        <v>253642.82</v>
      </c>
      <c r="N791" s="93">
        <f>N792+N793+N794+N795</f>
        <v>253642.82</v>
      </c>
      <c r="O791" s="93">
        <f t="shared" ca="1" si="320"/>
        <v>128.15421382376718</v>
      </c>
      <c r="P791" s="93">
        <f t="shared" ca="1" si="321"/>
        <v>100</v>
      </c>
      <c r="Q791" s="604"/>
      <c r="R791" s="604"/>
      <c r="S791" s="604"/>
      <c r="T791" s="604"/>
      <c r="U791" s="604"/>
      <c r="V791" s="604"/>
      <c r="W791" s="604"/>
      <c r="X791" s="604"/>
      <c r="Y791" s="604"/>
      <c r="Z791" s="604"/>
    </row>
    <row r="792" spans="1:26" ht="18.75">
      <c r="A792" s="574"/>
      <c r="B792" s="575"/>
      <c r="C792" s="763"/>
      <c r="D792" s="763"/>
      <c r="E792" s="763"/>
      <c r="F792" s="763" t="s">
        <v>187</v>
      </c>
      <c r="G792" s="189"/>
      <c r="H792" s="814" t="s">
        <v>12</v>
      </c>
      <c r="I792" s="811"/>
      <c r="J792" s="811"/>
      <c r="K792" s="812"/>
      <c r="L792" s="498"/>
      <c r="M792" s="498"/>
      <c r="N792" s="840">
        <v>0</v>
      </c>
      <c r="O792" s="498"/>
      <c r="P792" s="49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</row>
    <row r="793" spans="1:26" ht="18.75">
      <c r="A793" s="574"/>
      <c r="B793" s="575"/>
      <c r="C793" s="763"/>
      <c r="D793" s="763"/>
      <c r="E793" s="763"/>
      <c r="F793" s="763" t="s">
        <v>188</v>
      </c>
      <c r="G793" s="189"/>
      <c r="H793" s="814" t="s">
        <v>12</v>
      </c>
      <c r="I793" s="811"/>
      <c r="J793" s="811"/>
      <c r="K793" s="812"/>
      <c r="L793" s="498"/>
      <c r="M793" s="498"/>
      <c r="N793" s="840">
        <v>42000</v>
      </c>
      <c r="O793" s="498"/>
      <c r="P793" s="49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</row>
    <row r="794" spans="1:26" ht="18.75">
      <c r="A794" s="574"/>
      <c r="B794" s="575"/>
      <c r="C794" s="763"/>
      <c r="D794" s="763"/>
      <c r="E794" s="763"/>
      <c r="F794" s="763" t="s">
        <v>189</v>
      </c>
      <c r="G794" s="189"/>
      <c r="H794" s="814" t="s">
        <v>12</v>
      </c>
      <c r="I794" s="811"/>
      <c r="J794" s="811"/>
      <c r="K794" s="812"/>
      <c r="L794" s="498"/>
      <c r="M794" s="498"/>
      <c r="N794" s="840">
        <v>80166.649999999994</v>
      </c>
      <c r="O794" s="498"/>
      <c r="P794" s="49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</row>
    <row r="795" spans="1:26" ht="18.75">
      <c r="A795" s="574"/>
      <c r="B795" s="575"/>
      <c r="C795" s="763"/>
      <c r="D795" s="763"/>
      <c r="E795" s="763"/>
      <c r="F795" s="763" t="s">
        <v>190</v>
      </c>
      <c r="G795" s="189"/>
      <c r="H795" s="814" t="s">
        <v>12</v>
      </c>
      <c r="I795" s="811"/>
      <c r="J795" s="811"/>
      <c r="K795" s="812"/>
      <c r="L795" s="498"/>
      <c r="M795" s="498"/>
      <c r="N795" s="840">
        <v>131476.17000000001</v>
      </c>
      <c r="O795" s="498"/>
      <c r="P795" s="49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</row>
    <row r="796" spans="1:26" ht="18.75">
      <c r="A796" s="597"/>
      <c r="B796" s="575"/>
      <c r="C796" s="763"/>
      <c r="D796" s="606" t="s">
        <v>21</v>
      </c>
      <c r="E796" s="763"/>
      <c r="F796" s="763"/>
      <c r="G796" s="189"/>
      <c r="H796" s="817" t="s">
        <v>12</v>
      </c>
      <c r="I796" s="815"/>
      <c r="J796" s="815"/>
      <c r="K796" s="816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</row>
    <row r="797" spans="1:26" ht="18.75" hidden="1">
      <c r="A797" s="599"/>
      <c r="B797" s="607"/>
      <c r="C797" s="759"/>
      <c r="D797" s="759"/>
      <c r="E797" s="759" t="s">
        <v>18</v>
      </c>
      <c r="F797" s="759"/>
      <c r="G797" s="603"/>
      <c r="H797" s="813" t="s">
        <v>12</v>
      </c>
      <c r="I797" s="815"/>
      <c r="J797" s="815"/>
      <c r="K797" s="816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4"/>
      <c r="R797" s="604"/>
      <c r="S797" s="604"/>
      <c r="T797" s="604"/>
      <c r="U797" s="604"/>
      <c r="V797" s="604"/>
      <c r="W797" s="604"/>
      <c r="X797" s="604"/>
      <c r="Y797" s="604"/>
      <c r="Z797" s="604"/>
    </row>
    <row r="798" spans="1:26" ht="18.75" hidden="1">
      <c r="A798" s="599"/>
      <c r="B798" s="607"/>
      <c r="C798" s="759"/>
      <c r="D798" s="759"/>
      <c r="E798" s="759" t="s">
        <v>19</v>
      </c>
      <c r="F798" s="759"/>
      <c r="G798" s="603"/>
      <c r="H798" s="818" t="s">
        <v>12</v>
      </c>
      <c r="I798" s="815"/>
      <c r="J798" s="815"/>
      <c r="K798" s="816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4"/>
      <c r="R798" s="604"/>
      <c r="S798" s="604"/>
      <c r="T798" s="604"/>
      <c r="U798" s="604"/>
      <c r="V798" s="604"/>
      <c r="W798" s="604"/>
      <c r="X798" s="604"/>
      <c r="Y798" s="604"/>
      <c r="Z798" s="604"/>
    </row>
    <row r="799" spans="1:26" ht="19.5">
      <c r="A799" s="608"/>
      <c r="B799" s="618"/>
      <c r="C799" s="763" t="s">
        <v>16</v>
      </c>
      <c r="D799" s="898" t="s">
        <v>38</v>
      </c>
      <c r="E799" s="761"/>
      <c r="F799" s="761"/>
      <c r="G799" s="613"/>
      <c r="H799" s="819"/>
      <c r="I799" s="815"/>
      <c r="J799" s="815"/>
      <c r="K799" s="816"/>
      <c r="L799" s="163"/>
      <c r="M799" s="163"/>
      <c r="N799" s="163"/>
      <c r="O799" s="163"/>
      <c r="P799" s="163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</row>
    <row r="800" spans="1:26" ht="18.75">
      <c r="A800" s="608"/>
      <c r="B800" s="618"/>
      <c r="C800" s="618"/>
      <c r="D800" s="618"/>
      <c r="E800" s="626"/>
      <c r="F800" s="626" t="s">
        <v>321</v>
      </c>
      <c r="G800" s="762"/>
      <c r="H800" s="820" t="s">
        <v>34</v>
      </c>
      <c r="I800" s="815"/>
      <c r="J800" s="821">
        <f ca="1">IFERROR(__xludf.DUMMYFUNCTION("IMPORTRANGE(""https://docs.google.com/spreadsheets/d/1MaWodYyGHDf7siQLGxnXhG4mBNTNIuy296niS2xXulU/edit?usp=sharing"",""RTK!H45"")"),343)</f>
        <v>343</v>
      </c>
      <c r="K800" s="812"/>
      <c r="L800" s="498"/>
      <c r="M800" s="498"/>
      <c r="N800" s="498"/>
      <c r="O800" s="163"/>
      <c r="P800" s="163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</row>
    <row r="801" spans="1:26" ht="18.75">
      <c r="A801" s="608"/>
      <c r="B801" s="618"/>
      <c r="C801" s="618"/>
      <c r="D801" s="618"/>
      <c r="E801" s="626"/>
      <c r="F801" s="626"/>
      <c r="G801" s="762"/>
      <c r="H801" s="814" t="s">
        <v>46</v>
      </c>
      <c r="I801" s="821">
        <f ca="1">IFERROR(__xludf.DUMMYFUNCTION("IMPORTRANGE(""https://docs.google.com/spreadsheets/d/1MaWodYyGHDf7siQLGxnXhG4mBNTNIuy296niS2xXulU/edit?usp=sharing"",""RTK!G45"")"),3000)</f>
        <v>3000</v>
      </c>
      <c r="J801" s="822">
        <f ca="1">IFERROR(__xludf.DUMMYFUNCTION("IMPORTRANGE(""https://docs.google.com/spreadsheets/d/1MaWodYyGHDf7siQLGxnXhG4mBNTNIuy296niS2xXulU/edit?usp=sharing"",""RTK!I45"")"),3768)</f>
        <v>3768</v>
      </c>
      <c r="K801" s="823">
        <f ca="1">IF(I801&gt;0,J801*100/I801,0)</f>
        <v>125.6</v>
      </c>
      <c r="L801" s="498"/>
      <c r="M801" s="498"/>
      <c r="N801" s="498"/>
      <c r="O801" s="163"/>
      <c r="P801" s="163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</row>
    <row r="802" spans="1:26" ht="18.75">
      <c r="A802" s="614"/>
      <c r="B802" s="616"/>
      <c r="C802" s="616"/>
      <c r="D802" s="616"/>
      <c r="E802" s="720"/>
      <c r="F802" s="824" t="s">
        <v>322</v>
      </c>
      <c r="G802" s="366"/>
      <c r="H802" s="820" t="s">
        <v>34</v>
      </c>
      <c r="I802" s="815"/>
      <c r="J802" s="821">
        <f ca="1">IFERROR(__xludf.DUMMYFUNCTION("IMPORTRANGE(""https://docs.google.com/spreadsheets/d/1MaWodYyGHDf7siQLGxnXhG4mBNTNIuy296niS2xXulU/edit?usp=sharing"",""RTK!L45"")"),0)</f>
        <v>0</v>
      </c>
      <c r="K802" s="812"/>
      <c r="L802" s="167"/>
      <c r="M802" s="167"/>
      <c r="N802" s="167"/>
      <c r="O802" s="167"/>
      <c r="P802" s="167"/>
      <c r="Q802" s="604"/>
      <c r="R802" s="604"/>
      <c r="S802" s="604"/>
      <c r="T802" s="604"/>
      <c r="U802" s="604"/>
      <c r="V802" s="604"/>
      <c r="W802" s="604"/>
      <c r="X802" s="604"/>
      <c r="Y802" s="604"/>
      <c r="Z802" s="604"/>
    </row>
    <row r="803" spans="1:26" ht="18.75">
      <c r="A803" s="614"/>
      <c r="B803" s="616"/>
      <c r="C803" s="616"/>
      <c r="D803" s="616"/>
      <c r="E803" s="720"/>
      <c r="F803" s="720"/>
      <c r="G803" s="366"/>
      <c r="H803" s="820" t="s">
        <v>46</v>
      </c>
      <c r="I803" s="821">
        <f ca="1">IFERROR(__xludf.DUMMYFUNCTION("IMPORTRANGE(""https://docs.google.com/spreadsheets/d/1MaWodYyGHDf7siQLGxnXhG4mBNTNIuy296niS2xXulU/edit?usp=sharing"",""RTK!K45"")"),0)</f>
        <v>0</v>
      </c>
      <c r="J803" s="822">
        <f ca="1">IFERROR(__xludf.DUMMYFUNCTION("IMPORTRANGE(""https://docs.google.com/spreadsheets/d/1MaWodYyGHDf7siQLGxnXhG4mBNTNIuy296niS2xXulU/edit?usp=sharing"",""RTK!M45"")"),0)</f>
        <v>0</v>
      </c>
      <c r="K803" s="823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4"/>
      <c r="R803" s="604"/>
      <c r="S803" s="604"/>
      <c r="T803" s="604"/>
      <c r="U803" s="604"/>
      <c r="V803" s="604"/>
      <c r="W803" s="604"/>
      <c r="X803" s="604"/>
      <c r="Y803" s="604"/>
      <c r="Z803" s="604"/>
    </row>
    <row r="804" spans="1:26" ht="19.5" hidden="1">
      <c r="A804" s="793">
        <v>13</v>
      </c>
      <c r="B804" s="794" t="s">
        <v>323</v>
      </c>
      <c r="C804" s="795"/>
      <c r="D804" s="825"/>
      <c r="E804" s="795"/>
      <c r="F804" s="795"/>
      <c r="G804" s="796"/>
      <c r="H804" s="797" t="s">
        <v>46</v>
      </c>
      <c r="I804" s="798"/>
      <c r="J804" s="798">
        <f>J819</f>
        <v>0</v>
      </c>
      <c r="K804" s="799">
        <f t="shared" si="327"/>
        <v>0</v>
      </c>
      <c r="L804" s="800"/>
      <c r="M804" s="800"/>
      <c r="N804" s="800"/>
      <c r="O804" s="800"/>
      <c r="P804" s="800"/>
      <c r="Q804" s="604"/>
      <c r="R804" s="604"/>
      <c r="S804" s="604"/>
      <c r="T804" s="604"/>
      <c r="U804" s="604"/>
      <c r="V804" s="604"/>
      <c r="W804" s="604"/>
      <c r="X804" s="604"/>
      <c r="Y804" s="604"/>
      <c r="Z804" s="604"/>
    </row>
    <row r="805" spans="1:26" ht="19.5" hidden="1">
      <c r="A805" s="599"/>
      <c r="B805" s="759"/>
      <c r="C805" s="759" t="s">
        <v>16</v>
      </c>
      <c r="D805" s="864" t="s">
        <v>17</v>
      </c>
      <c r="E805" s="857"/>
      <c r="F805" s="857"/>
      <c r="G805" s="603"/>
      <c r="H805" s="646" t="s">
        <v>12</v>
      </c>
      <c r="I805" s="617"/>
      <c r="J805" s="617"/>
      <c r="K805" s="93"/>
      <c r="L805" s="647">
        <f t="shared" ref="L805:N805" si="328">L806+L807</f>
        <v>0</v>
      </c>
      <c r="M805" s="647">
        <f t="shared" si="328"/>
        <v>0</v>
      </c>
      <c r="N805" s="647">
        <f t="shared" si="328"/>
        <v>0</v>
      </c>
      <c r="O805" s="647">
        <f t="shared" ref="O805:O810" si="329">IF(L805&gt;0,N805*100/L805,0)</f>
        <v>0</v>
      </c>
      <c r="P805" s="647">
        <f t="shared" ref="P805:P810" si="330">IF(M805&gt;0,N805*100/M805,0)</f>
        <v>0</v>
      </c>
      <c r="Q805" s="604"/>
      <c r="R805" s="604"/>
      <c r="S805" s="604"/>
      <c r="T805" s="604"/>
      <c r="U805" s="604"/>
      <c r="V805" s="604"/>
      <c r="W805" s="604"/>
      <c r="X805" s="604"/>
      <c r="Y805" s="604"/>
      <c r="Z805" s="604"/>
    </row>
    <row r="806" spans="1:26" ht="18.75" hidden="1">
      <c r="A806" s="599"/>
      <c r="B806" s="759"/>
      <c r="C806" s="759"/>
      <c r="D806" s="616"/>
      <c r="E806" s="759" t="s">
        <v>185</v>
      </c>
      <c r="F806" s="759"/>
      <c r="G806" s="603"/>
      <c r="H806" s="165" t="s">
        <v>12</v>
      </c>
      <c r="I806" s="617"/>
      <c r="J806" s="617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4"/>
      <c r="R806" s="604"/>
      <c r="S806" s="604"/>
      <c r="T806" s="604"/>
      <c r="U806" s="604"/>
      <c r="V806" s="604"/>
      <c r="W806" s="604"/>
      <c r="X806" s="604"/>
      <c r="Y806" s="604"/>
      <c r="Z806" s="604"/>
    </row>
    <row r="807" spans="1:26" ht="18.75" hidden="1">
      <c r="A807" s="599"/>
      <c r="B807" s="759"/>
      <c r="C807" s="759"/>
      <c r="D807" s="616"/>
      <c r="E807" s="759" t="s">
        <v>186</v>
      </c>
      <c r="F807" s="759"/>
      <c r="G807" s="603"/>
      <c r="H807" s="165" t="s">
        <v>12</v>
      </c>
      <c r="I807" s="617"/>
      <c r="J807" s="617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4"/>
      <c r="R807" s="604"/>
      <c r="S807" s="604"/>
      <c r="T807" s="604"/>
      <c r="U807" s="604"/>
      <c r="V807" s="604"/>
      <c r="W807" s="604"/>
      <c r="X807" s="604"/>
      <c r="Y807" s="604"/>
      <c r="Z807" s="604"/>
    </row>
    <row r="808" spans="1:26" ht="19.5" hidden="1">
      <c r="A808" s="599"/>
      <c r="B808" s="607"/>
      <c r="C808" s="759"/>
      <c r="D808" s="905" t="s">
        <v>20</v>
      </c>
      <c r="E808" s="857"/>
      <c r="F808" s="857"/>
      <c r="G808" s="603"/>
      <c r="H808" s="646" t="s">
        <v>12</v>
      </c>
      <c r="I808" s="166"/>
      <c r="J808" s="166"/>
      <c r="K808" s="167"/>
      <c r="L808" s="647">
        <f t="shared" ref="L808:N808" si="332">L809+L810</f>
        <v>0</v>
      </c>
      <c r="M808" s="647">
        <f t="shared" si="332"/>
        <v>0</v>
      </c>
      <c r="N808" s="647">
        <f t="shared" si="332"/>
        <v>0</v>
      </c>
      <c r="O808" s="647">
        <f t="shared" si="329"/>
        <v>0</v>
      </c>
      <c r="P808" s="647">
        <f t="shared" si="330"/>
        <v>0</v>
      </c>
      <c r="Q808" s="604"/>
      <c r="R808" s="604"/>
      <c r="S808" s="604"/>
      <c r="T808" s="604"/>
      <c r="U808" s="604"/>
      <c r="V808" s="604"/>
      <c r="W808" s="604"/>
      <c r="X808" s="604"/>
      <c r="Y808" s="604"/>
      <c r="Z808" s="604"/>
    </row>
    <row r="809" spans="1:26" ht="18.75" hidden="1">
      <c r="A809" s="599"/>
      <c r="B809" s="759"/>
      <c r="C809" s="759"/>
      <c r="D809" s="616"/>
      <c r="E809" s="759" t="s">
        <v>185</v>
      </c>
      <c r="F809" s="759"/>
      <c r="G809" s="603"/>
      <c r="H809" s="165" t="s">
        <v>12</v>
      </c>
      <c r="I809" s="617"/>
      <c r="J809" s="617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4"/>
      <c r="R809" s="604"/>
      <c r="S809" s="604"/>
      <c r="T809" s="604"/>
      <c r="U809" s="604"/>
      <c r="V809" s="604"/>
      <c r="W809" s="604"/>
      <c r="X809" s="604"/>
      <c r="Y809" s="604"/>
      <c r="Z809" s="604"/>
    </row>
    <row r="810" spans="1:26" ht="18.75" hidden="1">
      <c r="A810" s="599"/>
      <c r="B810" s="759"/>
      <c r="C810" s="759"/>
      <c r="D810" s="616"/>
      <c r="E810" s="759" t="s">
        <v>186</v>
      </c>
      <c r="F810" s="759"/>
      <c r="G810" s="603"/>
      <c r="H810" s="165" t="s">
        <v>12</v>
      </c>
      <c r="I810" s="617"/>
      <c r="J810" s="617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4"/>
      <c r="R810" s="604"/>
      <c r="S810" s="604"/>
      <c r="T810" s="604"/>
      <c r="U810" s="604"/>
      <c r="V810" s="604"/>
      <c r="W810" s="604"/>
      <c r="X810" s="604"/>
      <c r="Y810" s="604"/>
      <c r="Z810" s="604"/>
    </row>
    <row r="811" spans="1:26" ht="18.75" hidden="1">
      <c r="A811" s="649"/>
      <c r="B811" s="607"/>
      <c r="C811" s="759"/>
      <c r="D811" s="607"/>
      <c r="E811" s="759"/>
      <c r="F811" s="759" t="s">
        <v>187</v>
      </c>
      <c r="G811" s="603"/>
      <c r="H811" s="165" t="s">
        <v>12</v>
      </c>
      <c r="I811" s="617"/>
      <c r="J811" s="617"/>
      <c r="K811" s="93"/>
      <c r="L811" s="93"/>
      <c r="M811" s="93"/>
      <c r="N811" s="93"/>
      <c r="O811" s="93"/>
      <c r="P811" s="93"/>
      <c r="Q811" s="604"/>
      <c r="R811" s="604"/>
      <c r="S811" s="604"/>
      <c r="T811" s="604"/>
      <c r="U811" s="604"/>
      <c r="V811" s="604"/>
      <c r="W811" s="604"/>
      <c r="X811" s="604"/>
      <c r="Y811" s="604"/>
      <c r="Z811" s="604"/>
    </row>
    <row r="812" spans="1:26" ht="18.75" hidden="1">
      <c r="A812" s="649"/>
      <c r="B812" s="607"/>
      <c r="C812" s="759"/>
      <c r="D812" s="607"/>
      <c r="E812" s="759"/>
      <c r="F812" s="759" t="s">
        <v>188</v>
      </c>
      <c r="G812" s="603"/>
      <c r="H812" s="165" t="s">
        <v>12</v>
      </c>
      <c r="I812" s="617"/>
      <c r="J812" s="617"/>
      <c r="K812" s="93"/>
      <c r="L812" s="93"/>
      <c r="M812" s="93"/>
      <c r="N812" s="93"/>
      <c r="O812" s="93"/>
      <c r="P812" s="93"/>
      <c r="Q812" s="604"/>
      <c r="R812" s="604"/>
      <c r="S812" s="604"/>
      <c r="T812" s="604"/>
      <c r="U812" s="604"/>
      <c r="V812" s="604"/>
      <c r="W812" s="604"/>
      <c r="X812" s="604"/>
      <c r="Y812" s="604"/>
      <c r="Z812" s="604"/>
    </row>
    <row r="813" spans="1:26" ht="18.75" hidden="1">
      <c r="A813" s="649"/>
      <c r="B813" s="607"/>
      <c r="C813" s="759"/>
      <c r="D813" s="607"/>
      <c r="E813" s="759"/>
      <c r="F813" s="759" t="s">
        <v>189</v>
      </c>
      <c r="G813" s="603"/>
      <c r="H813" s="165" t="s">
        <v>12</v>
      </c>
      <c r="I813" s="617"/>
      <c r="J813" s="617"/>
      <c r="K813" s="93"/>
      <c r="L813" s="93"/>
      <c r="M813" s="93"/>
      <c r="N813" s="93"/>
      <c r="O813" s="93"/>
      <c r="P813" s="93"/>
      <c r="Q813" s="604"/>
      <c r="R813" s="604"/>
      <c r="S813" s="604"/>
      <c r="T813" s="604"/>
      <c r="U813" s="604"/>
      <c r="V813" s="604"/>
      <c r="W813" s="604"/>
      <c r="X813" s="604"/>
      <c r="Y813" s="604"/>
      <c r="Z813" s="604"/>
    </row>
    <row r="814" spans="1:26" ht="18.75" hidden="1">
      <c r="A814" s="649"/>
      <c r="B814" s="607"/>
      <c r="C814" s="759"/>
      <c r="D814" s="607"/>
      <c r="E814" s="759"/>
      <c r="F814" s="759" t="s">
        <v>190</v>
      </c>
      <c r="G814" s="603"/>
      <c r="H814" s="165" t="s">
        <v>12</v>
      </c>
      <c r="I814" s="617"/>
      <c r="J814" s="617"/>
      <c r="K814" s="93"/>
      <c r="L814" s="93"/>
      <c r="M814" s="93"/>
      <c r="N814" s="93"/>
      <c r="O814" s="93"/>
      <c r="P814" s="93"/>
      <c r="Q814" s="604"/>
      <c r="R814" s="604"/>
      <c r="S814" s="604"/>
      <c r="T814" s="604"/>
      <c r="U814" s="604"/>
      <c r="V814" s="604"/>
      <c r="W814" s="604"/>
      <c r="X814" s="604"/>
      <c r="Y814" s="604"/>
      <c r="Z814" s="604"/>
    </row>
    <row r="815" spans="1:26" ht="19.5" hidden="1">
      <c r="A815" s="599"/>
      <c r="B815" s="607"/>
      <c r="C815" s="759"/>
      <c r="D815" s="905" t="s">
        <v>21</v>
      </c>
      <c r="E815" s="857"/>
      <c r="F815" s="857"/>
      <c r="G815" s="603"/>
      <c r="H815" s="783" t="s">
        <v>12</v>
      </c>
      <c r="I815" s="166"/>
      <c r="J815" s="166"/>
      <c r="K815" s="167"/>
      <c r="L815" s="647">
        <f t="shared" ref="L815:N815" si="333">L816+L817</f>
        <v>0</v>
      </c>
      <c r="M815" s="647">
        <f t="shared" si="333"/>
        <v>0</v>
      </c>
      <c r="N815" s="647">
        <f t="shared" si="333"/>
        <v>0</v>
      </c>
      <c r="O815" s="647">
        <f t="shared" ref="O815:O817" si="334">IF(L815&gt;0,N815*100/L815,0)</f>
        <v>0</v>
      </c>
      <c r="P815" s="647">
        <f t="shared" ref="P815:P817" si="335">IF(M815&gt;0,N815*100/M815,0)</f>
        <v>0</v>
      </c>
      <c r="Q815" s="604"/>
      <c r="R815" s="604"/>
      <c r="S815" s="604"/>
      <c r="T815" s="604"/>
      <c r="U815" s="604"/>
      <c r="V815" s="604"/>
      <c r="W815" s="604"/>
      <c r="X815" s="604"/>
      <c r="Y815" s="604"/>
      <c r="Z815" s="604"/>
    </row>
    <row r="816" spans="1:26" ht="18.75" hidden="1">
      <c r="A816" s="599"/>
      <c r="B816" s="607"/>
      <c r="C816" s="759"/>
      <c r="D816" s="607"/>
      <c r="E816" s="759" t="s">
        <v>18</v>
      </c>
      <c r="F816" s="759"/>
      <c r="G816" s="603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4"/>
      <c r="R816" s="604"/>
      <c r="S816" s="604"/>
      <c r="T816" s="604"/>
      <c r="U816" s="604"/>
      <c r="V816" s="604"/>
      <c r="W816" s="604"/>
      <c r="X816" s="604"/>
      <c r="Y816" s="604"/>
      <c r="Z816" s="604"/>
    </row>
    <row r="817" spans="1:26" ht="18.75" hidden="1">
      <c r="A817" s="599"/>
      <c r="B817" s="607"/>
      <c r="C817" s="759"/>
      <c r="D817" s="607"/>
      <c r="E817" s="759" t="s">
        <v>19</v>
      </c>
      <c r="F817" s="759"/>
      <c r="G817" s="603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4"/>
      <c r="R817" s="604"/>
      <c r="S817" s="604"/>
      <c r="T817" s="604"/>
      <c r="U817" s="604"/>
      <c r="V817" s="604"/>
      <c r="W817" s="604"/>
      <c r="X817" s="604"/>
      <c r="Y817" s="604"/>
      <c r="Z817" s="604"/>
    </row>
    <row r="818" spans="1:26" ht="19.5" hidden="1">
      <c r="A818" s="614"/>
      <c r="B818" s="616"/>
      <c r="C818" s="759" t="s">
        <v>16</v>
      </c>
      <c r="D818" s="906" t="s">
        <v>38</v>
      </c>
      <c r="E818" s="651"/>
      <c r="F818" s="651"/>
      <c r="G818" s="652"/>
      <c r="H818" s="366"/>
      <c r="I818" s="166"/>
      <c r="J818" s="166"/>
      <c r="K818" s="167"/>
      <c r="L818" s="167"/>
      <c r="M818" s="167"/>
      <c r="N818" s="167"/>
      <c r="O818" s="167"/>
      <c r="P818" s="167"/>
      <c r="Q818" s="604"/>
      <c r="R818" s="604"/>
      <c r="S818" s="604"/>
      <c r="T818" s="604"/>
      <c r="U818" s="604"/>
      <c r="V818" s="604"/>
      <c r="W818" s="604"/>
      <c r="X818" s="604"/>
      <c r="Y818" s="604"/>
      <c r="Z818" s="604"/>
    </row>
    <row r="819" spans="1:26" ht="19.5" hidden="1" thickBot="1">
      <c r="A819" s="827"/>
      <c r="B819" s="828"/>
      <c r="C819" s="830"/>
      <c r="D819" s="828"/>
      <c r="E819" s="830" t="s">
        <v>324</v>
      </c>
      <c r="F819" s="830"/>
      <c r="G819" s="831"/>
      <c r="H819" s="832" t="s">
        <v>46</v>
      </c>
      <c r="I819" s="833"/>
      <c r="J819" s="833"/>
      <c r="K819" s="834"/>
      <c r="L819" s="834"/>
      <c r="M819" s="834"/>
      <c r="N819" s="834"/>
      <c r="O819" s="834"/>
      <c r="P819" s="834"/>
      <c r="Q819" s="604"/>
      <c r="R819" s="604"/>
      <c r="S819" s="604"/>
      <c r="T819" s="604"/>
      <c r="U819" s="604"/>
      <c r="V819" s="604"/>
      <c r="W819" s="604"/>
      <c r="X819" s="604"/>
      <c r="Y819" s="604"/>
      <c r="Z819" s="604"/>
    </row>
    <row r="820" spans="1:26" ht="19.5">
      <c r="A820" s="907" t="s">
        <v>337</v>
      </c>
      <c r="B820" s="908"/>
      <c r="C820" s="908"/>
      <c r="D820" s="909"/>
      <c r="E820" s="908"/>
      <c r="F820" s="908"/>
      <c r="G820" s="910"/>
      <c r="H820" s="91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912"/>
      <c r="J820" s="912"/>
      <c r="K820" s="913"/>
      <c r="L820" s="913"/>
      <c r="M820" s="913"/>
      <c r="N820" s="913"/>
      <c r="O820" s="913"/>
      <c r="P820" s="913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</row>
    <row r="821" spans="1:26" ht="18.75">
      <c r="A821" s="744"/>
      <c r="B821" s="763" t="s">
        <v>326</v>
      </c>
      <c r="C821" s="763"/>
      <c r="D821" s="575"/>
      <c r="E821" s="763"/>
      <c r="F821" s="763"/>
      <c r="G821" s="189"/>
      <c r="H821" s="623" t="s">
        <v>12</v>
      </c>
      <c r="I821" s="270">
        <f ca="1">IFERROR(__xludf.DUMMYFUNCTION("IMPORTRANGE(""https://docs.google.com/spreadsheets/d/19vJNZY_5yjcGF2XGBMNZRCAIB0Kwfpjp8YEOfu-bneM/edit?usp=sharing"",""งานกองทุน!D45"")"),8975406.56)</f>
        <v>8975406.5600000005</v>
      </c>
      <c r="J821" s="270">
        <f ca="1">IFERROR(__xludf.DUMMYFUNCTION("IMPORTRANGE(""https://docs.google.com/spreadsheets/d/19vJNZY_5yjcGF2XGBMNZRCAIB0Kwfpjp8YEOfu-bneM/edit?usp=sharing"",""งานกองทุน!F45"")"),7433253.36)</f>
        <v>7433253.3600000003</v>
      </c>
      <c r="K821" s="498">
        <f t="shared" ref="K821:K828" ca="1" si="336">IF(I821&gt;0,J821*100/I821,0)</f>
        <v>82.818012870048747</v>
      </c>
      <c r="L821" s="498"/>
      <c r="M821" s="498"/>
      <c r="N821" s="498"/>
      <c r="O821" s="498"/>
      <c r="P821" s="49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</row>
    <row r="822" spans="1:26" ht="18.75">
      <c r="A822" s="744"/>
      <c r="B822" s="763"/>
      <c r="C822" s="763"/>
      <c r="D822" s="575"/>
      <c r="E822" s="763"/>
      <c r="F822" s="763"/>
      <c r="G822" s="189"/>
      <c r="H822" s="623" t="s">
        <v>35</v>
      </c>
      <c r="I822" s="270">
        <f ca="1">IFERROR(__xludf.DUMMYFUNCTION("IMPORTRANGE(""https://docs.google.com/spreadsheets/d/19vJNZY_5yjcGF2XGBMNZRCAIB0Kwfpjp8YEOfu-bneM/edit?usp=sharing"",""งานกองทุน!C45"")"),724)</f>
        <v>724</v>
      </c>
      <c r="J822" s="270">
        <f ca="1">IFERROR(__xludf.DUMMYFUNCTION("IMPORTRANGE(""https://docs.google.com/spreadsheets/d/19vJNZY_5yjcGF2XGBMNZRCAIB0Kwfpjp8YEOfu-bneM/edit?usp=sharing"",""งานกองทุน!E45"")"),599)</f>
        <v>599</v>
      </c>
      <c r="K822" s="498">
        <f t="shared" ca="1" si="336"/>
        <v>82.734806629834253</v>
      </c>
      <c r="L822" s="498"/>
      <c r="M822" s="498"/>
      <c r="N822" s="498"/>
      <c r="O822" s="498"/>
      <c r="P822" s="49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</row>
    <row r="823" spans="1:26" ht="18.75">
      <c r="A823" s="744"/>
      <c r="B823" s="763" t="s">
        <v>327</v>
      </c>
      <c r="C823" s="763"/>
      <c r="D823" s="575"/>
      <c r="E823" s="763"/>
      <c r="F823" s="763"/>
      <c r="G823" s="189"/>
      <c r="H823" s="623" t="s">
        <v>12</v>
      </c>
      <c r="I823" s="270">
        <f ca="1">IFERROR(__xludf.DUMMYFUNCTION("IMPORTRANGE(""https://docs.google.com/spreadsheets/d/19vJNZY_5yjcGF2XGBMNZRCAIB0Kwfpjp8YEOfu-bneM/edit?usp=sharing"",""งานกองทุน!I45"")"),4512758.8)</f>
        <v>4512758.8</v>
      </c>
      <c r="J823" s="270">
        <f ca="1">IFERROR(__xludf.DUMMYFUNCTION("IMPORTRANGE(""https://docs.google.com/spreadsheets/d/19vJNZY_5yjcGF2XGBMNZRCAIB0Kwfpjp8YEOfu-bneM/edit?usp=sharing"",""งานกองทุน!K45"")"),1505109.19)</f>
        <v>1505109.19</v>
      </c>
      <c r="K823" s="498">
        <f t="shared" ca="1" si="336"/>
        <v>33.352307462122731</v>
      </c>
      <c r="L823" s="498"/>
      <c r="M823" s="498"/>
      <c r="N823" s="498"/>
      <c r="O823" s="498"/>
      <c r="P823" s="49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</row>
    <row r="824" spans="1:26" ht="18.75">
      <c r="A824" s="744"/>
      <c r="B824" s="763"/>
      <c r="C824" s="763"/>
      <c r="D824" s="575"/>
      <c r="E824" s="763"/>
      <c r="F824" s="763"/>
      <c r="G824" s="189"/>
      <c r="H824" s="623" t="s">
        <v>35</v>
      </c>
      <c r="I824" s="270">
        <f ca="1">IFERROR(__xludf.DUMMYFUNCTION("IMPORTRANGE(""https://docs.google.com/spreadsheets/d/19vJNZY_5yjcGF2XGBMNZRCAIB0Kwfpjp8YEOfu-bneM/edit?usp=sharing"",""งานกองทุน!H45"")"),223)</f>
        <v>223</v>
      </c>
      <c r="J824" s="270">
        <f ca="1">IFERROR(__xludf.DUMMYFUNCTION("IMPORTRANGE(""https://docs.google.com/spreadsheets/d/19vJNZY_5yjcGF2XGBMNZRCAIB0Kwfpjp8YEOfu-bneM/edit?usp=sharing"",""งานกองทุน!J45"")"),128)</f>
        <v>128</v>
      </c>
      <c r="K824" s="498">
        <f t="shared" ca="1" si="336"/>
        <v>57.399103139013455</v>
      </c>
      <c r="L824" s="498"/>
      <c r="M824" s="498"/>
      <c r="N824" s="498"/>
      <c r="O824" s="498"/>
      <c r="P824" s="49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</row>
    <row r="825" spans="1:26" ht="18.75">
      <c r="A825" s="744"/>
      <c r="B825" s="763" t="s">
        <v>328</v>
      </c>
      <c r="C825" s="763"/>
      <c r="D825" s="575"/>
      <c r="E825" s="763"/>
      <c r="F825" s="763"/>
      <c r="G825" s="189"/>
      <c r="H825" s="623" t="s">
        <v>12</v>
      </c>
      <c r="I825" s="270">
        <f ca="1">IFERROR(__xludf.DUMMYFUNCTION("IMPORTRANGE(""https://docs.google.com/spreadsheets/d/19vJNZY_5yjcGF2XGBMNZRCAIB0Kwfpjp8YEOfu-bneM/edit?usp=sharing"",""งานกองทุน!N45"")"),0)</f>
        <v>0</v>
      </c>
      <c r="J825" s="270">
        <f ca="1">IFERROR(__xludf.DUMMYFUNCTION("IMPORTRANGE(""https://docs.google.com/spreadsheets/d/19vJNZY_5yjcGF2XGBMNZRCAIB0Kwfpjp8YEOfu-bneM/edit?usp=sharing"",""งานกองทุน!P45"")"),0)</f>
        <v>0</v>
      </c>
      <c r="K825" s="498">
        <f t="shared" ca="1" si="336"/>
        <v>0</v>
      </c>
      <c r="L825" s="498"/>
      <c r="M825" s="498"/>
      <c r="N825" s="498"/>
      <c r="O825" s="498"/>
      <c r="P825" s="49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</row>
    <row r="826" spans="1:26" ht="18.75">
      <c r="A826" s="744"/>
      <c r="B826" s="763"/>
      <c r="C826" s="763"/>
      <c r="D826" s="575"/>
      <c r="E826" s="763"/>
      <c r="F826" s="763"/>
      <c r="G826" s="189"/>
      <c r="H826" s="623" t="s">
        <v>35</v>
      </c>
      <c r="I826" s="270">
        <f ca="1">IFERROR(__xludf.DUMMYFUNCTION("IMPORTRANGE(""https://docs.google.com/spreadsheets/d/19vJNZY_5yjcGF2XGBMNZRCAIB0Kwfpjp8YEOfu-bneM/edit?usp=sharing"",""งานกองทุน!M45"")"),0)</f>
        <v>0</v>
      </c>
      <c r="J826" s="270">
        <f ca="1">IFERROR(__xludf.DUMMYFUNCTION("IMPORTRANGE(""https://docs.google.com/spreadsheets/d/19vJNZY_5yjcGF2XGBMNZRCAIB0Kwfpjp8YEOfu-bneM/edit?usp=sharing"",""งานกองทุน!O45"")"),0)</f>
        <v>0</v>
      </c>
      <c r="K826" s="498">
        <f t="shared" ca="1" si="336"/>
        <v>0</v>
      </c>
      <c r="L826" s="498"/>
      <c r="M826" s="498"/>
      <c r="N826" s="498"/>
      <c r="O826" s="498"/>
      <c r="P826" s="49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</row>
    <row r="827" spans="1:26" ht="18.75">
      <c r="A827" s="744"/>
      <c r="B827" s="763" t="s">
        <v>329</v>
      </c>
      <c r="C827" s="763"/>
      <c r="D827" s="575"/>
      <c r="E827" s="763"/>
      <c r="F827" s="763"/>
      <c r="G827" s="189"/>
      <c r="H827" s="623" t="s">
        <v>12</v>
      </c>
      <c r="I827" s="270">
        <f ca="1">IFERROR(__xludf.DUMMYFUNCTION("IMPORTRANGE(""https://docs.google.com/spreadsheets/d/19vJNZY_5yjcGF2XGBMNZRCAIB0Kwfpjp8YEOfu-bneM/edit?usp=sharing"",""งานกองทุน!S45"")"),8000000)</f>
        <v>8000000</v>
      </c>
      <c r="J827" s="270">
        <f ca="1">IFERROR(__xludf.DUMMYFUNCTION("IMPORTRANGE(""https://docs.google.com/spreadsheets/d/19vJNZY_5yjcGF2XGBMNZRCAIB0Kwfpjp8YEOfu-bneM/edit?usp=sharing"",""งานกองทุน!U45"")"),8000000)</f>
        <v>8000000</v>
      </c>
      <c r="K827" s="498">
        <f t="shared" ca="1" si="336"/>
        <v>100</v>
      </c>
      <c r="L827" s="498"/>
      <c r="M827" s="498"/>
      <c r="N827" s="498"/>
      <c r="O827" s="498"/>
      <c r="P827" s="49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</row>
    <row r="828" spans="1:26" ht="18.75">
      <c r="A828" s="841"/>
      <c r="B828" s="749"/>
      <c r="C828" s="749"/>
      <c r="D828" s="748"/>
      <c r="E828" s="749"/>
      <c r="F828" s="749"/>
      <c r="G828" s="842"/>
      <c r="H828" s="843" t="s">
        <v>35</v>
      </c>
      <c r="I828" s="506">
        <f ca="1">IFERROR(__xludf.DUMMYFUNCTION("IMPORTRANGE(""https://docs.google.com/spreadsheets/d/19vJNZY_5yjcGF2XGBMNZRCAIB0Kwfpjp8YEOfu-bneM/edit?usp=sharing"",""งานกองทุน!R45"")"),233)</f>
        <v>233</v>
      </c>
      <c r="J828" s="506">
        <f ca="1">IFERROR(__xludf.DUMMYFUNCTION("IMPORTRANGE(""https://docs.google.com/spreadsheets/d/19vJNZY_5yjcGF2XGBMNZRCAIB0Kwfpjp8YEOfu-bneM/edit?usp=sharing"",""งานกองทุน!T45"")"),193)</f>
        <v>193</v>
      </c>
      <c r="K828" s="507">
        <f t="shared" ca="1" si="336"/>
        <v>82.832618025751074</v>
      </c>
      <c r="L828" s="507"/>
      <c r="M828" s="507"/>
      <c r="N828" s="507"/>
      <c r="O828" s="507"/>
      <c r="P828" s="507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3056B-9846-4EE1-A819-D9B1DE0C309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356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364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7679955</v>
      </c>
      <c r="M8" s="22">
        <f t="shared" ca="1" si="0"/>
        <v>7548473.2599999998</v>
      </c>
      <c r="N8" s="22">
        <f t="shared" ca="1" si="0"/>
        <v>7548473.2599999998</v>
      </c>
      <c r="O8" s="22">
        <f t="shared" ref="O8:O16" ca="1" si="1">IF(L8&gt;0,N8*100/L8,0)</f>
        <v>98.287988145763876</v>
      </c>
      <c r="P8" s="22">
        <f t="shared" ref="P8:P16" ca="1" si="2">IF(M8&gt;0,N8*100/M8,0)</f>
        <v>100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7679955</v>
      </c>
      <c r="M10" s="30">
        <f t="shared" ca="1" si="3"/>
        <v>7548473.2599999998</v>
      </c>
      <c r="N10" s="30">
        <f t="shared" ca="1" si="3"/>
        <v>7548473.2599999998</v>
      </c>
      <c r="O10" s="30">
        <f t="shared" ca="1" si="1"/>
        <v>98.287988145763876</v>
      </c>
      <c r="P10" s="30">
        <f t="shared" ca="1" si="2"/>
        <v>100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3" t="s">
        <v>12</v>
      </c>
      <c r="I11" s="270"/>
      <c r="J11" s="270"/>
      <c r="K11" s="498"/>
      <c r="L11" s="498">
        <f t="shared" ref="L11:N11" ca="1" si="4">L12+L13</f>
        <v>7462855</v>
      </c>
      <c r="M11" s="498">
        <f t="shared" ca="1" si="4"/>
        <v>7333753.2599999998</v>
      </c>
      <c r="N11" s="498">
        <f t="shared" ca="1" si="4"/>
        <v>7333753.2599999998</v>
      </c>
      <c r="O11" s="498">
        <f t="shared" ca="1" si="1"/>
        <v>98.270075728390808</v>
      </c>
      <c r="P11" s="498">
        <f t="shared" ca="1" si="2"/>
        <v>100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7"/>
      <c r="J12" s="617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7"/>
      <c r="J13" s="617"/>
      <c r="K13" s="93"/>
      <c r="L13" s="93">
        <f t="shared" ca="1" si="5"/>
        <v>7462855</v>
      </c>
      <c r="M13" s="93">
        <f t="shared" ca="1" si="5"/>
        <v>7333753.2599999998</v>
      </c>
      <c r="N13" s="93">
        <f t="shared" ca="1" si="5"/>
        <v>7333753.2599999998</v>
      </c>
      <c r="O13" s="93">
        <f t="shared" ca="1" si="1"/>
        <v>98.270075728390808</v>
      </c>
      <c r="P13" s="93">
        <f t="shared" ca="1" si="2"/>
        <v>100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3" t="s">
        <v>12</v>
      </c>
      <c r="I14" s="270"/>
      <c r="J14" s="270"/>
      <c r="K14" s="498"/>
      <c r="L14" s="498">
        <f t="shared" ref="L14:N14" ca="1" si="6">L15+L16</f>
        <v>217100</v>
      </c>
      <c r="M14" s="498">
        <f t="shared" ca="1" si="6"/>
        <v>214720</v>
      </c>
      <c r="N14" s="498">
        <f t="shared" ca="1" si="6"/>
        <v>214720</v>
      </c>
      <c r="O14" s="498">
        <f t="shared" ca="1" si="1"/>
        <v>98.903730999539377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7"/>
      <c r="J15" s="617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217100</v>
      </c>
      <c r="M16" s="52">
        <f t="shared" ca="1" si="7"/>
        <v>214720</v>
      </c>
      <c r="N16" s="52">
        <f t="shared" ca="1" si="7"/>
        <v>214720</v>
      </c>
      <c r="O16" s="52">
        <f t="shared" ca="1" si="1"/>
        <v>98.903730999539377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4461937</v>
      </c>
      <c r="M18" s="22">
        <f t="shared" ca="1" si="8"/>
        <v>4947466.26</v>
      </c>
      <c r="N18" s="22">
        <f t="shared" ca="1" si="8"/>
        <v>4947466.26</v>
      </c>
      <c r="O18" s="22">
        <f t="shared" ref="O18:O26" ca="1" si="9">IF(L18&gt;0,N18*100/L18,0)</f>
        <v>110.88158035400321</v>
      </c>
      <c r="P18" s="22">
        <f t="shared" ref="P18:P26" ca="1" si="10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4461937</v>
      </c>
      <c r="M20" s="30">
        <f t="shared" ca="1" si="11"/>
        <v>4947466.26</v>
      </c>
      <c r="N20" s="30">
        <f t="shared" ca="1" si="11"/>
        <v>4947466.26</v>
      </c>
      <c r="O20" s="30">
        <f t="shared" ca="1" si="9"/>
        <v>110.88158035400321</v>
      </c>
      <c r="P20" s="30">
        <f t="shared" ca="1" si="10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3" t="s">
        <v>12</v>
      </c>
      <c r="I21" s="270"/>
      <c r="J21" s="270"/>
      <c r="K21" s="498"/>
      <c r="L21" s="498">
        <f t="shared" ref="L21:N21" ca="1" si="12">L22+L23</f>
        <v>4244837</v>
      </c>
      <c r="M21" s="498">
        <f t="shared" ca="1" si="12"/>
        <v>4732746.26</v>
      </c>
      <c r="N21" s="498">
        <f t="shared" ca="1" si="12"/>
        <v>4732746.26</v>
      </c>
      <c r="O21" s="498">
        <f t="shared" ca="1" si="9"/>
        <v>111.49418128422835</v>
      </c>
      <c r="P21" s="498">
        <f t="shared" ca="1" si="10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7"/>
      <c r="J22" s="617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7"/>
      <c r="J23" s="617"/>
      <c r="K23" s="93"/>
      <c r="L23" s="93">
        <f t="shared" ca="1" si="13"/>
        <v>4244837</v>
      </c>
      <c r="M23" s="93">
        <f t="shared" ca="1" si="13"/>
        <v>4732746.26</v>
      </c>
      <c r="N23" s="93">
        <f t="shared" ca="1" si="13"/>
        <v>4732746.26</v>
      </c>
      <c r="O23" s="93">
        <f t="shared" ca="1" si="9"/>
        <v>111.49418128422835</v>
      </c>
      <c r="P23" s="93">
        <f t="shared" ca="1" si="10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3" t="s">
        <v>12</v>
      </c>
      <c r="I24" s="270"/>
      <c r="J24" s="270"/>
      <c r="K24" s="498"/>
      <c r="L24" s="498">
        <f t="shared" ref="L24:N24" ca="1" si="14">L25+L26</f>
        <v>217100</v>
      </c>
      <c r="M24" s="498">
        <f t="shared" ca="1" si="14"/>
        <v>214720</v>
      </c>
      <c r="N24" s="498">
        <f t="shared" ca="1" si="14"/>
        <v>214720</v>
      </c>
      <c r="O24" s="498">
        <f t="shared" ca="1" si="9"/>
        <v>98.903730999539377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7"/>
      <c r="J25" s="617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217100</v>
      </c>
      <c r="M26" s="52">
        <f t="shared" ca="1" si="15"/>
        <v>214720</v>
      </c>
      <c r="N26" s="52">
        <f t="shared" ca="1" si="15"/>
        <v>214720</v>
      </c>
      <c r="O26" s="52">
        <f t="shared" ca="1" si="9"/>
        <v>98.903730999539377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3218018</v>
      </c>
      <c r="M28" s="22">
        <f t="shared" ca="1" si="16"/>
        <v>2601007</v>
      </c>
      <c r="N28" s="22">
        <f t="shared" si="16"/>
        <v>2601007</v>
      </c>
      <c r="O28" s="22">
        <f t="shared" ref="O28:O37" ca="1" si="17">IF(L28&gt;0,N28*100/L28,0)</f>
        <v>80.826365794100596</v>
      </c>
      <c r="P28" s="22">
        <f t="shared" ref="P28:P37" ca="1" si="18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3218018</v>
      </c>
      <c r="M30" s="30">
        <f t="shared" ca="1" si="19"/>
        <v>2601007</v>
      </c>
      <c r="N30" s="30">
        <f t="shared" si="19"/>
        <v>2601007</v>
      </c>
      <c r="O30" s="30">
        <f t="shared" ca="1" si="17"/>
        <v>80.826365794100596</v>
      </c>
      <c r="P30" s="30">
        <f t="shared" ca="1" si="18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3" t="s">
        <v>12</v>
      </c>
      <c r="I31" s="270"/>
      <c r="J31" s="270"/>
      <c r="K31" s="498"/>
      <c r="L31" s="498">
        <f t="shared" ref="L31:N31" ca="1" si="20">L32+L33</f>
        <v>3218018</v>
      </c>
      <c r="M31" s="498">
        <f t="shared" ca="1" si="20"/>
        <v>2601007</v>
      </c>
      <c r="N31" s="498">
        <f t="shared" si="20"/>
        <v>2601007</v>
      </c>
      <c r="O31" s="498">
        <f t="shared" ca="1" si="17"/>
        <v>80.826365794100596</v>
      </c>
      <c r="P31" s="498">
        <f t="shared" ca="1" si="18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7"/>
      <c r="J32" s="617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7"/>
      <c r="J33" s="617"/>
      <c r="K33" s="93"/>
      <c r="L33" s="93">
        <f t="shared" ca="1" si="21"/>
        <v>3218018</v>
      </c>
      <c r="M33" s="93">
        <f t="shared" ca="1" si="21"/>
        <v>2601007</v>
      </c>
      <c r="N33" s="93">
        <f t="shared" si="21"/>
        <v>2601007</v>
      </c>
      <c r="O33" s="93">
        <f t="shared" ca="1" si="17"/>
        <v>80.826365794100596</v>
      </c>
      <c r="P33" s="93">
        <f t="shared" ca="1" si="18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3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7"/>
      <c r="J35" s="617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7" t="s">
        <v>24</v>
      </c>
      <c r="B37" s="868"/>
      <c r="C37" s="868"/>
      <c r="D37" s="868"/>
      <c r="E37" s="868"/>
      <c r="F37" s="868"/>
      <c r="G37" s="869"/>
      <c r="H37" s="870"/>
      <c r="I37" s="871"/>
      <c r="J37" s="871"/>
      <c r="K37" s="872"/>
      <c r="L37" s="873">
        <f t="shared" ref="L37:N37" ca="1" si="24">L41+L53+L66+L88+L119+L132+L149+L165+L181+L261+L277+L298+L315+L328+L345+L389+L402</f>
        <v>4461937</v>
      </c>
      <c r="M37" s="873">
        <f t="shared" ca="1" si="24"/>
        <v>4947466.26</v>
      </c>
      <c r="N37" s="873">
        <f t="shared" ca="1" si="24"/>
        <v>4947466.26</v>
      </c>
      <c r="O37" s="873">
        <f t="shared" ca="1" si="17"/>
        <v>110.88158035400321</v>
      </c>
      <c r="P37" s="873">
        <f t="shared" ca="1" si="18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432342</v>
      </c>
      <c r="M41" s="85">
        <f t="shared" ca="1" si="25"/>
        <v>554635.26</v>
      </c>
      <c r="N41" s="85">
        <f t="shared" ca="1" si="25"/>
        <v>554635.26</v>
      </c>
      <c r="O41" s="85">
        <f t="shared" ref="O41:O49" ca="1" si="26">IF(L41&gt;0,N41*100/L41,0)</f>
        <v>128.2862317332112</v>
      </c>
      <c r="P41" s="85">
        <f t="shared" ref="P41:P49" ca="1" si="27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432342</v>
      </c>
      <c r="M43" s="92">
        <f t="shared" ca="1" si="28"/>
        <v>554635.26</v>
      </c>
      <c r="N43" s="92">
        <f t="shared" ca="1" si="28"/>
        <v>554635.26</v>
      </c>
      <c r="O43" s="92">
        <f t="shared" ca="1" si="26"/>
        <v>128.2862317332112</v>
      </c>
      <c r="P43" s="92">
        <f t="shared" ca="1" si="27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3" t="s">
        <v>12</v>
      </c>
      <c r="I44" s="270"/>
      <c r="J44" s="270"/>
      <c r="K44" s="498"/>
      <c r="L44" s="498">
        <f t="shared" ref="L44:N44" ca="1" si="29">L45+L46</f>
        <v>432342</v>
      </c>
      <c r="M44" s="498">
        <f t="shared" ca="1" si="29"/>
        <v>554635.26</v>
      </c>
      <c r="N44" s="498">
        <f t="shared" ca="1" si="29"/>
        <v>554635.26</v>
      </c>
      <c r="O44" s="498">
        <f t="shared" ca="1" si="26"/>
        <v>128.2862317332112</v>
      </c>
      <c r="P44" s="498">
        <f t="shared" ca="1" si="27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7"/>
      <c r="J45" s="617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7"/>
      <c r="J46" s="617"/>
      <c r="K46" s="93"/>
      <c r="L46" s="93">
        <f ca="1">IFERROR(__xludf.DUMMYFUNCTION("IMPORTRANGE(""https://docs.google.com/spreadsheets/d/1MeEWN-I1oV_STSDYn1IFDPWt_1FKiwhDph83XaGc0o0/edit?usp=sharing"",""งบพรบ!M46"")"),432342)</f>
        <v>432342</v>
      </c>
      <c r="M46" s="93">
        <f ca="1">IFERROR(__xludf.DUMMYFUNCTION("IMPORTRANGE(""https://docs.google.com/spreadsheets/d/1MeEWN-I1oV_STSDYn1IFDPWt_1FKiwhDph83XaGc0o0/edit?usp=sharing"",""งบพรบ!R46"")"),554635.26)</f>
        <v>554635.26</v>
      </c>
      <c r="N46" s="93">
        <f ca="1">IFERROR(__xludf.DUMMYFUNCTION("IMPORTRANGE(""https://docs.google.com/spreadsheets/d/1MeEWN-I1oV_STSDYn1IFDPWt_1FKiwhDph83XaGc0o0/edit?usp=sharing"",""งบพรบ!T46"")"),554635.26)</f>
        <v>554635.26</v>
      </c>
      <c r="O46" s="93">
        <f t="shared" ca="1" si="26"/>
        <v>128.2862317332112</v>
      </c>
      <c r="P46" s="93">
        <f t="shared" ca="1" si="27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3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7"/>
      <c r="J48" s="617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IFERROR(__xludf.DUMMYFUNCTION("IMPORTRANGE(""https://docs.google.com/spreadsheets/d/1MeEWN-I1oV_STSDYn1IFDPWt_1FKiwhDph83XaGc0o0/edit?usp=sharing"",""งบพรบ!P46"")"),0)</f>
        <v>0</v>
      </c>
      <c r="M49" s="52">
        <f ca="1">IFERROR(__xludf.DUMMYFUNCTION("IMPORTRANGE(""https://docs.google.com/spreadsheets/d/1MeEWN-I1oV_STSDYn1IFDPWt_1FKiwhDph83XaGc0o0/edit?usp=sharing"",""งบพรบ!S46"")"),0)</f>
        <v>0</v>
      </c>
      <c r="N49" s="52">
        <f ca="1">IFERROR(__xludf.DUMMYFUNCTION("IMPORTRANGE(""https://docs.google.com/spreadsheets/d/1MeEWN-I1oV_STSDYn1IFDPWt_1FKiwhDph83XaGc0o0/edit?usp=sharing"",""งบพรบ!U46"")"),0)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825900</v>
      </c>
      <c r="M53" s="116">
        <f t="shared" ca="1" si="31"/>
        <v>974220</v>
      </c>
      <c r="N53" s="116">
        <f t="shared" ca="1" si="31"/>
        <v>974220</v>
      </c>
      <c r="O53" s="116">
        <f t="shared" ref="O53:O61" ca="1" si="32">IF(L53&gt;0,N53*100/L53,0)</f>
        <v>117.95859062840537</v>
      </c>
      <c r="P53" s="116">
        <f t="shared" ref="P53:P61" ca="1" si="33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825900</v>
      </c>
      <c r="M55" s="123">
        <f t="shared" ca="1" si="34"/>
        <v>974220</v>
      </c>
      <c r="N55" s="123">
        <f t="shared" ca="1" si="34"/>
        <v>974220</v>
      </c>
      <c r="O55" s="123">
        <f t="shared" ca="1" si="32"/>
        <v>117.95859062840537</v>
      </c>
      <c r="P55" s="123">
        <f t="shared" ca="1" si="33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3" t="s">
        <v>12</v>
      </c>
      <c r="I56" s="270"/>
      <c r="J56" s="270"/>
      <c r="K56" s="498"/>
      <c r="L56" s="498">
        <f t="shared" ref="L56:N56" ca="1" si="35">L57+L58</f>
        <v>776000</v>
      </c>
      <c r="M56" s="498">
        <f t="shared" ca="1" si="35"/>
        <v>924520</v>
      </c>
      <c r="N56" s="498">
        <f t="shared" ca="1" si="35"/>
        <v>924520</v>
      </c>
      <c r="O56" s="498">
        <f t="shared" ca="1" si="32"/>
        <v>119.13917525773196</v>
      </c>
      <c r="P56" s="498">
        <f t="shared" ca="1" si="33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7"/>
      <c r="J57" s="617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7"/>
      <c r="J58" s="617"/>
      <c r="K58" s="93"/>
      <c r="L58" s="93">
        <f ca="1">IFERROR(__xludf.DUMMYFUNCTION("IMPORTRANGE(""https://docs.google.com/spreadsheets/d/1MeEWN-I1oV_STSDYn1IFDPWt_1FKiwhDph83XaGc0o0/edit?usp=sharing"",""งบพรบ!W46"")"),776000)</f>
        <v>776000</v>
      </c>
      <c r="M58" s="93">
        <f ca="1">IFERROR(__xludf.DUMMYFUNCTION("IMPORTRANGE(""https://docs.google.com/spreadsheets/d/1MeEWN-I1oV_STSDYn1IFDPWt_1FKiwhDph83XaGc0o0/edit?usp=sharing"",""งบพรบ!AB46"")"),924520)</f>
        <v>924520</v>
      </c>
      <c r="N58" s="93">
        <f ca="1">IFERROR(__xludf.DUMMYFUNCTION("IMPORTRANGE(""https://docs.google.com/spreadsheets/d/1MeEWN-I1oV_STSDYn1IFDPWt_1FKiwhDph83XaGc0o0/edit?usp=sharing"",""งบพรบ!AD46"")"),924520)</f>
        <v>924520</v>
      </c>
      <c r="O58" s="93">
        <f t="shared" ca="1" si="32"/>
        <v>119.13917525773196</v>
      </c>
      <c r="P58" s="93">
        <f t="shared" ca="1" si="33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3" t="s">
        <v>12</v>
      </c>
      <c r="I59" s="270"/>
      <c r="J59" s="270"/>
      <c r="K59" s="498"/>
      <c r="L59" s="498">
        <f t="shared" ref="L59:N59" ca="1" si="36">L60+L61</f>
        <v>49900</v>
      </c>
      <c r="M59" s="498">
        <f t="shared" ca="1" si="36"/>
        <v>49700</v>
      </c>
      <c r="N59" s="498">
        <f t="shared" ca="1" si="36"/>
        <v>49700</v>
      </c>
      <c r="O59" s="498">
        <f t="shared" ca="1" si="32"/>
        <v>99.599198396793582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7"/>
      <c r="J60" s="617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IFERROR(__xludf.DUMMYFUNCTION("IMPORTRANGE(""https://docs.google.com/spreadsheets/d/1MeEWN-I1oV_STSDYn1IFDPWt_1FKiwhDph83XaGc0o0/edit?usp=sharing"",""งบพรบ!Z46"")"),49900)</f>
        <v>49900</v>
      </c>
      <c r="M61" s="52">
        <f ca="1">IFERROR(__xludf.DUMMYFUNCTION("IMPORTRANGE(""https://docs.google.com/spreadsheets/d/1MeEWN-I1oV_STSDYn1IFDPWt_1FKiwhDph83XaGc0o0/edit?usp=sharing"",""งบพรบ!AC46"")"),49700)</f>
        <v>49700</v>
      </c>
      <c r="N61" s="52">
        <f ca="1">IFERROR(__xludf.DUMMYFUNCTION("IMPORTRANGE(""https://docs.google.com/spreadsheets/d/1MeEWN-I1oV_STSDYn1IFDPWt_1FKiwhDph83XaGc0o0/edit?usp=sharing"",""งบพรบ!AE46"")"),49700)</f>
        <v>49700</v>
      </c>
      <c r="O61" s="52">
        <f t="shared" ca="1" si="32"/>
        <v>99.599198396793582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7"/>
      <c r="J67" s="617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7"/>
      <c r="J68" s="617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IFERROR(__xludf.DUMMYFUNCTION("IMPORTRANGE(""https://docs.google.com/spreadsheets/d/1MeEWN-I1oV_STSDYn1IFDPWt_1FKiwhDph83XaGc0o0/edit?usp=sharing"",""งบพรบ!AG46"")"),0)</f>
        <v>0</v>
      </c>
      <c r="M71" s="93">
        <f ca="1">IFERROR(__xludf.DUMMYFUNCTION("IMPORTRANGE(""https://docs.google.com/spreadsheets/d/1MeEWN-I1oV_STSDYn1IFDPWt_1FKiwhDph83XaGc0o0/edit?usp=sharing"",""งบพรบ!AL46"")"),0)</f>
        <v>0</v>
      </c>
      <c r="N71" s="93">
        <f ca="1">IFERROR(__xludf.DUMMYFUNCTION("IMPORTRANGE(""https://docs.google.com/spreadsheets/d/1MeEWN-I1oV_STSDYn1IFDPWt_1FKiwhDph83XaGc0o0/edit?usp=sharing"",""งบพรบ!AN46"")"),0)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IFERROR(__xludf.DUMMYFUNCTION("IMPORTRANGE(""https://docs.google.com/spreadsheets/d/1MeEWN-I1oV_STSDYn1IFDPWt_1FKiwhDph83XaGc0o0/edit?usp=sharing"",""งบพรบ!AJ46"")"),0)</f>
        <v>0</v>
      </c>
      <c r="M74" s="93">
        <f ca="1">IFERROR(__xludf.DUMMYFUNCTION("IMPORTRANGE(""https://docs.google.com/spreadsheets/d/1MeEWN-I1oV_STSDYn1IFDPWt_1FKiwhDph83XaGc0o0/edit?usp=sharing"",""งบพรบ!AM46"")"),0)</f>
        <v>0</v>
      </c>
      <c r="N74" s="93">
        <f ca="1">IFERROR(__xludf.DUMMYFUNCTION("IMPORTRANGE(""https://docs.google.com/spreadsheets/d/1MeEWN-I1oV_STSDYn1IFDPWt_1FKiwhDph83XaGc0o0/edit?usp=sharing"",""งบพรบ!AO46"")"),0)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7" t="s">
        <v>38</v>
      </c>
      <c r="E75" s="173"/>
      <c r="F75" s="173"/>
      <c r="G75" s="174"/>
      <c r="H75" s="762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4" t="s">
        <v>34</v>
      </c>
      <c r="I78" s="184">
        <f ca="1">IFERROR(__xludf.DUMMYFUNCTION("IMPORTRANGE(""https://docs.google.com/spreadsheets/d/1QqKyyYR6Q21VydFLVH3TRQUabQu_ym0Zz7PgGX0-kHA/edit?usp=sharing"",""แผน!H46"")"),0)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4" t="s">
        <v>35</v>
      </c>
      <c r="I79" s="184">
        <f ca="1">IFERROR(__xludf.DUMMYFUNCTION("IMPORTRANGE(""https://docs.google.com/spreadsheets/d/1QqKyyYR6Q21VydFLVH3TRQUabQu_ym0Zz7PgGX0-kHA/edit?usp=sharing"",""แผน!I46"")"),0)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4" t="s">
        <v>34</v>
      </c>
      <c r="I80" s="184">
        <f ca="1">IFERROR(__xludf.DUMMYFUNCTION("IMPORTRANGE(""https://docs.google.com/spreadsheets/d/1QqKyyYR6Q21VydFLVH3TRQUabQu_ym0Zz7PgGX0-kHA/edit?usp=sharing"",""แผน!F46"")"),0)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4" t="s">
        <v>35</v>
      </c>
      <c r="I81" s="184">
        <f ca="1">IFERROR(__xludf.DUMMYFUNCTION("IMPORTRANGE(""https://docs.google.com/spreadsheets/d/1QqKyyYR6Q21VydFLVH3TRQUabQu_ym0Zz7PgGX0-kHA/edit?usp=sharing"",""แผน!G46"")"),0)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4" t="s">
        <v>34</v>
      </c>
      <c r="I82" s="184">
        <f ca="1">IFERROR(__xludf.DUMMYFUNCTION("IMPORTRANGE(""https://docs.google.com/spreadsheets/d/1QqKyyYR6Q21VydFLVH3TRQUabQu_ym0Zz7PgGX0-kHA/edit?usp=sharing"",""แผน!D46"")"),0)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4" t="s">
        <v>35</v>
      </c>
      <c r="I83" s="184">
        <f ca="1">IFERROR(__xludf.DUMMYFUNCTION("IMPORTRANGE(""https://docs.google.com/spreadsheets/d/1QqKyyYR6Q21VydFLVH3TRQUabQu_ym0Zz7PgGX0-kHA/edit?usp=sharing"",""แผน!E46"")"),0)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98760</v>
      </c>
      <c r="M88" s="155">
        <f t="shared" ca="1" si="49"/>
        <v>98760</v>
      </c>
      <c r="N88" s="155">
        <f t="shared" ca="1" si="49"/>
        <v>98760</v>
      </c>
      <c r="O88" s="155">
        <f t="shared" ref="O88:O96" ca="1" si="50">IF(L88&gt;0,N88*100/L88,0)</f>
        <v>100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7"/>
      <c r="J89" s="617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7"/>
      <c r="J90" s="617"/>
      <c r="K90" s="93"/>
      <c r="L90" s="93">
        <f t="shared" ca="1" si="52"/>
        <v>98760</v>
      </c>
      <c r="M90" s="93">
        <f t="shared" ca="1" si="52"/>
        <v>98760</v>
      </c>
      <c r="N90" s="93">
        <f t="shared" ca="1" si="52"/>
        <v>98760</v>
      </c>
      <c r="O90" s="93">
        <f t="shared" ca="1" si="50"/>
        <v>100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98760</v>
      </c>
      <c r="M91" s="498">
        <f t="shared" ca="1" si="53"/>
        <v>98760</v>
      </c>
      <c r="N91" s="498">
        <f t="shared" ca="1" si="53"/>
        <v>98760</v>
      </c>
      <c r="O91" s="498">
        <f t="shared" ca="1" si="50"/>
        <v>100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IFERROR(__xludf.DUMMYFUNCTION("IMPORTRANGE(""https://docs.google.com/spreadsheets/d/1MeEWN-I1oV_STSDYn1IFDPWt_1FKiwhDph83XaGc0o0/edit?usp=sharing"",""งบพรบ!AQ46"")"),98760)</f>
        <v>98760</v>
      </c>
      <c r="M93" s="93">
        <f ca="1">IFERROR(__xludf.DUMMYFUNCTION("IMPORTRANGE(""https://docs.google.com/spreadsheets/d/1MeEWN-I1oV_STSDYn1IFDPWt_1FKiwhDph83XaGc0o0/edit?usp=sharing"",""งบพรบ!AV46"")"),98760)</f>
        <v>98760</v>
      </c>
      <c r="N93" s="93">
        <f ca="1">IFERROR(__xludf.DUMMYFUNCTION("IMPORTRANGE(""https://docs.google.com/spreadsheets/d/1MeEWN-I1oV_STSDYn1IFDPWt_1FKiwhDph83XaGc0o0/edit?usp=sharing"",""งบพรบ!AX46"")"),98760)</f>
        <v>98760</v>
      </c>
      <c r="O93" s="93">
        <f t="shared" ca="1" si="50"/>
        <v>100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IFERROR(__xludf.DUMMYFUNCTION("IMPORTRANGE(""https://docs.google.com/spreadsheets/d/1MeEWN-I1oV_STSDYn1IFDPWt_1FKiwhDph83XaGc0o0/edit?usp=sharing"",""งบพรบ!AT46"")"),0)</f>
        <v>0</v>
      </c>
      <c r="M96" s="93">
        <f ca="1">IFERROR(__xludf.DUMMYFUNCTION("IMPORTRANGE(""https://docs.google.com/spreadsheets/d/1MeEWN-I1oV_STSDYn1IFDPWt_1FKiwhDph83XaGc0o0/edit?usp=sharing"",""งบพรบ!AW46"")"),0)</f>
        <v>0</v>
      </c>
      <c r="N96" s="93">
        <f ca="1">IFERROR(__xludf.DUMMYFUNCTION("IMPORTRANGE(""https://docs.google.com/spreadsheets/d/1MeEWN-I1oV_STSDYn1IFDPWt_1FKiwhDph83XaGc0o0/edit?usp=sharing"",""งบพรบ!AY46"")"),0)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7" t="s">
        <v>38</v>
      </c>
      <c r="E97" s="173"/>
      <c r="F97" s="173"/>
      <c r="G97" s="174"/>
      <c r="H97" s="762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3" t="s">
        <v>46</v>
      </c>
      <c r="I98" s="270">
        <f ca="1">IFERROR(__xludf.DUMMYFUNCTION("IMPORTRANGE(""https://docs.google.com/spreadsheets/d/1QqKyyYR6Q21VydFLVH3TRQUabQu_ym0Zz7PgGX0-kHA/edit?usp=sharing"",""แผน!K46"")"),45)</f>
        <v>45</v>
      </c>
      <c r="J98" s="270">
        <f>J102</f>
        <v>45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3" t="s">
        <v>35</v>
      </c>
      <c r="I99" s="270">
        <f ca="1">IFERROR(__xludf.DUMMYFUNCTION("IMPORTRANGE(""https://docs.google.com/spreadsheets/d/1QqKyyYR6Q21VydFLVH3TRQUabQu_ym0Zz7PgGX0-kHA/edit?usp=sharing"",""แผน!L46"")"),15)</f>
        <v>15</v>
      </c>
      <c r="J99" s="270">
        <f>J104</f>
        <v>15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3" t="s">
        <v>49</v>
      </c>
      <c r="I100" s="270">
        <f ca="1">IFERROR(__xludf.DUMMYFUNCTION("IMPORTRANGE(""https://docs.google.com/spreadsheets/d/1QqKyyYR6Q21VydFLVH3TRQUabQu_ym0Zz7PgGX0-kHA/edit?usp=sharing"",""แผน!M46"")"),2)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3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6" t="s">
        <v>47</v>
      </c>
      <c r="F102" s="178"/>
      <c r="G102" s="179"/>
      <c r="H102" s="623" t="s">
        <v>46</v>
      </c>
      <c r="I102" s="270">
        <f ca="1">IFERROR(__xludf.DUMMYFUNCTION("IMPORTRANGE(""https://docs.google.com/spreadsheets/d/1QqKyyYR6Q21VydFLVH3TRQUabQu_ym0Zz7PgGX0-kHA/edit?usp=sharing"",""แผน!N46"")"),45)</f>
        <v>45</v>
      </c>
      <c r="J102" s="215">
        <v>45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3" t="s">
        <v>35</v>
      </c>
      <c r="I103" s="270">
        <f ca="1">IFERROR(__xludf.DUMMYFUNCTION("IMPORTRANGE(""https://docs.google.com/spreadsheets/d/1QqKyyYR6Q21VydFLVH3TRQUabQu_ym0Zz7PgGX0-kHA/edit?usp=sharing"",""แผน!O46"")"),15)</f>
        <v>15</v>
      </c>
      <c r="J103" s="215">
        <v>15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3" t="s">
        <v>35</v>
      </c>
      <c r="I104" s="270">
        <f ca="1">IFERROR(__xludf.DUMMYFUNCTION("IMPORTRANGE(""https://docs.google.com/spreadsheets/d/1QqKyyYR6Q21VydFLVH3TRQUabQu_ym0Zz7PgGX0-kHA/edit?usp=sharing"",""แผน!O46"")"),15)</f>
        <v>15</v>
      </c>
      <c r="J104" s="215">
        <v>15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3" t="s">
        <v>49</v>
      </c>
      <c r="I106" s="270">
        <f ca="1">IFERROR(__xludf.DUMMYFUNCTION("IMPORTRANGE(""https://docs.google.com/spreadsheets/d/1QqKyyYR6Q21VydFLVH3TRQUabQu_ym0Zz7PgGX0-kHA/edit?usp=sharing"",""แผน!P46"")"),1)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3" t="s">
        <v>49</v>
      </c>
      <c r="I107" s="270">
        <f ca="1">IFERROR(__xludf.DUMMYFUNCTION("IMPORTRANGE(""https://docs.google.com/spreadsheets/d/1QqKyyYR6Q21VydFLVH3TRQUabQu_ym0Zz7PgGX0-kHA/edit?usp=sharing"",""แผน!P46"")"),1)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3" t="s">
        <v>49</v>
      </c>
      <c r="I109" s="270">
        <f ca="1">IFERROR(__xludf.DUMMYFUNCTION("IMPORTRANGE(""https://docs.google.com/spreadsheets/d/1QqKyyYR6Q21VydFLVH3TRQUabQu_ym0Zz7PgGX0-kHA/edit?usp=sharing"",""แผน!Q46"")"),1)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3" t="s">
        <v>49</v>
      </c>
      <c r="I110" s="270">
        <f ca="1">IFERROR(__xludf.DUMMYFUNCTION("IMPORTRANGE(""https://docs.google.com/spreadsheets/d/1QqKyyYR6Q21VydFLVH3TRQUabQu_ym0Zz7PgGX0-kHA/edit?usp=sharing"",""แผน!Q46"")"),1)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7" t="s">
        <v>35</v>
      </c>
      <c r="I111" s="193">
        <f ca="1">IFERROR(__xludf.DUMMYFUNCTION("IMPORTRANGE(""https://docs.google.com/spreadsheets/d/1QqKyyYR6Q21VydFLVH3TRQUabQu_ym0Zz7PgGX0-kHA/edit?usp=sharing"",""แผน!R46"")"),15)</f>
        <v>15</v>
      </c>
      <c r="J111" s="681">
        <f>J114</f>
        <v>15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1">
        <f t="shared" si="59"/>
        <v>2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2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IFERROR(__xludf.DUMMYFUNCTION("IMPORTRANGE(""https://docs.google.com/spreadsheets/d/1QqKyyYR6Q21VydFLVH3TRQUabQu_ym0Zz7PgGX0-kHA/edit?usp=sharing"",""แผน!R46"")"),15)</f>
        <v>15</v>
      </c>
      <c r="J113" s="215">
        <v>15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IFERROR(__xludf.DUMMYFUNCTION("IMPORTRANGE(""https://docs.google.com/spreadsheets/d/1QqKyyYR6Q21VydFLVH3TRQUabQu_ym0Zz7PgGX0-kHA/edit?usp=sharing"",""แผน!R46"")"),15)</f>
        <v>15</v>
      </c>
      <c r="J114" s="215">
        <v>15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IFERROR(__xludf.DUMMYFUNCTION("IMPORTRANGE(""https://docs.google.com/spreadsheets/d/1QqKyyYR6Q21VydFLVH3TRQUabQu_ym0Zz7PgGX0-kHA/edit?usp=sharing"",""แผน!S46"")"),1)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IFERROR(__xludf.DUMMYFUNCTION("IMPORTRANGE(""https://docs.google.com/spreadsheets/d/1QqKyyYR6Q21VydFLVH3TRQUabQu_ym0Zz7PgGX0-kHA/edit?usp=sharing"",""แผน!T46"")"),1)</f>
        <v>1</v>
      </c>
      <c r="J116" s="215">
        <v>1</v>
      </c>
      <c r="K116" s="498">
        <f t="shared" ca="1" si="5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7"/>
      <c r="J120" s="617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7"/>
      <c r="J121" s="617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IFERROR(__xludf.DUMMYFUNCTION("IMPORTRANGE(""https://docs.google.com/spreadsheets/d/1MeEWN-I1oV_STSDYn1IFDPWt_1FKiwhDph83XaGc0o0/edit?usp=sharing"",""งบพรบ!BA46"")"),0)</f>
        <v>0</v>
      </c>
      <c r="M124" s="93">
        <f ca="1">IFERROR(__xludf.DUMMYFUNCTION("IMPORTRANGE(""https://docs.google.com/spreadsheets/d/1MeEWN-I1oV_STSDYn1IFDPWt_1FKiwhDph83XaGc0o0/edit?usp=sharing"",""งบพรบ!BF46"")"),0)</f>
        <v>0</v>
      </c>
      <c r="N124" s="93">
        <f ca="1">IFERROR(__xludf.DUMMYFUNCTION("IMPORTRANGE(""https://docs.google.com/spreadsheets/d/1MeEWN-I1oV_STSDYn1IFDPWt_1FKiwhDph83XaGc0o0/edit?usp=sharing"",""งบพรบ!BH46"")"),0)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IFERROR(__xludf.DUMMYFUNCTION("IMPORTRANGE(""https://docs.google.com/spreadsheets/d/1MeEWN-I1oV_STSDYn1IFDPWt_1FKiwhDph83XaGc0o0/edit?usp=sharing"",""งบพรบ!BD46"")"),0)</f>
        <v>0</v>
      </c>
      <c r="M127" s="93">
        <f ca="1">IFERROR(__xludf.DUMMYFUNCTION("IMPORTRANGE(""https://docs.google.com/spreadsheets/d/1MeEWN-I1oV_STSDYn1IFDPWt_1FKiwhDph83XaGc0o0/edit?usp=sharing"",""งบพรบ!BG46"")"),0)</f>
        <v>0</v>
      </c>
      <c r="N127" s="93">
        <f ca="1">IFERROR(__xludf.DUMMYFUNCTION("IMPORTRANGE(""https://docs.google.com/spreadsheets/d/1MeEWN-I1oV_STSDYn1IFDPWt_1FKiwhDph83XaGc0o0/edit?usp=sharing"",""งบพรบ!BI46"")"),0)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7"/>
      <c r="J133" s="617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7"/>
      <c r="J134" s="617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IFERROR(__xludf.DUMMYFUNCTION("IMPORTRANGE(""https://docs.google.com/spreadsheets/d/1MeEWN-I1oV_STSDYn1IFDPWt_1FKiwhDph83XaGc0o0/edit?usp=sharing"",""งบพรบ!BK46"")"),0)</f>
        <v>0</v>
      </c>
      <c r="M137" s="93">
        <f ca="1">IFERROR(__xludf.DUMMYFUNCTION("IMPORTRANGE(""https://docs.google.com/spreadsheets/d/1MeEWN-I1oV_STSDYn1IFDPWt_1FKiwhDph83XaGc0o0/edit?usp=sharing"",""งบพรบ!BP46"")"),0)</f>
        <v>0</v>
      </c>
      <c r="N137" s="93">
        <f ca="1">IFERROR(__xludf.DUMMYFUNCTION("IMPORTRANGE(""https://docs.google.com/spreadsheets/d/1MeEWN-I1oV_STSDYn1IFDPWt_1FKiwhDph83XaGc0o0/edit?usp=sharing"",""งบพรบ!BR46"")"),0)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IFERROR(__xludf.DUMMYFUNCTION("IMPORTRANGE(""https://docs.google.com/spreadsheets/d/1MeEWN-I1oV_STSDYn1IFDPWt_1FKiwhDph83XaGc0o0/edit?usp=sharing"",""งบพรบ!BN46"")"),0)</f>
        <v>0</v>
      </c>
      <c r="M140" s="93">
        <f ca="1">IFERROR(__xludf.DUMMYFUNCTION("IMPORTRANGE(""https://docs.google.com/spreadsheets/d/1MeEWN-I1oV_STSDYn1IFDPWt_1FKiwhDph83XaGc0o0/edit?usp=sharing"",""งบพรบ!BQ46"")"),0)</f>
        <v>0</v>
      </c>
      <c r="N140" s="93">
        <f ca="1">IFERROR(__xludf.DUMMYFUNCTION("IMPORTRANGE(""https://docs.google.com/spreadsheets/d/1MeEWN-I1oV_STSDYn1IFDPWt_1FKiwhDph83XaGc0o0/edit?usp=sharing"",""งบพรบ!BS46"")"),0)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IFERROR(__xludf.DUMMYFUNCTION("IMPORTRANGE(""https://docs.google.com/spreadsheets/d/1QqKyyYR6Q21VydFLVH3TRQUabQu_ym0Zz7PgGX0-kHA/edit?usp=sharing"",""แผน!U46"")"),0)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IFERROR(__xludf.DUMMYFUNCTION("IMPORTRANGE(""https://docs.google.com/spreadsheets/d/1QqKyyYR6Q21VydFLVH3TRQUabQu_ym0Zz7PgGX0-kHA/edit?usp=sharing"",""แผน!V46"")"),0)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IFERROR(__xludf.DUMMYFUNCTION("IMPORTRANGE(""https://docs.google.com/spreadsheets/d/1QqKyyYR6Q21VydFLVH3TRQUabQu_ym0Zz7PgGX0-kHA/edit?usp=sharing"",""แผน!W46"")"),0)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7"/>
      <c r="J150" s="617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7"/>
      <c r="J151" s="617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IFERROR(__xludf.DUMMYFUNCTION("IMPORTRANGE(""https://docs.google.com/spreadsheets/d/1MeEWN-I1oV_STSDYn1IFDPWt_1FKiwhDph83XaGc0o0/edit?usp=sharing"",""งบพรบ!BU46"")"),0)</f>
        <v>0</v>
      </c>
      <c r="M154" s="93">
        <f ca="1">IFERROR(__xludf.DUMMYFUNCTION("IMPORTRANGE(""https://docs.google.com/spreadsheets/d/1MeEWN-I1oV_STSDYn1IFDPWt_1FKiwhDph83XaGc0o0/edit?usp=sharing"",""งบพรบ!BZ46"")"),0)</f>
        <v>0</v>
      </c>
      <c r="N154" s="93">
        <f ca="1">IFERROR(__xludf.DUMMYFUNCTION("IMPORTRANGE(""https://docs.google.com/spreadsheets/d/1MeEWN-I1oV_STSDYn1IFDPWt_1FKiwhDph83XaGc0o0/edit?usp=sharing"",""งบพรบ!CB46"")"),0)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IFERROR(__xludf.DUMMYFUNCTION("IMPORTRANGE(""https://docs.google.com/spreadsheets/d/1MeEWN-I1oV_STSDYn1IFDPWt_1FKiwhDph83XaGc0o0/edit?usp=sharing"",""งบพรบ!BX46"")"),0)</f>
        <v>0</v>
      </c>
      <c r="M157" s="93">
        <f ca="1">IFERROR(__xludf.DUMMYFUNCTION("IMPORTRANGE(""https://docs.google.com/spreadsheets/d/1MeEWN-I1oV_STSDYn1IFDPWt_1FKiwhDph83XaGc0o0/edit?usp=sharing"",""งบพรบ!CA46"")"),0)</f>
        <v>0</v>
      </c>
      <c r="N157" s="93">
        <f ca="1">IFERROR(__xludf.DUMMYFUNCTION("IMPORTRANGE(""https://docs.google.com/spreadsheets/d/1MeEWN-I1oV_STSDYn1IFDPWt_1FKiwhDph83XaGc0o0/edit?usp=sharing"",""งบพรบ!CC46"")"),0)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IFERROR(__xludf.DUMMYFUNCTION("IMPORTRANGE(""https://docs.google.com/spreadsheets/d/1QqKyyYR6Q21VydFLVH3TRQUabQu_ym0Zz7PgGX0-kHA/edit?usp=sharing"",""แผน!X46"")"),0)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7"/>
      <c r="J160" s="617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52995</v>
      </c>
      <c r="N165" s="155">
        <f t="shared" ca="1" si="84"/>
        <v>52995</v>
      </c>
      <c r="O165" s="155">
        <f t="shared" ref="O165:O173" ca="1" si="85">IF(L165&gt;0,N165*100/L165,0)</f>
        <v>240.28564951258218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7"/>
      <c r="J166" s="617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7"/>
      <c r="J167" s="617"/>
      <c r="K167" s="93"/>
      <c r="L167" s="93">
        <f t="shared" ca="1" si="87"/>
        <v>22055</v>
      </c>
      <c r="M167" s="93">
        <f t="shared" ca="1" si="87"/>
        <v>52995</v>
      </c>
      <c r="N167" s="93">
        <f t="shared" ca="1" si="87"/>
        <v>52995</v>
      </c>
      <c r="O167" s="93">
        <f t="shared" ca="1" si="85"/>
        <v>240.28564951258218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52995</v>
      </c>
      <c r="N168" s="498">
        <f t="shared" ca="1" si="88"/>
        <v>52995</v>
      </c>
      <c r="O168" s="498">
        <f t="shared" ca="1" si="85"/>
        <v>240.28564951258218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IFERROR(__xludf.DUMMYFUNCTION("IMPORTRANGE(""https://docs.google.com/spreadsheets/d/1MeEWN-I1oV_STSDYn1IFDPWt_1FKiwhDph83XaGc0o0/edit?usp=sharing"",""งบพรบ!CE46"")"),22055)</f>
        <v>22055</v>
      </c>
      <c r="M170" s="93">
        <f ca="1">IFERROR(__xludf.DUMMYFUNCTION("IMPORTRANGE(""https://docs.google.com/spreadsheets/d/1MeEWN-I1oV_STSDYn1IFDPWt_1FKiwhDph83XaGc0o0/edit?usp=sharing"",""งบพรบ!CJ46"")"),52995)</f>
        <v>52995</v>
      </c>
      <c r="N170" s="93">
        <f ca="1">IFERROR(__xludf.DUMMYFUNCTION("IMPORTRANGE(""https://docs.google.com/spreadsheets/d/1MeEWN-I1oV_STSDYn1IFDPWt_1FKiwhDph83XaGc0o0/edit?usp=sharing"",""งบพรบ!CL46"")"),52995)</f>
        <v>52995</v>
      </c>
      <c r="O170" s="93">
        <f t="shared" ca="1" si="85"/>
        <v>240.28564951258218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IFERROR(__xludf.DUMMYFUNCTION("IMPORTRANGE(""https://docs.google.com/spreadsheets/d/1MeEWN-I1oV_STSDYn1IFDPWt_1FKiwhDph83XaGc0o0/edit?usp=sharing"",""งบพรบ!CH46"")"),0)</f>
        <v>0</v>
      </c>
      <c r="M173" s="93">
        <f ca="1">IFERROR(__xludf.DUMMYFUNCTION("IMPORTRANGE(""https://docs.google.com/spreadsheets/d/1MeEWN-I1oV_STSDYn1IFDPWt_1FKiwhDph83XaGc0o0/edit?usp=sharing"",""งบพรบ!CK46"")"),0)</f>
        <v>0</v>
      </c>
      <c r="N173" s="93">
        <f ca="1">IFERROR(__xludf.DUMMYFUNCTION("IMPORTRANGE(""https://docs.google.com/spreadsheets/d/1MeEWN-I1oV_STSDYn1IFDPWt_1FKiwhDph83XaGc0o0/edit?usp=sharing"",""งบพรบ!CM46"")"),0)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7" t="s">
        <v>38</v>
      </c>
      <c r="E175" s="173"/>
      <c r="F175" s="173"/>
      <c r="G175" s="174"/>
      <c r="H175" s="76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6" t="s">
        <v>85</v>
      </c>
      <c r="E176" s="178"/>
      <c r="F176" s="178"/>
      <c r="G176" s="179"/>
      <c r="H176" s="623" t="s">
        <v>35</v>
      </c>
      <c r="I176" s="270">
        <f ca="1">IFERROR(__xludf.DUMMYFUNCTION("IMPORTRANGE(""https://docs.google.com/spreadsheets/d/1QqKyyYR6Q21VydFLVH3TRQUabQu_ym0Zz7PgGX0-kHA/edit?usp=sharing"",""แผน!Y46"")"),11)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108400</v>
      </c>
      <c r="M181" s="155">
        <f t="shared" ca="1" si="92"/>
        <v>108400</v>
      </c>
      <c r="N181" s="155">
        <f t="shared" ca="1" si="92"/>
        <v>108400</v>
      </c>
      <c r="O181" s="155">
        <f t="shared" ref="O181:O189" ca="1" si="93">IF(L181&gt;0,N181*100/L181,0)</f>
        <v>100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7"/>
      <c r="J182" s="617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7"/>
      <c r="J183" s="617"/>
      <c r="K183" s="93"/>
      <c r="L183" s="93">
        <f t="shared" ca="1" si="95"/>
        <v>108400</v>
      </c>
      <c r="M183" s="93">
        <f t="shared" ca="1" si="95"/>
        <v>108400</v>
      </c>
      <c r="N183" s="93">
        <f t="shared" ca="1" si="95"/>
        <v>108400</v>
      </c>
      <c r="O183" s="93">
        <f t="shared" ca="1" si="93"/>
        <v>100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108400</v>
      </c>
      <c r="M184" s="498">
        <f t="shared" ca="1" si="96"/>
        <v>108400</v>
      </c>
      <c r="N184" s="498">
        <f t="shared" ca="1" si="96"/>
        <v>108400</v>
      </c>
      <c r="O184" s="498">
        <f t="shared" ca="1" si="93"/>
        <v>100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IFERROR(__xludf.DUMMYFUNCTION("IMPORTRANGE(""https://docs.google.com/spreadsheets/d/1MeEWN-I1oV_STSDYn1IFDPWt_1FKiwhDph83XaGc0o0/edit?usp=sharing"",""งบพรบ!CO46"")"),108400)</f>
        <v>108400</v>
      </c>
      <c r="M186" s="93">
        <f ca="1">IFERROR(__xludf.DUMMYFUNCTION("IMPORTRANGE(""https://docs.google.com/spreadsheets/d/1MeEWN-I1oV_STSDYn1IFDPWt_1FKiwhDph83XaGc0o0/edit?usp=sharing"",""งบพรบ!CT46"")"),108400)</f>
        <v>108400</v>
      </c>
      <c r="N186" s="93">
        <f ca="1">IFERROR(__xludf.DUMMYFUNCTION("IMPORTRANGE(""https://docs.google.com/spreadsheets/d/1MeEWN-I1oV_STSDYn1IFDPWt_1FKiwhDph83XaGc0o0/edit?usp=sharing"",""งบพรบ!CV46"")"),108400)</f>
        <v>108400</v>
      </c>
      <c r="O186" s="93">
        <f t="shared" ca="1" si="93"/>
        <v>100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IFERROR(__xludf.DUMMYFUNCTION("IMPORTRANGE(""https://docs.google.com/spreadsheets/d/1MeEWN-I1oV_STSDYn1IFDPWt_1FKiwhDph83XaGc0o0/edit?usp=sharing"",""งบพรบ!CR46"")"),0)</f>
        <v>0</v>
      </c>
      <c r="M189" s="93">
        <f ca="1">IFERROR(__xludf.DUMMYFUNCTION("IMPORTRANGE(""https://docs.google.com/spreadsheets/d/1MeEWN-I1oV_STSDYn1IFDPWt_1FKiwhDph83XaGc0o0/edit?usp=sharing"",""งบพรบ!CU46"")"),0)</f>
        <v>0</v>
      </c>
      <c r="N189" s="93">
        <f ca="1">IFERROR(__xludf.DUMMYFUNCTION("IMPORTRANGE(""https://docs.google.com/spreadsheets/d/1MeEWN-I1oV_STSDYn1IFDPWt_1FKiwhDph83XaGc0o0/edit?usp=sharing"",""งบพรบ!CW46"")"),0)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8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IFERROR(__xludf.DUMMYFUNCTION("IMPORTRANGE(""https://docs.google.com/spreadsheets/d/1QqKyyYR6Q21VydFLVH3TRQUabQu_ym0Zz7PgGX0-kHA/edit?usp=sharing"",""แผน!Z46"")"),6000)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7" t="s">
        <v>38</v>
      </c>
      <c r="E192" s="173"/>
      <c r="F192" s="173"/>
      <c r="G192" s="174"/>
      <c r="H192" s="762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4" t="s">
        <v>90</v>
      </c>
      <c r="I193" s="270">
        <f ca="1">IFERROR(__xludf.DUMMYFUNCTION("IMPORTRANGE(""https://docs.google.com/spreadsheets/d/1QqKyyYR6Q21VydFLVH3TRQUabQu_ym0Zz7PgGX0-kHA/edit?usp=sharing"",""แผน!AC46"")"),4)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139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139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8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IFERROR(__xludf.DUMMYFUNCTION("IMPORTRANGE(""https://docs.google.com/spreadsheets/d/1QqKyyYR6Q21VydFLVH3TRQUabQu_ym0Zz7PgGX0-kHA/edit?usp=sharing"",""แผน!AE46"")"),3000)</f>
        <v>3000</v>
      </c>
      <c r="M199" s="498"/>
      <c r="N199" s="840">
        <v>3000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3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IFERROR(__xludf.DUMMYFUNCTION("IMPORTRANGE(""https://docs.google.com/spreadsheets/d/1QqKyyYR6Q21VydFLVH3TRQUabQu_ym0Zz7PgGX0-kHA/edit?usp=sharing"",""แผน!AF46"")"),24000)</f>
        <v>24000</v>
      </c>
      <c r="M200" s="498"/>
      <c r="N200" s="840">
        <v>24000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3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IFERROR(__xludf.DUMMYFUNCTION("IMPORTRANGE(""https://docs.google.com/spreadsheets/d/1QqKyyYR6Q21VydFLVH3TRQUabQu_ym0Zz7PgGX0-kHA/edit?usp=sharing"",""แผน!AG46"")"),12000)</f>
        <v>12000</v>
      </c>
      <c r="M201" s="498"/>
      <c r="N201" s="840">
        <v>12000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3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IFERROR(__xludf.DUMMYFUNCTION("IMPORTRANGE(""https://docs.google.com/spreadsheets/d/1QqKyyYR6Q21VydFLVH3TRQUabQu_ym0Zz7PgGX0-kHA/edit?usp=sharing"",""แผน!AH46"")"),0)</f>
        <v>0</v>
      </c>
      <c r="M202" s="498"/>
      <c r="N202" s="840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7" t="s">
        <v>38</v>
      </c>
      <c r="E203" s="173"/>
      <c r="F203" s="173"/>
      <c r="G203" s="174"/>
      <c r="H203" s="76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2" t="s">
        <v>96</v>
      </c>
      <c r="I204" s="270">
        <f ca="1">IFERROR(__xludf.DUMMYFUNCTION("IMPORTRANGE(""https://docs.google.com/spreadsheets/d/1QqKyyYR6Q21VydFLVH3TRQUabQu_ym0Zz7PgGX0-kHA/edit?usp=sharing"",""แผน!AI46"")"),3)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2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2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4</v>
      </c>
      <c r="J208" s="272">
        <f t="shared" si="101"/>
        <v>4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8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56000</v>
      </c>
      <c r="M209" s="155"/>
      <c r="N209" s="155">
        <f>N210+N211+N212</f>
        <v>56000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IFERROR(__xludf.DUMMYFUNCTION("IMPORTRANGE(""https://docs.google.com/spreadsheets/d/1QqKyyYR6Q21VydFLVH3TRQUabQu_ym0Zz7PgGX0-kHA/edit?usp=sharing"",""แผน!AK46"")"),4000)</f>
        <v>4000</v>
      </c>
      <c r="M210" s="498"/>
      <c r="N210" s="840">
        <v>4000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IFERROR(__xludf.DUMMYFUNCTION("IMPORTRANGE(""https://docs.google.com/spreadsheets/d/1QqKyyYR6Q21VydFLVH3TRQUabQu_ym0Zz7PgGX0-kHA/edit?usp=sharing"",""แผน!AL46"")"),20000)</f>
        <v>20000</v>
      </c>
      <c r="M211" s="498"/>
      <c r="N211" s="840">
        <v>20000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IFERROR(__xludf.DUMMYFUNCTION("IMPORTRANGE(""https://docs.google.com/spreadsheets/d/1QqKyyYR6Q21VydFLVH3TRQUabQu_ym0Zz7PgGX0-kHA/edit?usp=sharing"",""แผน!AM46"")"),32000)</f>
        <v>32000</v>
      </c>
      <c r="M212" s="498"/>
      <c r="N212" s="840">
        <v>32000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7" t="s">
        <v>38</v>
      </c>
      <c r="E213" s="173"/>
      <c r="F213" s="173"/>
      <c r="G213" s="174"/>
      <c r="H213" s="762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2" t="s">
        <v>96</v>
      </c>
      <c r="I214" s="270">
        <f ca="1">IFERROR(__xludf.DUMMYFUNCTION("IMPORTRANGE(""https://docs.google.com/spreadsheets/d/1QqKyyYR6Q21VydFLVH3TRQUabQu_ym0Zz7PgGX0-kHA/edit?usp=sharing"",""แผน!AN46"")"),4)</f>
        <v>4</v>
      </c>
      <c r="J214" s="215">
        <v>4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2" t="s">
        <v>96</v>
      </c>
      <c r="I215" s="270">
        <f ca="1">IFERROR(__xludf.DUMMYFUNCTION("IMPORTRANGE(""https://docs.google.com/spreadsheets/d/1QqKyyYR6Q21VydFLVH3TRQUabQu_ym0Zz7PgGX0-kHA/edit?usp=sharing"",""แผน!AN46"")"),4)</f>
        <v>4</v>
      </c>
      <c r="J215" s="215">
        <v>4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</v>
      </c>
      <c r="J216" s="272">
        <f t="shared" si="103"/>
        <v>15000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8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7400</v>
      </c>
      <c r="M217" s="155"/>
      <c r="N217" s="155">
        <f>N218+N219+N220</f>
        <v>7400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IFERROR(__xludf.DUMMYFUNCTION("IMPORTRANGE(""https://docs.google.com/spreadsheets/d/1QqKyyYR6Q21VydFLVH3TRQUabQu_ym0Zz7PgGX0-kHA/edit?usp=sharing"",""แผน!AP46"")"),3000)</f>
        <v>3000</v>
      </c>
      <c r="M218" s="498"/>
      <c r="N218" s="840">
        <v>3000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IFERROR(__xludf.DUMMYFUNCTION("IMPORTRANGE(""https://docs.google.com/spreadsheets/d/1QqKyyYR6Q21VydFLVH3TRQUabQu_ym0Zz7PgGX0-kHA/edit?usp=sharing"",""แผน!AQ46"")"),4400)</f>
        <v>4400</v>
      </c>
      <c r="M219" s="498"/>
      <c r="N219" s="840">
        <v>4400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IFERROR(__xludf.DUMMYFUNCTION("IMPORTRANGE(""https://docs.google.com/spreadsheets/d/1QqKyyYR6Q21VydFLVH3TRQUabQu_ym0Zz7PgGX0-kHA/edit?usp=sharing"",""แผน!AR46"")"),0)</f>
        <v>0</v>
      </c>
      <c r="M220" s="498"/>
      <c r="N220" s="840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7" t="s">
        <v>38</v>
      </c>
      <c r="E221" s="173"/>
      <c r="F221" s="173"/>
      <c r="G221" s="174"/>
      <c r="H221" s="76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4" t="s">
        <v>109</v>
      </c>
      <c r="I223" s="270">
        <f ca="1">IFERROR(__xludf.DUMMYFUNCTION("IMPORTRANGE(""https://docs.google.com/spreadsheets/d/1QqKyyYR6Q21VydFLVH3TRQUabQu_ym0Zz7PgGX0-kHA/edit?usp=sharing"",""แผน!AT46"")"),15000)</f>
        <v>15000</v>
      </c>
      <c r="J223" s="215">
        <v>15000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4" t="s">
        <v>109</v>
      </c>
      <c r="I224" s="270">
        <f ca="1">IFERROR(__xludf.DUMMYFUNCTION("IMPORTRANGE(""https://docs.google.com/spreadsheets/d/1QqKyyYR6Q21VydFLVH3TRQUabQu_ym0Zz7PgGX0-kHA/edit?usp=sharing"",""แผน!AT46"")"),15000)</f>
        <v>15000</v>
      </c>
      <c r="J224" s="215">
        <v>15000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4" t="s">
        <v>35</v>
      </c>
      <c r="I225" s="270">
        <f ca="1">IFERROR(__xludf.DUMMYFUNCTION("IMPORTRANGE(""https://docs.google.com/spreadsheets/d/1QqKyyYR6Q21VydFLVH3TRQUabQu_ym0Zz7PgGX0-kHA/edit?usp=sharing"",""แผน!AS46"")"),0)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8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2"/>
      <c r="P227" s="8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7"/>
      <c r="J229" s="617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7"/>
      <c r="J230" s="617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7"/>
      <c r="J231" s="617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7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7">
        <f t="shared" ref="I233:J233" ca="1" si="108">I244+I255</f>
        <v>0</v>
      </c>
      <c r="J233" s="617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7"/>
      <c r="J234" s="617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7">
        <f t="shared" ref="I235:J236" si="109">I246+I257</f>
        <v>0</v>
      </c>
      <c r="J235" s="617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7">
        <f t="shared" si="109"/>
        <v>0</v>
      </c>
      <c r="J236" s="617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IFERROR(__xludf.DUMMYFUNCTION("IMPORTRANGE(""https://docs.google.com/spreadsheets/d/1QqKyyYR6Q21VydFLVH3TRQUabQu_ym0Zz7PgGX0-kHA/edit?usp=sharing"",""แผน!AV46"")"),0)</f>
        <v>0</v>
      </c>
      <c r="M239" s="322"/>
      <c r="N239" s="88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IFERROR(__xludf.DUMMYFUNCTION("IMPORTRANGE(""https://docs.google.com/spreadsheets/d/1QqKyyYR6Q21VydFLVH3TRQUabQu_ym0Zz7PgGX0-kHA/edit?usp=sharing"",""แผน!AW46"")"),0)</f>
        <v>0</v>
      </c>
      <c r="M240" s="322"/>
      <c r="N240" s="88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IFERROR(__xludf.DUMMYFUNCTION("IMPORTRANGE(""https://docs.google.com/spreadsheets/d/1QqKyyYR6Q21VydFLVH3TRQUabQu_ym0Zz7PgGX0-kHA/edit?usp=sharing"",""แผน!AX46"")"),0)</f>
        <v>0</v>
      </c>
      <c r="M241" s="322"/>
      <c r="N241" s="88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IFERROR(__xludf.DUMMYFUNCTION("IMPORTRANGE(""https://docs.google.com/spreadsheets/d/1QqKyyYR6Q21VydFLVH3TRQUabQu_ym0Zz7PgGX0-kHA/edit?usp=sharing"",""แผน!AY46"")"),0)</f>
        <v>0</v>
      </c>
      <c r="M242" s="322"/>
      <c r="N242" s="88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7" t="s">
        <v>38</v>
      </c>
      <c r="E243" s="173"/>
      <c r="F243" s="173"/>
      <c r="G243" s="174"/>
      <c r="H243" s="762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4" t="s">
        <v>35</v>
      </c>
      <c r="I244" s="270">
        <f ca="1">IFERROR(__xludf.DUMMYFUNCTION("IMPORTRANGE(""https://docs.google.com/spreadsheets/d/1QqKyyYR6Q21VydFLVH3TRQUabQu_ym0Zz7PgGX0-kHA/edit?usp=sharing"",""แผน!BE46"")"),0)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4" t="s">
        <v>43</v>
      </c>
      <c r="E245" s="178"/>
      <c r="F245" s="178"/>
      <c r="G245" s="179"/>
      <c r="H245" s="764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4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4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8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IFERROR(__xludf.DUMMYFUNCTION("IMPORTRANGE(""https://docs.google.com/spreadsheets/d/1QqKyyYR6Q21VydFLVH3TRQUabQu_ym0Zz7PgGX0-kHA/edit?usp=sharing"",""แผน!AZ46"")"),0)</f>
        <v>0</v>
      </c>
      <c r="M250" s="322"/>
      <c r="N250" s="88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IFERROR(__xludf.DUMMYFUNCTION("IMPORTRANGE(""https://docs.google.com/spreadsheets/d/1QqKyyYR6Q21VydFLVH3TRQUabQu_ym0Zz7PgGX0-kHA/edit?usp=sharing"",""แผน!BA46"")"),0)</f>
        <v>0</v>
      </c>
      <c r="M251" s="322"/>
      <c r="N251" s="88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IFERROR(__xludf.DUMMYFUNCTION("IMPORTRANGE(""https://docs.google.com/spreadsheets/d/1QqKyyYR6Q21VydFLVH3TRQUabQu_ym0Zz7PgGX0-kHA/edit?usp=sharing"",""แผน!BB46"")"),0)</f>
        <v>0</v>
      </c>
      <c r="M252" s="322"/>
      <c r="N252" s="88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IFERROR(__xludf.DUMMYFUNCTION("IMPORTRANGE(""https://docs.google.com/spreadsheets/d/1QqKyyYR6Q21VydFLVH3TRQUabQu_ym0Zz7PgGX0-kHA/edit?usp=sharing"",""แผน!BC46"")"),0)</f>
        <v>0</v>
      </c>
      <c r="M253" s="322"/>
      <c r="N253" s="88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7" t="s">
        <v>38</v>
      </c>
      <c r="E254" s="173"/>
      <c r="F254" s="173"/>
      <c r="G254" s="174"/>
      <c r="H254" s="762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4" t="s">
        <v>35</v>
      </c>
      <c r="I255" s="270">
        <f ca="1">IFERROR(__xludf.DUMMYFUNCTION("IMPORTRANGE(""https://docs.google.com/spreadsheets/d/1QqKyyYR6Q21VydFLVH3TRQUabQu_ym0Zz7PgGX0-kHA/edit?usp=sharing"",""แผน!BF46"")"),0)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4" t="s">
        <v>43</v>
      </c>
      <c r="E256" s="178"/>
      <c r="F256" s="178"/>
      <c r="G256" s="179"/>
      <c r="H256" s="764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4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4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26900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7"/>
      <c r="J262" s="617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7"/>
      <c r="J263" s="617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26900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26900</v>
      </c>
      <c r="N264" s="498">
        <f t="shared" ca="1" si="120"/>
        <v>26900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IFERROR(__xludf.DUMMYFUNCTION("IMPORTRANGE(""https://docs.google.com/spreadsheets/d/1MeEWN-I1oV_STSDYn1IFDPWt_1FKiwhDph83XaGc0o0/edit?usp=sharing"",""งบพรบ!CY46"")"),26900)</f>
        <v>26900</v>
      </c>
      <c r="M266" s="93">
        <f ca="1">IFERROR(__xludf.DUMMYFUNCTION("IMPORTRANGE(""https://docs.google.com/spreadsheets/d/1MeEWN-I1oV_STSDYn1IFDPWt_1FKiwhDph83XaGc0o0/edit?usp=sharing"",""งบพรบ!DD46"")"),26900)</f>
        <v>26900</v>
      </c>
      <c r="N266" s="93">
        <f ca="1">IFERROR(__xludf.DUMMYFUNCTION("IMPORTRANGE(""https://docs.google.com/spreadsheets/d/1MeEWN-I1oV_STSDYn1IFDPWt_1FKiwhDph83XaGc0o0/edit?usp=sharing"",""งบพรบ!DF46"")"),26900)</f>
        <v>26900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IFERROR(__xludf.DUMMYFUNCTION("IMPORTRANGE(""https://docs.google.com/spreadsheets/d/1MeEWN-I1oV_STSDYn1IFDPWt_1FKiwhDph83XaGc0o0/edit?usp=sharing"",""งบพรบ!DB46"")"),0)</f>
        <v>0</v>
      </c>
      <c r="M269" s="93">
        <f ca="1">IFERROR(__xludf.DUMMYFUNCTION("IMPORTRANGE(""https://docs.google.com/spreadsheets/d/1MeEWN-I1oV_STSDYn1IFDPWt_1FKiwhDph83XaGc0o0/edit?usp=sharing"",""งบพรบ!DE46"")"),0)</f>
        <v>0</v>
      </c>
      <c r="N269" s="93">
        <f ca="1">IFERROR(__xludf.DUMMYFUNCTION("IMPORTRANGE(""https://docs.google.com/spreadsheets/d/1MeEWN-I1oV_STSDYn1IFDPWt_1FKiwhDph83XaGc0o0/edit?usp=sharing"",""งบพรบ!DG46"")"),0)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7" t="s">
        <v>38</v>
      </c>
      <c r="E270" s="173"/>
      <c r="F270" s="173"/>
      <c r="G270" s="174"/>
      <c r="H270" s="76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IFERROR(__xludf.DUMMYFUNCTION("IMPORTRANGE(""https://docs.google.com/spreadsheets/d/1QqKyyYR6Q21VydFLVH3TRQUabQu_ym0Zz7PgGX0-kHA/edit?usp=sharing"",""แผน!EA46"")"),22)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6">
        <v>0</v>
      </c>
      <c r="J272" s="506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25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250</v>
      </c>
      <c r="J276" s="406">
        <f t="shared" si="124"/>
        <v>250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542220</v>
      </c>
      <c r="M277" s="155">
        <f t="shared" ca="1" si="125"/>
        <v>542220</v>
      </c>
      <c r="N277" s="155">
        <f t="shared" ca="1" si="125"/>
        <v>542220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7"/>
      <c r="J278" s="617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7"/>
      <c r="J279" s="617"/>
      <c r="K279" s="93"/>
      <c r="L279" s="93">
        <f t="shared" ca="1" si="128"/>
        <v>542220</v>
      </c>
      <c r="M279" s="93">
        <f t="shared" ca="1" si="128"/>
        <v>542220</v>
      </c>
      <c r="N279" s="93">
        <f t="shared" ca="1" si="128"/>
        <v>542220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542220</v>
      </c>
      <c r="M280" s="498">
        <f t="shared" ca="1" si="129"/>
        <v>542220</v>
      </c>
      <c r="N280" s="498">
        <f t="shared" ca="1" si="129"/>
        <v>542220</v>
      </c>
      <c r="O280" s="498">
        <f t="shared" ca="1" si="126"/>
        <v>100</v>
      </c>
      <c r="P280" s="49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IFERROR(__xludf.DUMMYFUNCTION("IMPORTRANGE(""https://docs.google.com/spreadsheets/d/1MeEWN-I1oV_STSDYn1IFDPWt_1FKiwhDph83XaGc0o0/edit?usp=sharing"",""งบพรบ!DI46"")"),542220)</f>
        <v>542220</v>
      </c>
      <c r="M282" s="93">
        <f ca="1">IFERROR(__xludf.DUMMYFUNCTION("IMPORTRANGE(""https://docs.google.com/spreadsheets/d/1MeEWN-I1oV_STSDYn1IFDPWt_1FKiwhDph83XaGc0o0/edit?usp=sharing"",""งบพรบ!DN46"")"),542220)</f>
        <v>542220</v>
      </c>
      <c r="N282" s="93">
        <f ca="1">IFERROR(__xludf.DUMMYFUNCTION("IMPORTRANGE(""https://docs.google.com/spreadsheets/d/1MeEWN-I1oV_STSDYn1IFDPWt_1FKiwhDph83XaGc0o0/edit?usp=sharing"",""งบพรบ!DP46"")"),542220)</f>
        <v>542220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IFERROR(__xludf.DUMMYFUNCTION("IMPORTRANGE(""https://docs.google.com/spreadsheets/d/1MeEWN-I1oV_STSDYn1IFDPWt_1FKiwhDph83XaGc0o0/edit?usp=sharing"",""งบพรบ!DL46"")"),0)</f>
        <v>0</v>
      </c>
      <c r="M285" s="93">
        <f ca="1">IFERROR(__xludf.DUMMYFUNCTION("IMPORTRANGE(""https://docs.google.com/spreadsheets/d/1MeEWN-I1oV_STSDYn1IFDPWt_1FKiwhDph83XaGc0o0/edit?usp=sharing"",""งบพรบ!DO46"")"),0)</f>
        <v>0</v>
      </c>
      <c r="N285" s="93">
        <f ca="1">IFERROR(__xludf.DUMMYFUNCTION("IMPORTRANGE(""https://docs.google.com/spreadsheets/d/1MeEWN-I1oV_STSDYn1IFDPWt_1FKiwhDph83XaGc0o0/edit?usp=sharing"",""งบพรบ!DQ46"")"),0)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7" t="s">
        <v>38</v>
      </c>
      <c r="E286" s="173"/>
      <c r="F286" s="173"/>
      <c r="G286" s="174"/>
      <c r="H286" s="76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6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IFERROR(__xludf.DUMMYFUNCTION("IMPORTRANGE(""https://docs.google.com/spreadsheets/d/1QqKyyYR6Q21VydFLVH3TRQUabQu_ym0Zz7PgGX0-kHA/edit?usp=sharing"",""แผน!EC46"")"),250)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6" t="s">
        <v>130</v>
      </c>
      <c r="E288" s="171"/>
      <c r="F288" s="178"/>
      <c r="G288" s="179"/>
      <c r="H288" s="180" t="s">
        <v>35</v>
      </c>
      <c r="I288" s="681">
        <f ca="1">IFERROR(__xludf.DUMMYFUNCTION("IMPORTRANGE(""https://docs.google.com/spreadsheets/d/1QqKyyYR6Q21VydFLVH3TRQUabQu_ym0Zz7PgGX0-kHA/edit?usp=sharing"",""แผน!EB46"")"),25)</f>
        <v>25</v>
      </c>
      <c r="J288" s="681">
        <f ca="1">IF(AND(J291&gt;=I288,J294&gt;=I288),J294,0)</f>
        <v>25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6" t="s">
        <v>132</v>
      </c>
      <c r="F290" s="178"/>
      <c r="G290" s="179"/>
      <c r="H290" s="764" t="s">
        <v>35</v>
      </c>
      <c r="I290" s="184">
        <f ca="1">IFERROR(__xludf.DUMMYFUNCTION("IMPORTRANGE(""https://docs.google.com/spreadsheets/d/1QqKyyYR6Q21VydFLVH3TRQUabQu_ym0Zz7PgGX0-kHA/edit?usp=sharing"",""แผน!EB46"")"),25)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6" t="s">
        <v>133</v>
      </c>
      <c r="F291" s="178"/>
      <c r="G291" s="179"/>
      <c r="H291" s="764" t="s">
        <v>35</v>
      </c>
      <c r="I291" s="184">
        <f ca="1">IFERROR(__xludf.DUMMYFUNCTION("IMPORTRANGE(""https://docs.google.com/spreadsheets/d/1QqKyyYR6Q21VydFLVH3TRQUabQu_ym0Zz7PgGX0-kHA/edit?usp=sharing"",""แผน!EB46"")"),25)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6" t="s">
        <v>132</v>
      </c>
      <c r="F293" s="178"/>
      <c r="G293" s="179"/>
      <c r="H293" s="764" t="s">
        <v>35</v>
      </c>
      <c r="I293" s="184">
        <f ca="1">IFERROR(__xludf.DUMMYFUNCTION("IMPORTRANGE(""https://docs.google.com/spreadsheets/d/1QqKyyYR6Q21VydFLVH3TRQUabQu_ym0Zz7PgGX0-kHA/edit?usp=sharing"",""แผน!EB46"")"),25)</f>
        <v>25</v>
      </c>
      <c r="J293" s="215">
        <v>25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4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IFERROR(__xludf.DUMMYFUNCTION("IMPORTRANGE(""https://docs.google.com/spreadsheets/d/1QqKyyYR6Q21VydFLVH3TRQUabQu_ym0Zz7PgGX0-kHA/edit?usp=sharing"",""แผน!EB46"")"),25)</f>
        <v>25</v>
      </c>
      <c r="J294" s="424">
        <v>25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95500</v>
      </c>
      <c r="N298" s="155">
        <f t="shared" ca="1" si="135"/>
        <v>95500</v>
      </c>
      <c r="O298" s="155">
        <f t="shared" ref="O298:O306" ca="1" si="136">IF(L298&gt;0,N298*100/L298,0)</f>
        <v>115.89805825242719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7"/>
      <c r="J299" s="617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7"/>
      <c r="J300" s="617"/>
      <c r="K300" s="93"/>
      <c r="L300" s="93">
        <f t="shared" ca="1" si="138"/>
        <v>82400</v>
      </c>
      <c r="M300" s="93">
        <f t="shared" ca="1" si="138"/>
        <v>95500</v>
      </c>
      <c r="N300" s="93">
        <f t="shared" ca="1" si="138"/>
        <v>95500</v>
      </c>
      <c r="O300" s="93">
        <f t="shared" ca="1" si="136"/>
        <v>115.89805825242719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95500</v>
      </c>
      <c r="N301" s="498">
        <f t="shared" ca="1" si="139"/>
        <v>95500</v>
      </c>
      <c r="O301" s="498">
        <f t="shared" ca="1" si="136"/>
        <v>115.89805825242719</v>
      </c>
      <c r="P301" s="49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IFERROR(__xludf.DUMMYFUNCTION("IMPORTRANGE(""https://docs.google.com/spreadsheets/d/1MeEWN-I1oV_STSDYn1IFDPWt_1FKiwhDph83XaGc0o0/edit?usp=sharing"",""งบพรบ!DS46"")"),82400)</f>
        <v>82400</v>
      </c>
      <c r="M303" s="93">
        <f ca="1">IFERROR(__xludf.DUMMYFUNCTION("IMPORTRANGE(""https://docs.google.com/spreadsheets/d/1MeEWN-I1oV_STSDYn1IFDPWt_1FKiwhDph83XaGc0o0/edit?usp=sharing"",""งบพรบ!DX46"")"),95500)</f>
        <v>95500</v>
      </c>
      <c r="N303" s="93">
        <f ca="1">IFERROR(__xludf.DUMMYFUNCTION("IMPORTRANGE(""https://docs.google.com/spreadsheets/d/1MeEWN-I1oV_STSDYn1IFDPWt_1FKiwhDph83XaGc0o0/edit?usp=sharing"",""งบพรบ!DZ46"")"),95500)</f>
        <v>95500</v>
      </c>
      <c r="O303" s="93">
        <f t="shared" ca="1" si="136"/>
        <v>115.89805825242719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IFERROR(__xludf.DUMMYFUNCTION("IMPORTRANGE(""https://docs.google.com/spreadsheets/d/1MeEWN-I1oV_STSDYn1IFDPWt_1FKiwhDph83XaGc0o0/edit?usp=sharing"",""งบพรบ!DV46"")"),0)</f>
        <v>0</v>
      </c>
      <c r="M306" s="93">
        <f ca="1">IFERROR(__xludf.DUMMYFUNCTION("IMPORTRANGE(""https://docs.google.com/spreadsheets/d/1MeEWN-I1oV_STSDYn1IFDPWt_1FKiwhDph83XaGc0o0/edit?usp=sharing"",""งบพรบ!DY46"")"),0)</f>
        <v>0</v>
      </c>
      <c r="N306" s="93">
        <f ca="1">IFERROR(__xludf.DUMMYFUNCTION("IMPORTRANGE(""https://docs.google.com/spreadsheets/d/1MeEWN-I1oV_STSDYn1IFDPWt_1FKiwhDph83XaGc0o0/edit?usp=sharing"",""งบพรบ!EA46"")"),0)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7" t="s">
        <v>38</v>
      </c>
      <c r="E307" s="173"/>
      <c r="F307" s="173"/>
      <c r="G307" s="174"/>
      <c r="H307" s="762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4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4" t="s">
        <v>35</v>
      </c>
      <c r="I309" s="270">
        <f ca="1">IFERROR(__xludf.DUMMYFUNCTION("IMPORTRANGE(""https://docs.google.com/spreadsheets/d/1QqKyyYR6Q21VydFLVH3TRQUabQu_ym0Zz7PgGX0-kHA/edit?usp=sharing"",""แผน!ED46"")"),20)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4" t="s">
        <v>35</v>
      </c>
      <c r="I310" s="270">
        <f ca="1">IFERROR(__xludf.DUMMYFUNCTION("IMPORTRANGE(""https://docs.google.com/spreadsheets/d/1QqKyyYR6Q21VydFLVH3TRQUabQu_ym0Zz7PgGX0-kHA/edit?usp=sharing"",""แผน!ED46"")"),20)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4" t="s">
        <v>35</v>
      </c>
      <c r="I311" s="270">
        <f ca="1">IFERROR(__xludf.DUMMYFUNCTION("IMPORTRANGE(""https://docs.google.com/spreadsheets/d/1QqKyyYR6Q21VydFLVH3TRQUabQu_ym0Zz7PgGX0-kHA/edit?usp=sharing"",""แผน!ED46"")"),20)</f>
        <v>20</v>
      </c>
      <c r="J311" s="215">
        <v>20</v>
      </c>
      <c r="K311" s="498">
        <f t="shared" ca="1" si="141"/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4" t="s">
        <v>35</v>
      </c>
      <c r="I312" s="270">
        <f ca="1">IFERROR(__xludf.DUMMYFUNCTION("IMPORTRANGE(""https://docs.google.com/spreadsheets/d/1QqKyyYR6Q21VydFLVH3TRQUabQu_ym0Zz7PgGX0-kHA/edit?usp=sharing"",""แผน!EE46"")"),4)</f>
        <v>4</v>
      </c>
      <c r="J312" s="215">
        <v>4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7"/>
      <c r="J316" s="617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7"/>
      <c r="J317" s="617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IFERROR(__xludf.DUMMYFUNCTION("IMPORTRANGE(""https://docs.google.com/spreadsheets/d/1MeEWN-I1oV_STSDYn1IFDPWt_1FKiwhDph83XaGc0o0/edit?usp=sharing"",""งบพรบ!EC46"")"),0)</f>
        <v>0</v>
      </c>
      <c r="M320" s="93">
        <f ca="1">IFERROR(__xludf.DUMMYFUNCTION("IMPORTRANGE(""https://docs.google.com/spreadsheets/d/1MeEWN-I1oV_STSDYn1IFDPWt_1FKiwhDph83XaGc0o0/edit?usp=sharing"",""งบพรบ!EH46"")"),0)</f>
        <v>0</v>
      </c>
      <c r="N320" s="93">
        <f ca="1">IFERROR(__xludf.DUMMYFUNCTION("IMPORTRANGE(""https://docs.google.com/spreadsheets/d/1MeEWN-I1oV_STSDYn1IFDPWt_1FKiwhDph83XaGc0o0/edit?usp=sharing"",""งบพรบ!EJ46"")"),0)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IFERROR(__xludf.DUMMYFUNCTION("IMPORTRANGE(""https://docs.google.com/spreadsheets/d/1MeEWN-I1oV_STSDYn1IFDPWt_1FKiwhDph83XaGc0o0/edit?usp=sharing"",""งบพรบ!EF46"")"),0)</f>
        <v>0</v>
      </c>
      <c r="M323" s="93">
        <f ca="1">IFERROR(__xludf.DUMMYFUNCTION("IMPORTRANGE(""https://docs.google.com/spreadsheets/d/1MeEWN-I1oV_STSDYn1IFDPWt_1FKiwhDph83XaGc0o0/edit?usp=sharing"",""งบพรบ!EI46"")"),0)</f>
        <v>0</v>
      </c>
      <c r="N323" s="93">
        <f ca="1">IFERROR(__xludf.DUMMYFUNCTION("IMPORTRANGE(""https://docs.google.com/spreadsheets/d/1MeEWN-I1oV_STSDYn1IFDPWt_1FKiwhDph83XaGc0o0/edit?usp=sharing"",""งบพรบ!EK46"")"),0)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7" t="s">
        <v>38</v>
      </c>
      <c r="E324" s="173"/>
      <c r="F324" s="173"/>
      <c r="G324" s="174"/>
      <c r="H324" s="762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3" t="s">
        <v>146</v>
      </c>
      <c r="I325" s="270">
        <f ca="1">IFERROR(__xludf.DUMMYFUNCTION("IMPORTRANGE(""https://docs.google.com/spreadsheets/d/1QqKyyYR6Q21VydFLVH3TRQUabQu_ym0Zz7PgGX0-kHA/edit?usp=sharing"",""แผน!EF46"")"),0)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IFERROR(__xludf.DUMMYFUNCTION("IMPORTRANGE(""https://docs.google.com/spreadsheets/d/1QqKyyYR6Q21VydFLVH3TRQUabQu_ym0Zz7PgGX0-kHA/edit?usp=sharing"",""แผน!EG46"")"),5300)</f>
        <v>5300</v>
      </c>
      <c r="J327" s="444">
        <f ca="1">J338+J341+J342+J343</f>
        <v>7271</v>
      </c>
      <c r="K327" s="445">
        <f ca="1">IF(I327&gt;0,J327*100/I327,0)</f>
        <v>137.18867924528303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178000</v>
      </c>
      <c r="M328" s="155">
        <f t="shared" ca="1" si="149"/>
        <v>180500</v>
      </c>
      <c r="N328" s="155">
        <f t="shared" ca="1" si="149"/>
        <v>180500</v>
      </c>
      <c r="O328" s="155">
        <f t="shared" ref="O328:O336" ca="1" si="150">IF(L328&gt;0,N328*100/L328,0)</f>
        <v>101.40449438202248</v>
      </c>
      <c r="P328" s="155">
        <f t="shared" ref="P328:P336" ca="1" si="151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7"/>
      <c r="J329" s="617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7"/>
      <c r="J330" s="617"/>
      <c r="K330" s="93"/>
      <c r="L330" s="93">
        <f t="shared" ca="1" si="152"/>
        <v>178000</v>
      </c>
      <c r="M330" s="93">
        <f t="shared" ca="1" si="152"/>
        <v>180500</v>
      </c>
      <c r="N330" s="93">
        <f t="shared" ca="1" si="152"/>
        <v>180500</v>
      </c>
      <c r="O330" s="93">
        <f t="shared" ca="1" si="150"/>
        <v>101.40449438202248</v>
      </c>
      <c r="P330" s="93">
        <f t="shared" ca="1" si="151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178000</v>
      </c>
      <c r="M331" s="498">
        <f t="shared" ca="1" si="153"/>
        <v>180500</v>
      </c>
      <c r="N331" s="498">
        <f t="shared" ca="1" si="153"/>
        <v>180500</v>
      </c>
      <c r="O331" s="498">
        <f t="shared" ca="1" si="150"/>
        <v>101.40449438202248</v>
      </c>
      <c r="P331" s="498">
        <f t="shared" ca="1" si="151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IFERROR(__xludf.DUMMYFUNCTION("IMPORTRANGE(""https://docs.google.com/spreadsheets/d/1MeEWN-I1oV_STSDYn1IFDPWt_1FKiwhDph83XaGc0o0/edit?usp=sharing"",""งบพรบ!EM46"")"),178000)</f>
        <v>178000</v>
      </c>
      <c r="M333" s="93">
        <f ca="1">IFERROR(__xludf.DUMMYFUNCTION("IMPORTRANGE(""https://docs.google.com/spreadsheets/d/1MeEWN-I1oV_STSDYn1IFDPWt_1FKiwhDph83XaGc0o0/edit?usp=sharing"",""งบพรบ!ER46"")"),180500)</f>
        <v>180500</v>
      </c>
      <c r="N333" s="93">
        <f ca="1">IFERROR(__xludf.DUMMYFUNCTION("IMPORTRANGE(""https://docs.google.com/spreadsheets/d/1MeEWN-I1oV_STSDYn1IFDPWt_1FKiwhDph83XaGc0o0/edit?usp=sharing"",""งบพรบ!ET46"")"),180500)</f>
        <v>180500</v>
      </c>
      <c r="O333" s="93">
        <f t="shared" ca="1" si="150"/>
        <v>101.40449438202248</v>
      </c>
      <c r="P333" s="93">
        <f t="shared" ca="1" si="151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IFERROR(__xludf.DUMMYFUNCTION("IMPORTRANGE(""https://docs.google.com/spreadsheets/d/1MeEWN-I1oV_STSDYn1IFDPWt_1FKiwhDph83XaGc0o0/edit?usp=sharing"",""งบพรบ!EP46"")"),0)</f>
        <v>0</v>
      </c>
      <c r="M336" s="93">
        <f ca="1">IFERROR(__xludf.DUMMYFUNCTION("IMPORTRANGE(""https://docs.google.com/spreadsheets/d/1MeEWN-I1oV_STSDYn1IFDPWt_1FKiwhDph83XaGc0o0/edit?usp=sharing"",""งบพรบ!ES46"")"),0)</f>
        <v>0</v>
      </c>
      <c r="N336" s="93">
        <f ca="1">IFERROR(__xludf.DUMMYFUNCTION("IMPORTRANGE(""https://docs.google.com/spreadsheets/d/1MeEWN-I1oV_STSDYn1IFDPWt_1FKiwhDph83XaGc0o0/edit?usp=sharing"",""งบพรบ!EU46"")"),0)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86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62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IFERROR(__xludf.DUMMYFUNCTION("IMPORTRANGE(""https://docs.google.com/spreadsheets/d/1QqKyyYR6Q21VydFLVH3TRQUabQu_ym0Zz7PgGX0-kHA/edit?usp=sharing"",""แผน!EG46"")"),5300)</f>
        <v>5300</v>
      </c>
      <c r="J338" s="270">
        <f ca="1">IFERROR(__xludf.DUMMYFUNCTION("IMPORTRANGE(""https://docs.google.com/spreadsheets/d/1kVcqe37tkHyjCSG3S0O1AXqVkqjo8mSIZil3BcpIysc/edit?usp=sharing"",""ศูนย์!D46"")"),6528)</f>
        <v>6528</v>
      </c>
      <c r="K338" s="498">
        <f ca="1">IF(I338&gt;0,J338*100/I338,0)</f>
        <v>123.16981132075472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IFERROR(__xludf.DUMMYFUNCTION("IMPORTRANGE(""https://docs.google.com/spreadsheets/d/1QqKyyYR6Q21VydFLVH3TRQUabQu_ym0Zz7PgGX0-kHA/edit?usp=sharing"",""แผน!EH46"")"),5)</f>
        <v>5</v>
      </c>
      <c r="J340" s="270">
        <f ca="1">IFERROR(__xludf.DUMMYFUNCTION("IMPORTRANGE(""https://docs.google.com/spreadsheets/d/1kVcqe37tkHyjCSG3S0O1AXqVkqjo8mSIZil3BcpIysc/edit?usp=sharing"",""ศูนย์!E46"")"),5)</f>
        <v>5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IFERROR(__xludf.DUMMYFUNCTION("IMPORTRANGE(""https://docs.google.com/spreadsheets/d/1kVcqe37tkHyjCSG3S0O1AXqVkqjo8mSIZil3BcpIysc/edit?usp=sharing"",""ศูนย์!F46"")"),696)</f>
        <v>696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IFERROR(__xludf.DUMMYFUNCTION("IMPORTRANGE(""https://docs.google.com/spreadsheets/d/1kVcqe37tkHyjCSG3S0O1AXqVkqjo8mSIZil3BcpIysc/edit?usp=sharing"",""ศูนย์!G46"")"),18)</f>
        <v>18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IFERROR(__xludf.DUMMYFUNCTION("IMPORTRANGE(""https://docs.google.com/spreadsheets/d/1kVcqe37tkHyjCSG3S0O1AXqVkqjo8mSIZil3BcpIysc/edit?usp=sharing"",""ศูนย์!H46"")"),29)</f>
        <v>29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2144960</v>
      </c>
      <c r="M345" s="155">
        <f t="shared" ca="1" si="155"/>
        <v>2313336</v>
      </c>
      <c r="N345" s="155">
        <f t="shared" ca="1" si="155"/>
        <v>2313336</v>
      </c>
      <c r="O345" s="155">
        <f t="shared" ref="O345:O353" ca="1" si="156">IF(L345&gt;0,N345*100/L345,0)</f>
        <v>107.84984335372221</v>
      </c>
      <c r="P345" s="155">
        <f t="shared" ref="P345:P353" ca="1" si="157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7"/>
      <c r="J346" s="617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7"/>
      <c r="J347" s="617"/>
      <c r="K347" s="93"/>
      <c r="L347" s="93">
        <f t="shared" ca="1" si="158"/>
        <v>2144960</v>
      </c>
      <c r="M347" s="93">
        <f t="shared" ca="1" si="158"/>
        <v>2313336</v>
      </c>
      <c r="N347" s="93">
        <f t="shared" ca="1" si="158"/>
        <v>2313336</v>
      </c>
      <c r="O347" s="93">
        <f t="shared" ca="1" si="156"/>
        <v>107.84984335372221</v>
      </c>
      <c r="P347" s="93">
        <f t="shared" ca="1" si="157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1977760</v>
      </c>
      <c r="M348" s="498">
        <f t="shared" ca="1" si="159"/>
        <v>2148316</v>
      </c>
      <c r="N348" s="498">
        <f t="shared" ca="1" si="159"/>
        <v>2148316</v>
      </c>
      <c r="O348" s="498">
        <f t="shared" ca="1" si="156"/>
        <v>108.62369549389209</v>
      </c>
      <c r="P348" s="498">
        <f t="shared" ca="1" si="157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IFERROR(__xludf.DUMMYFUNCTION("IMPORTRANGE(""https://docs.google.com/spreadsheets/d/1MeEWN-I1oV_STSDYn1IFDPWt_1FKiwhDph83XaGc0o0/edit?usp=sharing"",""งบพรบ!EW46"")"),1977760)</f>
        <v>1977760</v>
      </c>
      <c r="M350" s="93">
        <f ca="1">IFERROR(__xludf.DUMMYFUNCTION("IMPORTRANGE(""https://docs.google.com/spreadsheets/d/1MeEWN-I1oV_STSDYn1IFDPWt_1FKiwhDph83XaGc0o0/edit?usp=sharing"",""งบพรบ!FB46"")"),2148316)</f>
        <v>2148316</v>
      </c>
      <c r="N350" s="93">
        <f ca="1">IFERROR(__xludf.DUMMYFUNCTION("IMPORTRANGE(""https://docs.google.com/spreadsheets/d/1MeEWN-I1oV_STSDYn1IFDPWt_1FKiwhDph83XaGc0o0/edit?usp=sharing"",""งบพรบ!FD46"")"),2148316)</f>
        <v>2148316</v>
      </c>
      <c r="O350" s="93">
        <f t="shared" ca="1" si="156"/>
        <v>108.62369549389209</v>
      </c>
      <c r="P350" s="93">
        <f t="shared" ca="1" si="157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167200</v>
      </c>
      <c r="M351" s="498">
        <f t="shared" ca="1" si="160"/>
        <v>165020</v>
      </c>
      <c r="N351" s="498">
        <f t="shared" ca="1" si="160"/>
        <v>165020</v>
      </c>
      <c r="O351" s="498">
        <f t="shared" ca="1" si="156"/>
        <v>98.696172248803833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IFERROR(__xludf.DUMMYFUNCTION("IMPORTRANGE(""https://docs.google.com/spreadsheets/d/1MeEWN-I1oV_STSDYn1IFDPWt_1FKiwhDph83XaGc0o0/edit?usp=sharing"",""งบพรบ!EZ46"")"),167200)</f>
        <v>167200</v>
      </c>
      <c r="M353" s="93">
        <f ca="1">IFERROR(__xludf.DUMMYFUNCTION("IMPORTRANGE(""https://docs.google.com/spreadsheets/d/1MeEWN-I1oV_STSDYn1IFDPWt_1FKiwhDph83XaGc0o0/edit?usp=sharing"",""งบพรบ!FC46"")"),165020)</f>
        <v>165020</v>
      </c>
      <c r="N353" s="93">
        <f ca="1">IFERROR(__xludf.DUMMYFUNCTION("IMPORTRANGE(""https://docs.google.com/spreadsheets/d/1MeEWN-I1oV_STSDYn1IFDPWt_1FKiwhDph83XaGc0o0/edit?usp=sharing"",""งบพรบ!FE46"")"),165020)</f>
        <v>165020</v>
      </c>
      <c r="O353" s="93">
        <f t="shared" ca="1" si="156"/>
        <v>98.696172248803833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8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IFERROR(__xludf.DUMMYFUNCTION("IMPORTRANGE(""https://docs.google.com/spreadsheets/d/1QqKyyYR6Q21VydFLVH3TRQUabQu_ym0Zz7PgGX0-kHA/edit?usp=sharing"",""แผน!EP46"")"),1000)</f>
        <v>1000</v>
      </c>
      <c r="J355" s="465">
        <f ca="1">J362</f>
        <v>662</v>
      </c>
      <c r="K355" s="466">
        <f ca="1">IF(I355&gt;0,J355*100/I355,0)</f>
        <v>66.2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77" t="s">
        <v>38</v>
      </c>
      <c r="E357" s="173"/>
      <c r="F357" s="173"/>
      <c r="G357" s="174"/>
      <c r="H357" s="762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IFERROR(__xludf.DUMMYFUNCTION("IMPORTRANGE(""https://docs.google.com/spreadsheets/d/1XWAQStnk-4SwqDmLtmXYiTMKHgktTP8We1SCoS47DrQ/edit?usp=sharing"",""จัดที่ดิน!W46"")"),1137)</f>
        <v>1137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IFERROR(__xludf.DUMMYFUNCTION("IMPORTRANGE(""https://docs.google.com/spreadsheets/d/1QqKyyYR6Q21VydFLVH3TRQUabQu_ym0Zz7PgGX0-kHA/edit?usp=sharing"",""แผน!EO46"")"),10000)</f>
        <v>10000</v>
      </c>
      <c r="J359" s="270">
        <f ca="1">IFERROR(__xludf.DUMMYFUNCTION("IMPORTRANGE(""https://docs.google.com/spreadsheets/d/1XWAQStnk-4SwqDmLtmXYiTMKHgktTP8We1SCoS47DrQ/edit?usp=sharing"",""จัดที่ดิน!X46"")"),7410.13)</f>
        <v>7410.13</v>
      </c>
      <c r="K359" s="498">
        <f t="shared" ca="1" si="161"/>
        <v>74.101299999999995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4" t="s">
        <v>35</v>
      </c>
      <c r="I360" s="270">
        <f ca="1">IFERROR(__xludf.DUMMYFUNCTION("IMPORTRANGE(""https://docs.google.com/spreadsheets/d/1QqKyyYR6Q21VydFLVH3TRQUabQu_ym0Zz7PgGX0-kHA/edit?usp=sharing"",""แผน!EP46"")"),1000)</f>
        <v>1000</v>
      </c>
      <c r="J360" s="270">
        <f ca="1">IFERROR(__xludf.DUMMYFUNCTION("IMPORTRANGE(""https://docs.google.com/spreadsheets/d/1XWAQStnk-4SwqDmLtmXYiTMKHgktTP8We1SCoS47DrQ/edit?usp=sharing"",""จัดที่ดิน!Y46"")"),1016)</f>
        <v>1016</v>
      </c>
      <c r="K360" s="498">
        <f t="shared" ca="1" si="161"/>
        <v>101.6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IFERROR(__xludf.DUMMYFUNCTION("IMPORTRANGE(""https://docs.google.com/spreadsheets/d/1XWAQStnk-4SwqDmLtmXYiTMKHgktTP8We1SCoS47DrQ/edit?usp=sharing"",""จัดที่ดิน!Z46"")"),6283.28)</f>
        <v>6283.28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4" t="s">
        <v>35</v>
      </c>
      <c r="I362" s="270">
        <f ca="1">IFERROR(__xludf.DUMMYFUNCTION("IMPORTRANGE(""https://docs.google.com/spreadsheets/d/1QqKyyYR6Q21VydFLVH3TRQUabQu_ym0Zz7PgGX0-kHA/edit?usp=sharing"",""แผน!EP46"")"),1000)</f>
        <v>1000</v>
      </c>
      <c r="J362" s="270">
        <f ca="1">IFERROR(__xludf.DUMMYFUNCTION("IMPORTRANGE(""https://docs.google.com/spreadsheets/d/1XWAQStnk-4SwqDmLtmXYiTMKHgktTP8We1SCoS47DrQ/edit?usp=sharing"",""จัดที่ดิน!AA46"")"),662)</f>
        <v>662</v>
      </c>
      <c r="K362" s="498">
        <f t="shared" ca="1" si="161"/>
        <v>66.2</v>
      </c>
      <c r="L362" s="163"/>
      <c r="M362" s="163"/>
      <c r="N362" s="163"/>
      <c r="O362" s="163"/>
      <c r="P362" s="163"/>
    </row>
    <row r="363" spans="1:26" ht="18.75" hidden="1">
      <c r="A363" s="499" t="s">
        <v>169</v>
      </c>
      <c r="B363" s="178"/>
      <c r="C363" s="171"/>
      <c r="D363" s="178"/>
      <c r="E363" s="447"/>
      <c r="F363" s="178"/>
      <c r="G363" s="179"/>
      <c r="H363" s="76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IFERROR(__xludf.DUMMYFUNCTION("IMPORTRANGE(""https://docs.google.com/spreadsheets/d/1XWAQStnk-4SwqDmLtmXYiTMKHgktTP8We1SCoS47DrQ/edit?usp=sharing"",""จัดที่ดิน!AB46"")"),4031.81999999999)</f>
        <v>4031.8199999999902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t="shared" ref="I364:J364" ca="1" si="162">I365+I374</f>
        <v>2200</v>
      </c>
      <c r="J364" s="479">
        <f t="shared" ca="1" si="162"/>
        <v>2125</v>
      </c>
      <c r="K364" s="480">
        <f t="shared" ca="1" si="161"/>
        <v>96.590909090909093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IFERROR(__xludf.DUMMYFUNCTION("IMPORTRANGE(""https://docs.google.com/spreadsheets/d/1QqKyyYR6Q21VydFLVH3TRQUabQu_ym0Zz7PgGX0-kHA/edit?usp=sharing"",""แผน!EJ46"")"),300)</f>
        <v>300</v>
      </c>
      <c r="J365" s="491">
        <f ca="1">J372</f>
        <v>362</v>
      </c>
      <c r="K365" s="492">
        <f t="shared" ca="1" si="161"/>
        <v>120.66666666666667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77" t="s">
        <v>38</v>
      </c>
      <c r="E367" s="173"/>
      <c r="F367" s="173"/>
      <c r="G367" s="174"/>
      <c r="H367" s="762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IFERROR(__xludf.DUMMYFUNCTION("IMPORTRANGE(""https://docs.google.com/spreadsheets/d/1XWAQStnk-4SwqDmLtmXYiTMKHgktTP8We1SCoS47DrQ/edit?usp=sharing"",""จัดที่ดิน!E46"")"),395)</f>
        <v>395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IFERROR(__xludf.DUMMYFUNCTION("IMPORTRANGE(""https://docs.google.com/spreadsheets/d/1QqKyyYR6Q21VydFLVH3TRQUabQu_ym0Zz7PgGX0-kHA/edit?usp=sharing"",""แผน!EI46"")"),3000)</f>
        <v>3000</v>
      </c>
      <c r="J369" s="270">
        <f ca="1">IFERROR(__xludf.DUMMYFUNCTION("IMPORTRANGE(""https://docs.google.com/spreadsheets/d/1XWAQStnk-4SwqDmLtmXYiTMKHgktTP8We1SCoS47DrQ/edit?usp=sharing"",""จัดที่ดิน!F46"")"),2290.32)</f>
        <v>2290.3200000000002</v>
      </c>
      <c r="K369" s="498">
        <f t="shared" ca="1" si="163"/>
        <v>76.344000000000008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4" t="s">
        <v>35</v>
      </c>
      <c r="I370" s="270">
        <f ca="1">IFERROR(__xludf.DUMMYFUNCTION("IMPORTRANGE(""https://docs.google.com/spreadsheets/d/1QqKyyYR6Q21VydFLVH3TRQUabQu_ym0Zz7PgGX0-kHA/edit?usp=sharing"",""แผน!EJ46"")"),300)</f>
        <v>300</v>
      </c>
      <c r="J370" s="270">
        <f ca="1">IFERROR(__xludf.DUMMYFUNCTION("IMPORTRANGE(""https://docs.google.com/spreadsheets/d/1XWAQStnk-4SwqDmLtmXYiTMKHgktTP8We1SCoS47DrQ/edit?usp=sharing"",""จัดที่ดิน!G46"")"),363)</f>
        <v>363</v>
      </c>
      <c r="K370" s="498">
        <f t="shared" ca="1" si="163"/>
        <v>121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IFERROR(__xludf.DUMMYFUNCTION("IMPORTRANGE(""https://docs.google.com/spreadsheets/d/1XWAQStnk-4SwqDmLtmXYiTMKHgktTP8We1SCoS47DrQ/edit?usp=sharing"",""จัดที่ดิน!H46"")"),1896.2)</f>
        <v>1896.2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4" t="s">
        <v>35</v>
      </c>
      <c r="I372" s="270">
        <f ca="1">IFERROR(__xludf.DUMMYFUNCTION("IMPORTRANGE(""https://docs.google.com/spreadsheets/d/1QqKyyYR6Q21VydFLVH3TRQUabQu_ym0Zz7PgGX0-kHA/edit?usp=sharing"",""แผน!EJ46"")"),300)</f>
        <v>300</v>
      </c>
      <c r="J372" s="270">
        <f ca="1">IFERROR(__xludf.DUMMYFUNCTION("IMPORTRANGE(""https://docs.google.com/spreadsheets/d/1XWAQStnk-4SwqDmLtmXYiTMKHgktTP8We1SCoS47DrQ/edit?usp=sharing"",""จัดที่ดิน!I46"")"),362)</f>
        <v>362</v>
      </c>
      <c r="K372" s="498">
        <f t="shared" ca="1" si="163"/>
        <v>120.66666666666667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8"/>
      <c r="C373" s="171"/>
      <c r="D373" s="178"/>
      <c r="E373" s="447"/>
      <c r="F373" s="178"/>
      <c r="G373" s="179"/>
      <c r="H373" s="76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IFERROR(__xludf.DUMMYFUNCTION("IMPORTRANGE(""https://docs.google.com/spreadsheets/d/1XWAQStnk-4SwqDmLtmXYiTMKHgktTP8We1SCoS47DrQ/edit?usp=sharing"",""จัดที่ดิน!J46"")"),1880.64)</f>
        <v>1880.64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IFERROR(__xludf.DUMMYFUNCTION("IMPORTRANGE(""https://docs.google.com/spreadsheets/d/1QqKyyYR6Q21VydFLVH3TRQUabQu_ym0Zz7PgGX0-kHA/edit?usp=sharing"",""แผน!EU46"")"),1900)</f>
        <v>1900</v>
      </c>
      <c r="J374" s="491">
        <f ca="1">J381</f>
        <v>1763</v>
      </c>
      <c r="K374" s="492">
        <f t="shared" ca="1" si="163"/>
        <v>92.78947368421052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77" t="s">
        <v>38</v>
      </c>
      <c r="E376" s="173"/>
      <c r="F376" s="173"/>
      <c r="G376" s="174"/>
      <c r="H376" s="762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IFERROR(__xludf.DUMMYFUNCTION("IMPORTRANGE(""https://docs.google.com/spreadsheets/d/1XWAQStnk-4SwqDmLtmXYiTMKHgktTP8We1SCoS47DrQ/edit?usp=sharing"",""จัดที่ดิน!AH46"")"),742)</f>
        <v>742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IFERROR(__xludf.DUMMYFUNCTION("IMPORTRANGE(""https://docs.google.com/spreadsheets/d/1QqKyyYR6Q21VydFLVH3TRQUabQu_ym0Zz7PgGX0-kHA/edit?usp=sharing"",""แผน!ET46"")"),7000)</f>
        <v>7000</v>
      </c>
      <c r="J378" s="270">
        <f ca="1">IFERROR(__xludf.DUMMYFUNCTION("IMPORTRANGE(""https://docs.google.com/spreadsheets/d/1XWAQStnk-4SwqDmLtmXYiTMKHgktTP8We1SCoS47DrQ/edit?usp=sharing"",""จัดที่ดิน!AI46"")"),5119.81)</f>
        <v>5119.8100000000004</v>
      </c>
      <c r="K378" s="498">
        <f t="shared" ca="1" si="164"/>
        <v>73.140142857142862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4" t="s">
        <v>35</v>
      </c>
      <c r="I379" s="270">
        <f ca="1">IFERROR(__xludf.DUMMYFUNCTION("IMPORTRANGE(""https://docs.google.com/spreadsheets/d/1QqKyyYR6Q21VydFLVH3TRQUabQu_ym0Zz7PgGX0-kHA/edit?usp=sharing"",""แผน!EU46"")"),1900)</f>
        <v>1900</v>
      </c>
      <c r="J379" s="270">
        <f ca="1">IFERROR(__xludf.DUMMYFUNCTION("IMPORTRANGE(""https://docs.google.com/spreadsheets/d/1XWAQStnk-4SwqDmLtmXYiTMKHgktTP8We1SCoS47DrQ/edit?usp=sharing"",""จัดที่ดิน!AJ46"")"),2195)</f>
        <v>2195</v>
      </c>
      <c r="K379" s="498">
        <f t="shared" ca="1" si="164"/>
        <v>115.52631578947368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IFERROR(__xludf.DUMMYFUNCTION("IMPORTRANGE(""https://docs.google.com/spreadsheets/d/1XWAQStnk-4SwqDmLtmXYiTMKHgktTP8We1SCoS47DrQ/edit?usp=sharing"",""จัดที่ดิน!AK46"")"),20259.37)</f>
        <v>20259.37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4" t="s">
        <v>35</v>
      </c>
      <c r="I381" s="270">
        <f ca="1">IFERROR(__xludf.DUMMYFUNCTION("IMPORTRANGE(""https://docs.google.com/spreadsheets/d/1QqKyyYR6Q21VydFLVH3TRQUabQu_ym0Zz7PgGX0-kHA/edit?usp=sharing"",""แผน!EU46"")"),1900)</f>
        <v>1900</v>
      </c>
      <c r="J381" s="270">
        <f ca="1">IFERROR(__xludf.DUMMYFUNCTION("IMPORTRANGE(""https://docs.google.com/spreadsheets/d/1XWAQStnk-4SwqDmLtmXYiTMKHgktTP8We1SCoS47DrQ/edit?usp=sharing"",""จัดที่ดิน!AL46"")"),1763)</f>
        <v>1763</v>
      </c>
      <c r="K381" s="498">
        <f t="shared" ca="1" si="164"/>
        <v>92.78947368421052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8"/>
      <c r="C382" s="171"/>
      <c r="D382" s="178"/>
      <c r="E382" s="447"/>
      <c r="F382" s="178"/>
      <c r="G382" s="179"/>
      <c r="H382" s="76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IFERROR(__xludf.DUMMYFUNCTION("IMPORTRANGE(""https://docs.google.com/spreadsheets/d/1XWAQStnk-4SwqDmLtmXYiTMKHgktTP8We1SCoS47DrQ/edit?usp=sharing"",""จัดที่ดิน!AM46"")"),17109.5599999999)</f>
        <v>17109.559999999899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500"/>
      <c r="B383" s="501"/>
      <c r="C383" s="291"/>
      <c r="D383" s="889" t="s">
        <v>170</v>
      </c>
      <c r="E383" s="291"/>
      <c r="F383" s="291"/>
      <c r="G383" s="503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86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62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4" t="s">
        <v>171</v>
      </c>
      <c r="F385" s="381"/>
      <c r="G385" s="382"/>
      <c r="H385" s="505" t="s">
        <v>35</v>
      </c>
      <c r="I385" s="506">
        <f ca="1">IFERROR(__xludf.DUMMYFUNCTION("IMPORTRANGE(""https://docs.google.com/spreadsheets/d/1QqKyyYR6Q21VydFLVH3TRQUabQu_ym0Zz7PgGX0-kHA/edit?usp=sharing"",""แผน!EW46"")"),120)</f>
        <v>120</v>
      </c>
      <c r="J385" s="506">
        <f ca="1">IFERROR(__xludf.DUMMYFUNCTION("IMPORTRANGE(""https://docs.google.com/spreadsheets/d/1XWAQStnk-4SwqDmLtmXYiTMKHgktTP8We1SCoS47DrQ/edit?usp=sharing"",""จัดที่ดิน!AP46"")"),5)</f>
        <v>5</v>
      </c>
      <c r="K385" s="507">
        <f ca="1">IF(I385&gt;0,J385*100/I385,0)</f>
        <v>4.166666666666667</v>
      </c>
      <c r="L385" s="385"/>
      <c r="M385" s="385"/>
      <c r="N385" s="385"/>
      <c r="O385" s="385"/>
      <c r="P385" s="385"/>
    </row>
    <row r="386" spans="1:26" ht="19.5" hidden="1">
      <c r="A386" s="508" t="s">
        <v>172</v>
      </c>
      <c r="B386" s="509"/>
      <c r="C386" s="509"/>
      <c r="D386" s="509"/>
      <c r="E386" s="510"/>
      <c r="F386" s="510"/>
      <c r="G386" s="511"/>
      <c r="H386" s="512"/>
      <c r="I386" s="513"/>
      <c r="J386" s="513"/>
      <c r="K386" s="514"/>
      <c r="L386" s="514"/>
      <c r="M386" s="514"/>
      <c r="N386" s="514"/>
      <c r="O386" s="514"/>
      <c r="P386" s="514"/>
    </row>
    <row r="387" spans="1:26" ht="19.5" hidden="1">
      <c r="A387" s="515" t="s">
        <v>173</v>
      </c>
      <c r="B387" s="516"/>
      <c r="C387" s="516"/>
      <c r="D387" s="517"/>
      <c r="E387" s="516"/>
      <c r="F387" s="516"/>
      <c r="G387" s="516"/>
      <c r="H387" s="518"/>
      <c r="I387" s="519"/>
      <c r="J387" s="519"/>
      <c r="K387" s="520"/>
      <c r="L387" s="520"/>
      <c r="M387" s="520"/>
      <c r="N387" s="520"/>
      <c r="O387" s="520"/>
      <c r="P387" s="520"/>
    </row>
    <row r="388" spans="1:26" ht="19.5" hidden="1">
      <c r="A388" s="521"/>
      <c r="B388" s="522" t="s">
        <v>174</v>
      </c>
      <c r="C388" s="523"/>
      <c r="D388" s="524"/>
      <c r="E388" s="524"/>
      <c r="F388" s="524"/>
      <c r="G388" s="525"/>
      <c r="H388" s="526" t="s">
        <v>66</v>
      </c>
      <c r="I388" s="527">
        <f t="shared" ref="I388:J388" si="165">I400</f>
        <v>0</v>
      </c>
      <c r="J388" s="527">
        <f t="shared" si="165"/>
        <v>0</v>
      </c>
      <c r="K388" s="528">
        <f>IF(I388&gt;0,J388*100/I388,0)</f>
        <v>0</v>
      </c>
      <c r="L388" s="529"/>
      <c r="M388" s="529"/>
      <c r="N388" s="529"/>
      <c r="O388" s="529"/>
      <c r="P388" s="529"/>
    </row>
    <row r="389" spans="1:26" ht="19.5" hidden="1">
      <c r="A389" s="147"/>
      <c r="B389" s="148"/>
      <c r="C389" s="149" t="s">
        <v>16</v>
      </c>
      <c r="D389" s="87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7"/>
      <c r="J390" s="617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7"/>
      <c r="J391" s="617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IFERROR(__xludf.DUMMYFUNCTION("IMPORTRANGE(""https://docs.google.com/spreadsheets/d/1MeEWN-I1oV_STSDYn1IFDPWt_1FKiwhDph83XaGc0o0/edit?usp=sharing"",""งบพรบ!FG46"")"),0)</f>
        <v>0</v>
      </c>
      <c r="M394" s="93">
        <f ca="1">IFERROR(__xludf.DUMMYFUNCTION("IMPORTRANGE(""https://docs.google.com/spreadsheets/d/1MeEWN-I1oV_STSDYn1IFDPWt_1FKiwhDph83XaGc0o0/edit?usp=sharing"",""งบพรบ!FL46"")"),0)</f>
        <v>0</v>
      </c>
      <c r="N394" s="93">
        <f ca="1">IFERROR(__xludf.DUMMYFUNCTION("IMPORTRANGE(""https://docs.google.com/spreadsheets/d/1MeEWN-I1oV_STSDYn1IFDPWt_1FKiwhDph83XaGc0o0/edit?usp=sharing"",""งบพรบ!FN46"")"),0)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IFERROR(__xludf.DUMMYFUNCTION("IMPORTRANGE(""https://docs.google.com/spreadsheets/d/1MeEWN-I1oV_STSDYn1IFDPWt_1FKiwhDph83XaGc0o0/edit?usp=sharing"",""งบพรบ!FJ46"")"),0)</f>
        <v>0</v>
      </c>
      <c r="M397" s="93">
        <f ca="1">IFERROR(__xludf.DUMMYFUNCTION("IMPORTRANGE(""https://docs.google.com/spreadsheets/d/1MeEWN-I1oV_STSDYn1IFDPWt_1FKiwhDph83XaGc0o0/edit?usp=sharing"",""งบพรบ!FM46"")"),0)</f>
        <v>0</v>
      </c>
      <c r="N397" s="93">
        <f ca="1">IFERROR(__xludf.DUMMYFUNCTION("IMPORTRANGE(""https://docs.google.com/spreadsheets/d/1MeEWN-I1oV_STSDYn1IFDPWt_1FKiwhDph83XaGc0o0/edit?usp=sharing"",""งบพรบ!FO46"")"),0)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7" t="s">
        <v>38</v>
      </c>
      <c r="E398" s="173"/>
      <c r="F398" s="173"/>
      <c r="G398" s="174"/>
      <c r="H398" s="762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30"/>
      <c r="B399" s="148"/>
      <c r="C399" s="531"/>
      <c r="D399" s="532" t="s">
        <v>175</v>
      </c>
      <c r="E399" s="415"/>
      <c r="F399" s="148"/>
      <c r="G399" s="151"/>
      <c r="H399" s="533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4"/>
      <c r="M399" s="534"/>
      <c r="N399" s="534"/>
      <c r="O399" s="534"/>
      <c r="P399" s="534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1"/>
      <c r="B401" s="522" t="s">
        <v>177</v>
      </c>
      <c r="C401" s="523"/>
      <c r="D401" s="524"/>
      <c r="E401" s="524"/>
      <c r="F401" s="524"/>
      <c r="G401" s="525"/>
      <c r="H401" s="526" t="s">
        <v>66</v>
      </c>
      <c r="I401" s="527">
        <f t="shared" ref="I401:J401" si="173">I412</f>
        <v>0</v>
      </c>
      <c r="J401" s="527">
        <f t="shared" si="173"/>
        <v>0</v>
      </c>
      <c r="K401" s="528">
        <f t="shared" si="172"/>
        <v>0</v>
      </c>
      <c r="L401" s="529"/>
      <c r="M401" s="529"/>
      <c r="N401" s="529"/>
      <c r="O401" s="529"/>
      <c r="P401" s="529"/>
    </row>
    <row r="402" spans="1:26" ht="19.5" hidden="1">
      <c r="A402" s="147"/>
      <c r="B402" s="148"/>
      <c r="C402" s="149" t="s">
        <v>16</v>
      </c>
      <c r="D402" s="87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7"/>
      <c r="J403" s="617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7"/>
      <c r="J404" s="617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IFERROR(__xludf.DUMMYFUNCTION("IMPORTRANGE(""https://docs.google.com/spreadsheets/d/1MeEWN-I1oV_STSDYn1IFDPWt_1FKiwhDph83XaGc0o0/edit?usp=sharing"",""งบพรบ!FQ46"")"),0)</f>
        <v>0</v>
      </c>
      <c r="M407" s="93">
        <f ca="1">IFERROR(__xludf.DUMMYFUNCTION("IMPORTRANGE(""https://docs.google.com/spreadsheets/d/1MeEWN-I1oV_STSDYn1IFDPWt_1FKiwhDph83XaGc0o0/edit?usp=sharing"",""งบพรบ!FV46"")"),0)</f>
        <v>0</v>
      </c>
      <c r="N407" s="93">
        <f ca="1">IFERROR(__xludf.DUMMYFUNCTION("IMPORTRANGE(""https://docs.google.com/spreadsheets/d/1MeEWN-I1oV_STSDYn1IFDPWt_1FKiwhDph83XaGc0o0/edit?usp=sharing"",""งบพรบ!FX46"")"),0)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IFERROR(__xludf.DUMMYFUNCTION("IMPORTRANGE(""https://docs.google.com/spreadsheets/d/1MeEWN-I1oV_STSDYn1IFDPWt_1FKiwhDph83XaGc0o0/edit?usp=sharing"",""งบพรบ!FT46"")"),0)</f>
        <v>0</v>
      </c>
      <c r="M410" s="93">
        <f ca="1">IFERROR(__xludf.DUMMYFUNCTION("IMPORTRANGE(""https://docs.google.com/spreadsheets/d/1MeEWN-I1oV_STSDYn1IFDPWt_1FKiwhDph83XaGc0o0/edit?usp=sharing"",""งบพรบ!FW46"")"),0)</f>
        <v>0</v>
      </c>
      <c r="N410" s="93">
        <f ca="1">IFERROR(__xludf.DUMMYFUNCTION("IMPORTRANGE(""https://docs.google.com/spreadsheets/d/1MeEWN-I1oV_STSDYn1IFDPWt_1FKiwhDph83XaGc0o0/edit?usp=sharing"",""งบพรบ!FY46"")"),0)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90" t="s">
        <v>38</v>
      </c>
      <c r="E411" s="536"/>
      <c r="F411" s="536"/>
      <c r="G411" s="537"/>
      <c r="H411" s="762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8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9"/>
      <c r="B413" s="540"/>
      <c r="C413" s="540"/>
      <c r="D413" s="541" t="s">
        <v>179</v>
      </c>
      <c r="E413" s="540"/>
      <c r="F413" s="540"/>
      <c r="G413" s="542"/>
      <c r="H413" s="543" t="s">
        <v>180</v>
      </c>
      <c r="I413" s="544">
        <v>0</v>
      </c>
      <c r="J413" s="545">
        <v>0</v>
      </c>
      <c r="K413" s="546">
        <f t="shared" si="180"/>
        <v>0</v>
      </c>
      <c r="L413" s="547"/>
      <c r="M413" s="547"/>
      <c r="N413" s="547"/>
      <c r="O413" s="547"/>
      <c r="P413" s="547"/>
    </row>
    <row r="414" spans="1:26" ht="19.5">
      <c r="A414" s="548" t="s">
        <v>181</v>
      </c>
      <c r="B414" s="549"/>
      <c r="C414" s="549"/>
      <c r="D414" s="549"/>
      <c r="E414" s="549"/>
      <c r="F414" s="549"/>
      <c r="G414" s="550"/>
      <c r="H414" s="551"/>
      <c r="I414" s="552"/>
      <c r="J414" s="552"/>
      <c r="K414" s="553"/>
      <c r="L414" s="554">
        <f t="shared" ref="L414:N414" ca="1" si="181">L419+L444+L467+L502+L523+L544+L629+L655+L685+L737+L754+L770+L786+L805</f>
        <v>3218018</v>
      </c>
      <c r="M414" s="554">
        <f t="shared" ca="1" si="181"/>
        <v>2601007</v>
      </c>
      <c r="N414" s="554">
        <f t="shared" si="181"/>
        <v>2601007</v>
      </c>
      <c r="O414" s="554">
        <f ca="1">IF(L414&gt;0,N414*100/L414,0)</f>
        <v>80.826365794100596</v>
      </c>
      <c r="P414" s="554">
        <f ca="1">IF(M414&gt;0,N414*100/M414,0)</f>
        <v>100</v>
      </c>
    </row>
    <row r="415" spans="1:26" ht="19.5">
      <c r="A415" s="555" t="s">
        <v>182</v>
      </c>
      <c r="B415" s="556"/>
      <c r="C415" s="556"/>
      <c r="D415" s="556"/>
      <c r="E415" s="556"/>
      <c r="F415" s="556"/>
      <c r="G415" s="556"/>
      <c r="H415" s="557"/>
      <c r="I415" s="558"/>
      <c r="J415" s="558"/>
      <c r="K415" s="559"/>
      <c r="L415" s="560"/>
      <c r="M415" s="560"/>
      <c r="N415" s="560"/>
      <c r="O415" s="560"/>
      <c r="P415" s="560"/>
    </row>
    <row r="416" spans="1:26" ht="19.5">
      <c r="A416" s="555" t="s">
        <v>183</v>
      </c>
      <c r="B416" s="556"/>
      <c r="C416" s="556"/>
      <c r="D416" s="556"/>
      <c r="E416" s="556"/>
      <c r="F416" s="556"/>
      <c r="G416" s="561"/>
      <c r="H416" s="562"/>
      <c r="I416" s="563"/>
      <c r="J416" s="563"/>
      <c r="K416" s="560"/>
      <c r="L416" s="560"/>
      <c r="M416" s="560"/>
      <c r="N416" s="560"/>
      <c r="O416" s="560"/>
      <c r="P416" s="560"/>
    </row>
    <row r="417" spans="1:26" ht="39">
      <c r="A417" s="564">
        <v>1</v>
      </c>
      <c r="B417" s="566" t="s">
        <v>184</v>
      </c>
      <c r="C417" s="566"/>
      <c r="D417" s="567"/>
      <c r="E417" s="567"/>
      <c r="F417" s="567"/>
      <c r="G417" s="568"/>
      <c r="H417" s="569" t="s">
        <v>35</v>
      </c>
      <c r="I417" s="570">
        <f t="shared" ref="I417:J418" ca="1" si="182">I433</f>
        <v>50</v>
      </c>
      <c r="J417" s="570">
        <f t="shared" ca="1" si="182"/>
        <v>50</v>
      </c>
      <c r="K417" s="571">
        <f t="shared" ref="K417:K418" ca="1" si="183">IF(I417&gt;0,J417*100/I417,0)</f>
        <v>100</v>
      </c>
      <c r="L417" s="572"/>
      <c r="M417" s="572"/>
      <c r="N417" s="572"/>
      <c r="O417" s="572"/>
      <c r="P417" s="572"/>
    </row>
    <row r="418" spans="1:26" ht="19.5">
      <c r="A418" s="573"/>
      <c r="B418" s="564"/>
      <c r="C418" s="566"/>
      <c r="D418" s="567"/>
      <c r="E418" s="567"/>
      <c r="F418" s="567"/>
      <c r="G418" s="568"/>
      <c r="H418" s="569" t="s">
        <v>49</v>
      </c>
      <c r="I418" s="570">
        <f t="shared" ca="1" si="182"/>
        <v>2</v>
      </c>
      <c r="J418" s="570">
        <f t="shared" si="182"/>
        <v>2</v>
      </c>
      <c r="K418" s="571">
        <f t="shared" ca="1" si="183"/>
        <v>100</v>
      </c>
      <c r="L418" s="572"/>
      <c r="M418" s="572"/>
      <c r="N418" s="572"/>
      <c r="O418" s="572"/>
      <c r="P418" s="572"/>
    </row>
    <row r="419" spans="1:26" ht="19.5">
      <c r="A419" s="147"/>
      <c r="B419" s="148"/>
      <c r="C419" s="148" t="s">
        <v>16</v>
      </c>
      <c r="D419" s="891" t="s">
        <v>17</v>
      </c>
      <c r="E419" s="862"/>
      <c r="F419" s="86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161140</v>
      </c>
      <c r="M419" s="155">
        <f t="shared" ca="1" si="184"/>
        <v>166140</v>
      </c>
      <c r="N419" s="155">
        <f t="shared" si="184"/>
        <v>166140</v>
      </c>
      <c r="O419" s="155">
        <f t="shared" ref="O419:O424" ca="1" si="185">IF(L419&gt;0,N419*100/L419,0)</f>
        <v>103.10289189524637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7"/>
      <c r="J420" s="617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7"/>
      <c r="J421" s="617"/>
      <c r="K421" s="93"/>
      <c r="L421" s="93">
        <f t="shared" ca="1" si="187"/>
        <v>161140</v>
      </c>
      <c r="M421" s="93">
        <f t="shared" ca="1" si="187"/>
        <v>166140</v>
      </c>
      <c r="N421" s="93">
        <f t="shared" si="187"/>
        <v>166140</v>
      </c>
      <c r="O421" s="93">
        <f t="shared" ca="1" si="185"/>
        <v>103.10289189524637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161140</v>
      </c>
      <c r="M422" s="498">
        <f t="shared" ca="1" si="188"/>
        <v>166140</v>
      </c>
      <c r="N422" s="498">
        <f t="shared" si="188"/>
        <v>166140</v>
      </c>
      <c r="O422" s="498">
        <f t="shared" ca="1" si="185"/>
        <v>103.10289189524637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7"/>
      <c r="J423" s="617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7"/>
      <c r="J424" s="617"/>
      <c r="K424" s="93"/>
      <c r="L424" s="93">
        <f ca="1">IFERROR(__xludf.DUMMYFUNCTION("IMPORTRANGE(""https://docs.google.com/spreadsheets/d/1QqKyyYR6Q21VydFLVH3TRQUabQu_ym0Zz7PgGX0-kHA/edit?usp=sharing"",""แผน!EY46"")"),161140)</f>
        <v>161140</v>
      </c>
      <c r="M424" s="93">
        <f ca="1">L424+5000</f>
        <v>166140</v>
      </c>
      <c r="N424" s="93">
        <f>N425+N426+N427+N428</f>
        <v>166140</v>
      </c>
      <c r="O424" s="93">
        <f t="shared" ca="1" si="185"/>
        <v>103.10289189524637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4"/>
      <c r="B425" s="575"/>
      <c r="C425" s="763"/>
      <c r="D425" s="763"/>
      <c r="E425" s="763"/>
      <c r="F425" s="763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40">
        <v>130880</v>
      </c>
      <c r="O425" s="498"/>
      <c r="P425" s="49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</row>
    <row r="426" spans="1:26" ht="18.75">
      <c r="A426" s="574"/>
      <c r="B426" s="575"/>
      <c r="C426" s="763"/>
      <c r="D426" s="763"/>
      <c r="E426" s="763"/>
      <c r="F426" s="763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40">
        <v>0</v>
      </c>
      <c r="O426" s="498"/>
      <c r="P426" s="49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</row>
    <row r="427" spans="1:26" ht="18.75">
      <c r="A427" s="574"/>
      <c r="B427" s="575"/>
      <c r="C427" s="763"/>
      <c r="D427" s="763"/>
      <c r="E427" s="763"/>
      <c r="F427" s="763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40">
        <v>0</v>
      </c>
      <c r="O427" s="498"/>
      <c r="P427" s="49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40">
        <v>35260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92" t="s">
        <v>38</v>
      </c>
      <c r="E432" s="580"/>
      <c r="F432" s="580"/>
      <c r="G432" s="581"/>
      <c r="H432" s="582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1">
        <f ca="1">I435</f>
        <v>50</v>
      </c>
      <c r="J433" s="681">
        <f ca="1">IF(AND(J435=I435,J437=I437,J439=I439),I437+I439,IF(AND(J435=I437,J437=I437),I437,IF(AND(J435=I439,J439=I439),I439,0)))</f>
        <v>50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1">
        <f t="shared" ref="I434:J434" ca="1" si="193">I438+I440</f>
        <v>2</v>
      </c>
      <c r="J434" s="681">
        <f t="shared" si="193"/>
        <v>2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3" t="s">
        <v>35</v>
      </c>
      <c r="I435" s="583">
        <f ca="1">IFERROR(__xludf.DUMMYFUNCTION("IMPORTRANGE(""https://docs.google.com/spreadsheets/d/1QqKyyYR6Q21VydFLVH3TRQUabQu_ym0Zz7PgGX0-kHA/edit?usp=sharing"",""แผน!FC46"")"),50)</f>
        <v>50</v>
      </c>
      <c r="J435" s="584">
        <v>50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3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3" t="s">
        <v>35</v>
      </c>
      <c r="I437" s="583">
        <f ca="1">IFERROR(__xludf.DUMMYFUNCTION("IMPORTRANGE(""https://docs.google.com/spreadsheets/d/1QqKyyYR6Q21VydFLVH3TRQUabQu_ym0Zz7PgGX0-kHA/edit?usp=sharing"",""แผน!FD46"")"),30)</f>
        <v>30</v>
      </c>
      <c r="J437" s="584">
        <v>30</v>
      </c>
      <c r="K437" s="498">
        <f t="shared" ref="K437:K443" ca="1" si="194">IF(I437&gt;0,J437*100/I437,0)</f>
        <v>100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3" t="s">
        <v>49</v>
      </c>
      <c r="I438" s="270">
        <f ca="1">IFERROR(__xludf.DUMMYFUNCTION("IMPORTRANGE(""https://docs.google.com/spreadsheets/d/1QqKyyYR6Q21VydFLVH3TRQUabQu_ym0Zz7PgGX0-kHA/edit?usp=sharing"",""แผน!FE46"")"),1)</f>
        <v>1</v>
      </c>
      <c r="J438" s="215">
        <v>1</v>
      </c>
      <c r="K438" s="498">
        <f t="shared" ca="1" si="194"/>
        <v>100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3" t="s">
        <v>35</v>
      </c>
      <c r="I439" s="583">
        <f ca="1">IFERROR(__xludf.DUMMYFUNCTION("IMPORTRANGE(""https://docs.google.com/spreadsheets/d/1QqKyyYR6Q21VydFLVH3TRQUabQu_ym0Zz7PgGX0-kHA/edit?usp=sharing"",""แผน!FF46"")"),20)</f>
        <v>20</v>
      </c>
      <c r="J439" s="584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3" t="s">
        <v>49</v>
      </c>
      <c r="I440" s="270">
        <f ca="1">IFERROR(__xludf.DUMMYFUNCTION("IMPORTRANGE(""https://docs.google.com/spreadsheets/d/1QqKyyYR6Q21VydFLVH3TRQUabQu_ym0Zz7PgGX0-kHA/edit?usp=sharing"",""แผน!FG46"")"),1)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3" t="s">
        <v>35</v>
      </c>
      <c r="I441" s="270">
        <f ca="1">IFERROR(__xludf.DUMMYFUNCTION("IMPORTRANGE(""https://docs.google.com/spreadsheets/d/1QqKyyYR6Q21VydFLVH3TRQUabQu_ym0Zz7PgGX0-kHA/edit?usp=sharing"",""แผน!FH46"")"),0)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5">
        <v>2</v>
      </c>
      <c r="B442" s="586" t="s">
        <v>200</v>
      </c>
      <c r="C442" s="587"/>
      <c r="D442" s="587"/>
      <c r="E442" s="587"/>
      <c r="F442" s="587"/>
      <c r="G442" s="588"/>
      <c r="H442" s="589" t="s">
        <v>35</v>
      </c>
      <c r="I442" s="590">
        <f t="shared" ref="I442:J442" ca="1" si="195">I460</f>
        <v>15</v>
      </c>
      <c r="J442" s="590">
        <f t="shared" si="195"/>
        <v>15</v>
      </c>
      <c r="K442" s="591">
        <f t="shared" ca="1" si="194"/>
        <v>100</v>
      </c>
      <c r="L442" s="592"/>
      <c r="M442" s="592"/>
      <c r="N442" s="592"/>
      <c r="O442" s="592"/>
      <c r="P442" s="592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</row>
    <row r="443" spans="1:26" ht="19.5">
      <c r="A443" s="593"/>
      <c r="B443" s="594"/>
      <c r="C443" s="595"/>
      <c r="D443" s="595"/>
      <c r="E443" s="595"/>
      <c r="F443" s="595"/>
      <c r="G443" s="596"/>
      <c r="H443" s="569" t="s">
        <v>46</v>
      </c>
      <c r="I443" s="570">
        <f t="shared" ref="I443:J443" ca="1" si="196">I462</f>
        <v>150</v>
      </c>
      <c r="J443" s="570">
        <f t="shared" si="196"/>
        <v>150</v>
      </c>
      <c r="K443" s="571">
        <f t="shared" ca="1" si="194"/>
        <v>100</v>
      </c>
      <c r="L443" s="572"/>
      <c r="M443" s="572"/>
      <c r="N443" s="572"/>
      <c r="O443" s="572"/>
      <c r="P443" s="572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</row>
    <row r="444" spans="1:26" ht="19.5">
      <c r="A444" s="597"/>
      <c r="B444" s="763"/>
      <c r="C444" s="763" t="s">
        <v>16</v>
      </c>
      <c r="D444" s="863" t="s">
        <v>17</v>
      </c>
      <c r="E444" s="857"/>
      <c r="F444" s="857"/>
      <c r="G444" s="189"/>
      <c r="H444" s="598" t="s">
        <v>12</v>
      </c>
      <c r="I444" s="270"/>
      <c r="J444" s="270"/>
      <c r="K444" s="498"/>
      <c r="L444" s="195">
        <f t="shared" ref="L444:N444" ca="1" si="197">L445+L446</f>
        <v>181560</v>
      </c>
      <c r="M444" s="195">
        <f t="shared" ca="1" si="197"/>
        <v>193650</v>
      </c>
      <c r="N444" s="195">
        <f t="shared" si="197"/>
        <v>193650</v>
      </c>
      <c r="O444" s="195">
        <f t="shared" ref="O444:O449" ca="1" si="198">IF(L444&gt;0,N444*100/L444,0)</f>
        <v>106.6589557171183</v>
      </c>
      <c r="P444" s="195">
        <f t="shared" ref="P444:P449" ca="1" si="199">IF(M444&gt;0,N444*100/M444,0)</f>
        <v>100</v>
      </c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</row>
    <row r="445" spans="1:26" ht="18.75" hidden="1">
      <c r="A445" s="599"/>
      <c r="B445" s="759"/>
      <c r="C445" s="759"/>
      <c r="D445" s="720"/>
      <c r="E445" s="759" t="s">
        <v>185</v>
      </c>
      <c r="F445" s="759"/>
      <c r="G445" s="603"/>
      <c r="H445" s="165" t="s">
        <v>12</v>
      </c>
      <c r="I445" s="617"/>
      <c r="J445" s="617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4"/>
      <c r="R445" s="604"/>
      <c r="S445" s="604"/>
      <c r="T445" s="604"/>
      <c r="U445" s="604"/>
      <c r="V445" s="604"/>
      <c r="W445" s="604"/>
      <c r="X445" s="604"/>
      <c r="Y445" s="604"/>
      <c r="Z445" s="604"/>
    </row>
    <row r="446" spans="1:26" ht="18.75" hidden="1">
      <c r="A446" s="599"/>
      <c r="B446" s="607"/>
      <c r="C446" s="759"/>
      <c r="D446" s="720"/>
      <c r="E446" s="759" t="s">
        <v>186</v>
      </c>
      <c r="F446" s="759"/>
      <c r="G446" s="603"/>
      <c r="H446" s="165" t="s">
        <v>12</v>
      </c>
      <c r="I446" s="617"/>
      <c r="J446" s="617"/>
      <c r="K446" s="93"/>
      <c r="L446" s="93">
        <f t="shared" ca="1" si="200"/>
        <v>181560</v>
      </c>
      <c r="M446" s="93">
        <f t="shared" ca="1" si="200"/>
        <v>193650</v>
      </c>
      <c r="N446" s="93">
        <f t="shared" si="200"/>
        <v>193650</v>
      </c>
      <c r="O446" s="93">
        <f t="shared" ca="1" si="198"/>
        <v>106.6589557171183</v>
      </c>
      <c r="P446" s="93">
        <f t="shared" ca="1" si="199"/>
        <v>100</v>
      </c>
      <c r="Q446" s="604"/>
      <c r="R446" s="604"/>
      <c r="S446" s="604"/>
      <c r="T446" s="604"/>
      <c r="U446" s="604"/>
      <c r="V446" s="604"/>
      <c r="W446" s="604"/>
      <c r="X446" s="604"/>
      <c r="Y446" s="604"/>
      <c r="Z446" s="604"/>
    </row>
    <row r="447" spans="1:26" ht="18.75">
      <c r="A447" s="597"/>
      <c r="B447" s="575"/>
      <c r="C447" s="763"/>
      <c r="D447" s="606" t="s">
        <v>20</v>
      </c>
      <c r="E447" s="763"/>
      <c r="F447" s="763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181560</v>
      </c>
      <c r="M447" s="498">
        <f t="shared" ca="1" si="201"/>
        <v>193650</v>
      </c>
      <c r="N447" s="498">
        <f t="shared" si="201"/>
        <v>193650</v>
      </c>
      <c r="O447" s="498">
        <f t="shared" ca="1" si="198"/>
        <v>106.6589557171183</v>
      </c>
      <c r="P447" s="498">
        <f t="shared" ca="1" si="199"/>
        <v>100</v>
      </c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</row>
    <row r="448" spans="1:26" ht="18.75" hidden="1">
      <c r="A448" s="599"/>
      <c r="B448" s="607"/>
      <c r="C448" s="759"/>
      <c r="D448" s="720"/>
      <c r="E448" s="759" t="s">
        <v>185</v>
      </c>
      <c r="F448" s="759"/>
      <c r="G448" s="603"/>
      <c r="H448" s="165" t="s">
        <v>12</v>
      </c>
      <c r="I448" s="617"/>
      <c r="J448" s="617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</row>
    <row r="449" spans="1:26" ht="18.75" hidden="1">
      <c r="A449" s="599"/>
      <c r="B449" s="607"/>
      <c r="C449" s="759"/>
      <c r="D449" s="720"/>
      <c r="E449" s="759" t="s">
        <v>186</v>
      </c>
      <c r="F449" s="759"/>
      <c r="G449" s="603"/>
      <c r="H449" s="165" t="s">
        <v>12</v>
      </c>
      <c r="I449" s="617"/>
      <c r="J449" s="617"/>
      <c r="K449" s="93"/>
      <c r="L449" s="93">
        <f ca="1">IFERROR(__xludf.DUMMYFUNCTION("IMPORTRANGE(""https://docs.google.com/spreadsheets/d/1QqKyyYR6Q21VydFLVH3TRQUabQu_ym0Zz7PgGX0-kHA/edit?usp=sharing"",""แผน!FJ46"")"),181560)</f>
        <v>181560</v>
      </c>
      <c r="M449" s="93">
        <f ca="1">L449+12090</f>
        <v>193650</v>
      </c>
      <c r="N449" s="93">
        <f>N450+N451+N452+N453</f>
        <v>193650</v>
      </c>
      <c r="O449" s="93">
        <f t="shared" ca="1" si="198"/>
        <v>106.6589557171183</v>
      </c>
      <c r="P449" s="93">
        <f t="shared" ca="1" si="199"/>
        <v>100</v>
      </c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</row>
    <row r="450" spans="1:26" ht="18.75">
      <c r="A450" s="574"/>
      <c r="B450" s="575"/>
      <c r="C450" s="763"/>
      <c r="D450" s="763"/>
      <c r="E450" s="763"/>
      <c r="F450" s="763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40">
        <v>35490</v>
      </c>
      <c r="O450" s="498"/>
      <c r="P450" s="49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</row>
    <row r="451" spans="1:26" ht="18.75">
      <c r="A451" s="574"/>
      <c r="B451" s="575"/>
      <c r="C451" s="763"/>
      <c r="D451" s="763"/>
      <c r="E451" s="763"/>
      <c r="F451" s="763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40">
        <v>125000</v>
      </c>
      <c r="O451" s="498"/>
      <c r="P451" s="49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</row>
    <row r="452" spans="1:26" ht="18.75">
      <c r="A452" s="574"/>
      <c r="B452" s="575"/>
      <c r="C452" s="575"/>
      <c r="D452" s="575"/>
      <c r="E452" s="575"/>
      <c r="F452" s="763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40">
        <v>0</v>
      </c>
      <c r="O452" s="498"/>
      <c r="P452" s="49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</row>
    <row r="453" spans="1:26" ht="18.75">
      <c r="A453" s="574"/>
      <c r="B453" s="575"/>
      <c r="C453" s="575"/>
      <c r="D453" s="575"/>
      <c r="E453" s="575"/>
      <c r="F453" s="763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40">
        <v>33160</v>
      </c>
      <c r="O453" s="498"/>
      <c r="P453" s="49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</row>
    <row r="454" spans="1:26" ht="18.75">
      <c r="A454" s="597"/>
      <c r="B454" s="575"/>
      <c r="C454" s="575"/>
      <c r="D454" s="606" t="s">
        <v>21</v>
      </c>
      <c r="E454" s="575"/>
      <c r="F454" s="763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</row>
    <row r="455" spans="1:26" ht="18.75" hidden="1">
      <c r="A455" s="599"/>
      <c r="B455" s="607"/>
      <c r="C455" s="607"/>
      <c r="D455" s="607"/>
      <c r="E455" s="607" t="s">
        <v>18</v>
      </c>
      <c r="F455" s="759"/>
      <c r="G455" s="603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4"/>
      <c r="R455" s="604"/>
      <c r="S455" s="604"/>
      <c r="T455" s="604"/>
      <c r="U455" s="604"/>
      <c r="V455" s="604"/>
      <c r="W455" s="604"/>
      <c r="X455" s="604"/>
      <c r="Y455" s="604"/>
      <c r="Z455" s="604"/>
    </row>
    <row r="456" spans="1:26" ht="18.75" hidden="1">
      <c r="A456" s="599"/>
      <c r="B456" s="607"/>
      <c r="C456" s="607"/>
      <c r="D456" s="607"/>
      <c r="E456" s="607" t="s">
        <v>19</v>
      </c>
      <c r="F456" s="759"/>
      <c r="G456" s="603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4"/>
      <c r="R456" s="604"/>
      <c r="S456" s="604"/>
      <c r="T456" s="604"/>
      <c r="U456" s="604"/>
      <c r="V456" s="604"/>
      <c r="W456" s="604"/>
      <c r="X456" s="604"/>
      <c r="Y456" s="604"/>
      <c r="Z456" s="604"/>
    </row>
    <row r="457" spans="1:26" ht="19.5">
      <c r="A457" s="608"/>
      <c r="B457" s="618"/>
      <c r="C457" s="575" t="s">
        <v>16</v>
      </c>
      <c r="D457" s="893" t="s">
        <v>38</v>
      </c>
      <c r="E457" s="611"/>
      <c r="F457" s="761"/>
      <c r="G457" s="613"/>
      <c r="H457" s="762"/>
      <c r="I457" s="270"/>
      <c r="J457" s="270"/>
      <c r="K457" s="498"/>
      <c r="L457" s="498"/>
      <c r="M457" s="498"/>
      <c r="N457" s="498"/>
      <c r="O457" s="498"/>
      <c r="P457" s="49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</row>
    <row r="458" spans="1:26" ht="18.75" hidden="1">
      <c r="A458" s="614"/>
      <c r="B458" s="616"/>
      <c r="C458" s="616"/>
      <c r="D458" s="616" t="s">
        <v>201</v>
      </c>
      <c r="E458" s="616"/>
      <c r="F458" s="720"/>
      <c r="G458" s="366"/>
      <c r="H458" s="370" t="s">
        <v>35</v>
      </c>
      <c r="I458" s="617">
        <v>0</v>
      </c>
      <c r="J458" s="617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4"/>
      <c r="R458" s="604"/>
      <c r="S458" s="604"/>
      <c r="T458" s="604"/>
      <c r="U458" s="604"/>
      <c r="V458" s="604"/>
      <c r="W458" s="604"/>
      <c r="X458" s="604"/>
      <c r="Y458" s="604"/>
      <c r="Z458" s="604"/>
    </row>
    <row r="459" spans="1:26" ht="18.75" hidden="1">
      <c r="A459" s="614"/>
      <c r="B459" s="616"/>
      <c r="C459" s="616"/>
      <c r="D459" s="616" t="s">
        <v>202</v>
      </c>
      <c r="E459" s="616"/>
      <c r="F459" s="720"/>
      <c r="G459" s="366"/>
      <c r="H459" s="370"/>
      <c r="I459" s="617"/>
      <c r="J459" s="617"/>
      <c r="K459" s="93"/>
      <c r="L459" s="93"/>
      <c r="M459" s="93"/>
      <c r="N459" s="93"/>
      <c r="O459" s="93"/>
      <c r="P459" s="93"/>
      <c r="Q459" s="604"/>
      <c r="R459" s="604"/>
      <c r="S459" s="604"/>
      <c r="T459" s="604"/>
      <c r="U459" s="604"/>
      <c r="V459" s="604"/>
      <c r="W459" s="604"/>
      <c r="X459" s="604"/>
      <c r="Y459" s="604"/>
      <c r="Z459" s="604"/>
    </row>
    <row r="460" spans="1:26" ht="18.75">
      <c r="A460" s="608"/>
      <c r="B460" s="618"/>
      <c r="C460" s="618"/>
      <c r="D460" s="618" t="s">
        <v>203</v>
      </c>
      <c r="E460" s="618"/>
      <c r="F460" s="626"/>
      <c r="G460" s="762"/>
      <c r="H460" s="764" t="s">
        <v>35</v>
      </c>
      <c r="I460" s="270">
        <f ca="1">IFERROR(__xludf.DUMMYFUNCTION("IMPORTRANGE(""https://docs.google.com/spreadsheets/d/1QqKyyYR6Q21VydFLVH3TRQUabQu_ym0Zz7PgGX0-kHA/edit?usp=sharing"",""แผน!FN46"")"),15)</f>
        <v>15</v>
      </c>
      <c r="J460" s="215">
        <v>15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</row>
    <row r="461" spans="1:26" ht="18.75">
      <c r="A461" s="608"/>
      <c r="B461" s="618"/>
      <c r="C461" s="618"/>
      <c r="D461" s="618" t="s">
        <v>204</v>
      </c>
      <c r="E461" s="626"/>
      <c r="F461" s="626"/>
      <c r="G461" s="762"/>
      <c r="H461" s="764"/>
      <c r="I461" s="270"/>
      <c r="J461" s="270"/>
      <c r="K461" s="498"/>
      <c r="L461" s="498"/>
      <c r="M461" s="498"/>
      <c r="N461" s="498"/>
      <c r="O461" s="498"/>
      <c r="P461" s="49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</row>
    <row r="462" spans="1:26" ht="18.75">
      <c r="A462" s="608"/>
      <c r="B462" s="618"/>
      <c r="C462" s="618"/>
      <c r="D462" s="618" t="s">
        <v>205</v>
      </c>
      <c r="E462" s="626"/>
      <c r="F462" s="626"/>
      <c r="G462" s="762"/>
      <c r="H462" s="764" t="s">
        <v>46</v>
      </c>
      <c r="I462" s="270">
        <f ca="1">IFERROR(__xludf.DUMMYFUNCTION("IMPORTRANGE(""https://docs.google.com/spreadsheets/d/1QqKyyYR6Q21VydFLVH3TRQUabQu_ym0Zz7PgGX0-kHA/edit?usp=sharing"",""แผน!FO46"")"),150)</f>
        <v>150</v>
      </c>
      <c r="J462" s="215">
        <v>150</v>
      </c>
      <c r="K462" s="498">
        <f t="shared" ref="K462:K466" ca="1" si="205">IF(I462&gt;0,J462*100/I462,0)</f>
        <v>100</v>
      </c>
      <c r="L462" s="498"/>
      <c r="M462" s="498"/>
      <c r="N462" s="498"/>
      <c r="O462" s="498"/>
      <c r="P462" s="49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</row>
    <row r="463" spans="1:26" ht="18.75">
      <c r="A463" s="608"/>
      <c r="B463" s="618"/>
      <c r="C463" s="618"/>
      <c r="D463" s="618" t="s">
        <v>59</v>
      </c>
      <c r="E463" s="626"/>
      <c r="F463" s="763"/>
      <c r="G463" s="189"/>
      <c r="H463" s="764" t="s">
        <v>46</v>
      </c>
      <c r="I463" s="270">
        <f ca="1">IFERROR(__xludf.DUMMYFUNCTION("IMPORTRANGE(""https://docs.google.com/spreadsheets/d/1QqKyyYR6Q21VydFLVH3TRQUabQu_ym0Zz7PgGX0-kHA/edit?usp=sharing"",""แผน!FO46"")"),150)</f>
        <v>150</v>
      </c>
      <c r="J463" s="215">
        <v>150</v>
      </c>
      <c r="K463" s="498">
        <f t="shared" ca="1" si="205"/>
        <v>100</v>
      </c>
      <c r="L463" s="498"/>
      <c r="M463" s="498"/>
      <c r="N463" s="498"/>
      <c r="O463" s="498"/>
      <c r="P463" s="49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</row>
    <row r="464" spans="1:26" ht="19.5">
      <c r="A464" s="608"/>
      <c r="B464" s="618"/>
      <c r="C464" s="618"/>
      <c r="D464" s="618"/>
      <c r="E464" s="626"/>
      <c r="F464" s="626"/>
      <c r="G464" s="620"/>
      <c r="H464" s="764" t="s">
        <v>35</v>
      </c>
      <c r="I464" s="270">
        <f ca="1">IFERROR(__xludf.DUMMYFUNCTION("IMPORTRANGE(""https://docs.google.com/spreadsheets/d/1QqKyyYR6Q21VydFLVH3TRQUabQu_ym0Zz7PgGX0-kHA/edit?usp=sharing"",""แผน!FN46"")"),15)</f>
        <v>15</v>
      </c>
      <c r="J464" s="215">
        <v>15</v>
      </c>
      <c r="K464" s="498">
        <f t="shared" ca="1" si="205"/>
        <v>100</v>
      </c>
      <c r="L464" s="498"/>
      <c r="M464" s="498"/>
      <c r="N464" s="498"/>
      <c r="O464" s="498"/>
      <c r="P464" s="49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</row>
    <row r="465" spans="1:26" ht="19.5">
      <c r="A465" s="585">
        <v>3</v>
      </c>
      <c r="B465" s="586" t="s">
        <v>206</v>
      </c>
      <c r="C465" s="587"/>
      <c r="D465" s="587"/>
      <c r="E465" s="587"/>
      <c r="F465" s="587"/>
      <c r="G465" s="588"/>
      <c r="H465" s="589" t="s">
        <v>35</v>
      </c>
      <c r="I465" s="590">
        <f ca="1">IFERROR(__xludf.DUMMYFUNCTION("IMPORTRANGE(""https://docs.google.com/spreadsheets/d/1QqKyyYR6Q21VydFLVH3TRQUabQu_ym0Zz7PgGX0-kHA/edit?usp=sharing"",""แผน!FX46"")"),131)</f>
        <v>131</v>
      </c>
      <c r="J465" s="590">
        <f>J485+J489+J492</f>
        <v>131</v>
      </c>
      <c r="K465" s="591">
        <f t="shared" ca="1" si="205"/>
        <v>100</v>
      </c>
      <c r="L465" s="592"/>
      <c r="M465" s="592"/>
      <c r="N465" s="592"/>
      <c r="O465" s="592"/>
      <c r="P465" s="592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</row>
    <row r="466" spans="1:26" ht="19.5">
      <c r="A466" s="593"/>
      <c r="B466" s="594"/>
      <c r="C466" s="595"/>
      <c r="D466" s="595"/>
      <c r="E466" s="595"/>
      <c r="F466" s="595"/>
      <c r="G466" s="596"/>
      <c r="H466" s="569" t="s">
        <v>46</v>
      </c>
      <c r="I466" s="570">
        <f ca="1">IFERROR(__xludf.DUMMYFUNCTION("IMPORTRANGE(""https://docs.google.com/spreadsheets/d/1QqKyyYR6Q21VydFLVH3TRQUabQu_ym0Zz7PgGX0-kHA/edit?usp=sharing"",""แผน!FW46"")"),1300)</f>
        <v>1300</v>
      </c>
      <c r="J466" s="570">
        <f>J495+J498</f>
        <v>1300</v>
      </c>
      <c r="K466" s="571">
        <f t="shared" ca="1" si="205"/>
        <v>100</v>
      </c>
      <c r="L466" s="572"/>
      <c r="M466" s="572"/>
      <c r="N466" s="572"/>
      <c r="O466" s="572"/>
      <c r="P466" s="572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</row>
    <row r="467" spans="1:26" ht="19.5">
      <c r="A467" s="597"/>
      <c r="B467" s="763"/>
      <c r="C467" s="763" t="s">
        <v>16</v>
      </c>
      <c r="D467" s="863" t="s">
        <v>17</v>
      </c>
      <c r="E467" s="857"/>
      <c r="F467" s="857"/>
      <c r="G467" s="189"/>
      <c r="H467" s="598" t="s">
        <v>12</v>
      </c>
      <c r="I467" s="270"/>
      <c r="J467" s="270"/>
      <c r="K467" s="498"/>
      <c r="L467" s="195">
        <f t="shared" ref="L467:N467" ca="1" si="206">L468+L469</f>
        <v>1161548</v>
      </c>
      <c r="M467" s="195">
        <f t="shared" ca="1" si="206"/>
        <v>776063</v>
      </c>
      <c r="N467" s="195">
        <f t="shared" si="206"/>
        <v>776063</v>
      </c>
      <c r="O467" s="195">
        <f t="shared" ref="O467:O472" ca="1" si="207">IF(L467&gt;0,N467*100/L467,0)</f>
        <v>66.812822199340886</v>
      </c>
      <c r="P467" s="195">
        <f t="shared" ref="P467:P472" ca="1" si="208">IF(M467&gt;0,N467*100/M467,0)</f>
        <v>100</v>
      </c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</row>
    <row r="468" spans="1:26" ht="18.75" hidden="1">
      <c r="A468" s="599"/>
      <c r="B468" s="759"/>
      <c r="C468" s="759"/>
      <c r="D468" s="720"/>
      <c r="E468" s="759" t="s">
        <v>185</v>
      </c>
      <c r="F468" s="759"/>
      <c r="G468" s="603"/>
      <c r="H468" s="165" t="s">
        <v>12</v>
      </c>
      <c r="I468" s="617"/>
      <c r="J468" s="617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4"/>
      <c r="R468" s="604"/>
      <c r="S468" s="604"/>
      <c r="T468" s="604"/>
      <c r="U468" s="604"/>
      <c r="V468" s="604"/>
      <c r="W468" s="604"/>
      <c r="X468" s="604"/>
      <c r="Y468" s="604"/>
      <c r="Z468" s="604"/>
    </row>
    <row r="469" spans="1:26" ht="18.75" hidden="1">
      <c r="A469" s="599"/>
      <c r="B469" s="607"/>
      <c r="C469" s="759"/>
      <c r="D469" s="720"/>
      <c r="E469" s="759" t="s">
        <v>186</v>
      </c>
      <c r="F469" s="759"/>
      <c r="G469" s="603"/>
      <c r="H469" s="165" t="s">
        <v>12</v>
      </c>
      <c r="I469" s="617"/>
      <c r="J469" s="617"/>
      <c r="K469" s="93"/>
      <c r="L469" s="93">
        <f t="shared" ca="1" si="209"/>
        <v>1161548</v>
      </c>
      <c r="M469" s="93">
        <f t="shared" ca="1" si="209"/>
        <v>776063</v>
      </c>
      <c r="N469" s="93">
        <f t="shared" si="209"/>
        <v>776063</v>
      </c>
      <c r="O469" s="93">
        <f t="shared" ca="1" si="207"/>
        <v>66.812822199340886</v>
      </c>
      <c r="P469" s="93">
        <f t="shared" ca="1" si="208"/>
        <v>100</v>
      </c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</row>
    <row r="470" spans="1:26" ht="18.75">
      <c r="A470" s="597"/>
      <c r="B470" s="575"/>
      <c r="C470" s="763"/>
      <c r="D470" s="606" t="s">
        <v>20</v>
      </c>
      <c r="E470" s="763"/>
      <c r="F470" s="763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1161548</v>
      </c>
      <c r="M470" s="498">
        <f t="shared" ca="1" si="210"/>
        <v>776063</v>
      </c>
      <c r="N470" s="498">
        <f t="shared" si="210"/>
        <v>776063</v>
      </c>
      <c r="O470" s="498">
        <f t="shared" ca="1" si="207"/>
        <v>66.812822199340886</v>
      </c>
      <c r="P470" s="498">
        <f t="shared" ca="1" si="208"/>
        <v>100</v>
      </c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</row>
    <row r="471" spans="1:26" ht="18.75" hidden="1">
      <c r="A471" s="599"/>
      <c r="B471" s="607"/>
      <c r="C471" s="759"/>
      <c r="D471" s="720"/>
      <c r="E471" s="759" t="s">
        <v>185</v>
      </c>
      <c r="F471" s="759"/>
      <c r="G471" s="603"/>
      <c r="H471" s="165" t="s">
        <v>12</v>
      </c>
      <c r="I471" s="617"/>
      <c r="J471" s="617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4"/>
      <c r="R471" s="604"/>
      <c r="S471" s="604"/>
      <c r="T471" s="604"/>
      <c r="U471" s="604"/>
      <c r="V471" s="604"/>
      <c r="W471" s="604"/>
      <c r="X471" s="604"/>
      <c r="Y471" s="604"/>
      <c r="Z471" s="604"/>
    </row>
    <row r="472" spans="1:26" ht="18.75" hidden="1">
      <c r="A472" s="599"/>
      <c r="B472" s="607"/>
      <c r="C472" s="759"/>
      <c r="D472" s="720"/>
      <c r="E472" s="759" t="s">
        <v>186</v>
      </c>
      <c r="F472" s="759"/>
      <c r="G472" s="603"/>
      <c r="H472" s="165" t="s">
        <v>12</v>
      </c>
      <c r="I472" s="617"/>
      <c r="J472" s="617"/>
      <c r="K472" s="93"/>
      <c r="L472" s="93">
        <f ca="1">IFERROR(__xludf.DUMMYFUNCTION("IMPORTRANGE(""https://docs.google.com/spreadsheets/d/1QqKyyYR6Q21VydFLVH3TRQUabQu_ym0Zz7PgGX0-kHA/edit?usp=sharing"",""แผน!FS46"")"),1161548)</f>
        <v>1161548</v>
      </c>
      <c r="M472" s="93">
        <f ca="1">L472+8360-393845</f>
        <v>776063</v>
      </c>
      <c r="N472" s="93">
        <f>N473+N474+N475+N476</f>
        <v>776063</v>
      </c>
      <c r="O472" s="93">
        <f t="shared" ca="1" si="207"/>
        <v>66.812822199340886</v>
      </c>
      <c r="P472" s="93">
        <f t="shared" ca="1" si="208"/>
        <v>100</v>
      </c>
      <c r="Q472" s="604"/>
      <c r="R472" s="604"/>
      <c r="S472" s="604"/>
      <c r="T472" s="604"/>
      <c r="U472" s="604"/>
      <c r="V472" s="604"/>
      <c r="W472" s="604"/>
      <c r="X472" s="604"/>
      <c r="Y472" s="604"/>
      <c r="Z472" s="604"/>
    </row>
    <row r="473" spans="1:26" ht="18.75">
      <c r="A473" s="574"/>
      <c r="B473" s="575"/>
      <c r="C473" s="763"/>
      <c r="D473" s="763"/>
      <c r="E473" s="763"/>
      <c r="F473" s="763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40">
        <v>163613</v>
      </c>
      <c r="O473" s="498"/>
      <c r="P473" s="49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</row>
    <row r="474" spans="1:26" ht="18.75">
      <c r="A474" s="574"/>
      <c r="B474" s="575"/>
      <c r="C474" s="763"/>
      <c r="D474" s="763"/>
      <c r="E474" s="763"/>
      <c r="F474" s="763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40">
        <v>416155</v>
      </c>
      <c r="O474" s="498"/>
      <c r="P474" s="49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</row>
    <row r="475" spans="1:26" ht="18.75">
      <c r="A475" s="574"/>
      <c r="B475" s="575"/>
      <c r="C475" s="575"/>
      <c r="D475" s="575"/>
      <c r="E475" s="575"/>
      <c r="F475" s="763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40">
        <v>143000</v>
      </c>
      <c r="O475" s="498"/>
      <c r="P475" s="49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</row>
    <row r="476" spans="1:26" ht="18.75">
      <c r="A476" s="574"/>
      <c r="B476" s="575"/>
      <c r="C476" s="575"/>
      <c r="D476" s="575"/>
      <c r="E476" s="575"/>
      <c r="F476" s="763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40">
        <v>53295</v>
      </c>
      <c r="O476" s="498"/>
      <c r="P476" s="49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</row>
    <row r="477" spans="1:26" ht="18.75">
      <c r="A477" s="597"/>
      <c r="B477" s="575"/>
      <c r="C477" s="575"/>
      <c r="D477" s="606" t="s">
        <v>21</v>
      </c>
      <c r="E477" s="575"/>
      <c r="F477" s="575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</row>
    <row r="478" spans="1:26" ht="18.75" hidden="1">
      <c r="A478" s="599"/>
      <c r="B478" s="607"/>
      <c r="C478" s="607"/>
      <c r="D478" s="607"/>
      <c r="E478" s="607" t="s">
        <v>18</v>
      </c>
      <c r="F478" s="607"/>
      <c r="G478" s="603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4"/>
      <c r="R478" s="604"/>
      <c r="S478" s="604"/>
      <c r="T478" s="604"/>
      <c r="U478" s="604"/>
      <c r="V478" s="604"/>
      <c r="W478" s="604"/>
      <c r="X478" s="604"/>
      <c r="Y478" s="604"/>
      <c r="Z478" s="604"/>
    </row>
    <row r="479" spans="1:26" ht="18.75" hidden="1">
      <c r="A479" s="599"/>
      <c r="B479" s="607"/>
      <c r="C479" s="607"/>
      <c r="D479" s="607"/>
      <c r="E479" s="607" t="s">
        <v>19</v>
      </c>
      <c r="F479" s="607"/>
      <c r="G479" s="603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4"/>
      <c r="R479" s="604"/>
      <c r="S479" s="604"/>
      <c r="T479" s="604"/>
      <c r="U479" s="604"/>
      <c r="V479" s="604"/>
      <c r="W479" s="604"/>
      <c r="X479" s="604"/>
      <c r="Y479" s="604"/>
      <c r="Z479" s="604"/>
    </row>
    <row r="480" spans="1:26" ht="19.5">
      <c r="A480" s="608"/>
      <c r="B480" s="618"/>
      <c r="C480" s="575" t="s">
        <v>16</v>
      </c>
      <c r="D480" s="894" t="s">
        <v>38</v>
      </c>
      <c r="E480" s="611"/>
      <c r="F480" s="761"/>
      <c r="G480" s="613"/>
      <c r="H480" s="762"/>
      <c r="I480" s="270"/>
      <c r="J480" s="270"/>
      <c r="K480" s="498"/>
      <c r="L480" s="498"/>
      <c r="M480" s="498"/>
      <c r="N480" s="498"/>
      <c r="O480" s="498"/>
      <c r="P480" s="49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</row>
    <row r="481" spans="1:26" ht="19.5">
      <c r="A481" s="608"/>
      <c r="B481" s="618"/>
      <c r="C481" s="618"/>
      <c r="D481" s="625" t="s">
        <v>207</v>
      </c>
      <c r="E481" s="618"/>
      <c r="F481" s="618"/>
      <c r="G481" s="762"/>
      <c r="H481" s="189"/>
      <c r="I481" s="270"/>
      <c r="J481" s="270"/>
      <c r="K481" s="498"/>
      <c r="L481" s="498"/>
      <c r="M481" s="498"/>
      <c r="N481" s="498"/>
      <c r="O481" s="498"/>
      <c r="P481" s="49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</row>
    <row r="482" spans="1:26" ht="18.75">
      <c r="A482" s="608"/>
      <c r="B482" s="618"/>
      <c r="C482" s="618"/>
      <c r="D482" s="618"/>
      <c r="E482" s="618" t="s">
        <v>208</v>
      </c>
      <c r="F482" s="618"/>
      <c r="G482" s="762"/>
      <c r="H482" s="189"/>
      <c r="I482" s="270"/>
      <c r="J482" s="270"/>
      <c r="K482" s="498"/>
      <c r="L482" s="498"/>
      <c r="M482" s="498"/>
      <c r="N482" s="498"/>
      <c r="O482" s="498"/>
      <c r="P482" s="49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</row>
    <row r="483" spans="1:26" ht="18.75">
      <c r="A483" s="608"/>
      <c r="B483" s="618"/>
      <c r="C483" s="618"/>
      <c r="D483" s="618"/>
      <c r="E483" s="618"/>
      <c r="F483" s="618" t="s">
        <v>209</v>
      </c>
      <c r="G483" s="762"/>
      <c r="H483" s="623" t="s">
        <v>46</v>
      </c>
      <c r="I483" s="270">
        <f ca="1">IFERROR(__xludf.DUMMYFUNCTION("IMPORTRANGE(""https://docs.google.com/spreadsheets/d/1QqKyyYR6Q21VydFLVH3TRQUabQu_ym0Zz7PgGX0-kHA/edit?usp=sharing"",""แผน!FY46"")"),1170)</f>
        <v>1170</v>
      </c>
      <c r="J483" s="215">
        <v>1170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</row>
    <row r="484" spans="1:26" ht="18.75">
      <c r="A484" s="608"/>
      <c r="B484" s="618"/>
      <c r="C484" s="618"/>
      <c r="D484" s="618"/>
      <c r="E484" s="618"/>
      <c r="F484" s="618" t="s">
        <v>210</v>
      </c>
      <c r="G484" s="762"/>
      <c r="H484" s="623" t="s">
        <v>35</v>
      </c>
      <c r="I484" s="270"/>
      <c r="J484" s="215">
        <v>160</v>
      </c>
      <c r="K484" s="498"/>
      <c r="L484" s="498"/>
      <c r="M484" s="498"/>
      <c r="N484" s="498"/>
      <c r="O484" s="498"/>
      <c r="P484" s="49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</row>
    <row r="485" spans="1:26" ht="18.75">
      <c r="A485" s="608"/>
      <c r="B485" s="618"/>
      <c r="C485" s="618"/>
      <c r="D485" s="618"/>
      <c r="E485" s="618"/>
      <c r="F485" s="618" t="s">
        <v>211</v>
      </c>
      <c r="G485" s="762"/>
      <c r="H485" s="623" t="s">
        <v>35</v>
      </c>
      <c r="I485" s="270">
        <f ca="1">IFERROR(__xludf.DUMMYFUNCTION("IMPORTRANGE(""https://docs.google.com/spreadsheets/d/1QqKyyYR6Q21VydFLVH3TRQUabQu_ym0Zz7PgGX0-kHA/edit?usp=sharing"",""แผน!FZ46"")"),117)</f>
        <v>117</v>
      </c>
      <c r="J485" s="215">
        <v>117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</row>
    <row r="486" spans="1:26" ht="18.75">
      <c r="A486" s="608"/>
      <c r="B486" s="618"/>
      <c r="C486" s="618"/>
      <c r="D486" s="618"/>
      <c r="E486" s="618" t="s">
        <v>62</v>
      </c>
      <c r="F486" s="618"/>
      <c r="G486" s="762"/>
      <c r="H486" s="623"/>
      <c r="I486" s="270"/>
      <c r="J486" s="270"/>
      <c r="K486" s="498"/>
      <c r="L486" s="498"/>
      <c r="M486" s="498"/>
      <c r="N486" s="498"/>
      <c r="O486" s="498"/>
      <c r="P486" s="49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</row>
    <row r="487" spans="1:26" ht="18.75">
      <c r="A487" s="608"/>
      <c r="B487" s="618"/>
      <c r="C487" s="618"/>
      <c r="D487" s="618"/>
      <c r="E487" s="618"/>
      <c r="F487" s="618" t="s">
        <v>209</v>
      </c>
      <c r="G487" s="762"/>
      <c r="H487" s="623" t="s">
        <v>46</v>
      </c>
      <c r="I487" s="270">
        <f ca="1">IFERROR(__xludf.DUMMYFUNCTION("IMPORTRANGE(""https://docs.google.com/spreadsheets/d/1QqKyyYR6Q21VydFLVH3TRQUabQu_ym0Zz7PgGX0-kHA/edit?usp=sharing"",""แผน!GA46"")"),130)</f>
        <v>130</v>
      </c>
      <c r="J487" s="215">
        <v>130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</row>
    <row r="488" spans="1:26" ht="18.75">
      <c r="A488" s="608"/>
      <c r="B488" s="618"/>
      <c r="C488" s="618"/>
      <c r="D488" s="618"/>
      <c r="E488" s="618"/>
      <c r="F488" s="618" t="s">
        <v>212</v>
      </c>
      <c r="G488" s="762"/>
      <c r="H488" s="623" t="s">
        <v>35</v>
      </c>
      <c r="I488" s="270"/>
      <c r="J488" s="215">
        <v>13</v>
      </c>
      <c r="K488" s="498"/>
      <c r="L488" s="498"/>
      <c r="M488" s="498"/>
      <c r="N488" s="498"/>
      <c r="O488" s="498"/>
      <c r="P488" s="49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</row>
    <row r="489" spans="1:26" ht="19.5">
      <c r="A489" s="608"/>
      <c r="B489" s="618"/>
      <c r="C489" s="618"/>
      <c r="D489" s="618"/>
      <c r="E489" s="618"/>
      <c r="F489" s="618" t="s">
        <v>213</v>
      </c>
      <c r="G489" s="762"/>
      <c r="H489" s="623" t="s">
        <v>35</v>
      </c>
      <c r="I489" s="270">
        <f ca="1">IFERROR(__xludf.DUMMYFUNCTION("IMPORTRANGE(""https://docs.google.com/spreadsheets/d/1QqKyyYR6Q21VydFLVH3TRQUabQu_ym0Zz7PgGX0-kHA/edit?usp=sharing"",""แผน!GB46"")"),13)</f>
        <v>13</v>
      </c>
      <c r="J489" s="923">
        <v>13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</row>
    <row r="490" spans="1:26" ht="18.75">
      <c r="A490" s="608"/>
      <c r="B490" s="618"/>
      <c r="C490" s="618"/>
      <c r="D490" s="618"/>
      <c r="E490" s="618" t="s">
        <v>63</v>
      </c>
      <c r="F490" s="626"/>
      <c r="G490" s="762"/>
      <c r="H490" s="623"/>
      <c r="I490" s="270"/>
      <c r="J490" s="270"/>
      <c r="K490" s="498"/>
      <c r="L490" s="498"/>
      <c r="M490" s="498"/>
      <c r="N490" s="498"/>
      <c r="O490" s="498"/>
      <c r="P490" s="49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</row>
    <row r="491" spans="1:26" ht="18.75">
      <c r="A491" s="608"/>
      <c r="B491" s="618"/>
      <c r="C491" s="618"/>
      <c r="D491" s="618"/>
      <c r="E491" s="618"/>
      <c r="F491" s="618" t="s">
        <v>214</v>
      </c>
      <c r="G491" s="762"/>
      <c r="H491" s="623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</row>
    <row r="492" spans="1:26" ht="18.75">
      <c r="A492" s="608"/>
      <c r="B492" s="618"/>
      <c r="C492" s="618"/>
      <c r="D492" s="618"/>
      <c r="E492" s="618"/>
      <c r="F492" s="618" t="s">
        <v>215</v>
      </c>
      <c r="G492" s="762"/>
      <c r="H492" s="623" t="s">
        <v>35</v>
      </c>
      <c r="I492" s="270">
        <f ca="1">IFERROR(__xludf.DUMMYFUNCTION("IMPORTRANGE(""https://docs.google.com/spreadsheets/d/1QqKyyYR6Q21VydFLVH3TRQUabQu_ym0Zz7PgGX0-kHA/edit?usp=sharing"",""แผน!GC46"")"),1)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</row>
    <row r="493" spans="1:26" ht="19.5">
      <c r="A493" s="608"/>
      <c r="B493" s="618"/>
      <c r="C493" s="618"/>
      <c r="D493" s="625" t="s">
        <v>59</v>
      </c>
      <c r="E493" s="618"/>
      <c r="F493" s="626"/>
      <c r="G493" s="762"/>
      <c r="H493" s="189"/>
      <c r="I493" s="270"/>
      <c r="J493" s="270"/>
      <c r="K493" s="498"/>
      <c r="L493" s="498"/>
      <c r="M493" s="498"/>
      <c r="N493" s="498"/>
      <c r="O493" s="498"/>
      <c r="P493" s="49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</row>
    <row r="494" spans="1:26" ht="18.75">
      <c r="A494" s="608"/>
      <c r="B494" s="618"/>
      <c r="C494" s="618"/>
      <c r="D494" s="618"/>
      <c r="E494" s="618" t="s">
        <v>208</v>
      </c>
      <c r="F494" s="626"/>
      <c r="G494" s="762"/>
      <c r="H494" s="189"/>
      <c r="I494" s="270"/>
      <c r="J494" s="270"/>
      <c r="K494" s="498"/>
      <c r="L494" s="498"/>
      <c r="M494" s="498"/>
      <c r="N494" s="498"/>
      <c r="O494" s="498"/>
      <c r="P494" s="49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</row>
    <row r="495" spans="1:26" ht="18.75">
      <c r="A495" s="608"/>
      <c r="B495" s="618"/>
      <c r="C495" s="618"/>
      <c r="D495" s="618"/>
      <c r="E495" s="618"/>
      <c r="F495" s="626" t="s">
        <v>216</v>
      </c>
      <c r="G495" s="762"/>
      <c r="H495" s="623" t="s">
        <v>46</v>
      </c>
      <c r="I495" s="270">
        <f ca="1">IFERROR(__xludf.DUMMYFUNCTION("IMPORTRANGE(""https://docs.google.com/spreadsheets/d/1QqKyyYR6Q21VydFLVH3TRQUabQu_ym0Zz7PgGX0-kHA/edit?usp=sharing"",""แผน!FY46"")"),1170)</f>
        <v>1170</v>
      </c>
      <c r="J495" s="215">
        <v>1170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</row>
    <row r="496" spans="1:26" ht="18.75">
      <c r="A496" s="608"/>
      <c r="B496" s="618"/>
      <c r="C496" s="618"/>
      <c r="D496" s="618"/>
      <c r="E496" s="618"/>
      <c r="F496" s="626" t="s">
        <v>217</v>
      </c>
      <c r="G496" s="762"/>
      <c r="H496" s="623" t="s">
        <v>46</v>
      </c>
      <c r="I496" s="270"/>
      <c r="J496" s="215">
        <v>1170</v>
      </c>
      <c r="K496" s="498"/>
      <c r="L496" s="498"/>
      <c r="M496" s="498"/>
      <c r="N496" s="498"/>
      <c r="O496" s="498"/>
      <c r="P496" s="49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</row>
    <row r="497" spans="1:26" ht="18.75">
      <c r="A497" s="608"/>
      <c r="B497" s="618"/>
      <c r="C497" s="618"/>
      <c r="D497" s="618"/>
      <c r="E497" s="618" t="s">
        <v>62</v>
      </c>
      <c r="F497" s="626"/>
      <c r="G497" s="762"/>
      <c r="H497" s="189"/>
      <c r="I497" s="270"/>
      <c r="J497" s="270"/>
      <c r="K497" s="498"/>
      <c r="L497" s="498"/>
      <c r="M497" s="498"/>
      <c r="N497" s="498"/>
      <c r="O497" s="498"/>
      <c r="P497" s="49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</row>
    <row r="498" spans="1:26" ht="18.75">
      <c r="A498" s="608"/>
      <c r="B498" s="618"/>
      <c r="C498" s="618"/>
      <c r="D498" s="618"/>
      <c r="E498" s="626"/>
      <c r="F498" s="626" t="s">
        <v>218</v>
      </c>
      <c r="G498" s="762"/>
      <c r="H498" s="623" t="s">
        <v>46</v>
      </c>
      <c r="I498" s="270">
        <f ca="1">IFERROR(__xludf.DUMMYFUNCTION("IMPORTRANGE(""https://docs.google.com/spreadsheets/d/1QqKyyYR6Q21VydFLVH3TRQUabQu_ym0Zz7PgGX0-kHA/edit?usp=sharing"",""แผน!GA46"")"),130)</f>
        <v>130</v>
      </c>
      <c r="J498" s="215">
        <v>130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</row>
    <row r="499" spans="1:26" ht="18.75">
      <c r="A499" s="608"/>
      <c r="B499" s="618"/>
      <c r="C499" s="618"/>
      <c r="D499" s="618"/>
      <c r="E499" s="626"/>
      <c r="F499" s="626" t="s">
        <v>219</v>
      </c>
      <c r="G499" s="762"/>
      <c r="H499" s="623" t="s">
        <v>46</v>
      </c>
      <c r="I499" s="270"/>
      <c r="J499" s="215">
        <v>130</v>
      </c>
      <c r="K499" s="498"/>
      <c r="L499" s="498"/>
      <c r="M499" s="498"/>
      <c r="N499" s="498"/>
      <c r="O499" s="498"/>
      <c r="P499" s="49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</row>
    <row r="500" spans="1:26" ht="19.5" hidden="1">
      <c r="A500" s="627">
        <v>4</v>
      </c>
      <c r="B500" s="628" t="s">
        <v>220</v>
      </c>
      <c r="C500" s="629"/>
      <c r="D500" s="630"/>
      <c r="E500" s="630"/>
      <c r="F500" s="630"/>
      <c r="G500" s="631"/>
      <c r="H500" s="632" t="s">
        <v>109</v>
      </c>
      <c r="I500" s="633"/>
      <c r="J500" s="633">
        <f t="shared" ref="J500:J501" si="214">J516</f>
        <v>0</v>
      </c>
      <c r="K500" s="634">
        <f t="shared" ref="K500:K501" si="215">IF(I500&gt;0,J500*100/I500,0)</f>
        <v>0</v>
      </c>
      <c r="L500" s="635"/>
      <c r="M500" s="635"/>
      <c r="N500" s="635"/>
      <c r="O500" s="635"/>
      <c r="P500" s="635"/>
      <c r="Q500" s="604"/>
      <c r="R500" s="604"/>
      <c r="S500" s="604"/>
      <c r="T500" s="604"/>
      <c r="U500" s="604"/>
      <c r="V500" s="604"/>
      <c r="W500" s="604"/>
      <c r="X500" s="604"/>
      <c r="Y500" s="604"/>
      <c r="Z500" s="604"/>
    </row>
    <row r="501" spans="1:26" ht="19.5" hidden="1">
      <c r="A501" s="636"/>
      <c r="B501" s="638" t="s">
        <v>221</v>
      </c>
      <c r="C501" s="638"/>
      <c r="D501" s="639"/>
      <c r="E501" s="639"/>
      <c r="F501" s="639"/>
      <c r="G501" s="640"/>
      <c r="H501" s="641" t="s">
        <v>35</v>
      </c>
      <c r="I501" s="642"/>
      <c r="J501" s="642">
        <f t="shared" si="214"/>
        <v>0</v>
      </c>
      <c r="K501" s="643">
        <f t="shared" si="215"/>
        <v>0</v>
      </c>
      <c r="L501" s="644"/>
      <c r="M501" s="644"/>
      <c r="N501" s="644"/>
      <c r="O501" s="644"/>
      <c r="P501" s="64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</row>
    <row r="502" spans="1:26" ht="19.5" hidden="1">
      <c r="A502" s="599"/>
      <c r="B502" s="759"/>
      <c r="C502" s="759" t="s">
        <v>16</v>
      </c>
      <c r="D502" s="864" t="s">
        <v>17</v>
      </c>
      <c r="E502" s="857"/>
      <c r="F502" s="857"/>
      <c r="G502" s="603"/>
      <c r="H502" s="646" t="s">
        <v>12</v>
      </c>
      <c r="I502" s="617"/>
      <c r="J502" s="617"/>
      <c r="K502" s="93"/>
      <c r="L502" s="647">
        <f t="shared" ref="L502:N502" si="216">L503+L504</f>
        <v>0</v>
      </c>
      <c r="M502" s="647">
        <f t="shared" si="216"/>
        <v>0</v>
      </c>
      <c r="N502" s="647">
        <f t="shared" si="216"/>
        <v>0</v>
      </c>
      <c r="O502" s="647">
        <f t="shared" ref="O502:O507" si="217">IF(L502&gt;0,N502*100/L502,0)</f>
        <v>0</v>
      </c>
      <c r="P502" s="647">
        <f t="shared" ref="P502:P507" si="218">IF(M502&gt;0,N502*100/M502,0)</f>
        <v>0</v>
      </c>
      <c r="Q502" s="604"/>
      <c r="R502" s="604"/>
      <c r="S502" s="604"/>
      <c r="T502" s="604"/>
      <c r="U502" s="604"/>
      <c r="V502" s="604"/>
      <c r="W502" s="604"/>
      <c r="X502" s="604"/>
      <c r="Y502" s="604"/>
      <c r="Z502" s="604"/>
    </row>
    <row r="503" spans="1:26" ht="18.75" hidden="1">
      <c r="A503" s="599"/>
      <c r="B503" s="759"/>
      <c r="C503" s="759"/>
      <c r="D503" s="720"/>
      <c r="E503" s="759" t="s">
        <v>185</v>
      </c>
      <c r="F503" s="759"/>
      <c r="G503" s="603"/>
      <c r="H503" s="165" t="s">
        <v>12</v>
      </c>
      <c r="I503" s="617"/>
      <c r="J503" s="617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4"/>
      <c r="R503" s="604"/>
      <c r="S503" s="604"/>
      <c r="T503" s="604"/>
      <c r="U503" s="604"/>
      <c r="V503" s="604"/>
      <c r="W503" s="604"/>
      <c r="X503" s="604"/>
      <c r="Y503" s="604"/>
      <c r="Z503" s="604"/>
    </row>
    <row r="504" spans="1:26" ht="18.75" hidden="1">
      <c r="A504" s="599"/>
      <c r="B504" s="607"/>
      <c r="C504" s="759"/>
      <c r="D504" s="720"/>
      <c r="E504" s="759" t="s">
        <v>186</v>
      </c>
      <c r="F504" s="759"/>
      <c r="G504" s="603"/>
      <c r="H504" s="165" t="s">
        <v>12</v>
      </c>
      <c r="I504" s="617"/>
      <c r="J504" s="617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4"/>
      <c r="R504" s="604"/>
      <c r="S504" s="604"/>
      <c r="T504" s="604"/>
      <c r="U504" s="604"/>
      <c r="V504" s="604"/>
      <c r="W504" s="604"/>
      <c r="X504" s="604"/>
      <c r="Y504" s="604"/>
      <c r="Z504" s="604"/>
    </row>
    <row r="505" spans="1:26" ht="18.75" hidden="1">
      <c r="A505" s="599"/>
      <c r="B505" s="607"/>
      <c r="C505" s="759"/>
      <c r="D505" s="648" t="s">
        <v>20</v>
      </c>
      <c r="E505" s="759"/>
      <c r="F505" s="759"/>
      <c r="G505" s="603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4"/>
      <c r="R505" s="604"/>
      <c r="S505" s="604"/>
      <c r="T505" s="604"/>
      <c r="U505" s="604"/>
      <c r="V505" s="604"/>
      <c r="W505" s="604"/>
      <c r="X505" s="604"/>
      <c r="Y505" s="604"/>
      <c r="Z505" s="604"/>
    </row>
    <row r="506" spans="1:26" ht="18.75" hidden="1">
      <c r="A506" s="599"/>
      <c r="B506" s="607"/>
      <c r="C506" s="759"/>
      <c r="D506" s="720"/>
      <c r="E506" s="759" t="s">
        <v>185</v>
      </c>
      <c r="F506" s="759"/>
      <c r="G506" s="603"/>
      <c r="H506" s="165" t="s">
        <v>12</v>
      </c>
      <c r="I506" s="617"/>
      <c r="J506" s="617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4"/>
      <c r="R506" s="604"/>
      <c r="S506" s="604"/>
      <c r="T506" s="604"/>
      <c r="U506" s="604"/>
      <c r="V506" s="604"/>
      <c r="W506" s="604"/>
      <c r="X506" s="604"/>
      <c r="Y506" s="604"/>
      <c r="Z506" s="604"/>
    </row>
    <row r="507" spans="1:26" ht="18.75" hidden="1">
      <c r="A507" s="599"/>
      <c r="B507" s="607"/>
      <c r="C507" s="759"/>
      <c r="D507" s="720"/>
      <c r="E507" s="759" t="s">
        <v>186</v>
      </c>
      <c r="F507" s="759"/>
      <c r="G507" s="603"/>
      <c r="H507" s="165" t="s">
        <v>12</v>
      </c>
      <c r="I507" s="617"/>
      <c r="J507" s="617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4"/>
      <c r="R507" s="604"/>
      <c r="S507" s="604"/>
      <c r="T507" s="604"/>
      <c r="U507" s="604"/>
      <c r="V507" s="604"/>
      <c r="W507" s="604"/>
      <c r="X507" s="604"/>
      <c r="Y507" s="604"/>
      <c r="Z507" s="604"/>
    </row>
    <row r="508" spans="1:26" ht="18.75" hidden="1">
      <c r="A508" s="649"/>
      <c r="B508" s="607"/>
      <c r="C508" s="759"/>
      <c r="D508" s="759"/>
      <c r="E508" s="759"/>
      <c r="F508" s="759" t="s">
        <v>187</v>
      </c>
      <c r="G508" s="603"/>
      <c r="H508" s="165" t="s">
        <v>12</v>
      </c>
      <c r="I508" s="617"/>
      <c r="J508" s="617"/>
      <c r="K508" s="93"/>
      <c r="L508" s="93"/>
      <c r="M508" s="93"/>
      <c r="N508" s="93">
        <v>0</v>
      </c>
      <c r="O508" s="93"/>
      <c r="P508" s="93"/>
      <c r="Q508" s="604"/>
      <c r="R508" s="604"/>
      <c r="S508" s="604"/>
      <c r="T508" s="604"/>
      <c r="U508" s="604"/>
      <c r="V508" s="604"/>
      <c r="W508" s="604"/>
      <c r="X508" s="604"/>
      <c r="Y508" s="604"/>
      <c r="Z508" s="604"/>
    </row>
    <row r="509" spans="1:26" ht="18.75" hidden="1">
      <c r="A509" s="649"/>
      <c r="B509" s="607"/>
      <c r="C509" s="759"/>
      <c r="D509" s="759"/>
      <c r="E509" s="759"/>
      <c r="F509" s="759" t="s">
        <v>188</v>
      </c>
      <c r="G509" s="603"/>
      <c r="H509" s="165" t="s">
        <v>12</v>
      </c>
      <c r="I509" s="617"/>
      <c r="J509" s="617"/>
      <c r="K509" s="93"/>
      <c r="L509" s="93"/>
      <c r="M509" s="93"/>
      <c r="N509" s="93">
        <v>0</v>
      </c>
      <c r="O509" s="93"/>
      <c r="P509" s="93"/>
      <c r="Q509" s="604"/>
      <c r="R509" s="604"/>
      <c r="S509" s="604"/>
      <c r="T509" s="604"/>
      <c r="U509" s="604"/>
      <c r="V509" s="604"/>
      <c r="W509" s="604"/>
      <c r="X509" s="604"/>
      <c r="Y509" s="604"/>
      <c r="Z509" s="604"/>
    </row>
    <row r="510" spans="1:26" ht="18.75" hidden="1">
      <c r="A510" s="649"/>
      <c r="B510" s="607"/>
      <c r="C510" s="607"/>
      <c r="D510" s="607"/>
      <c r="E510" s="759"/>
      <c r="F510" s="759" t="s">
        <v>189</v>
      </c>
      <c r="G510" s="603"/>
      <c r="H510" s="165" t="s">
        <v>12</v>
      </c>
      <c r="I510" s="617"/>
      <c r="J510" s="617"/>
      <c r="K510" s="93"/>
      <c r="L510" s="93"/>
      <c r="M510" s="93"/>
      <c r="N510" s="93">
        <v>0</v>
      </c>
      <c r="O510" s="93"/>
      <c r="P510" s="93"/>
      <c r="Q510" s="604"/>
      <c r="R510" s="604"/>
      <c r="S510" s="604"/>
      <c r="T510" s="604"/>
      <c r="U510" s="604"/>
      <c r="V510" s="604"/>
      <c r="W510" s="604"/>
      <c r="X510" s="604"/>
      <c r="Y510" s="604"/>
      <c r="Z510" s="604"/>
    </row>
    <row r="511" spans="1:26" ht="18.75" hidden="1">
      <c r="A511" s="649"/>
      <c r="B511" s="607"/>
      <c r="C511" s="607"/>
      <c r="D511" s="607"/>
      <c r="E511" s="759"/>
      <c r="F511" s="759" t="s">
        <v>190</v>
      </c>
      <c r="G511" s="603"/>
      <c r="H511" s="165" t="s">
        <v>12</v>
      </c>
      <c r="I511" s="617"/>
      <c r="J511" s="617"/>
      <c r="K511" s="93"/>
      <c r="L511" s="93"/>
      <c r="M511" s="93"/>
      <c r="N511" s="93">
        <v>0</v>
      </c>
      <c r="O511" s="93"/>
      <c r="P511" s="93"/>
      <c r="Q511" s="604"/>
      <c r="R511" s="604"/>
      <c r="S511" s="604"/>
      <c r="T511" s="604"/>
      <c r="U511" s="604"/>
      <c r="V511" s="604"/>
      <c r="W511" s="604"/>
      <c r="X511" s="604"/>
      <c r="Y511" s="604"/>
      <c r="Z511" s="604"/>
    </row>
    <row r="512" spans="1:26" ht="18.75" hidden="1">
      <c r="A512" s="599"/>
      <c r="B512" s="607"/>
      <c r="C512" s="607"/>
      <c r="D512" s="648" t="s">
        <v>21</v>
      </c>
      <c r="E512" s="607"/>
      <c r="F512" s="759"/>
      <c r="G512" s="603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4"/>
      <c r="R512" s="604"/>
      <c r="S512" s="604"/>
      <c r="T512" s="604"/>
      <c r="U512" s="604"/>
      <c r="V512" s="604"/>
      <c r="W512" s="604"/>
      <c r="X512" s="604"/>
      <c r="Y512" s="604"/>
      <c r="Z512" s="604"/>
    </row>
    <row r="513" spans="1:26" ht="18.75" hidden="1">
      <c r="A513" s="599"/>
      <c r="B513" s="607"/>
      <c r="C513" s="607"/>
      <c r="D513" s="607"/>
      <c r="E513" s="607" t="s">
        <v>18</v>
      </c>
      <c r="F513" s="759"/>
      <c r="G513" s="603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4"/>
      <c r="R513" s="604"/>
      <c r="S513" s="604"/>
      <c r="T513" s="604"/>
      <c r="U513" s="604"/>
      <c r="V513" s="604"/>
      <c r="W513" s="604"/>
      <c r="X513" s="604"/>
      <c r="Y513" s="604"/>
      <c r="Z513" s="604"/>
    </row>
    <row r="514" spans="1:26" ht="18.75" hidden="1">
      <c r="A514" s="599"/>
      <c r="B514" s="607"/>
      <c r="C514" s="607"/>
      <c r="D514" s="759"/>
      <c r="E514" s="607" t="s">
        <v>19</v>
      </c>
      <c r="F514" s="759"/>
      <c r="G514" s="603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4"/>
      <c r="R514" s="604"/>
      <c r="S514" s="604"/>
      <c r="T514" s="604"/>
      <c r="U514" s="604"/>
      <c r="V514" s="604"/>
      <c r="W514" s="604"/>
      <c r="X514" s="604"/>
      <c r="Y514" s="604"/>
      <c r="Z514" s="604"/>
    </row>
    <row r="515" spans="1:26" ht="19.5" hidden="1">
      <c r="A515" s="614"/>
      <c r="B515" s="616"/>
      <c r="C515" s="607" t="s">
        <v>16</v>
      </c>
      <c r="D515" s="895" t="s">
        <v>38</v>
      </c>
      <c r="E515" s="651"/>
      <c r="F515" s="651"/>
      <c r="G515" s="652"/>
      <c r="H515" s="366"/>
      <c r="I515" s="166"/>
      <c r="J515" s="166"/>
      <c r="K515" s="167"/>
      <c r="L515" s="167"/>
      <c r="M515" s="167"/>
      <c r="N515" s="167"/>
      <c r="O515" s="167"/>
      <c r="P515" s="167"/>
      <c r="Q515" s="604"/>
      <c r="R515" s="604"/>
      <c r="S515" s="604"/>
      <c r="T515" s="604"/>
      <c r="U515" s="604"/>
      <c r="V515" s="604"/>
      <c r="W515" s="604"/>
      <c r="X515" s="604"/>
      <c r="Y515" s="604"/>
      <c r="Z515" s="604"/>
    </row>
    <row r="516" spans="1:26" ht="18.75" hidden="1">
      <c r="A516" s="614"/>
      <c r="B516" s="616"/>
      <c r="C516" s="616"/>
      <c r="D516" s="616" t="s">
        <v>222</v>
      </c>
      <c r="E516" s="720"/>
      <c r="F516" s="720"/>
      <c r="G516" s="366"/>
      <c r="H516" s="653" t="s">
        <v>109</v>
      </c>
      <c r="I516" s="617"/>
      <c r="J516" s="617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4"/>
      <c r="R516" s="604"/>
      <c r="S516" s="604"/>
      <c r="T516" s="604"/>
      <c r="U516" s="604"/>
      <c r="V516" s="604"/>
      <c r="W516" s="604"/>
      <c r="X516" s="604"/>
      <c r="Y516" s="604"/>
      <c r="Z516" s="604"/>
    </row>
    <row r="517" spans="1:26" ht="19.5" hidden="1">
      <c r="A517" s="614"/>
      <c r="B517" s="616"/>
      <c r="C517" s="616"/>
      <c r="D517" s="616" t="s">
        <v>223</v>
      </c>
      <c r="E517" s="720"/>
      <c r="F517" s="720"/>
      <c r="G517" s="366"/>
      <c r="H517" s="654" t="s">
        <v>35</v>
      </c>
      <c r="I517" s="655"/>
      <c r="J517" s="655">
        <f>J518+J519</f>
        <v>0</v>
      </c>
      <c r="K517" s="656">
        <f t="shared" si="224"/>
        <v>0</v>
      </c>
      <c r="L517" s="167"/>
      <c r="M517" s="167"/>
      <c r="N517" s="167"/>
      <c r="O517" s="167"/>
      <c r="P517" s="167"/>
      <c r="Q517" s="604"/>
      <c r="R517" s="604"/>
      <c r="S517" s="604"/>
      <c r="T517" s="604"/>
      <c r="U517" s="604"/>
      <c r="V517" s="604"/>
      <c r="W517" s="604"/>
      <c r="X517" s="604"/>
      <c r="Y517" s="604"/>
      <c r="Z517" s="604"/>
    </row>
    <row r="518" spans="1:26" ht="18.75" hidden="1">
      <c r="A518" s="614"/>
      <c r="B518" s="616"/>
      <c r="C518" s="616"/>
      <c r="D518" s="616"/>
      <c r="E518" s="616" t="s">
        <v>224</v>
      </c>
      <c r="F518" s="720"/>
      <c r="G518" s="366"/>
      <c r="H518" s="370" t="s">
        <v>35</v>
      </c>
      <c r="I518" s="617"/>
      <c r="J518" s="617"/>
      <c r="K518" s="167"/>
      <c r="L518" s="167"/>
      <c r="M518" s="167"/>
      <c r="N518" s="167"/>
      <c r="O518" s="167"/>
      <c r="P518" s="167"/>
      <c r="Q518" s="604"/>
      <c r="R518" s="604"/>
      <c r="S518" s="604"/>
      <c r="T518" s="604"/>
      <c r="U518" s="604"/>
      <c r="V518" s="604"/>
      <c r="W518" s="604"/>
      <c r="X518" s="604"/>
      <c r="Y518" s="604"/>
      <c r="Z518" s="604"/>
    </row>
    <row r="519" spans="1:26" ht="18.75" hidden="1">
      <c r="A519" s="614"/>
      <c r="B519" s="616"/>
      <c r="C519" s="616"/>
      <c r="D519" s="616"/>
      <c r="E519" s="616" t="s">
        <v>225</v>
      </c>
      <c r="F519" s="720"/>
      <c r="G519" s="366"/>
      <c r="H519" s="653" t="s">
        <v>35</v>
      </c>
      <c r="I519" s="617"/>
      <c r="J519" s="617"/>
      <c r="K519" s="167"/>
      <c r="L519" s="167"/>
      <c r="M519" s="167"/>
      <c r="N519" s="167"/>
      <c r="O519" s="167"/>
      <c r="P519" s="167"/>
      <c r="Q519" s="604"/>
      <c r="R519" s="604"/>
      <c r="S519" s="604"/>
      <c r="T519" s="604"/>
      <c r="U519" s="604"/>
      <c r="V519" s="604"/>
      <c r="W519" s="604"/>
      <c r="X519" s="604"/>
      <c r="Y519" s="604"/>
      <c r="Z519" s="604"/>
    </row>
    <row r="520" spans="1:26" ht="19.5">
      <c r="A520" s="657" t="s">
        <v>137</v>
      </c>
      <c r="B520" s="658"/>
      <c r="C520" s="658"/>
      <c r="D520" s="659"/>
      <c r="E520" s="659"/>
      <c r="F520" s="659"/>
      <c r="G520" s="660"/>
      <c r="H520" s="661"/>
      <c r="I520" s="662"/>
      <c r="J520" s="662"/>
      <c r="K520" s="663"/>
      <c r="L520" s="663"/>
      <c r="M520" s="663"/>
      <c r="N520" s="663"/>
      <c r="O520" s="663"/>
      <c r="P520" s="663"/>
    </row>
    <row r="521" spans="1:26" ht="19.5" hidden="1">
      <c r="A521" s="664">
        <v>5</v>
      </c>
      <c r="B521" s="665" t="s">
        <v>226</v>
      </c>
      <c r="C521" s="666"/>
      <c r="D521" s="667"/>
      <c r="E521" s="667"/>
      <c r="F521" s="667"/>
      <c r="G521" s="667"/>
      <c r="H521" s="668"/>
      <c r="I521" s="669"/>
      <c r="J521" s="669"/>
      <c r="K521" s="670"/>
      <c r="L521" s="670"/>
      <c r="M521" s="670"/>
      <c r="N521" s="670"/>
      <c r="O521" s="670"/>
      <c r="P521" s="670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</row>
    <row r="522" spans="1:26" ht="19.5" hidden="1">
      <c r="A522" s="671"/>
      <c r="B522" s="672" t="s">
        <v>227</v>
      </c>
      <c r="C522" s="673"/>
      <c r="D522" s="673"/>
      <c r="E522" s="673"/>
      <c r="F522" s="673"/>
      <c r="G522" s="674"/>
      <c r="H522" s="675" t="s">
        <v>35</v>
      </c>
      <c r="I522" s="708">
        <f t="shared" ref="I522:J522" ca="1" si="225">I537</f>
        <v>0</v>
      </c>
      <c r="J522" s="708">
        <f t="shared" ca="1" si="225"/>
        <v>0</v>
      </c>
      <c r="K522" s="677">
        <f ca="1">IF(I522&gt;0,J522*100/I522,0)</f>
        <v>0</v>
      </c>
      <c r="L522" s="678"/>
      <c r="M522" s="678"/>
      <c r="N522" s="678"/>
      <c r="O522" s="678"/>
      <c r="P522" s="6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</row>
    <row r="523" spans="1:26" ht="19.5" hidden="1">
      <c r="A523" s="597"/>
      <c r="B523" s="763"/>
      <c r="C523" s="763" t="s">
        <v>16</v>
      </c>
      <c r="D523" s="863" t="s">
        <v>17</v>
      </c>
      <c r="E523" s="857"/>
      <c r="F523" s="857"/>
      <c r="G523" s="189"/>
      <c r="H523" s="598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</row>
    <row r="524" spans="1:26" ht="18.75" hidden="1">
      <c r="A524" s="599"/>
      <c r="B524" s="759"/>
      <c r="C524" s="759"/>
      <c r="D524" s="720"/>
      <c r="E524" s="759" t="s">
        <v>185</v>
      </c>
      <c r="F524" s="759"/>
      <c r="G524" s="603"/>
      <c r="H524" s="165" t="s">
        <v>12</v>
      </c>
      <c r="I524" s="617"/>
      <c r="J524" s="617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4"/>
      <c r="R524" s="604"/>
      <c r="S524" s="604"/>
      <c r="T524" s="604"/>
      <c r="U524" s="604"/>
      <c r="V524" s="604"/>
      <c r="W524" s="604"/>
      <c r="X524" s="604"/>
      <c r="Y524" s="604"/>
      <c r="Z524" s="604"/>
    </row>
    <row r="525" spans="1:26" ht="18.75" hidden="1">
      <c r="A525" s="599"/>
      <c r="B525" s="607"/>
      <c r="C525" s="759"/>
      <c r="D525" s="720"/>
      <c r="E525" s="759" t="s">
        <v>186</v>
      </c>
      <c r="F525" s="759"/>
      <c r="G525" s="603"/>
      <c r="H525" s="165" t="s">
        <v>12</v>
      </c>
      <c r="I525" s="617"/>
      <c r="J525" s="617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4"/>
      <c r="R525" s="604"/>
      <c r="S525" s="604"/>
      <c r="T525" s="604"/>
      <c r="U525" s="604"/>
      <c r="V525" s="604"/>
      <c r="W525" s="604"/>
      <c r="X525" s="604"/>
      <c r="Y525" s="604"/>
      <c r="Z525" s="604"/>
    </row>
    <row r="526" spans="1:26" ht="18.75" hidden="1">
      <c r="A526" s="597"/>
      <c r="B526" s="575"/>
      <c r="C526" s="763"/>
      <c r="D526" s="606" t="s">
        <v>20</v>
      </c>
      <c r="E526" s="763"/>
      <c r="F526" s="763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</row>
    <row r="527" spans="1:26" ht="18.75" hidden="1">
      <c r="A527" s="599"/>
      <c r="B527" s="607"/>
      <c r="C527" s="759"/>
      <c r="D527" s="720"/>
      <c r="E527" s="759" t="s">
        <v>185</v>
      </c>
      <c r="F527" s="759"/>
      <c r="G527" s="603"/>
      <c r="H527" s="165" t="s">
        <v>12</v>
      </c>
      <c r="I527" s="617"/>
      <c r="J527" s="617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4"/>
      <c r="R527" s="604"/>
      <c r="S527" s="604"/>
      <c r="T527" s="604"/>
      <c r="U527" s="604"/>
      <c r="V527" s="604"/>
      <c r="W527" s="604"/>
      <c r="X527" s="604"/>
      <c r="Y527" s="604"/>
      <c r="Z527" s="604"/>
    </row>
    <row r="528" spans="1:26" ht="18.75" hidden="1">
      <c r="A528" s="599"/>
      <c r="B528" s="607"/>
      <c r="C528" s="759"/>
      <c r="D528" s="720"/>
      <c r="E528" s="759" t="s">
        <v>186</v>
      </c>
      <c r="F528" s="759"/>
      <c r="G528" s="603"/>
      <c r="H528" s="165" t="s">
        <v>12</v>
      </c>
      <c r="I528" s="617"/>
      <c r="J528" s="617"/>
      <c r="K528" s="93"/>
      <c r="L528" s="93">
        <f ca="1">IFERROR(__xludf.DUMMYFUNCTION("IMPORTRANGE(""https://docs.google.com/spreadsheets/d/1QqKyyYR6Q21VydFLVH3TRQUabQu_ym0Zz7PgGX0-kHA/edit?usp=sharing"",""แผน!GQ46"")"),0)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4"/>
      <c r="R528" s="604"/>
      <c r="S528" s="604"/>
      <c r="T528" s="604"/>
      <c r="U528" s="604"/>
      <c r="V528" s="604"/>
      <c r="W528" s="604"/>
      <c r="X528" s="604"/>
      <c r="Y528" s="604"/>
      <c r="Z528" s="604"/>
    </row>
    <row r="529" spans="1:26" ht="18.75" hidden="1">
      <c r="A529" s="574"/>
      <c r="B529" s="575"/>
      <c r="C529" s="763"/>
      <c r="D529" s="763"/>
      <c r="E529" s="763"/>
      <c r="F529" s="763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40">
        <v>0</v>
      </c>
      <c r="O529" s="498"/>
      <c r="P529" s="49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</row>
    <row r="530" spans="1:26" ht="18.75" hidden="1">
      <c r="A530" s="574"/>
      <c r="B530" s="575"/>
      <c r="C530" s="763"/>
      <c r="D530" s="763"/>
      <c r="E530" s="763"/>
      <c r="F530" s="763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40">
        <v>0</v>
      </c>
      <c r="O530" s="498"/>
      <c r="P530" s="49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</row>
    <row r="531" spans="1:26" ht="18.75" hidden="1">
      <c r="A531" s="574"/>
      <c r="B531" s="575"/>
      <c r="C531" s="763"/>
      <c r="D531" s="763"/>
      <c r="E531" s="763"/>
      <c r="F531" s="763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40">
        <v>0</v>
      </c>
      <c r="O531" s="498"/>
      <c r="P531" s="49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</row>
    <row r="532" spans="1:26" ht="18.75" hidden="1">
      <c r="A532" s="574"/>
      <c r="B532" s="575"/>
      <c r="C532" s="763"/>
      <c r="D532" s="763"/>
      <c r="E532" s="763"/>
      <c r="F532" s="763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40">
        <v>0</v>
      </c>
      <c r="O532" s="498"/>
      <c r="P532" s="49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</row>
    <row r="533" spans="1:26" ht="18.75" hidden="1">
      <c r="A533" s="597"/>
      <c r="B533" s="575"/>
      <c r="C533" s="763"/>
      <c r="D533" s="606" t="s">
        <v>21</v>
      </c>
      <c r="E533" s="763"/>
      <c r="F533" s="763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</row>
    <row r="534" spans="1:26" ht="18.75" hidden="1">
      <c r="A534" s="599"/>
      <c r="B534" s="607"/>
      <c r="C534" s="759"/>
      <c r="D534" s="759"/>
      <c r="E534" s="759" t="s">
        <v>18</v>
      </c>
      <c r="F534" s="759"/>
      <c r="G534" s="603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4"/>
      <c r="R534" s="604"/>
      <c r="S534" s="604"/>
      <c r="T534" s="604"/>
      <c r="U534" s="604"/>
      <c r="V534" s="604"/>
      <c r="W534" s="604"/>
      <c r="X534" s="604"/>
      <c r="Y534" s="604"/>
      <c r="Z534" s="604"/>
    </row>
    <row r="535" spans="1:26" ht="18.75" hidden="1">
      <c r="A535" s="599"/>
      <c r="B535" s="607"/>
      <c r="C535" s="759"/>
      <c r="D535" s="759"/>
      <c r="E535" s="759" t="s">
        <v>19</v>
      </c>
      <c r="F535" s="759"/>
      <c r="G535" s="603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4"/>
      <c r="R535" s="604"/>
      <c r="S535" s="604"/>
      <c r="T535" s="604"/>
      <c r="U535" s="604"/>
      <c r="V535" s="604"/>
      <c r="W535" s="604"/>
      <c r="X535" s="604"/>
      <c r="Y535" s="604"/>
      <c r="Z535" s="604"/>
    </row>
    <row r="536" spans="1:26" ht="19.5" hidden="1">
      <c r="A536" s="608"/>
      <c r="B536" s="618"/>
      <c r="C536" s="763" t="s">
        <v>16</v>
      </c>
      <c r="D536" s="896" t="s">
        <v>38</v>
      </c>
      <c r="E536" s="761"/>
      <c r="F536" s="761"/>
      <c r="G536" s="613"/>
      <c r="H536" s="762"/>
      <c r="I536" s="184"/>
      <c r="J536" s="184"/>
      <c r="K536" s="163"/>
      <c r="L536" s="163"/>
      <c r="M536" s="163"/>
      <c r="N536" s="163"/>
      <c r="O536" s="163"/>
      <c r="P536" s="163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</row>
    <row r="537" spans="1:26" ht="19.5" hidden="1">
      <c r="A537" s="574"/>
      <c r="B537" s="575"/>
      <c r="C537" s="763"/>
      <c r="D537" s="763" t="s">
        <v>228</v>
      </c>
      <c r="E537" s="763"/>
      <c r="F537" s="763"/>
      <c r="G537" s="189"/>
      <c r="H537" s="623" t="s">
        <v>35</v>
      </c>
      <c r="I537" s="681">
        <f ca="1">IFERROR(__xludf.DUMMYFUNCTION("IMPORTRANGE(""https://docs.google.com/spreadsheets/d/1QqKyyYR6Q21VydFLVH3TRQUabQu_ym0Zz7PgGX0-kHA/edit?usp=sharing"",""แผน!GU46"")"),0)</f>
        <v>0</v>
      </c>
      <c r="J537" s="681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2"/>
      <c r="R537" s="682"/>
      <c r="S537" s="682"/>
      <c r="T537" s="682"/>
      <c r="U537" s="682"/>
      <c r="V537" s="682"/>
      <c r="W537" s="682"/>
      <c r="X537" s="682"/>
      <c r="Y537" s="682"/>
      <c r="Z537" s="682"/>
    </row>
    <row r="538" spans="1:26" ht="18.75" hidden="1">
      <c r="A538" s="574"/>
      <c r="B538" s="575"/>
      <c r="C538" s="763"/>
      <c r="D538" s="763"/>
      <c r="E538" s="763" t="s">
        <v>229</v>
      </c>
      <c r="F538" s="763"/>
      <c r="G538" s="189"/>
      <c r="H538" s="623" t="s">
        <v>35</v>
      </c>
      <c r="I538" s="270">
        <f ca="1">IFERROR(__xludf.DUMMYFUNCTION("IMPORTRANGE(""https://docs.google.com/spreadsheets/d/1QqKyyYR6Q21VydFLVH3TRQUabQu_ym0Zz7PgGX0-kHA/edit?usp=sharing"",""แผน!GV46"")"),0)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2"/>
      <c r="R538" s="682"/>
      <c r="S538" s="682"/>
      <c r="T538" s="682"/>
      <c r="U538" s="682"/>
      <c r="V538" s="682"/>
      <c r="W538" s="682"/>
      <c r="X538" s="682"/>
      <c r="Y538" s="682"/>
      <c r="Z538" s="682"/>
    </row>
    <row r="539" spans="1:26" ht="18.75" hidden="1">
      <c r="A539" s="574"/>
      <c r="B539" s="575"/>
      <c r="C539" s="763"/>
      <c r="D539" s="763"/>
      <c r="E539" s="763" t="s">
        <v>230</v>
      </c>
      <c r="F539" s="763"/>
      <c r="G539" s="189"/>
      <c r="H539" s="623" t="s">
        <v>35</v>
      </c>
      <c r="I539" s="270">
        <f ca="1">IFERROR(__xludf.DUMMYFUNCTION("IMPORTRANGE(""https://docs.google.com/spreadsheets/d/1QqKyyYR6Q21VydFLVH3TRQUabQu_ym0Zz7PgGX0-kHA/edit?usp=sharing"",""แผน!GW46"")"),0)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2"/>
      <c r="R539" s="682"/>
      <c r="S539" s="682"/>
      <c r="T539" s="682"/>
      <c r="U539" s="682"/>
      <c r="V539" s="682"/>
      <c r="W539" s="682"/>
      <c r="X539" s="682"/>
      <c r="Y539" s="682"/>
      <c r="Z539" s="682"/>
    </row>
    <row r="540" spans="1:26" ht="18.75" hidden="1">
      <c r="A540" s="574"/>
      <c r="B540" s="575"/>
      <c r="C540" s="763"/>
      <c r="D540" s="763"/>
      <c r="E540" s="763" t="s">
        <v>231</v>
      </c>
      <c r="F540" s="763"/>
      <c r="G540" s="189"/>
      <c r="H540" s="623" t="s">
        <v>35</v>
      </c>
      <c r="I540" s="270">
        <f ca="1">IFERROR(__xludf.DUMMYFUNCTION("IMPORTRANGE(""https://docs.google.com/spreadsheets/d/1QqKyyYR6Q21VydFLVH3TRQUabQu_ym0Zz7PgGX0-kHA/edit?usp=sharing"",""แผน!GX46"")"),0)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2"/>
      <c r="R540" s="682"/>
      <c r="S540" s="682"/>
      <c r="T540" s="682"/>
      <c r="U540" s="682"/>
      <c r="V540" s="682"/>
      <c r="W540" s="682"/>
      <c r="X540" s="682"/>
      <c r="Y540" s="682"/>
      <c r="Z540" s="682"/>
    </row>
    <row r="541" spans="1:26" ht="18.75" hidden="1">
      <c r="A541" s="574"/>
      <c r="B541" s="575"/>
      <c r="C541" s="763"/>
      <c r="D541" s="763"/>
      <c r="E541" s="769" t="s">
        <v>232</v>
      </c>
      <c r="F541" s="763"/>
      <c r="G541" s="189"/>
      <c r="H541" s="623" t="s">
        <v>35</v>
      </c>
      <c r="I541" s="270">
        <f ca="1">IFERROR(__xludf.DUMMYFUNCTION("IMPORTRANGE(""https://docs.google.com/spreadsheets/d/1QqKyyYR6Q21VydFLVH3TRQUabQu_ym0Zz7PgGX0-kHA/edit?usp=sharing"",""แผน!GY46"")"),0)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2"/>
      <c r="R541" s="682"/>
      <c r="S541" s="682"/>
      <c r="T541" s="682"/>
      <c r="U541" s="682"/>
      <c r="V541" s="682"/>
      <c r="W541" s="682"/>
      <c r="X541" s="682"/>
      <c r="Y541" s="682"/>
      <c r="Z541" s="682"/>
    </row>
    <row r="542" spans="1:26" ht="18.75" hidden="1">
      <c r="A542" s="574"/>
      <c r="B542" s="575"/>
      <c r="C542" s="763"/>
      <c r="D542" s="763" t="s">
        <v>59</v>
      </c>
      <c r="E542" s="763"/>
      <c r="F542" s="763"/>
      <c r="G542" s="189"/>
      <c r="H542" s="623" t="s">
        <v>35</v>
      </c>
      <c r="I542" s="270">
        <f ca="1">IFERROR(__xludf.DUMMYFUNCTION("IMPORTRANGE(""https://docs.google.com/spreadsheets/d/1QqKyyYR6Q21VydFLVH3TRQUabQu_ym0Zz7PgGX0-kHA/edit?usp=sharing"",""แผน!GZ46"")"),0)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2"/>
      <c r="R542" s="682"/>
      <c r="S542" s="682"/>
      <c r="T542" s="682"/>
      <c r="U542" s="682"/>
      <c r="V542" s="682"/>
      <c r="W542" s="682"/>
      <c r="X542" s="682"/>
      <c r="Y542" s="682"/>
      <c r="Z542" s="682"/>
    </row>
    <row r="543" spans="1:26" ht="19.5">
      <c r="A543" s="664">
        <v>6</v>
      </c>
      <c r="B543" s="685" t="s">
        <v>233</v>
      </c>
      <c r="C543" s="667"/>
      <c r="D543" s="667"/>
      <c r="E543" s="667"/>
      <c r="F543" s="667"/>
      <c r="G543" s="668"/>
      <c r="H543" s="686" t="s">
        <v>46</v>
      </c>
      <c r="I543" s="687">
        <f t="shared" ref="I543:J543" ca="1" si="235">I559</f>
        <v>73156.047500000001</v>
      </c>
      <c r="J543" s="687">
        <f t="shared" si="235"/>
        <v>73156.047500000001</v>
      </c>
      <c r="K543" s="688">
        <f t="shared" ca="1" si="234"/>
        <v>100</v>
      </c>
      <c r="L543" s="670"/>
      <c r="M543" s="670"/>
      <c r="N543" s="670"/>
      <c r="O543" s="670"/>
      <c r="P543" s="670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</row>
    <row r="544" spans="1:26" ht="19.5">
      <c r="A544" s="689"/>
      <c r="B544" s="690"/>
      <c r="C544" s="690" t="s">
        <v>16</v>
      </c>
      <c r="D544" s="897" t="s">
        <v>17</v>
      </c>
      <c r="E544" s="862"/>
      <c r="F544" s="862"/>
      <c r="G544" s="691"/>
      <c r="H544" s="275" t="s">
        <v>12</v>
      </c>
      <c r="I544" s="420"/>
      <c r="J544" s="420"/>
      <c r="K544" s="154"/>
      <c r="L544" s="155">
        <f t="shared" ref="L544:N544" ca="1" si="236">L545+L546</f>
        <v>597250</v>
      </c>
      <c r="M544" s="155">
        <f t="shared" ca="1" si="236"/>
        <v>480980</v>
      </c>
      <c r="N544" s="155">
        <f t="shared" si="236"/>
        <v>480980</v>
      </c>
      <c r="O544" s="155">
        <f t="shared" ref="O544:O549" ca="1" si="237">IF(L544&gt;0,N544*100/L544,0)</f>
        <v>80.532440351611555</v>
      </c>
      <c r="P544" s="155">
        <f t="shared" ref="P544:P549" ca="1" si="238">IF(M544&gt;0,N544*100/M544,0)</f>
        <v>100</v>
      </c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</row>
    <row r="545" spans="1:26" ht="18.75" hidden="1">
      <c r="A545" s="599"/>
      <c r="B545" s="759"/>
      <c r="C545" s="759"/>
      <c r="D545" s="759"/>
      <c r="E545" s="759" t="s">
        <v>185</v>
      </c>
      <c r="F545" s="759"/>
      <c r="G545" s="603"/>
      <c r="H545" s="165" t="s">
        <v>12</v>
      </c>
      <c r="I545" s="617"/>
      <c r="J545" s="617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4"/>
      <c r="R545" s="604"/>
      <c r="S545" s="604"/>
      <c r="T545" s="604"/>
      <c r="U545" s="604"/>
      <c r="V545" s="604"/>
      <c r="W545" s="604"/>
      <c r="X545" s="604"/>
      <c r="Y545" s="604"/>
      <c r="Z545" s="604"/>
    </row>
    <row r="546" spans="1:26" ht="18.75" hidden="1">
      <c r="A546" s="599"/>
      <c r="B546" s="607"/>
      <c r="C546" s="759"/>
      <c r="D546" s="759"/>
      <c r="E546" s="759" t="s">
        <v>186</v>
      </c>
      <c r="F546" s="759"/>
      <c r="G546" s="603"/>
      <c r="H546" s="165" t="s">
        <v>12</v>
      </c>
      <c r="I546" s="617"/>
      <c r="J546" s="617"/>
      <c r="K546" s="93"/>
      <c r="L546" s="93">
        <f t="shared" ca="1" si="239"/>
        <v>597250</v>
      </c>
      <c r="M546" s="93">
        <f t="shared" ca="1" si="240"/>
        <v>480980</v>
      </c>
      <c r="N546" s="93">
        <f t="shared" si="240"/>
        <v>480980</v>
      </c>
      <c r="O546" s="93">
        <f t="shared" ca="1" si="237"/>
        <v>80.532440351611555</v>
      </c>
      <c r="P546" s="93">
        <f t="shared" ca="1" si="238"/>
        <v>100</v>
      </c>
      <c r="Q546" s="604"/>
      <c r="R546" s="604"/>
      <c r="S546" s="604"/>
      <c r="T546" s="604"/>
      <c r="U546" s="604"/>
      <c r="V546" s="604"/>
      <c r="W546" s="604"/>
      <c r="X546" s="604"/>
      <c r="Y546" s="604"/>
      <c r="Z546" s="604"/>
    </row>
    <row r="547" spans="1:26" ht="18.75">
      <c r="A547" s="597"/>
      <c r="B547" s="575"/>
      <c r="C547" s="763"/>
      <c r="D547" s="606" t="s">
        <v>20</v>
      </c>
      <c r="E547" s="763"/>
      <c r="F547" s="763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597250</v>
      </c>
      <c r="M547" s="498">
        <f t="shared" ca="1" si="241"/>
        <v>480980</v>
      </c>
      <c r="N547" s="498">
        <f t="shared" si="241"/>
        <v>480980</v>
      </c>
      <c r="O547" s="498">
        <f t="shared" ca="1" si="237"/>
        <v>80.532440351611555</v>
      </c>
      <c r="P547" s="498">
        <f t="shared" ca="1" si="238"/>
        <v>100</v>
      </c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</row>
    <row r="548" spans="1:26" ht="18.75" hidden="1">
      <c r="A548" s="599"/>
      <c r="B548" s="607"/>
      <c r="C548" s="759"/>
      <c r="D548" s="720"/>
      <c r="E548" s="759" t="s">
        <v>185</v>
      </c>
      <c r="F548" s="759"/>
      <c r="G548" s="603"/>
      <c r="H548" s="165" t="s">
        <v>12</v>
      </c>
      <c r="I548" s="617"/>
      <c r="J548" s="617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4"/>
      <c r="R548" s="604"/>
      <c r="S548" s="604"/>
      <c r="T548" s="604"/>
      <c r="U548" s="604"/>
      <c r="V548" s="604"/>
      <c r="W548" s="604"/>
      <c r="X548" s="604"/>
      <c r="Y548" s="604"/>
      <c r="Z548" s="604"/>
    </row>
    <row r="549" spans="1:26" ht="18.75" hidden="1">
      <c r="A549" s="599"/>
      <c r="B549" s="607"/>
      <c r="C549" s="759"/>
      <c r="D549" s="720"/>
      <c r="E549" s="759" t="s">
        <v>186</v>
      </c>
      <c r="F549" s="759"/>
      <c r="G549" s="603"/>
      <c r="H549" s="165" t="s">
        <v>12</v>
      </c>
      <c r="I549" s="617"/>
      <c r="J549" s="617"/>
      <c r="K549" s="93"/>
      <c r="L549" s="93">
        <f ca="1">IFERROR(__xludf.DUMMYFUNCTION("IMPORTRANGE(""https://docs.google.com/spreadsheets/d/1QqKyyYR6Q21VydFLVH3TRQUabQu_ym0Zz7PgGX0-kHA/edit?usp=sharing"",""แผน!HB46"")"),597250)</f>
        <v>597250</v>
      </c>
      <c r="M549" s="93">
        <f ca="1">L549-38270-78000</f>
        <v>480980</v>
      </c>
      <c r="N549" s="93">
        <f>N550+N551+N552+N553+N554</f>
        <v>480980</v>
      </c>
      <c r="O549" s="93">
        <f t="shared" ca="1" si="237"/>
        <v>80.532440351611555</v>
      </c>
      <c r="P549" s="93">
        <f t="shared" ca="1" si="238"/>
        <v>100</v>
      </c>
      <c r="Q549" s="604"/>
      <c r="R549" s="604"/>
      <c r="S549" s="604"/>
      <c r="T549" s="604"/>
      <c r="U549" s="604"/>
      <c r="V549" s="604"/>
      <c r="W549" s="604"/>
      <c r="X549" s="604"/>
      <c r="Y549" s="604"/>
      <c r="Z549" s="604"/>
    </row>
    <row r="550" spans="1:26" ht="18.75">
      <c r="A550" s="574"/>
      <c r="B550" s="575"/>
      <c r="C550" s="763"/>
      <c r="D550" s="763"/>
      <c r="E550" s="763"/>
      <c r="F550" s="763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40">
        <v>0</v>
      </c>
      <c r="O550" s="498"/>
      <c r="P550" s="49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</row>
    <row r="551" spans="1:26" ht="18.75">
      <c r="A551" s="574"/>
      <c r="B551" s="575"/>
      <c r="C551" s="575"/>
      <c r="D551" s="575"/>
      <c r="E551" s="763"/>
      <c r="F551" s="763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40">
        <v>0</v>
      </c>
      <c r="O551" s="498"/>
      <c r="P551" s="49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</row>
    <row r="552" spans="1:26" ht="18.75">
      <c r="A552" s="574"/>
      <c r="B552" s="575"/>
      <c r="C552" s="763"/>
      <c r="D552" s="763"/>
      <c r="E552" s="763"/>
      <c r="F552" s="763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40">
        <v>143000</v>
      </c>
      <c r="O552" s="498"/>
      <c r="P552" s="498"/>
      <c r="Q552" s="578"/>
      <c r="R552" s="578"/>
      <c r="S552" s="578"/>
      <c r="T552" s="578"/>
      <c r="U552" s="578"/>
      <c r="V552" s="578"/>
      <c r="W552" s="578"/>
      <c r="X552" s="578"/>
      <c r="Y552" s="578"/>
      <c r="Z552" s="578"/>
    </row>
    <row r="553" spans="1:26" ht="18.75">
      <c r="A553" s="574"/>
      <c r="B553" s="575"/>
      <c r="C553" s="575"/>
      <c r="D553" s="575"/>
      <c r="E553" s="763"/>
      <c r="F553" s="763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40">
        <v>337980</v>
      </c>
      <c r="O553" s="498"/>
      <c r="P553" s="49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</row>
    <row r="554" spans="1:26" ht="18.75">
      <c r="A554" s="574"/>
      <c r="B554" s="575"/>
      <c r="C554" s="575"/>
      <c r="D554" s="575"/>
      <c r="E554" s="763"/>
      <c r="F554" s="763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40">
        <v>0</v>
      </c>
      <c r="O554" s="498"/>
      <c r="P554" s="49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</row>
    <row r="555" spans="1:26" ht="18.75">
      <c r="A555" s="597"/>
      <c r="B555" s="575"/>
      <c r="C555" s="575"/>
      <c r="D555" s="606" t="s">
        <v>21</v>
      </c>
      <c r="E555" s="763"/>
      <c r="F555" s="763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</row>
    <row r="556" spans="1:26" ht="18.75" hidden="1">
      <c r="A556" s="599"/>
      <c r="B556" s="607"/>
      <c r="C556" s="607"/>
      <c r="D556" s="759"/>
      <c r="E556" s="759" t="s">
        <v>18</v>
      </c>
      <c r="F556" s="759"/>
      <c r="G556" s="603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4"/>
      <c r="R556" s="604"/>
      <c r="S556" s="604"/>
      <c r="T556" s="604"/>
      <c r="U556" s="604"/>
      <c r="V556" s="604"/>
      <c r="W556" s="604"/>
      <c r="X556" s="604"/>
      <c r="Y556" s="604"/>
      <c r="Z556" s="604"/>
    </row>
    <row r="557" spans="1:26" ht="18.75" hidden="1">
      <c r="A557" s="599"/>
      <c r="B557" s="607"/>
      <c r="C557" s="607"/>
      <c r="D557" s="759"/>
      <c r="E557" s="759" t="s">
        <v>19</v>
      </c>
      <c r="F557" s="759"/>
      <c r="G557" s="603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4"/>
      <c r="R557" s="604"/>
      <c r="S557" s="604"/>
      <c r="T557" s="604"/>
      <c r="U557" s="604"/>
      <c r="V557" s="604"/>
      <c r="W557" s="604"/>
      <c r="X557" s="604"/>
      <c r="Y557" s="604"/>
      <c r="Z557" s="604"/>
    </row>
    <row r="558" spans="1:26" ht="19.5">
      <c r="A558" s="608"/>
      <c r="B558" s="618"/>
      <c r="C558" s="575" t="s">
        <v>16</v>
      </c>
      <c r="D558" s="896" t="s">
        <v>38</v>
      </c>
      <c r="E558" s="761"/>
      <c r="F558" s="761"/>
      <c r="G558" s="613"/>
      <c r="H558" s="762"/>
      <c r="I558" s="184"/>
      <c r="J558" s="184"/>
      <c r="K558" s="163"/>
      <c r="L558" s="163"/>
      <c r="M558" s="163"/>
      <c r="N558" s="163"/>
      <c r="O558" s="163"/>
      <c r="P558" s="163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</row>
    <row r="559" spans="1:26" ht="19.5">
      <c r="A559" s="692"/>
      <c r="B559" s="693" t="s">
        <v>235</v>
      </c>
      <c r="C559" s="694"/>
      <c r="D559" s="694"/>
      <c r="E559" s="673"/>
      <c r="F559" s="673"/>
      <c r="G559" s="674"/>
      <c r="H559" s="695" t="s">
        <v>46</v>
      </c>
      <c r="I559" s="708">
        <f t="shared" ref="I559:J559" ca="1" si="245">I576</f>
        <v>73156.047500000001</v>
      </c>
      <c r="J559" s="708">
        <f t="shared" si="245"/>
        <v>73156.047500000001</v>
      </c>
      <c r="K559" s="677">
        <f t="shared" ref="K559:K561" ca="1" si="246">IF(I559&gt;0,J559*100/I559,0)</f>
        <v>100</v>
      </c>
      <c r="L559" s="678"/>
      <c r="M559" s="678"/>
      <c r="N559" s="678"/>
      <c r="O559" s="678"/>
      <c r="P559" s="6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</row>
    <row r="560" spans="1:26" ht="19.5">
      <c r="A560" s="608"/>
      <c r="B560" s="618"/>
      <c r="C560" s="625" t="s">
        <v>236</v>
      </c>
      <c r="D560" s="618"/>
      <c r="E560" s="626"/>
      <c r="F560" s="626"/>
      <c r="G560" s="762"/>
      <c r="H560" s="767" t="s">
        <v>46</v>
      </c>
      <c r="I560" s="193">
        <f ca="1">IFERROR(__xludf.DUMMYFUNCTION("IMPORTRANGE(""https://docs.google.com/spreadsheets/d/1QqKyyYR6Q21VydFLVH3TRQUabQu_ym0Zz7PgGX0-kHA/edit?usp=sharing"",""แผน!HH46"")"),73156.0475)</f>
        <v>73156.047500000001</v>
      </c>
      <c r="J560" s="193">
        <f t="shared" ref="J560:J561" si="247">J562+J564+J566</f>
        <v>73156</v>
      </c>
      <c r="K560" s="411">
        <f t="shared" ca="1" si="246"/>
        <v>99.999935070302968</v>
      </c>
      <c r="L560" s="163"/>
      <c r="M560" s="163"/>
      <c r="N560" s="163"/>
      <c r="O560" s="163"/>
      <c r="P560" s="163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</row>
    <row r="561" spans="1:26" ht="19.5">
      <c r="A561" s="608"/>
      <c r="B561" s="618"/>
      <c r="C561" s="618"/>
      <c r="D561" s="626"/>
      <c r="E561" s="626"/>
      <c r="F561" s="626"/>
      <c r="G561" s="762"/>
      <c r="H561" s="767" t="s">
        <v>34</v>
      </c>
      <c r="I561" s="193">
        <f ca="1">IFERROR(__xludf.DUMMYFUNCTION("IMPORTRANGE(""https://docs.google.com/spreadsheets/d/1QqKyyYR6Q21VydFLVH3TRQUabQu_ym0Zz7PgGX0-kHA/edit?usp=sharing"",""แผน!HG46"")"),11185)</f>
        <v>11185</v>
      </c>
      <c r="J561" s="193">
        <f t="shared" si="247"/>
        <v>11185</v>
      </c>
      <c r="K561" s="411">
        <f t="shared" ca="1" si="246"/>
        <v>100</v>
      </c>
      <c r="L561" s="163"/>
      <c r="M561" s="163"/>
      <c r="N561" s="163"/>
      <c r="O561" s="163"/>
      <c r="P561" s="163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</row>
    <row r="562" spans="1:26" ht="18.75">
      <c r="A562" s="608"/>
      <c r="B562" s="618"/>
      <c r="C562" s="618"/>
      <c r="D562" s="626" t="s">
        <v>237</v>
      </c>
      <c r="E562" s="626"/>
      <c r="F562" s="626"/>
      <c r="G562" s="762"/>
      <c r="H562" s="764" t="s">
        <v>46</v>
      </c>
      <c r="I562" s="184"/>
      <c r="J562" s="215">
        <v>51083</v>
      </c>
      <c r="K562" s="163"/>
      <c r="L562" s="163"/>
      <c r="M562" s="163"/>
      <c r="N562" s="163"/>
      <c r="O562" s="163"/>
      <c r="P562" s="163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</row>
    <row r="563" spans="1:26" ht="18.75">
      <c r="A563" s="608"/>
      <c r="B563" s="618"/>
      <c r="C563" s="618"/>
      <c r="D563" s="618"/>
      <c r="E563" s="626"/>
      <c r="F563" s="626"/>
      <c r="G563" s="762"/>
      <c r="H563" s="764" t="s">
        <v>34</v>
      </c>
      <c r="I563" s="184"/>
      <c r="J563" s="215">
        <v>8859</v>
      </c>
      <c r="K563" s="163"/>
      <c r="L563" s="163"/>
      <c r="M563" s="163"/>
      <c r="N563" s="163"/>
      <c r="O563" s="163"/>
      <c r="P563" s="163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</row>
    <row r="564" spans="1:26" ht="18.75">
      <c r="A564" s="608"/>
      <c r="B564" s="618"/>
      <c r="C564" s="618"/>
      <c r="D564" s="626" t="s">
        <v>238</v>
      </c>
      <c r="E564" s="626"/>
      <c r="F564" s="626"/>
      <c r="G564" s="762"/>
      <c r="H564" s="764" t="s">
        <v>46</v>
      </c>
      <c r="I564" s="184"/>
      <c r="J564" s="215">
        <v>18673</v>
      </c>
      <c r="K564" s="163"/>
      <c r="L564" s="163"/>
      <c r="M564" s="163"/>
      <c r="N564" s="163"/>
      <c r="O564" s="163"/>
      <c r="P564" s="163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</row>
    <row r="565" spans="1:26" ht="18.75">
      <c r="A565" s="608"/>
      <c r="B565" s="618"/>
      <c r="C565" s="618"/>
      <c r="D565" s="626"/>
      <c r="E565" s="626"/>
      <c r="F565" s="626"/>
      <c r="G565" s="762"/>
      <c r="H565" s="764" t="s">
        <v>34</v>
      </c>
      <c r="I565" s="184"/>
      <c r="J565" s="215">
        <v>1845</v>
      </c>
      <c r="K565" s="163"/>
      <c r="L565" s="163"/>
      <c r="M565" s="163"/>
      <c r="N565" s="163"/>
      <c r="O565" s="163"/>
      <c r="P565" s="163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</row>
    <row r="566" spans="1:26" ht="18.75">
      <c r="A566" s="608"/>
      <c r="B566" s="618"/>
      <c r="C566" s="618"/>
      <c r="D566" s="626" t="s">
        <v>239</v>
      </c>
      <c r="E566" s="626"/>
      <c r="F566" s="626"/>
      <c r="G566" s="762"/>
      <c r="H566" s="764" t="s">
        <v>46</v>
      </c>
      <c r="I566" s="184"/>
      <c r="J566" s="215">
        <v>3400</v>
      </c>
      <c r="K566" s="163"/>
      <c r="L566" s="163"/>
      <c r="M566" s="163"/>
      <c r="N566" s="163"/>
      <c r="O566" s="163"/>
      <c r="P566" s="163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</row>
    <row r="567" spans="1:26" ht="18.75">
      <c r="A567" s="608"/>
      <c r="B567" s="618"/>
      <c r="C567" s="618"/>
      <c r="D567" s="626"/>
      <c r="E567" s="626"/>
      <c r="F567" s="626"/>
      <c r="G567" s="762"/>
      <c r="H567" s="764" t="s">
        <v>34</v>
      </c>
      <c r="I567" s="184"/>
      <c r="J567" s="215">
        <v>481</v>
      </c>
      <c r="K567" s="163"/>
      <c r="L567" s="163"/>
      <c r="M567" s="163"/>
      <c r="N567" s="163"/>
      <c r="O567" s="163"/>
      <c r="P567" s="163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</row>
    <row r="568" spans="1:26" ht="19.5">
      <c r="A568" s="608"/>
      <c r="B568" s="618"/>
      <c r="C568" s="625" t="s">
        <v>240</v>
      </c>
      <c r="D568" s="626"/>
      <c r="E568" s="626"/>
      <c r="F568" s="626"/>
      <c r="G568" s="762"/>
      <c r="H568" s="767" t="s">
        <v>46</v>
      </c>
      <c r="I568" s="193">
        <f ca="1">IFERROR(__xludf.DUMMYFUNCTION("IMPORTRANGE(""https://docs.google.com/spreadsheets/d/1QqKyyYR6Q21VydFLVH3TRQUabQu_ym0Zz7PgGX0-kHA/edit?usp=sharing"",""แผน!HH46"")"),73156.0475)</f>
        <v>73156.047500000001</v>
      </c>
      <c r="J568" s="681">
        <f t="shared" ref="J568:J569" si="248">J570+J572+J574</f>
        <v>73157</v>
      </c>
      <c r="K568" s="411">
        <f t="shared" ref="K568:K569" ca="1" si="249">IF(I568&gt;0,J568*100/I568,0)</f>
        <v>100.00130201129305</v>
      </c>
      <c r="L568" s="163"/>
      <c r="M568" s="163"/>
      <c r="N568" s="163"/>
      <c r="O568" s="163"/>
      <c r="P568" s="163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</row>
    <row r="569" spans="1:26" ht="19.5">
      <c r="A569" s="608"/>
      <c r="B569" s="618"/>
      <c r="C569" s="618"/>
      <c r="D569" s="618"/>
      <c r="E569" s="626"/>
      <c r="F569" s="626"/>
      <c r="G569" s="762"/>
      <c r="H569" s="767" t="s">
        <v>34</v>
      </c>
      <c r="I569" s="193">
        <f ca="1">IFERROR(__xludf.DUMMYFUNCTION("IMPORTRANGE(""https://docs.google.com/spreadsheets/d/1QqKyyYR6Q21VydFLVH3TRQUabQu_ym0Zz7PgGX0-kHA/edit?usp=sharing"",""แผน!HG46"")"),11185)</f>
        <v>11185</v>
      </c>
      <c r="J569" s="681">
        <f t="shared" si="248"/>
        <v>11185</v>
      </c>
      <c r="K569" s="411">
        <f t="shared" ca="1" si="249"/>
        <v>100</v>
      </c>
      <c r="L569" s="163"/>
      <c r="M569" s="163"/>
      <c r="N569" s="163"/>
      <c r="O569" s="163"/>
      <c r="P569" s="163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</row>
    <row r="570" spans="1:26" ht="18.75">
      <c r="A570" s="608"/>
      <c r="B570" s="618"/>
      <c r="C570" s="618"/>
      <c r="D570" s="626" t="s">
        <v>241</v>
      </c>
      <c r="E570" s="618"/>
      <c r="F570" s="626"/>
      <c r="G570" s="762"/>
      <c r="H570" s="764" t="s">
        <v>46</v>
      </c>
      <c r="I570" s="184"/>
      <c r="J570" s="215">
        <v>56914</v>
      </c>
      <c r="K570" s="163"/>
      <c r="L570" s="163"/>
      <c r="M570" s="163"/>
      <c r="N570" s="163"/>
      <c r="O570" s="163"/>
      <c r="P570" s="163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</row>
    <row r="571" spans="1:26" ht="18.75">
      <c r="A571" s="608"/>
      <c r="B571" s="618"/>
      <c r="C571" s="618"/>
      <c r="D571" s="618"/>
      <c r="E571" s="626"/>
      <c r="F571" s="626"/>
      <c r="G571" s="762"/>
      <c r="H571" s="764" t="s">
        <v>34</v>
      </c>
      <c r="I571" s="184"/>
      <c r="J571" s="215">
        <v>9466</v>
      </c>
      <c r="K571" s="163"/>
      <c r="L571" s="163"/>
      <c r="M571" s="163"/>
      <c r="N571" s="163"/>
      <c r="O571" s="163"/>
      <c r="P571" s="163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</row>
    <row r="572" spans="1:26" ht="18.75">
      <c r="A572" s="608"/>
      <c r="B572" s="618"/>
      <c r="C572" s="618"/>
      <c r="D572" s="626" t="s">
        <v>242</v>
      </c>
      <c r="E572" s="626"/>
      <c r="F572" s="626"/>
      <c r="G572" s="762"/>
      <c r="H572" s="764" t="s">
        <v>46</v>
      </c>
      <c r="I572" s="184"/>
      <c r="J572" s="215">
        <v>12055</v>
      </c>
      <c r="K572" s="163"/>
      <c r="L572" s="163"/>
      <c r="M572" s="163"/>
      <c r="N572" s="163"/>
      <c r="O572" s="163"/>
      <c r="P572" s="163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</row>
    <row r="573" spans="1:26" ht="18.75">
      <c r="A573" s="608"/>
      <c r="B573" s="618"/>
      <c r="C573" s="618"/>
      <c r="D573" s="626"/>
      <c r="E573" s="626"/>
      <c r="F573" s="626"/>
      <c r="G573" s="762"/>
      <c r="H573" s="764" t="s">
        <v>34</v>
      </c>
      <c r="I573" s="184"/>
      <c r="J573" s="215">
        <v>1158</v>
      </c>
      <c r="K573" s="163"/>
      <c r="L573" s="163"/>
      <c r="M573" s="163"/>
      <c r="N573" s="163"/>
      <c r="O573" s="163"/>
      <c r="P573" s="163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</row>
    <row r="574" spans="1:26" ht="18.75">
      <c r="A574" s="608"/>
      <c r="B574" s="618"/>
      <c r="C574" s="618"/>
      <c r="D574" s="626" t="s">
        <v>243</v>
      </c>
      <c r="E574" s="626"/>
      <c r="F574" s="626"/>
      <c r="G574" s="762"/>
      <c r="H574" s="764" t="s">
        <v>46</v>
      </c>
      <c r="I574" s="184"/>
      <c r="J574" s="215">
        <v>4188</v>
      </c>
      <c r="K574" s="163"/>
      <c r="L574" s="163"/>
      <c r="M574" s="163"/>
      <c r="N574" s="163"/>
      <c r="O574" s="163"/>
      <c r="P574" s="163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</row>
    <row r="575" spans="1:26" ht="18.75">
      <c r="A575" s="608"/>
      <c r="B575" s="618"/>
      <c r="C575" s="618"/>
      <c r="D575" s="618"/>
      <c r="E575" s="626"/>
      <c r="F575" s="626"/>
      <c r="G575" s="762"/>
      <c r="H575" s="764" t="s">
        <v>34</v>
      </c>
      <c r="I575" s="184"/>
      <c r="J575" s="215">
        <v>561</v>
      </c>
      <c r="K575" s="163"/>
      <c r="L575" s="163"/>
      <c r="M575" s="163"/>
      <c r="N575" s="163"/>
      <c r="O575" s="163"/>
      <c r="P575" s="163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</row>
    <row r="576" spans="1:26" ht="19.5">
      <c r="A576" s="608"/>
      <c r="B576" s="618"/>
      <c r="C576" s="625" t="s">
        <v>244</v>
      </c>
      <c r="D576" s="618"/>
      <c r="E576" s="618"/>
      <c r="F576" s="626"/>
      <c r="G576" s="762"/>
      <c r="H576" s="767" t="s">
        <v>46</v>
      </c>
      <c r="I576" s="193">
        <f ca="1">IFERROR(__xludf.DUMMYFUNCTION("IMPORTRANGE(""https://docs.google.com/spreadsheets/d/1QqKyyYR6Q21VydFLVH3TRQUabQu_ym0Zz7PgGX0-kHA/edit?usp=sharing"",""แผน!HH46"")"),73156.0475)</f>
        <v>73156.047500000001</v>
      </c>
      <c r="J576" s="681">
        <f t="shared" ref="J576:J577" si="250">J578+J580+J582+J588+J590</f>
        <v>73156.047500000001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</row>
    <row r="577" spans="1:26" ht="19.5">
      <c r="A577" s="608"/>
      <c r="B577" s="618"/>
      <c r="C577" s="618"/>
      <c r="D577" s="618"/>
      <c r="E577" s="626"/>
      <c r="F577" s="626"/>
      <c r="G577" s="762"/>
      <c r="H577" s="767" t="s">
        <v>34</v>
      </c>
      <c r="I577" s="193">
        <f ca="1">IFERROR(__xludf.DUMMYFUNCTION("IMPORTRANGE(""https://docs.google.com/spreadsheets/d/1QqKyyYR6Q21VydFLVH3TRQUabQu_ym0Zz7PgGX0-kHA/edit?usp=sharing"",""แผน!HG46"")"),11185)</f>
        <v>11185</v>
      </c>
      <c r="J577" s="681">
        <f t="shared" si="250"/>
        <v>11185</v>
      </c>
      <c r="K577" s="411">
        <f t="shared" ca="1" si="251"/>
        <v>100</v>
      </c>
      <c r="L577" s="163"/>
      <c r="M577" s="163"/>
      <c r="N577" s="163"/>
      <c r="O577" s="163"/>
      <c r="P577" s="163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</row>
    <row r="578" spans="1:26" ht="18.75">
      <c r="A578" s="608"/>
      <c r="B578" s="618"/>
      <c r="C578" s="618"/>
      <c r="D578" s="626" t="s">
        <v>245</v>
      </c>
      <c r="E578" s="626"/>
      <c r="F578" s="626"/>
      <c r="G578" s="762"/>
      <c r="H578" s="764" t="s">
        <v>46</v>
      </c>
      <c r="I578" s="184"/>
      <c r="J578" s="215">
        <v>65022.182500000003</v>
      </c>
      <c r="K578" s="163"/>
      <c r="L578" s="163"/>
      <c r="M578" s="163"/>
      <c r="N578" s="163"/>
      <c r="O578" s="163"/>
      <c r="P578" s="163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</row>
    <row r="579" spans="1:26" ht="18.75">
      <c r="A579" s="608"/>
      <c r="B579" s="618"/>
      <c r="C579" s="618"/>
      <c r="D579" s="618"/>
      <c r="E579" s="626"/>
      <c r="F579" s="626"/>
      <c r="G579" s="762"/>
      <c r="H579" s="764" t="s">
        <v>34</v>
      </c>
      <c r="I579" s="184"/>
      <c r="J579" s="215">
        <v>10225</v>
      </c>
      <c r="K579" s="163"/>
      <c r="L579" s="163"/>
      <c r="M579" s="163"/>
      <c r="N579" s="163"/>
      <c r="O579" s="163"/>
      <c r="P579" s="163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</row>
    <row r="580" spans="1:26" ht="18.75">
      <c r="A580" s="608"/>
      <c r="B580" s="618"/>
      <c r="C580" s="618"/>
      <c r="D580" s="626" t="s">
        <v>246</v>
      </c>
      <c r="E580" s="626"/>
      <c r="F580" s="626"/>
      <c r="G580" s="762"/>
      <c r="H580" s="764" t="s">
        <v>46</v>
      </c>
      <c r="I580" s="184"/>
      <c r="J580" s="215">
        <v>13.04</v>
      </c>
      <c r="K580" s="163"/>
      <c r="L580" s="163"/>
      <c r="M580" s="163"/>
      <c r="N580" s="163"/>
      <c r="O580" s="163"/>
      <c r="P580" s="163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</row>
    <row r="581" spans="1:26" ht="18.75">
      <c r="A581" s="608"/>
      <c r="B581" s="618"/>
      <c r="C581" s="618"/>
      <c r="D581" s="618"/>
      <c r="E581" s="626"/>
      <c r="F581" s="626"/>
      <c r="G581" s="762"/>
      <c r="H581" s="764" t="s">
        <v>34</v>
      </c>
      <c r="I581" s="184"/>
      <c r="J581" s="215">
        <v>3</v>
      </c>
      <c r="K581" s="163"/>
      <c r="L581" s="163"/>
      <c r="M581" s="163"/>
      <c r="N581" s="163"/>
      <c r="O581" s="163"/>
      <c r="P581" s="163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</row>
    <row r="582" spans="1:26" ht="19.5">
      <c r="A582" s="608"/>
      <c r="B582" s="618"/>
      <c r="C582" s="618"/>
      <c r="D582" s="626" t="s">
        <v>247</v>
      </c>
      <c r="E582" s="626"/>
      <c r="F582" s="626"/>
      <c r="G582" s="762"/>
      <c r="H582" s="764" t="s">
        <v>46</v>
      </c>
      <c r="I582" s="184"/>
      <c r="J582" s="681">
        <f t="shared" ref="J582:J583" si="252">J584+J586</f>
        <v>4930.0725000000002</v>
      </c>
      <c r="K582" s="411"/>
      <c r="L582" s="163"/>
      <c r="M582" s="163"/>
      <c r="N582" s="163"/>
      <c r="O582" s="163"/>
      <c r="P582" s="163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</row>
    <row r="583" spans="1:26" ht="19.5">
      <c r="A583" s="608"/>
      <c r="B583" s="618"/>
      <c r="C583" s="618"/>
      <c r="D583" s="618"/>
      <c r="E583" s="626"/>
      <c r="F583" s="626"/>
      <c r="G583" s="762"/>
      <c r="H583" s="764" t="s">
        <v>34</v>
      </c>
      <c r="I583" s="184"/>
      <c r="J583" s="681">
        <f t="shared" si="252"/>
        <v>631</v>
      </c>
      <c r="K583" s="411"/>
      <c r="L583" s="163"/>
      <c r="M583" s="163"/>
      <c r="N583" s="163"/>
      <c r="O583" s="163"/>
      <c r="P583" s="163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</row>
    <row r="584" spans="1:26" ht="18.75">
      <c r="A584" s="608"/>
      <c r="B584" s="618"/>
      <c r="C584" s="618"/>
      <c r="D584" s="618"/>
      <c r="E584" s="626" t="s">
        <v>248</v>
      </c>
      <c r="F584" s="626"/>
      <c r="G584" s="762"/>
      <c r="H584" s="764" t="s">
        <v>46</v>
      </c>
      <c r="I584" s="184"/>
      <c r="J584" s="215">
        <v>4926.8100000000004</v>
      </c>
      <c r="K584" s="163"/>
      <c r="L584" s="163"/>
      <c r="M584" s="163"/>
      <c r="N584" s="163"/>
      <c r="O584" s="163"/>
      <c r="P584" s="163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</row>
    <row r="585" spans="1:26" ht="18.75">
      <c r="A585" s="608"/>
      <c r="B585" s="618"/>
      <c r="C585" s="618"/>
      <c r="D585" s="618"/>
      <c r="E585" s="626"/>
      <c r="F585" s="626"/>
      <c r="G585" s="762"/>
      <c r="H585" s="764" t="s">
        <v>34</v>
      </c>
      <c r="I585" s="184"/>
      <c r="J585" s="215">
        <v>630</v>
      </c>
      <c r="K585" s="163"/>
      <c r="L585" s="163"/>
      <c r="M585" s="163"/>
      <c r="N585" s="163"/>
      <c r="O585" s="163"/>
      <c r="P585" s="163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</row>
    <row r="586" spans="1:26" ht="18.75">
      <c r="A586" s="608"/>
      <c r="B586" s="618"/>
      <c r="C586" s="618"/>
      <c r="D586" s="618"/>
      <c r="E586" s="626" t="s">
        <v>249</v>
      </c>
      <c r="F586" s="626"/>
      <c r="G586" s="762"/>
      <c r="H586" s="764" t="s">
        <v>46</v>
      </c>
      <c r="I586" s="184"/>
      <c r="J586" s="215">
        <v>3.2625000000000002</v>
      </c>
      <c r="K586" s="163"/>
      <c r="L586" s="163"/>
      <c r="M586" s="163"/>
      <c r="N586" s="163"/>
      <c r="O586" s="163"/>
      <c r="P586" s="163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</row>
    <row r="587" spans="1:26" ht="18.75">
      <c r="A587" s="608"/>
      <c r="B587" s="618"/>
      <c r="C587" s="618"/>
      <c r="D587" s="618"/>
      <c r="E587" s="618"/>
      <c r="F587" s="626"/>
      <c r="G587" s="762"/>
      <c r="H587" s="764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</row>
    <row r="588" spans="1:26" ht="18.75">
      <c r="A588" s="608"/>
      <c r="B588" s="618"/>
      <c r="C588" s="618"/>
      <c r="D588" s="626" t="s">
        <v>250</v>
      </c>
      <c r="E588" s="626"/>
      <c r="F588" s="626"/>
      <c r="G588" s="762"/>
      <c r="H588" s="764" t="s">
        <v>46</v>
      </c>
      <c r="I588" s="184"/>
      <c r="J588" s="215">
        <v>3190.7525000000001</v>
      </c>
      <c r="K588" s="163"/>
      <c r="L588" s="163"/>
      <c r="M588" s="163"/>
      <c r="N588" s="163"/>
      <c r="O588" s="163"/>
      <c r="P588" s="163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</row>
    <row r="589" spans="1:26" ht="18.75">
      <c r="A589" s="608"/>
      <c r="B589" s="618"/>
      <c r="C589" s="618"/>
      <c r="D589" s="618"/>
      <c r="E589" s="618"/>
      <c r="F589" s="626"/>
      <c r="G589" s="762"/>
      <c r="H589" s="764" t="s">
        <v>34</v>
      </c>
      <c r="I589" s="184"/>
      <c r="J589" s="215">
        <v>326</v>
      </c>
      <c r="K589" s="163"/>
      <c r="L589" s="163"/>
      <c r="M589" s="163"/>
      <c r="N589" s="163"/>
      <c r="O589" s="163"/>
      <c r="P589" s="163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</row>
    <row r="590" spans="1:26" ht="18.75">
      <c r="A590" s="608"/>
      <c r="B590" s="618"/>
      <c r="C590" s="618"/>
      <c r="D590" s="626" t="s">
        <v>251</v>
      </c>
      <c r="E590" s="626"/>
      <c r="F590" s="626"/>
      <c r="G590" s="762"/>
      <c r="H590" s="76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</row>
    <row r="591" spans="1:26" ht="18.75">
      <c r="A591" s="696"/>
      <c r="B591" s="697"/>
      <c r="C591" s="697"/>
      <c r="D591" s="697"/>
      <c r="E591" s="578"/>
      <c r="F591" s="578"/>
      <c r="G591" s="698"/>
      <c r="H591" s="699" t="s">
        <v>34</v>
      </c>
      <c r="I591" s="700"/>
      <c r="J591" s="701">
        <v>0</v>
      </c>
      <c r="K591" s="702"/>
      <c r="L591" s="702"/>
      <c r="M591" s="702"/>
      <c r="N591" s="702"/>
      <c r="O591" s="702"/>
      <c r="P591" s="702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</row>
    <row r="592" spans="1:26" ht="19.5">
      <c r="A592" s="692"/>
      <c r="B592" s="693" t="s">
        <v>252</v>
      </c>
      <c r="C592" s="694"/>
      <c r="D592" s="694"/>
      <c r="E592" s="673"/>
      <c r="F592" s="673"/>
      <c r="G592" s="674"/>
      <c r="H592" s="695" t="s">
        <v>46</v>
      </c>
      <c r="I592" s="703">
        <f t="shared" ref="I592:J592" ca="1" si="253">I593</f>
        <v>4240.6499999999996</v>
      </c>
      <c r="J592" s="708">
        <f t="shared" si="253"/>
        <v>4240.6524999999992</v>
      </c>
      <c r="K592" s="677">
        <f t="shared" ref="K592:K594" ca="1" si="254">IF(I592&gt;0,J592*100/I592,0)</f>
        <v>100.0000589532265</v>
      </c>
      <c r="L592" s="678"/>
      <c r="M592" s="678"/>
      <c r="N592" s="678"/>
      <c r="O592" s="678"/>
      <c r="P592" s="6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</row>
    <row r="593" spans="1:26" ht="19.5">
      <c r="A593" s="608"/>
      <c r="B593" s="618"/>
      <c r="C593" s="625" t="s">
        <v>253</v>
      </c>
      <c r="D593" s="618"/>
      <c r="E593" s="618"/>
      <c r="F593" s="626"/>
      <c r="G593" s="762"/>
      <c r="H593" s="767" t="s">
        <v>46</v>
      </c>
      <c r="I593" s="704">
        <f ca="1">IFERROR(__xludf.DUMMYFUNCTION("IMPORTRANGE(""https://docs.google.com/spreadsheets/d/1QqKyyYR6Q21VydFLVH3TRQUabQu_ym0Zz7PgGX0-kHA/edit?usp=sharing"",""แผน!HJ46"")"),4240.65)</f>
        <v>4240.6499999999996</v>
      </c>
      <c r="J593" s="193">
        <f t="shared" ref="J593:J594" si="255">J595+J603+J609</f>
        <v>4240.6524999999992</v>
      </c>
      <c r="K593" s="411">
        <f t="shared" ca="1" si="254"/>
        <v>100.0000589532265</v>
      </c>
      <c r="L593" s="163"/>
      <c r="M593" s="163"/>
      <c r="N593" s="163"/>
      <c r="O593" s="163"/>
      <c r="P593" s="163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</row>
    <row r="594" spans="1:26" ht="19.5">
      <c r="A594" s="608"/>
      <c r="B594" s="618"/>
      <c r="C594" s="618"/>
      <c r="D594" s="618"/>
      <c r="E594" s="626"/>
      <c r="F594" s="626"/>
      <c r="G594" s="762"/>
      <c r="H594" s="767" t="s">
        <v>34</v>
      </c>
      <c r="I594" s="193">
        <f ca="1">IFERROR(__xludf.DUMMYFUNCTION("IMPORTRANGE(""https://docs.google.com/spreadsheets/d/1QqKyyYR6Q21VydFLVH3TRQUabQu_ym0Zz7PgGX0-kHA/edit?usp=sharing"",""แผน!HI46"")"),384)</f>
        <v>384</v>
      </c>
      <c r="J594" s="193">
        <f t="shared" si="255"/>
        <v>384</v>
      </c>
      <c r="K594" s="411">
        <f t="shared" ca="1" si="254"/>
        <v>100</v>
      </c>
      <c r="L594" s="163"/>
      <c r="M594" s="163"/>
      <c r="N594" s="163"/>
      <c r="O594" s="163"/>
      <c r="P594" s="163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</row>
    <row r="595" spans="1:26" ht="18.75">
      <c r="A595" s="608"/>
      <c r="B595" s="618"/>
      <c r="C595" s="618" t="s">
        <v>254</v>
      </c>
      <c r="D595" s="618"/>
      <c r="E595" s="618"/>
      <c r="F595" s="626"/>
      <c r="G595" s="762"/>
      <c r="H595" s="764" t="s">
        <v>46</v>
      </c>
      <c r="I595" s="184"/>
      <c r="J595" s="184">
        <f t="shared" ref="J595:J596" si="256">J597+J599</f>
        <v>2172.7950000000001</v>
      </c>
      <c r="K595" s="163"/>
      <c r="L595" s="163"/>
      <c r="M595" s="163"/>
      <c r="N595" s="163"/>
      <c r="O595" s="163"/>
      <c r="P595" s="163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</row>
    <row r="596" spans="1:26" ht="18.75">
      <c r="A596" s="608"/>
      <c r="B596" s="618"/>
      <c r="C596" s="618"/>
      <c r="D596" s="618"/>
      <c r="E596" s="626"/>
      <c r="F596" s="626"/>
      <c r="G596" s="762"/>
      <c r="H596" s="764" t="s">
        <v>34</v>
      </c>
      <c r="I596" s="184"/>
      <c r="J596" s="184">
        <f t="shared" si="256"/>
        <v>244</v>
      </c>
      <c r="K596" s="163"/>
      <c r="L596" s="163"/>
      <c r="M596" s="163"/>
      <c r="N596" s="163"/>
      <c r="O596" s="163"/>
      <c r="P596" s="163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</row>
    <row r="597" spans="1:26" ht="18.75">
      <c r="A597" s="608"/>
      <c r="B597" s="618"/>
      <c r="C597" s="618"/>
      <c r="D597" s="746" t="s">
        <v>255</v>
      </c>
      <c r="E597" s="626"/>
      <c r="F597" s="626"/>
      <c r="G597" s="762"/>
      <c r="H597" s="764" t="s">
        <v>46</v>
      </c>
      <c r="I597" s="184"/>
      <c r="J597" s="215">
        <v>726.21249999999998</v>
      </c>
      <c r="K597" s="163"/>
      <c r="L597" s="163"/>
      <c r="M597" s="163"/>
      <c r="N597" s="163"/>
      <c r="O597" s="163"/>
      <c r="P597" s="163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</row>
    <row r="598" spans="1:26" ht="18.75">
      <c r="A598" s="608"/>
      <c r="B598" s="618"/>
      <c r="C598" s="618"/>
      <c r="D598" s="618"/>
      <c r="E598" s="626"/>
      <c r="F598" s="626"/>
      <c r="G598" s="762"/>
      <c r="H598" s="764" t="s">
        <v>34</v>
      </c>
      <c r="I598" s="270"/>
      <c r="J598" s="215">
        <v>85</v>
      </c>
      <c r="K598" s="163"/>
      <c r="L598" s="163"/>
      <c r="M598" s="163"/>
      <c r="N598" s="163"/>
      <c r="O598" s="163"/>
      <c r="P598" s="163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</row>
    <row r="599" spans="1:26" ht="18.75">
      <c r="A599" s="608"/>
      <c r="B599" s="618"/>
      <c r="C599" s="618"/>
      <c r="D599" s="746" t="s">
        <v>256</v>
      </c>
      <c r="E599" s="626"/>
      <c r="F599" s="626"/>
      <c r="G599" s="762"/>
      <c r="H599" s="764" t="s">
        <v>46</v>
      </c>
      <c r="I599" s="270"/>
      <c r="J599" s="215">
        <v>1446.5825</v>
      </c>
      <c r="K599" s="163"/>
      <c r="L599" s="163"/>
      <c r="M599" s="163"/>
      <c r="N599" s="163"/>
      <c r="O599" s="163"/>
      <c r="P599" s="163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</row>
    <row r="600" spans="1:26" ht="18.75">
      <c r="A600" s="608"/>
      <c r="B600" s="618"/>
      <c r="C600" s="618"/>
      <c r="D600" s="618"/>
      <c r="E600" s="626"/>
      <c r="F600" s="626"/>
      <c r="G600" s="762"/>
      <c r="H600" s="764" t="s">
        <v>34</v>
      </c>
      <c r="I600" s="270"/>
      <c r="J600" s="215">
        <v>159</v>
      </c>
      <c r="K600" s="163"/>
      <c r="L600" s="163"/>
      <c r="M600" s="163"/>
      <c r="N600" s="163"/>
      <c r="O600" s="163"/>
      <c r="P600" s="163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</row>
    <row r="601" spans="1:26" ht="18.75">
      <c r="A601" s="608"/>
      <c r="B601" s="618"/>
      <c r="C601" s="618"/>
      <c r="D601" s="746" t="s">
        <v>257</v>
      </c>
      <c r="E601" s="626"/>
      <c r="F601" s="626"/>
      <c r="G601" s="762"/>
      <c r="H601" s="76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</row>
    <row r="602" spans="1:26" ht="18.75">
      <c r="A602" s="608"/>
      <c r="B602" s="618"/>
      <c r="C602" s="618"/>
      <c r="D602" s="618"/>
      <c r="E602" s="626"/>
      <c r="F602" s="626"/>
      <c r="G602" s="762"/>
      <c r="H602" s="76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</row>
    <row r="603" spans="1:26" ht="18.75">
      <c r="A603" s="608"/>
      <c r="B603" s="618"/>
      <c r="C603" s="705" t="s">
        <v>258</v>
      </c>
      <c r="D603" s="618"/>
      <c r="E603" s="618"/>
      <c r="F603" s="626"/>
      <c r="G603" s="762"/>
      <c r="H603" s="764" t="s">
        <v>46</v>
      </c>
      <c r="I603" s="270"/>
      <c r="J603" s="270">
        <f t="shared" ref="J603:J604" si="257">J605+J607</f>
        <v>2062.2649999999999</v>
      </c>
      <c r="K603" s="163"/>
      <c r="L603" s="163"/>
      <c r="M603" s="163"/>
      <c r="N603" s="163"/>
      <c r="O603" s="163"/>
      <c r="P603" s="163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</row>
    <row r="604" spans="1:26" ht="18.75">
      <c r="A604" s="608"/>
      <c r="B604" s="618"/>
      <c r="C604" s="618"/>
      <c r="D604" s="618"/>
      <c r="E604" s="626"/>
      <c r="F604" s="626"/>
      <c r="G604" s="762"/>
      <c r="H604" s="764" t="s">
        <v>34</v>
      </c>
      <c r="I604" s="270"/>
      <c r="J604" s="270">
        <f t="shared" si="257"/>
        <v>139</v>
      </c>
      <c r="K604" s="163"/>
      <c r="L604" s="163"/>
      <c r="M604" s="163"/>
      <c r="N604" s="163"/>
      <c r="O604" s="163"/>
      <c r="P604" s="163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</row>
    <row r="605" spans="1:26" ht="18.75">
      <c r="A605" s="608"/>
      <c r="B605" s="618"/>
      <c r="C605" s="618"/>
      <c r="D605" s="705" t="s">
        <v>259</v>
      </c>
      <c r="E605" s="626"/>
      <c r="F605" s="626"/>
      <c r="G605" s="762"/>
      <c r="H605" s="764" t="s">
        <v>46</v>
      </c>
      <c r="I605" s="270"/>
      <c r="J605" s="215">
        <v>1730.3225</v>
      </c>
      <c r="K605" s="163"/>
      <c r="L605" s="163"/>
      <c r="M605" s="163"/>
      <c r="N605" s="163"/>
      <c r="O605" s="163"/>
      <c r="P605" s="163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</row>
    <row r="606" spans="1:26" ht="18.75">
      <c r="A606" s="608"/>
      <c r="B606" s="618"/>
      <c r="C606" s="618"/>
      <c r="D606" s="618"/>
      <c r="E606" s="618"/>
      <c r="F606" s="626"/>
      <c r="G606" s="762"/>
      <c r="H606" s="764" t="s">
        <v>34</v>
      </c>
      <c r="I606" s="270"/>
      <c r="J606" s="215">
        <v>113</v>
      </c>
      <c r="K606" s="163"/>
      <c r="L606" s="163"/>
      <c r="M606" s="163"/>
      <c r="N606" s="163"/>
      <c r="O606" s="163"/>
      <c r="P606" s="163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</row>
    <row r="607" spans="1:26" ht="18.75">
      <c r="A607" s="608"/>
      <c r="B607" s="618"/>
      <c r="C607" s="618"/>
      <c r="D607" s="705" t="s">
        <v>260</v>
      </c>
      <c r="E607" s="618"/>
      <c r="F607" s="626"/>
      <c r="G607" s="762"/>
      <c r="H607" s="764" t="s">
        <v>46</v>
      </c>
      <c r="I607" s="270"/>
      <c r="J607" s="215">
        <v>331.9425</v>
      </c>
      <c r="K607" s="163"/>
      <c r="L607" s="163"/>
      <c r="M607" s="163"/>
      <c r="N607" s="163"/>
      <c r="O607" s="163"/>
      <c r="P607" s="163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</row>
    <row r="608" spans="1:26" ht="18.75">
      <c r="A608" s="608"/>
      <c r="B608" s="618"/>
      <c r="C608" s="618"/>
      <c r="D608" s="618"/>
      <c r="E608" s="626"/>
      <c r="F608" s="626"/>
      <c r="G608" s="762"/>
      <c r="H608" s="764" t="s">
        <v>34</v>
      </c>
      <c r="I608" s="270"/>
      <c r="J608" s="215">
        <v>26</v>
      </c>
      <c r="K608" s="163"/>
      <c r="L608" s="163"/>
      <c r="M608" s="163"/>
      <c r="N608" s="163"/>
      <c r="O608" s="163"/>
      <c r="P608" s="163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</row>
    <row r="609" spans="1:26" ht="18.75">
      <c r="A609" s="608"/>
      <c r="B609" s="618"/>
      <c r="C609" s="618" t="s">
        <v>261</v>
      </c>
      <c r="D609" s="618"/>
      <c r="E609" s="618"/>
      <c r="F609" s="626"/>
      <c r="G609" s="762"/>
      <c r="H609" s="764" t="s">
        <v>46</v>
      </c>
      <c r="I609" s="270"/>
      <c r="J609" s="215">
        <v>5.5925000000000002</v>
      </c>
      <c r="K609" s="163"/>
      <c r="L609" s="163"/>
      <c r="M609" s="163"/>
      <c r="N609" s="163"/>
      <c r="O609" s="163"/>
      <c r="P609" s="163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</row>
    <row r="610" spans="1:26" ht="18.75">
      <c r="A610" s="608"/>
      <c r="B610" s="618"/>
      <c r="C610" s="618"/>
      <c r="D610" s="618"/>
      <c r="E610" s="626"/>
      <c r="F610" s="626"/>
      <c r="G610" s="762"/>
      <c r="H610" s="764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</row>
    <row r="611" spans="1:26" ht="19.5">
      <c r="A611" s="692"/>
      <c r="B611" s="706" t="s">
        <v>262</v>
      </c>
      <c r="C611" s="694"/>
      <c r="D611" s="694"/>
      <c r="E611" s="673"/>
      <c r="F611" s="673"/>
      <c r="G611" s="674"/>
      <c r="H611" s="707" t="s">
        <v>46</v>
      </c>
      <c r="I611" s="708">
        <v>0</v>
      </c>
      <c r="J611" s="708">
        <f>J614+J616</f>
        <v>0</v>
      </c>
      <c r="K611" s="677">
        <f t="shared" ref="K611:K613" si="258">IF(I611&gt;0,J611*100/I611,0)</f>
        <v>0</v>
      </c>
      <c r="L611" s="678"/>
      <c r="M611" s="678"/>
      <c r="N611" s="678"/>
      <c r="O611" s="678"/>
      <c r="P611" s="6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</row>
    <row r="612" spans="1:26" ht="19.5" hidden="1">
      <c r="A612" s="709"/>
      <c r="B612" s="719"/>
      <c r="C612" s="711" t="s">
        <v>263</v>
      </c>
      <c r="D612" s="719"/>
      <c r="E612" s="719"/>
      <c r="F612" s="712"/>
      <c r="G612" s="713"/>
      <c r="H612" s="714" t="s">
        <v>46</v>
      </c>
      <c r="I612" s="716">
        <v>0</v>
      </c>
      <c r="J612" s="716">
        <f t="shared" ref="J612:J613" si="259">J614+J616</f>
        <v>0</v>
      </c>
      <c r="K612" s="717">
        <f t="shared" si="258"/>
        <v>0</v>
      </c>
      <c r="L612" s="718"/>
      <c r="M612" s="718"/>
      <c r="N612" s="718"/>
      <c r="O612" s="718"/>
      <c r="P612" s="718"/>
      <c r="Q612" s="604"/>
      <c r="R612" s="604"/>
      <c r="S612" s="604"/>
      <c r="T612" s="604"/>
      <c r="U612" s="604"/>
      <c r="V612" s="604"/>
      <c r="W612" s="604"/>
      <c r="X612" s="604"/>
      <c r="Y612" s="604"/>
      <c r="Z612" s="604"/>
    </row>
    <row r="613" spans="1:26" ht="19.5" hidden="1">
      <c r="A613" s="709"/>
      <c r="B613" s="719"/>
      <c r="C613" s="719" t="s">
        <v>264</v>
      </c>
      <c r="D613" s="719"/>
      <c r="E613" s="719"/>
      <c r="F613" s="712"/>
      <c r="G613" s="713"/>
      <c r="H613" s="714" t="s">
        <v>34</v>
      </c>
      <c r="I613" s="716">
        <v>0</v>
      </c>
      <c r="J613" s="716">
        <f t="shared" si="259"/>
        <v>0</v>
      </c>
      <c r="K613" s="717">
        <f t="shared" si="258"/>
        <v>0</v>
      </c>
      <c r="L613" s="718"/>
      <c r="M613" s="718"/>
      <c r="N613" s="718"/>
      <c r="O613" s="718"/>
      <c r="P613" s="718"/>
      <c r="Q613" s="604"/>
      <c r="R613" s="604"/>
      <c r="S613" s="604"/>
      <c r="T613" s="604"/>
      <c r="U613" s="604"/>
      <c r="V613" s="604"/>
      <c r="W613" s="604"/>
      <c r="X613" s="604"/>
      <c r="Y613" s="604"/>
      <c r="Z613" s="604"/>
    </row>
    <row r="614" spans="1:26" ht="18.75" hidden="1">
      <c r="A614" s="614"/>
      <c r="B614" s="616"/>
      <c r="C614" s="616"/>
      <c r="D614" s="720" t="s">
        <v>265</v>
      </c>
      <c r="E614" s="616"/>
      <c r="F614" s="720"/>
      <c r="G614" s="366"/>
      <c r="H614" s="370" t="s">
        <v>46</v>
      </c>
      <c r="I614" s="617"/>
      <c r="J614" s="617">
        <v>0</v>
      </c>
      <c r="K614" s="167"/>
      <c r="L614" s="167"/>
      <c r="M614" s="167"/>
      <c r="N614" s="167"/>
      <c r="O614" s="167"/>
      <c r="P614" s="167"/>
      <c r="Q614" s="604"/>
      <c r="R614" s="604"/>
      <c r="S614" s="604"/>
      <c r="T614" s="604"/>
      <c r="U614" s="604"/>
      <c r="V614" s="604"/>
      <c r="W614" s="604"/>
      <c r="X614" s="604"/>
      <c r="Y614" s="604"/>
      <c r="Z614" s="604"/>
    </row>
    <row r="615" spans="1:26" ht="18.75" hidden="1">
      <c r="A615" s="614"/>
      <c r="B615" s="616"/>
      <c r="C615" s="616"/>
      <c r="D615" s="616"/>
      <c r="E615" s="616"/>
      <c r="F615" s="720"/>
      <c r="G615" s="366"/>
      <c r="H615" s="370" t="s">
        <v>34</v>
      </c>
      <c r="I615" s="617"/>
      <c r="J615" s="617">
        <v>0</v>
      </c>
      <c r="K615" s="167"/>
      <c r="L615" s="167"/>
      <c r="M615" s="167"/>
      <c r="N615" s="167"/>
      <c r="O615" s="167"/>
      <c r="P615" s="167"/>
      <c r="Q615" s="604"/>
      <c r="R615" s="604"/>
      <c r="S615" s="604"/>
      <c r="T615" s="604"/>
      <c r="U615" s="604"/>
      <c r="V615" s="604"/>
      <c r="W615" s="604"/>
      <c r="X615" s="604"/>
      <c r="Y615" s="604"/>
      <c r="Z615" s="604"/>
    </row>
    <row r="616" spans="1:26" ht="18.75" hidden="1">
      <c r="A616" s="614"/>
      <c r="B616" s="616"/>
      <c r="C616" s="616"/>
      <c r="D616" s="721" t="s">
        <v>265</v>
      </c>
      <c r="E616" s="720"/>
      <c r="F616" s="720"/>
      <c r="G616" s="366"/>
      <c r="H616" s="370" t="s">
        <v>46</v>
      </c>
      <c r="I616" s="617"/>
      <c r="J616" s="617">
        <v>0</v>
      </c>
      <c r="K616" s="167"/>
      <c r="L616" s="167"/>
      <c r="M616" s="167"/>
      <c r="N616" s="167"/>
      <c r="O616" s="167"/>
      <c r="P616" s="167"/>
      <c r="Q616" s="604"/>
      <c r="R616" s="604"/>
      <c r="S616" s="604"/>
      <c r="T616" s="604"/>
      <c r="U616" s="604"/>
      <c r="V616" s="604"/>
      <c r="W616" s="604"/>
      <c r="X616" s="604"/>
      <c r="Y616" s="604"/>
      <c r="Z616" s="604"/>
    </row>
    <row r="617" spans="1:26" ht="18.75" hidden="1">
      <c r="A617" s="614"/>
      <c r="B617" s="616"/>
      <c r="C617" s="616"/>
      <c r="D617" s="616"/>
      <c r="E617" s="720"/>
      <c r="F617" s="720"/>
      <c r="G617" s="366"/>
      <c r="H617" s="370" t="s">
        <v>34</v>
      </c>
      <c r="I617" s="617"/>
      <c r="J617" s="617">
        <v>0</v>
      </c>
      <c r="K617" s="167"/>
      <c r="L617" s="167"/>
      <c r="M617" s="167"/>
      <c r="N617" s="167"/>
      <c r="O617" s="167"/>
      <c r="P617" s="167"/>
      <c r="Q617" s="604"/>
      <c r="R617" s="604"/>
      <c r="S617" s="604"/>
      <c r="T617" s="604"/>
      <c r="U617" s="604"/>
      <c r="V617" s="604"/>
      <c r="W617" s="604"/>
      <c r="X617" s="604"/>
      <c r="Y617" s="604"/>
      <c r="Z617" s="604"/>
    </row>
    <row r="618" spans="1:26" ht="18.75" hidden="1">
      <c r="A618" s="614"/>
      <c r="B618" s="616"/>
      <c r="C618" s="616"/>
      <c r="D618" s="721" t="s">
        <v>266</v>
      </c>
      <c r="E618" s="720"/>
      <c r="F618" s="720"/>
      <c r="G618" s="366"/>
      <c r="H618" s="370" t="s">
        <v>46</v>
      </c>
      <c r="I618" s="617"/>
      <c r="J618" s="617">
        <v>0</v>
      </c>
      <c r="K618" s="167"/>
      <c r="L618" s="167"/>
      <c r="M618" s="167"/>
      <c r="N618" s="167"/>
      <c r="O618" s="167"/>
      <c r="P618" s="167"/>
      <c r="Q618" s="604"/>
      <c r="R618" s="604"/>
      <c r="S618" s="604"/>
      <c r="T618" s="604"/>
      <c r="U618" s="604"/>
      <c r="V618" s="604"/>
      <c r="W618" s="604"/>
      <c r="X618" s="604"/>
      <c r="Y618" s="604"/>
      <c r="Z618" s="604"/>
    </row>
    <row r="619" spans="1:26" ht="18.75" hidden="1">
      <c r="A619" s="614"/>
      <c r="B619" s="616"/>
      <c r="C619" s="616"/>
      <c r="D619" s="616"/>
      <c r="E619" s="720"/>
      <c r="F619" s="720"/>
      <c r="G619" s="366"/>
      <c r="H619" s="370" t="s">
        <v>34</v>
      </c>
      <c r="I619" s="617"/>
      <c r="J619" s="617">
        <v>0</v>
      </c>
      <c r="K619" s="167"/>
      <c r="L619" s="167"/>
      <c r="M619" s="167"/>
      <c r="N619" s="167"/>
      <c r="O619" s="167"/>
      <c r="P619" s="167"/>
      <c r="Q619" s="604"/>
      <c r="R619" s="604"/>
      <c r="S619" s="604"/>
      <c r="T619" s="604"/>
      <c r="U619" s="604"/>
      <c r="V619" s="604"/>
      <c r="W619" s="604"/>
      <c r="X619" s="604"/>
      <c r="Y619" s="604"/>
      <c r="Z619" s="604"/>
    </row>
    <row r="620" spans="1:26" ht="19.5">
      <c r="A620" s="722"/>
      <c r="B620" s="731"/>
      <c r="C620" s="724" t="s">
        <v>267</v>
      </c>
      <c r="D620" s="731"/>
      <c r="E620" s="731"/>
      <c r="F620" s="725"/>
      <c r="G620" s="726"/>
      <c r="H620" s="727" t="s">
        <v>46</v>
      </c>
      <c r="I620" s="728">
        <f ca="1">IFERROR(__xludf.DUMMYFUNCTION("IMPORTRANGE(""https://docs.google.com/spreadsheets/d/1QqKyyYR6Q21VydFLVH3TRQUabQu_ym0Zz7PgGX0-kHA/edit?usp=sharing"",""แผน!HL46"")"),73)</f>
        <v>73</v>
      </c>
      <c r="J620" s="728">
        <f t="shared" ref="J620:J621" si="260">J622+J624+J626</f>
        <v>73</v>
      </c>
      <c r="K620" s="729">
        <f t="shared" ref="K620:K621" ca="1" si="261">IF(I620&gt;0,J620*100/I620,0)</f>
        <v>100</v>
      </c>
      <c r="L620" s="730"/>
      <c r="M620" s="730"/>
      <c r="N620" s="730"/>
      <c r="O620" s="730"/>
      <c r="P620" s="730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</row>
    <row r="621" spans="1:26" ht="19.5">
      <c r="A621" s="722"/>
      <c r="B621" s="731"/>
      <c r="C621" s="731" t="s">
        <v>268</v>
      </c>
      <c r="D621" s="731"/>
      <c r="E621" s="731"/>
      <c r="F621" s="725"/>
      <c r="G621" s="726"/>
      <c r="H621" s="727" t="s">
        <v>34</v>
      </c>
      <c r="I621" s="728">
        <f ca="1">IFERROR(__xludf.DUMMYFUNCTION("IMPORTRANGE(""https://docs.google.com/spreadsheets/d/1QqKyyYR6Q21VydFLVH3TRQUabQu_ym0Zz7PgGX0-kHA/edit?usp=sharing"",""แผน!HK46"")"),8)</f>
        <v>8</v>
      </c>
      <c r="J621" s="728">
        <f t="shared" si="260"/>
        <v>8</v>
      </c>
      <c r="K621" s="729">
        <f t="shared" ca="1" si="261"/>
        <v>100</v>
      </c>
      <c r="L621" s="730"/>
      <c r="M621" s="730"/>
      <c r="N621" s="730"/>
      <c r="O621" s="730"/>
      <c r="P621" s="730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</row>
    <row r="622" spans="1:26" ht="18.75">
      <c r="A622" s="608"/>
      <c r="B622" s="618"/>
      <c r="C622" s="618"/>
      <c r="D622" s="746" t="s">
        <v>269</v>
      </c>
      <c r="E622" s="626"/>
      <c r="F622" s="626"/>
      <c r="G622" s="762"/>
      <c r="H622" s="764" t="s">
        <v>46</v>
      </c>
      <c r="I622" s="270"/>
      <c r="J622" s="215">
        <v>29</v>
      </c>
      <c r="K622" s="163"/>
      <c r="L622" s="163"/>
      <c r="M622" s="163"/>
      <c r="N622" s="163"/>
      <c r="O622" s="163"/>
      <c r="P622" s="163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</row>
    <row r="623" spans="1:26" ht="18.75">
      <c r="A623" s="608"/>
      <c r="B623" s="618"/>
      <c r="C623" s="618"/>
      <c r="D623" s="618"/>
      <c r="E623" s="626"/>
      <c r="F623" s="626"/>
      <c r="G623" s="762"/>
      <c r="H623" s="764" t="s">
        <v>34</v>
      </c>
      <c r="I623" s="270"/>
      <c r="J623" s="215">
        <v>3</v>
      </c>
      <c r="K623" s="163"/>
      <c r="L623" s="163"/>
      <c r="M623" s="163"/>
      <c r="N623" s="163"/>
      <c r="O623" s="163"/>
      <c r="P623" s="163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</row>
    <row r="624" spans="1:26" ht="18.75">
      <c r="A624" s="608"/>
      <c r="B624" s="618"/>
      <c r="C624" s="618"/>
      <c r="D624" s="746" t="s">
        <v>265</v>
      </c>
      <c r="E624" s="626"/>
      <c r="F624" s="626"/>
      <c r="G624" s="762"/>
      <c r="H624" s="764" t="s">
        <v>46</v>
      </c>
      <c r="I624" s="270"/>
      <c r="J624" s="215">
        <v>44</v>
      </c>
      <c r="K624" s="163"/>
      <c r="L624" s="163"/>
      <c r="M624" s="163"/>
      <c r="N624" s="163"/>
      <c r="O624" s="163"/>
      <c r="P624" s="163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</row>
    <row r="625" spans="1:26" ht="18.75">
      <c r="A625" s="608"/>
      <c r="B625" s="618"/>
      <c r="C625" s="618"/>
      <c r="D625" s="618"/>
      <c r="E625" s="626"/>
      <c r="F625" s="626"/>
      <c r="G625" s="762"/>
      <c r="H625" s="764" t="s">
        <v>34</v>
      </c>
      <c r="I625" s="270"/>
      <c r="J625" s="215">
        <v>5</v>
      </c>
      <c r="K625" s="163"/>
      <c r="L625" s="163"/>
      <c r="M625" s="163"/>
      <c r="N625" s="163"/>
      <c r="O625" s="163"/>
      <c r="P625" s="163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</row>
    <row r="626" spans="1:26" ht="18.75">
      <c r="A626" s="608"/>
      <c r="B626" s="618"/>
      <c r="C626" s="618"/>
      <c r="D626" s="746" t="s">
        <v>270</v>
      </c>
      <c r="E626" s="626"/>
      <c r="F626" s="626"/>
      <c r="G626" s="762"/>
      <c r="H626" s="76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</row>
    <row r="627" spans="1:26" ht="18.75">
      <c r="A627" s="732"/>
      <c r="B627" s="733"/>
      <c r="C627" s="733"/>
      <c r="D627" s="733"/>
      <c r="E627" s="734"/>
      <c r="F627" s="734"/>
      <c r="G627" s="735"/>
      <c r="H627" s="422" t="s">
        <v>34</v>
      </c>
      <c r="I627" s="506"/>
      <c r="J627" s="424">
        <v>0</v>
      </c>
      <c r="K627" s="385"/>
      <c r="L627" s="385"/>
      <c r="M627" s="385"/>
      <c r="N627" s="385"/>
      <c r="O627" s="385"/>
      <c r="P627" s="385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</row>
    <row r="628" spans="1:26" ht="19.5">
      <c r="A628" s="736">
        <v>7</v>
      </c>
      <c r="B628" s="737" t="s">
        <v>271</v>
      </c>
      <c r="C628" s="738"/>
      <c r="D628" s="738"/>
      <c r="E628" s="738"/>
      <c r="F628" s="738"/>
      <c r="G628" s="739"/>
      <c r="H628" s="740" t="s">
        <v>35</v>
      </c>
      <c r="I628" s="741">
        <f t="shared" ref="I628:J628" ca="1" si="262">I651</f>
        <v>700</v>
      </c>
      <c r="J628" s="741">
        <f t="shared" ca="1" si="262"/>
        <v>349</v>
      </c>
      <c r="K628" s="742">
        <f ca="1">IF(I628&gt;0,J628*100/I628,0)</f>
        <v>49.857142857142854</v>
      </c>
      <c r="L628" s="743"/>
      <c r="M628" s="743"/>
      <c r="N628" s="743"/>
      <c r="O628" s="743"/>
      <c r="P628" s="743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</row>
    <row r="629" spans="1:26" ht="19.5">
      <c r="A629" s="597"/>
      <c r="B629" s="763"/>
      <c r="C629" s="763" t="s">
        <v>16</v>
      </c>
      <c r="D629" s="863" t="s">
        <v>17</v>
      </c>
      <c r="E629" s="857"/>
      <c r="F629" s="857"/>
      <c r="G629" s="189"/>
      <c r="H629" s="598" t="s">
        <v>12</v>
      </c>
      <c r="I629" s="270"/>
      <c r="J629" s="270"/>
      <c r="K629" s="498"/>
      <c r="L629" s="195">
        <f t="shared" ref="L629:N629" ca="1" si="263">L630+L631</f>
        <v>873460</v>
      </c>
      <c r="M629" s="195">
        <f t="shared" ca="1" si="263"/>
        <v>723990</v>
      </c>
      <c r="N629" s="195">
        <f t="shared" si="263"/>
        <v>723990</v>
      </c>
      <c r="O629" s="195">
        <f t="shared" ref="O629:O634" ca="1" si="264">IF(L629&gt;0,N629*100/L629,0)</f>
        <v>82.887596455475929</v>
      </c>
      <c r="P629" s="195">
        <f t="shared" ref="P629:P634" ca="1" si="265">IF(M629&gt;0,N629*100/M629,0)</f>
        <v>100</v>
      </c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</row>
    <row r="630" spans="1:26" ht="18.75" hidden="1">
      <c r="A630" s="599"/>
      <c r="B630" s="759"/>
      <c r="C630" s="759"/>
      <c r="D630" s="720"/>
      <c r="E630" s="759" t="s">
        <v>185</v>
      </c>
      <c r="F630" s="759"/>
      <c r="G630" s="603"/>
      <c r="H630" s="165" t="s">
        <v>12</v>
      </c>
      <c r="I630" s="617"/>
      <c r="J630" s="617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4"/>
      <c r="R630" s="604"/>
      <c r="S630" s="604"/>
      <c r="T630" s="604"/>
      <c r="U630" s="604"/>
      <c r="V630" s="604"/>
      <c r="W630" s="604"/>
      <c r="X630" s="604"/>
      <c r="Y630" s="604"/>
      <c r="Z630" s="604"/>
    </row>
    <row r="631" spans="1:26" ht="18.75" hidden="1">
      <c r="A631" s="599"/>
      <c r="B631" s="607"/>
      <c r="C631" s="759"/>
      <c r="D631" s="720"/>
      <c r="E631" s="759" t="s">
        <v>186</v>
      </c>
      <c r="F631" s="759"/>
      <c r="G631" s="603"/>
      <c r="H631" s="165" t="s">
        <v>12</v>
      </c>
      <c r="I631" s="617"/>
      <c r="J631" s="617"/>
      <c r="K631" s="93"/>
      <c r="L631" s="93">
        <f t="shared" ca="1" si="266"/>
        <v>873460</v>
      </c>
      <c r="M631" s="93">
        <f t="shared" ca="1" si="266"/>
        <v>723990</v>
      </c>
      <c r="N631" s="93">
        <f t="shared" si="266"/>
        <v>723990</v>
      </c>
      <c r="O631" s="93">
        <f t="shared" ca="1" si="264"/>
        <v>82.887596455475929</v>
      </c>
      <c r="P631" s="93">
        <f t="shared" ca="1" si="265"/>
        <v>100</v>
      </c>
      <c r="Q631" s="604"/>
      <c r="R631" s="604"/>
      <c r="S631" s="604"/>
      <c r="T631" s="604"/>
      <c r="U631" s="604"/>
      <c r="V631" s="604"/>
      <c r="W631" s="604"/>
      <c r="X631" s="604"/>
      <c r="Y631" s="604"/>
      <c r="Z631" s="604"/>
    </row>
    <row r="632" spans="1:26" ht="18.75">
      <c r="A632" s="597"/>
      <c r="B632" s="575"/>
      <c r="C632" s="763"/>
      <c r="D632" s="606" t="s">
        <v>20</v>
      </c>
      <c r="E632" s="763"/>
      <c r="F632" s="763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873460</v>
      </c>
      <c r="M632" s="498">
        <f t="shared" ca="1" si="267"/>
        <v>723990</v>
      </c>
      <c r="N632" s="498">
        <f t="shared" si="267"/>
        <v>723990</v>
      </c>
      <c r="O632" s="498">
        <f t="shared" ca="1" si="264"/>
        <v>82.887596455475929</v>
      </c>
      <c r="P632" s="498">
        <f t="shared" ca="1" si="265"/>
        <v>100</v>
      </c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</row>
    <row r="633" spans="1:26" ht="18.75" hidden="1">
      <c r="A633" s="599"/>
      <c r="B633" s="607"/>
      <c r="C633" s="759"/>
      <c r="D633" s="720"/>
      <c r="E633" s="759" t="s">
        <v>185</v>
      </c>
      <c r="F633" s="759"/>
      <c r="G633" s="603"/>
      <c r="H633" s="165" t="s">
        <v>12</v>
      </c>
      <c r="I633" s="617"/>
      <c r="J633" s="617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4"/>
      <c r="R633" s="604"/>
      <c r="S633" s="604"/>
      <c r="T633" s="604"/>
      <c r="U633" s="604"/>
      <c r="V633" s="604"/>
      <c r="W633" s="604"/>
      <c r="X633" s="604"/>
      <c r="Y633" s="604"/>
      <c r="Z633" s="604"/>
    </row>
    <row r="634" spans="1:26" ht="18.75" hidden="1">
      <c r="A634" s="599"/>
      <c r="B634" s="607"/>
      <c r="C634" s="759"/>
      <c r="D634" s="720"/>
      <c r="E634" s="759" t="s">
        <v>186</v>
      </c>
      <c r="F634" s="759"/>
      <c r="G634" s="603"/>
      <c r="H634" s="165" t="s">
        <v>12</v>
      </c>
      <c r="I634" s="617"/>
      <c r="J634" s="617"/>
      <c r="K634" s="93"/>
      <c r="L634" s="93">
        <f ca="1">IFERROR(__xludf.DUMMYFUNCTION("IMPORTRANGE(""https://docs.google.com/spreadsheets/d/1QqKyyYR6Q21VydFLVH3TRQUabQu_ym0Zz7PgGX0-kHA/edit?usp=sharing"",""แผน!HN46"")"),873460)</f>
        <v>873460</v>
      </c>
      <c r="M634" s="93">
        <f ca="1">L634-52470-97000</f>
        <v>723990</v>
      </c>
      <c r="N634" s="93">
        <f>N635+N636+N637+N638</f>
        <v>723990</v>
      </c>
      <c r="O634" s="93">
        <f t="shared" ca="1" si="264"/>
        <v>82.887596455475929</v>
      </c>
      <c r="P634" s="93">
        <f t="shared" ca="1" si="265"/>
        <v>100</v>
      </c>
      <c r="Q634" s="604"/>
      <c r="R634" s="604"/>
      <c r="S634" s="604"/>
      <c r="T634" s="604"/>
      <c r="U634" s="604"/>
      <c r="V634" s="604"/>
      <c r="W634" s="604"/>
      <c r="X634" s="604"/>
      <c r="Y634" s="604"/>
      <c r="Z634" s="604"/>
    </row>
    <row r="635" spans="1:26" ht="18.75">
      <c r="A635" s="574"/>
      <c r="B635" s="575"/>
      <c r="C635" s="763"/>
      <c r="D635" s="763"/>
      <c r="E635" s="763"/>
      <c r="F635" s="763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40">
        <v>0</v>
      </c>
      <c r="O635" s="498"/>
      <c r="P635" s="49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</row>
    <row r="636" spans="1:26" ht="18.75">
      <c r="A636" s="574"/>
      <c r="B636" s="575"/>
      <c r="C636" s="763"/>
      <c r="D636" s="763"/>
      <c r="E636" s="763"/>
      <c r="F636" s="763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40">
        <v>0</v>
      </c>
      <c r="O636" s="498"/>
      <c r="P636" s="49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</row>
    <row r="637" spans="1:26" ht="18.75">
      <c r="A637" s="574"/>
      <c r="B637" s="575"/>
      <c r="C637" s="763"/>
      <c r="D637" s="763"/>
      <c r="E637" s="763"/>
      <c r="F637" s="763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40">
        <v>286000</v>
      </c>
      <c r="O637" s="498"/>
      <c r="P637" s="498"/>
      <c r="Q637" s="578"/>
      <c r="R637" s="578"/>
      <c r="S637" s="578"/>
      <c r="T637" s="578"/>
      <c r="U637" s="578"/>
      <c r="V637" s="578"/>
      <c r="W637" s="578"/>
      <c r="X637" s="578"/>
      <c r="Y637" s="578"/>
      <c r="Z637" s="578"/>
    </row>
    <row r="638" spans="1:26" ht="18.75">
      <c r="A638" s="574"/>
      <c r="B638" s="575"/>
      <c r="C638" s="763"/>
      <c r="D638" s="763"/>
      <c r="E638" s="763"/>
      <c r="F638" s="763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40">
        <v>437990</v>
      </c>
      <c r="O638" s="498"/>
      <c r="P638" s="49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</row>
    <row r="639" spans="1:26" ht="18.75">
      <c r="A639" s="597"/>
      <c r="B639" s="575"/>
      <c r="C639" s="763"/>
      <c r="D639" s="606" t="s">
        <v>21</v>
      </c>
      <c r="E639" s="763"/>
      <c r="F639" s="763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</row>
    <row r="640" spans="1:26" ht="18.75" hidden="1">
      <c r="A640" s="599"/>
      <c r="B640" s="607"/>
      <c r="C640" s="759"/>
      <c r="D640" s="759"/>
      <c r="E640" s="759" t="s">
        <v>18</v>
      </c>
      <c r="F640" s="759"/>
      <c r="G640" s="603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4"/>
      <c r="R640" s="604"/>
      <c r="S640" s="604"/>
      <c r="T640" s="604"/>
      <c r="U640" s="604"/>
      <c r="V640" s="604"/>
      <c r="W640" s="604"/>
      <c r="X640" s="604"/>
      <c r="Y640" s="604"/>
      <c r="Z640" s="604"/>
    </row>
    <row r="641" spans="1:26" ht="18.75" hidden="1">
      <c r="A641" s="599"/>
      <c r="B641" s="607"/>
      <c r="C641" s="759"/>
      <c r="D641" s="759"/>
      <c r="E641" s="759" t="s">
        <v>19</v>
      </c>
      <c r="F641" s="759"/>
      <c r="G641" s="603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4"/>
      <c r="R641" s="604"/>
      <c r="S641" s="604"/>
      <c r="T641" s="604"/>
      <c r="U641" s="604"/>
      <c r="V641" s="604"/>
      <c r="W641" s="604"/>
      <c r="X641" s="604"/>
      <c r="Y641" s="604"/>
      <c r="Z641" s="604"/>
    </row>
    <row r="642" spans="1:26" ht="19.5">
      <c r="A642" s="608"/>
      <c r="B642" s="618"/>
      <c r="C642" s="763" t="s">
        <v>16</v>
      </c>
      <c r="D642" s="896" t="s">
        <v>38</v>
      </c>
      <c r="E642" s="761"/>
      <c r="F642" s="761"/>
      <c r="G642" s="613"/>
      <c r="H642" s="762"/>
      <c r="I642" s="184"/>
      <c r="J642" s="184"/>
      <c r="K642" s="163"/>
      <c r="L642" s="163"/>
      <c r="M642" s="163"/>
      <c r="N642" s="163"/>
      <c r="O642" s="163"/>
      <c r="P642" s="163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</row>
    <row r="643" spans="1:26" ht="18.75">
      <c r="A643" s="744"/>
      <c r="B643" s="575"/>
      <c r="C643" s="763"/>
      <c r="D643" s="626"/>
      <c r="E643" s="746" t="s">
        <v>272</v>
      </c>
      <c r="F643" s="626"/>
      <c r="G643" s="762"/>
      <c r="H643" s="764" t="s">
        <v>273</v>
      </c>
      <c r="I643" s="270">
        <f ca="1">IFERROR(__xludf.DUMMYFUNCTION("IMPORTRANGE(""https://docs.google.com/spreadsheets/d/1QqKyyYR6Q21VydFLVH3TRQUabQu_ym0Zz7PgGX0-kHA/edit?usp=sharing"",""แผน!HR46"")"),0)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</row>
    <row r="644" spans="1:26" ht="18.75">
      <c r="A644" s="744"/>
      <c r="B644" s="575"/>
      <c r="C644" s="763"/>
      <c r="D644" s="626"/>
      <c r="E644" s="746" t="s">
        <v>274</v>
      </c>
      <c r="F644" s="626"/>
      <c r="G644" s="762"/>
      <c r="H644" s="764" t="s">
        <v>275</v>
      </c>
      <c r="I644" s="270">
        <f ca="1">IFERROR(__xludf.DUMMYFUNCTION("IMPORTRANGE(""https://docs.google.com/spreadsheets/d/1QqKyyYR6Q21VydFLVH3TRQUabQu_ym0Zz7PgGX0-kHA/edit?usp=sharing"",""แผน!HR46"")"),0)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</row>
    <row r="645" spans="1:26" ht="18.75">
      <c r="A645" s="744"/>
      <c r="B645" s="575"/>
      <c r="C645" s="763"/>
      <c r="D645" s="626"/>
      <c r="E645" s="746" t="s">
        <v>276</v>
      </c>
      <c r="F645" s="626"/>
      <c r="G645" s="762"/>
      <c r="H645" s="76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IFERROR(__xludf.DUMMYFUNCTION("IMPORTRANGE(""https://docs.google.com/spreadsheets/d/1XWAQStnk-4SwqDmLtmXYiTMKHgktTP8We1SCoS47DrQ/edit?usp=sharing"",""จัดที่ดิน!AS46"")"),578)</f>
        <v>578</v>
      </c>
      <c r="K645" s="163">
        <f t="shared" si="271"/>
        <v>0</v>
      </c>
      <c r="L645" s="163"/>
      <c r="M645" s="163"/>
      <c r="N645" s="498"/>
      <c r="O645" s="163"/>
      <c r="P645" s="163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</row>
    <row r="646" spans="1:26" ht="18.75">
      <c r="A646" s="744"/>
      <c r="B646" s="575"/>
      <c r="C646" s="763"/>
      <c r="D646" s="626"/>
      <c r="E646" s="626"/>
      <c r="F646" s="626"/>
      <c r="G646" s="762"/>
      <c r="H646" s="76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IFERROR(__xludf.DUMMYFUNCTION("IMPORTRANGE(""https://docs.google.com/spreadsheets/d/1XWAQStnk-4SwqDmLtmXYiTMKHgktTP8We1SCoS47DrQ/edit?usp=sharing"",""จัดที่ดิน!AT46"")"),417.03)</f>
        <v>417.03</v>
      </c>
      <c r="K646" s="498">
        <f t="shared" si="271"/>
        <v>0</v>
      </c>
      <c r="L646" s="163"/>
      <c r="M646" s="163"/>
      <c r="N646" s="498"/>
      <c r="O646" s="163"/>
      <c r="P646" s="163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</row>
    <row r="647" spans="1:26" ht="18.75">
      <c r="A647" s="744"/>
      <c r="B647" s="575"/>
      <c r="C647" s="763"/>
      <c r="D647" s="626"/>
      <c r="E647" s="746" t="s">
        <v>162</v>
      </c>
      <c r="F647" s="626"/>
      <c r="G647" s="762"/>
      <c r="H647" s="764" t="s">
        <v>35</v>
      </c>
      <c r="I647" s="270">
        <f ca="1">IFERROR(__xludf.DUMMYFUNCTION("IMPORTRANGE(""https://docs.google.com/spreadsheets/d/1QqKyyYR6Q21VydFLVH3TRQUabQu_ym0Zz7PgGX0-kHA/edit?usp=sharing"",""แผน!HS46"")"),700)</f>
        <v>700</v>
      </c>
      <c r="J647" s="270">
        <f ca="1">IFERROR(__xludf.DUMMYFUNCTION("IMPORTRANGE(""https://docs.google.com/spreadsheets/d/1XWAQStnk-4SwqDmLtmXYiTMKHgktTP8We1SCoS47DrQ/edit?usp=sharing"",""จัดที่ดิน!AU46"")"),546)</f>
        <v>546</v>
      </c>
      <c r="K647" s="163">
        <f t="shared" ca="1" si="271"/>
        <v>78</v>
      </c>
      <c r="L647" s="163"/>
      <c r="M647" s="163"/>
      <c r="N647" s="163"/>
      <c r="O647" s="163"/>
      <c r="P647" s="163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</row>
    <row r="648" spans="1:26" ht="18.75">
      <c r="A648" s="744"/>
      <c r="B648" s="575"/>
      <c r="C648" s="763"/>
      <c r="D648" s="626"/>
      <c r="E648" s="626"/>
      <c r="F648" s="626"/>
      <c r="G648" s="762"/>
      <c r="H648" s="76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IFERROR(__xludf.DUMMYFUNCTION("IMPORTRANGE(""https://docs.google.com/spreadsheets/d/1XWAQStnk-4SwqDmLtmXYiTMKHgktTP8We1SCoS47DrQ/edit?usp=sharing"",""จัดที่ดิน!AV46"")"),397.93)</f>
        <v>397.93</v>
      </c>
      <c r="K648" s="498">
        <f t="shared" si="271"/>
        <v>0</v>
      </c>
      <c r="L648" s="163"/>
      <c r="M648" s="163"/>
      <c r="N648" s="163"/>
      <c r="O648" s="163"/>
      <c r="P648" s="163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</row>
    <row r="649" spans="1:26" ht="18.75">
      <c r="A649" s="744"/>
      <c r="B649" s="575"/>
      <c r="C649" s="763"/>
      <c r="D649" s="626"/>
      <c r="E649" s="746" t="s">
        <v>277</v>
      </c>
      <c r="F649" s="626"/>
      <c r="G649" s="762"/>
      <c r="H649" s="764" t="s">
        <v>35</v>
      </c>
      <c r="I649" s="270">
        <f ca="1">IFERROR(__xludf.DUMMYFUNCTION("IMPORTRANGE(""https://docs.google.com/spreadsheets/d/1QqKyyYR6Q21VydFLVH3TRQUabQu_ym0Zz7PgGX0-kHA/edit?usp=sharing"",""แผน!HS46"")"),700)</f>
        <v>700</v>
      </c>
      <c r="J649" s="270">
        <f ca="1">IFERROR(__xludf.DUMMYFUNCTION("IMPORTRANGE(""https://docs.google.com/spreadsheets/d/1XWAQStnk-4SwqDmLtmXYiTMKHgktTP8We1SCoS47DrQ/edit?usp=sharing"",""จัดที่ดิน!AW46"")"),547)</f>
        <v>547</v>
      </c>
      <c r="K649" s="163">
        <f t="shared" ca="1" si="271"/>
        <v>78.142857142857139</v>
      </c>
      <c r="L649" s="163"/>
      <c r="M649" s="163"/>
      <c r="N649" s="163"/>
      <c r="O649" s="163"/>
      <c r="P649" s="163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</row>
    <row r="650" spans="1:26" ht="18.75">
      <c r="A650" s="744"/>
      <c r="B650" s="575"/>
      <c r="C650" s="763"/>
      <c r="D650" s="626"/>
      <c r="E650" s="626"/>
      <c r="F650" s="626"/>
      <c r="G650" s="762"/>
      <c r="H650" s="76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IFERROR(__xludf.DUMMYFUNCTION("IMPORTRANGE(""https://docs.google.com/spreadsheets/d/1XWAQStnk-4SwqDmLtmXYiTMKHgktTP8We1SCoS47DrQ/edit?usp=sharing"",""จัดที่ดิน!AX46"")"),399.71)</f>
        <v>399.71</v>
      </c>
      <c r="K650" s="498">
        <f t="shared" si="271"/>
        <v>0</v>
      </c>
      <c r="L650" s="163"/>
      <c r="M650" s="163"/>
      <c r="N650" s="163"/>
      <c r="O650" s="163"/>
      <c r="P650" s="163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</row>
    <row r="651" spans="1:26" ht="18.75">
      <c r="A651" s="744"/>
      <c r="B651" s="575"/>
      <c r="C651" s="763"/>
      <c r="D651" s="626"/>
      <c r="E651" s="746" t="s">
        <v>278</v>
      </c>
      <c r="F651" s="626"/>
      <c r="G651" s="762"/>
      <c r="H651" s="764" t="s">
        <v>35</v>
      </c>
      <c r="I651" s="270">
        <f ca="1">IFERROR(__xludf.DUMMYFUNCTION("IMPORTRANGE(""https://docs.google.com/spreadsheets/d/1QqKyyYR6Q21VydFLVH3TRQUabQu_ym0Zz7PgGX0-kHA/edit?usp=sharing"",""แผน!HS46"")"),700)</f>
        <v>700</v>
      </c>
      <c r="J651" s="270">
        <f ca="1">IFERROR(__xludf.DUMMYFUNCTION("IMPORTRANGE(""https://docs.google.com/spreadsheets/d/1XWAQStnk-4SwqDmLtmXYiTMKHgktTP8We1SCoS47DrQ/edit?usp=sharing"",""จัดที่ดิน!AY46"")"),349)</f>
        <v>349</v>
      </c>
      <c r="K651" s="163">
        <f t="shared" ca="1" si="271"/>
        <v>49.857142857142854</v>
      </c>
      <c r="L651" s="163"/>
      <c r="M651" s="163"/>
      <c r="N651" s="163"/>
      <c r="O651" s="163"/>
      <c r="P651" s="163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</row>
    <row r="652" spans="1:26" ht="18.75">
      <c r="A652" s="74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8"/>
      <c r="C652" s="749"/>
      <c r="D652" s="734"/>
      <c r="E652" s="734"/>
      <c r="F652" s="734"/>
      <c r="G652" s="735"/>
      <c r="H652" s="505" t="s">
        <v>46</v>
      </c>
      <c r="I652" s="506">
        <v>0</v>
      </c>
      <c r="J652" s="506">
        <f ca="1">IFERROR(__xludf.DUMMYFUNCTION("IMPORTRANGE(""https://docs.google.com/spreadsheets/d/1XWAQStnk-4SwqDmLtmXYiTMKHgktTP8We1SCoS47DrQ/edit?usp=sharing"",""จัดที่ดิน!AZ46"")"),250.7425)</f>
        <v>250.74250000000001</v>
      </c>
      <c r="K652" s="507">
        <f t="shared" si="271"/>
        <v>0</v>
      </c>
      <c r="L652" s="385"/>
      <c r="M652" s="385"/>
      <c r="N652" s="385"/>
      <c r="O652" s="385"/>
      <c r="P652" s="385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</row>
    <row r="653" spans="1:26" ht="19.5">
      <c r="A653" s="750">
        <v>8</v>
      </c>
      <c r="B653" s="737" t="s">
        <v>279</v>
      </c>
      <c r="C653" s="738"/>
      <c r="D653" s="738"/>
      <c r="E653" s="738"/>
      <c r="F653" s="738"/>
      <c r="G653" s="739"/>
      <c r="H653" s="739"/>
      <c r="I653" s="751"/>
      <c r="J653" s="751"/>
      <c r="K653" s="743"/>
      <c r="L653" s="743"/>
      <c r="M653" s="743"/>
      <c r="N653" s="743"/>
      <c r="O653" s="743"/>
      <c r="P653" s="743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</row>
    <row r="654" spans="1:26" ht="19.5">
      <c r="A654" s="673"/>
      <c r="B654" s="672" t="s">
        <v>280</v>
      </c>
      <c r="C654" s="673"/>
      <c r="D654" s="673"/>
      <c r="E654" s="673"/>
      <c r="F654" s="673"/>
      <c r="G654" s="674"/>
      <c r="H654" s="707" t="s">
        <v>46</v>
      </c>
      <c r="I654" s="708">
        <f t="shared" ref="I654:J654" ca="1" si="272">I669</f>
        <v>100</v>
      </c>
      <c r="J654" s="708">
        <f t="shared" si="272"/>
        <v>88</v>
      </c>
      <c r="K654" s="677">
        <f ca="1">IF(I654&gt;0,J654*100/I654,0)</f>
        <v>88</v>
      </c>
      <c r="L654" s="678"/>
      <c r="M654" s="678"/>
      <c r="N654" s="678"/>
      <c r="O654" s="678"/>
      <c r="P654" s="6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</row>
    <row r="655" spans="1:26" ht="19.5">
      <c r="A655" s="597"/>
      <c r="B655" s="763"/>
      <c r="C655" s="763" t="s">
        <v>16</v>
      </c>
      <c r="D655" s="863" t="s">
        <v>17</v>
      </c>
      <c r="E655" s="857"/>
      <c r="F655" s="857"/>
      <c r="G655" s="189"/>
      <c r="H655" s="598" t="s">
        <v>12</v>
      </c>
      <c r="I655" s="270"/>
      <c r="J655" s="270"/>
      <c r="K655" s="498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15600</v>
      </c>
      <c r="O655" s="195">
        <f t="shared" ref="O655:O660" ca="1" si="274">IF(L655&gt;0,N655*100/L655,0)</f>
        <v>100</v>
      </c>
      <c r="P655" s="195">
        <f t="shared" ref="P655:P660" ca="1" si="275">IF(M655&gt;0,N655*100/M655,0)</f>
        <v>100</v>
      </c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</row>
    <row r="656" spans="1:26" ht="18.75" hidden="1">
      <c r="A656" s="599"/>
      <c r="B656" s="759"/>
      <c r="C656" s="759"/>
      <c r="D656" s="720"/>
      <c r="E656" s="759" t="s">
        <v>185</v>
      </c>
      <c r="F656" s="759"/>
      <c r="G656" s="603"/>
      <c r="H656" s="165" t="s">
        <v>12</v>
      </c>
      <c r="I656" s="617"/>
      <c r="J656" s="617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4"/>
      <c r="R656" s="604"/>
      <c r="S656" s="604"/>
      <c r="T656" s="604"/>
      <c r="U656" s="604"/>
      <c r="V656" s="604"/>
      <c r="W656" s="604"/>
      <c r="X656" s="604"/>
      <c r="Y656" s="604"/>
      <c r="Z656" s="604"/>
    </row>
    <row r="657" spans="1:26" ht="18.75" hidden="1">
      <c r="A657" s="599"/>
      <c r="B657" s="607"/>
      <c r="C657" s="759"/>
      <c r="D657" s="720"/>
      <c r="E657" s="759" t="s">
        <v>186</v>
      </c>
      <c r="F657" s="759"/>
      <c r="G657" s="603"/>
      <c r="H657" s="165" t="s">
        <v>12</v>
      </c>
      <c r="I657" s="617"/>
      <c r="J657" s="617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15600</v>
      </c>
      <c r="O657" s="93">
        <f t="shared" ca="1" si="274"/>
        <v>100</v>
      </c>
      <c r="P657" s="93">
        <f t="shared" ca="1" si="275"/>
        <v>100</v>
      </c>
      <c r="Q657" s="604"/>
      <c r="R657" s="604"/>
      <c r="S657" s="604"/>
      <c r="T657" s="604"/>
      <c r="U657" s="604"/>
      <c r="V657" s="604"/>
      <c r="W657" s="604"/>
      <c r="X657" s="604"/>
      <c r="Y657" s="604"/>
      <c r="Z657" s="604"/>
    </row>
    <row r="658" spans="1:26" ht="18.75">
      <c r="A658" s="597"/>
      <c r="B658" s="575"/>
      <c r="C658" s="763"/>
      <c r="D658" s="606" t="s">
        <v>20</v>
      </c>
      <c r="E658" s="763"/>
      <c r="F658" s="763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15600</v>
      </c>
      <c r="M658" s="498">
        <f t="shared" ca="1" si="277"/>
        <v>15600</v>
      </c>
      <c r="N658" s="498">
        <f t="shared" si="277"/>
        <v>15600</v>
      </c>
      <c r="O658" s="498">
        <f t="shared" ca="1" si="274"/>
        <v>100</v>
      </c>
      <c r="P658" s="498">
        <f t="shared" ca="1" si="275"/>
        <v>100</v>
      </c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</row>
    <row r="659" spans="1:26" ht="18.75" hidden="1">
      <c r="A659" s="599"/>
      <c r="B659" s="607"/>
      <c r="C659" s="759"/>
      <c r="D659" s="720"/>
      <c r="E659" s="759" t="s">
        <v>185</v>
      </c>
      <c r="F659" s="759"/>
      <c r="G659" s="603"/>
      <c r="H659" s="165" t="s">
        <v>12</v>
      </c>
      <c r="I659" s="617"/>
      <c r="J659" s="617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4"/>
      <c r="R659" s="604"/>
      <c r="S659" s="604"/>
      <c r="T659" s="604"/>
      <c r="U659" s="604"/>
      <c r="V659" s="604"/>
      <c r="W659" s="604"/>
      <c r="X659" s="604"/>
      <c r="Y659" s="604"/>
      <c r="Z659" s="604"/>
    </row>
    <row r="660" spans="1:26" ht="18.75" hidden="1">
      <c r="A660" s="599"/>
      <c r="B660" s="607"/>
      <c r="C660" s="759"/>
      <c r="D660" s="720"/>
      <c r="E660" s="759" t="s">
        <v>186</v>
      </c>
      <c r="F660" s="759"/>
      <c r="G660" s="603"/>
      <c r="H660" s="165" t="s">
        <v>12</v>
      </c>
      <c r="I660" s="617"/>
      <c r="J660" s="617"/>
      <c r="K660" s="93"/>
      <c r="L660" s="93">
        <f ca="1">IFERROR(__xludf.DUMMYFUNCTION("IMPORTRANGE(""https://docs.google.com/spreadsheets/d/1QqKyyYR6Q21VydFLVH3TRQUabQu_ym0Zz7PgGX0-kHA/edit?usp=sharing"",""แผน!HV46"")"),15600)</f>
        <v>15600</v>
      </c>
      <c r="M660" s="93">
        <f ca="1">L660</f>
        <v>15600</v>
      </c>
      <c r="N660" s="93">
        <f>N661+N662+N663+N664</f>
        <v>15600</v>
      </c>
      <c r="O660" s="93">
        <f t="shared" ca="1" si="274"/>
        <v>100</v>
      </c>
      <c r="P660" s="93">
        <f t="shared" ca="1" si="275"/>
        <v>100</v>
      </c>
      <c r="Q660" s="604"/>
      <c r="R660" s="604"/>
      <c r="S660" s="604"/>
      <c r="T660" s="604"/>
      <c r="U660" s="604"/>
      <c r="V660" s="604"/>
      <c r="W660" s="604"/>
      <c r="X660" s="604"/>
      <c r="Y660" s="604"/>
      <c r="Z660" s="604"/>
    </row>
    <row r="661" spans="1:26" ht="18.75">
      <c r="A661" s="574"/>
      <c r="B661" s="575"/>
      <c r="C661" s="763"/>
      <c r="D661" s="763"/>
      <c r="E661" s="763"/>
      <c r="F661" s="763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40">
        <v>0</v>
      </c>
      <c r="O661" s="498"/>
      <c r="P661" s="49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</row>
    <row r="662" spans="1:26" ht="18.75">
      <c r="A662" s="574"/>
      <c r="B662" s="575"/>
      <c r="C662" s="763"/>
      <c r="D662" s="763"/>
      <c r="E662" s="763"/>
      <c r="F662" s="763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40">
        <v>0</v>
      </c>
      <c r="O662" s="498"/>
      <c r="P662" s="49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</row>
    <row r="663" spans="1:26" ht="18.75">
      <c r="A663" s="574"/>
      <c r="B663" s="575"/>
      <c r="C663" s="575"/>
      <c r="D663" s="763"/>
      <c r="E663" s="763"/>
      <c r="F663" s="763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40">
        <v>0</v>
      </c>
      <c r="O663" s="498"/>
      <c r="P663" s="49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</row>
    <row r="664" spans="1:26" ht="18.75">
      <c r="A664" s="574"/>
      <c r="B664" s="575"/>
      <c r="C664" s="575"/>
      <c r="D664" s="575"/>
      <c r="E664" s="763"/>
      <c r="F664" s="763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40">
        <v>15600</v>
      </c>
      <c r="O664" s="498"/>
      <c r="P664" s="49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</row>
    <row r="665" spans="1:26" ht="18.75">
      <c r="A665" s="597"/>
      <c r="B665" s="575"/>
      <c r="C665" s="575"/>
      <c r="D665" s="606" t="s">
        <v>21</v>
      </c>
      <c r="E665" s="763"/>
      <c r="F665" s="763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</row>
    <row r="666" spans="1:26" ht="18.75" hidden="1">
      <c r="A666" s="599"/>
      <c r="B666" s="607"/>
      <c r="C666" s="607"/>
      <c r="D666" s="607"/>
      <c r="E666" s="759" t="s">
        <v>18</v>
      </c>
      <c r="F666" s="759"/>
      <c r="G666" s="603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4"/>
      <c r="R666" s="604"/>
      <c r="S666" s="604"/>
      <c r="T666" s="604"/>
      <c r="U666" s="604"/>
      <c r="V666" s="604"/>
      <c r="W666" s="604"/>
      <c r="X666" s="604"/>
      <c r="Y666" s="604"/>
      <c r="Z666" s="604"/>
    </row>
    <row r="667" spans="1:26" ht="18.75" hidden="1">
      <c r="A667" s="599"/>
      <c r="B667" s="607"/>
      <c r="C667" s="607"/>
      <c r="D667" s="607"/>
      <c r="E667" s="759" t="s">
        <v>19</v>
      </c>
      <c r="F667" s="759"/>
      <c r="G667" s="603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4"/>
      <c r="R667" s="604"/>
      <c r="S667" s="604"/>
      <c r="T667" s="604"/>
      <c r="U667" s="604"/>
      <c r="V667" s="604"/>
      <c r="W667" s="604"/>
      <c r="X667" s="604"/>
      <c r="Y667" s="604"/>
      <c r="Z667" s="604"/>
    </row>
    <row r="668" spans="1:26" ht="19.5">
      <c r="A668" s="608"/>
      <c r="B668" s="618"/>
      <c r="C668" s="575" t="s">
        <v>16</v>
      </c>
      <c r="D668" s="893" t="s">
        <v>38</v>
      </c>
      <c r="E668" s="761"/>
      <c r="F668" s="761"/>
      <c r="G668" s="613"/>
      <c r="H668" s="762"/>
      <c r="I668" s="184"/>
      <c r="J668" s="184"/>
      <c r="K668" s="163"/>
      <c r="L668" s="163"/>
      <c r="M668" s="163"/>
      <c r="N668" s="163"/>
      <c r="O668" s="163"/>
      <c r="P668" s="163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</row>
    <row r="669" spans="1:26" ht="19.5">
      <c r="A669" s="608"/>
      <c r="B669" s="618"/>
      <c r="C669" s="618"/>
      <c r="D669" s="618" t="s">
        <v>281</v>
      </c>
      <c r="E669" s="626"/>
      <c r="F669" s="626"/>
      <c r="G669" s="762"/>
      <c r="H669" s="767" t="s">
        <v>46</v>
      </c>
      <c r="I669" s="681">
        <f ca="1">IFERROR(__xludf.DUMMYFUNCTION("IMPORTRANGE(""https://docs.google.com/spreadsheets/d/1QqKyyYR6Q21VydFLVH3TRQUabQu_ym0Zz7PgGX0-kHA/edit?usp=sharing"",""แผน!IA46"")"),100)</f>
        <v>100</v>
      </c>
      <c r="J669" s="681">
        <f>J675</f>
        <v>88</v>
      </c>
      <c r="K669" s="195">
        <f ca="1">IF(I669&gt;0,J669*100/I669,0)</f>
        <v>88</v>
      </c>
      <c r="L669" s="163"/>
      <c r="M669" s="163"/>
      <c r="N669" s="163"/>
      <c r="O669" s="163"/>
      <c r="P669" s="163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</row>
    <row r="670" spans="1:26" ht="18.75">
      <c r="A670" s="608"/>
      <c r="B670" s="618"/>
      <c r="C670" s="618"/>
      <c r="D670" s="618"/>
      <c r="E670" s="626" t="s">
        <v>282</v>
      </c>
      <c r="F670" s="626"/>
      <c r="G670" s="762"/>
      <c r="H670" s="764" t="s">
        <v>66</v>
      </c>
      <c r="I670" s="270">
        <f ca="1">IFERROR(__xludf.DUMMYFUNCTION("IMPORTRANGE(""https://docs.google.com/spreadsheets/d/1QqKyyYR6Q21VydFLVH3TRQUabQu_ym0Zz7PgGX0-kHA/edit?usp=sharing"",""แผน!HZ46"")"),6)</f>
        <v>6</v>
      </c>
      <c r="J670" s="215">
        <v>6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</row>
    <row r="671" spans="1:26" ht="18.75">
      <c r="A671" s="608"/>
      <c r="B671" s="618"/>
      <c r="C671" s="618"/>
      <c r="D671" s="618"/>
      <c r="E671" s="626" t="s">
        <v>283</v>
      </c>
      <c r="F671" s="626"/>
      <c r="G671" s="762"/>
      <c r="H671" s="764" t="s">
        <v>66</v>
      </c>
      <c r="I671" s="270">
        <f ca="1">IFERROR(__xludf.DUMMYFUNCTION("IMPORTRANGE(""https://docs.google.com/spreadsheets/d/1QqKyyYR6Q21VydFLVH3TRQUabQu_ym0Zz7PgGX0-kHA/edit?usp=sharing"",""แผน!HZ46"")"),6)</f>
        <v>6</v>
      </c>
      <c r="J671" s="215">
        <v>6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</row>
    <row r="672" spans="1:26" ht="18.75">
      <c r="A672" s="608"/>
      <c r="B672" s="618"/>
      <c r="C672" s="618"/>
      <c r="D672" s="618"/>
      <c r="E672" s="626" t="s">
        <v>284</v>
      </c>
      <c r="F672" s="626"/>
      <c r="G672" s="762"/>
      <c r="H672" s="764" t="s">
        <v>46</v>
      </c>
      <c r="I672" s="270"/>
      <c r="J672" s="215">
        <v>88</v>
      </c>
      <c r="K672" s="498">
        <f t="shared" ref="K672:K675" ca="1" si="281">IF(I$669&gt;0,J672*100/I$669,0)</f>
        <v>88</v>
      </c>
      <c r="L672" s="163"/>
      <c r="M672" s="163"/>
      <c r="N672" s="163"/>
      <c r="O672" s="163"/>
      <c r="P672" s="163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</row>
    <row r="673" spans="1:26" ht="18.75">
      <c r="A673" s="608"/>
      <c r="B673" s="618"/>
      <c r="C673" s="618"/>
      <c r="D673" s="618"/>
      <c r="E673" s="626" t="s">
        <v>285</v>
      </c>
      <c r="F673" s="626"/>
      <c r="G673" s="762"/>
      <c r="H673" s="764" t="s">
        <v>46</v>
      </c>
      <c r="I673" s="270"/>
      <c r="J673" s="215">
        <v>88</v>
      </c>
      <c r="K673" s="498">
        <f t="shared" ca="1" si="281"/>
        <v>88</v>
      </c>
      <c r="L673" s="163"/>
      <c r="M673" s="163"/>
      <c r="N673" s="163"/>
      <c r="O673" s="163"/>
      <c r="P673" s="163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</row>
    <row r="674" spans="1:26" ht="18.75">
      <c r="A674" s="608"/>
      <c r="B674" s="618"/>
      <c r="C674" s="618"/>
      <c r="D674" s="618"/>
      <c r="E674" s="626" t="s">
        <v>286</v>
      </c>
      <c r="F674" s="626"/>
      <c r="G674" s="762"/>
      <c r="H674" s="764" t="s">
        <v>46</v>
      </c>
      <c r="I674" s="270"/>
      <c r="J674" s="215">
        <v>88</v>
      </c>
      <c r="K674" s="498">
        <f t="shared" ca="1" si="281"/>
        <v>88</v>
      </c>
      <c r="L674" s="163"/>
      <c r="M674" s="163"/>
      <c r="N674" s="163"/>
      <c r="O674" s="163"/>
      <c r="P674" s="163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</row>
    <row r="675" spans="1:26" ht="19.5">
      <c r="A675" s="608"/>
      <c r="B675" s="618"/>
      <c r="C675" s="618"/>
      <c r="D675" s="618"/>
      <c r="E675" s="626" t="s">
        <v>287</v>
      </c>
      <c r="F675" s="626"/>
      <c r="G675" s="762"/>
      <c r="H675" s="764" t="s">
        <v>46</v>
      </c>
      <c r="I675" s="270"/>
      <c r="J675" s="681">
        <f>J676+J677</f>
        <v>88</v>
      </c>
      <c r="K675" s="195">
        <f t="shared" ca="1" si="281"/>
        <v>88</v>
      </c>
      <c r="L675" s="163"/>
      <c r="M675" s="163"/>
      <c r="N675" s="163"/>
      <c r="O675" s="163"/>
      <c r="P675" s="163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</row>
    <row r="676" spans="1:26" ht="18.75">
      <c r="A676" s="608"/>
      <c r="B676" s="618"/>
      <c r="C676" s="618"/>
      <c r="D676" s="618"/>
      <c r="E676" s="626"/>
      <c r="F676" s="626" t="s">
        <v>288</v>
      </c>
      <c r="G676" s="762"/>
      <c r="H676" s="764" t="s">
        <v>46</v>
      </c>
      <c r="I676" s="270"/>
      <c r="J676" s="215">
        <v>88</v>
      </c>
      <c r="K676" s="498"/>
      <c r="L676" s="163"/>
      <c r="M676" s="163"/>
      <c r="N676" s="163"/>
      <c r="O676" s="163"/>
      <c r="P676" s="163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</row>
    <row r="677" spans="1:26" ht="18.75">
      <c r="A677" s="608"/>
      <c r="B677" s="618"/>
      <c r="C677" s="618"/>
      <c r="D677" s="618"/>
      <c r="E677" s="626"/>
      <c r="F677" s="626" t="s">
        <v>289</v>
      </c>
      <c r="G677" s="762"/>
      <c r="H677" s="764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</row>
    <row r="678" spans="1:26" ht="19.5">
      <c r="A678" s="608"/>
      <c r="B678" s="618"/>
      <c r="C678" s="618"/>
      <c r="D678" s="618" t="s">
        <v>290</v>
      </c>
      <c r="E678" s="626"/>
      <c r="F678" s="626"/>
      <c r="G678" s="762"/>
      <c r="H678" s="764" t="s">
        <v>46</v>
      </c>
      <c r="I678" s="681">
        <f ca="1">IFERROR(__xludf.DUMMYFUNCTION("IMPORTRANGE(""https://docs.google.com/spreadsheets/d/1QqKyyYR6Q21VydFLVH3TRQUabQu_ym0Zz7PgGX0-kHA/edit?usp=sharing"",""แผน!IB46"")"),0)</f>
        <v>0</v>
      </c>
      <c r="J678" s="681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</row>
    <row r="679" spans="1:26" ht="18.75">
      <c r="A679" s="608"/>
      <c r="B679" s="618"/>
      <c r="C679" s="618"/>
      <c r="D679" s="618"/>
      <c r="E679" s="626" t="s">
        <v>291</v>
      </c>
      <c r="F679" s="626"/>
      <c r="G679" s="762"/>
      <c r="H679" s="764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</row>
    <row r="680" spans="1:26" ht="18.75">
      <c r="A680" s="608"/>
      <c r="B680" s="618"/>
      <c r="C680" s="618"/>
      <c r="D680" s="618"/>
      <c r="E680" s="626"/>
      <c r="F680" s="626" t="s">
        <v>288</v>
      </c>
      <c r="G680" s="762"/>
      <c r="H680" s="764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</row>
    <row r="681" spans="1:26" ht="18.75">
      <c r="A681" s="608"/>
      <c r="B681" s="618"/>
      <c r="C681" s="618"/>
      <c r="D681" s="618"/>
      <c r="E681" s="626"/>
      <c r="F681" s="626" t="s">
        <v>289</v>
      </c>
      <c r="G681" s="762"/>
      <c r="H681" s="764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</row>
    <row r="682" spans="1:26" ht="18.75">
      <c r="A682" s="608"/>
      <c r="B682" s="618"/>
      <c r="C682" s="618"/>
      <c r="D682" s="618"/>
      <c r="E682" s="626" t="s">
        <v>292</v>
      </c>
      <c r="F682" s="626"/>
      <c r="G682" s="762"/>
      <c r="H682" s="764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</row>
    <row r="683" spans="1:26" ht="18.75">
      <c r="A683" s="608"/>
      <c r="B683" s="618"/>
      <c r="C683" s="618"/>
      <c r="D683" s="618"/>
      <c r="E683" s="626"/>
      <c r="F683" s="626" t="s">
        <v>293</v>
      </c>
      <c r="G683" s="762"/>
      <c r="H683" s="764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</row>
    <row r="684" spans="1:26" ht="19.5">
      <c r="A684" s="753"/>
      <c r="B684" s="754" t="s">
        <v>294</v>
      </c>
      <c r="C684" s="753"/>
      <c r="D684" s="753"/>
      <c r="E684" s="753"/>
      <c r="F684" s="753"/>
      <c r="G684" s="755"/>
      <c r="H684" s="755"/>
      <c r="I684" s="756"/>
      <c r="J684" s="756"/>
      <c r="K684" s="757"/>
      <c r="L684" s="757"/>
      <c r="M684" s="757"/>
      <c r="N684" s="757"/>
      <c r="O684" s="757"/>
      <c r="P684" s="757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</row>
    <row r="685" spans="1:26" ht="19.5">
      <c r="A685" s="597"/>
      <c r="B685" s="763"/>
      <c r="C685" s="763" t="s">
        <v>16</v>
      </c>
      <c r="D685" s="863" t="s">
        <v>17</v>
      </c>
      <c r="E685" s="857"/>
      <c r="F685" s="857"/>
      <c r="G685" s="189"/>
      <c r="H685" s="598" t="s">
        <v>12</v>
      </c>
      <c r="I685" s="270"/>
      <c r="J685" s="270"/>
      <c r="K685" s="498"/>
      <c r="L685" s="195">
        <f t="shared" ref="L685:N685" ca="1" si="282">L686+L687</f>
        <v>13540</v>
      </c>
      <c r="M685" s="195">
        <f t="shared" ca="1" si="282"/>
        <v>13540</v>
      </c>
      <c r="N685" s="195">
        <f t="shared" si="282"/>
        <v>13540</v>
      </c>
      <c r="O685" s="195">
        <f t="shared" ref="O685:O688" ca="1" si="283">IF(L685&gt;0,N685*100/L685,0)</f>
        <v>100</v>
      </c>
      <c r="P685" s="195">
        <f t="shared" ref="P685:P688" ca="1" si="284">IF(M685&gt;0,N685*100/M685,0)</f>
        <v>100</v>
      </c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</row>
    <row r="686" spans="1:26" ht="18.75" hidden="1">
      <c r="A686" s="599"/>
      <c r="B686" s="759"/>
      <c r="C686" s="759"/>
      <c r="D686" s="720"/>
      <c r="E686" s="759" t="s">
        <v>185</v>
      </c>
      <c r="F686" s="759"/>
      <c r="G686" s="603"/>
      <c r="H686" s="165" t="s">
        <v>12</v>
      </c>
      <c r="I686" s="617"/>
      <c r="J686" s="617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4"/>
      <c r="R686" s="604"/>
      <c r="S686" s="604"/>
      <c r="T686" s="604"/>
      <c r="U686" s="604"/>
      <c r="V686" s="604"/>
      <c r="W686" s="604"/>
      <c r="X686" s="604"/>
      <c r="Y686" s="604"/>
      <c r="Z686" s="604"/>
    </row>
    <row r="687" spans="1:26" ht="18.75" hidden="1">
      <c r="A687" s="599"/>
      <c r="B687" s="607"/>
      <c r="C687" s="759"/>
      <c r="D687" s="720"/>
      <c r="E687" s="759" t="s">
        <v>186</v>
      </c>
      <c r="F687" s="759"/>
      <c r="G687" s="603"/>
      <c r="H687" s="165" t="s">
        <v>12</v>
      </c>
      <c r="I687" s="617"/>
      <c r="J687" s="617"/>
      <c r="K687" s="93"/>
      <c r="L687" s="93">
        <f t="shared" ca="1" si="285"/>
        <v>13540</v>
      </c>
      <c r="M687" s="93">
        <f t="shared" ca="1" si="285"/>
        <v>13540</v>
      </c>
      <c r="N687" s="93">
        <f t="shared" si="285"/>
        <v>13540</v>
      </c>
      <c r="O687" s="93">
        <f t="shared" ca="1" si="283"/>
        <v>100</v>
      </c>
      <c r="P687" s="93">
        <f t="shared" ca="1" si="284"/>
        <v>100</v>
      </c>
      <c r="Q687" s="604"/>
      <c r="R687" s="604"/>
      <c r="S687" s="604"/>
      <c r="T687" s="604"/>
      <c r="U687" s="604"/>
      <c r="V687" s="604"/>
      <c r="W687" s="604"/>
      <c r="X687" s="604"/>
      <c r="Y687" s="604"/>
      <c r="Z687" s="604"/>
    </row>
    <row r="688" spans="1:26" ht="18.75">
      <c r="A688" s="597"/>
      <c r="B688" s="575"/>
      <c r="C688" s="763"/>
      <c r="D688" s="606" t="s">
        <v>20</v>
      </c>
      <c r="E688" s="763"/>
      <c r="F688" s="763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13540</v>
      </c>
      <c r="M688" s="498">
        <f t="shared" ca="1" si="286"/>
        <v>13540</v>
      </c>
      <c r="N688" s="498">
        <f t="shared" si="286"/>
        <v>13540</v>
      </c>
      <c r="O688" s="498">
        <f t="shared" ca="1" si="283"/>
        <v>100</v>
      </c>
      <c r="P688" s="498">
        <f t="shared" ca="1" si="284"/>
        <v>100</v>
      </c>
      <c r="Q688" s="578"/>
      <c r="R688" s="578"/>
      <c r="S688" s="578"/>
      <c r="T688" s="578"/>
      <c r="U688" s="578"/>
      <c r="V688" s="578"/>
      <c r="W688" s="578"/>
      <c r="X688" s="578"/>
      <c r="Y688" s="578"/>
      <c r="Z688" s="578"/>
    </row>
    <row r="689" spans="1:26" ht="18.75" hidden="1">
      <c r="A689" s="599"/>
      <c r="B689" s="607"/>
      <c r="C689" s="759"/>
      <c r="D689" s="720"/>
      <c r="E689" s="759" t="s">
        <v>185</v>
      </c>
      <c r="F689" s="759"/>
      <c r="G689" s="603"/>
      <c r="H689" s="165" t="s">
        <v>12</v>
      </c>
      <c r="I689" s="617"/>
      <c r="J689" s="617"/>
      <c r="K689" s="93"/>
      <c r="L689" s="93">
        <v>0</v>
      </c>
      <c r="M689" s="93">
        <v>0</v>
      </c>
      <c r="N689" s="93">
        <v>0</v>
      </c>
      <c r="O689" s="93"/>
      <c r="P689" s="93"/>
      <c r="Q689" s="604"/>
      <c r="R689" s="604"/>
      <c r="S689" s="604"/>
      <c r="T689" s="604"/>
      <c r="U689" s="604"/>
      <c r="V689" s="604"/>
      <c r="W689" s="604"/>
      <c r="X689" s="604"/>
      <c r="Y689" s="604"/>
      <c r="Z689" s="604"/>
    </row>
    <row r="690" spans="1:26" ht="18.75" hidden="1">
      <c r="A690" s="599"/>
      <c r="B690" s="607"/>
      <c r="C690" s="759"/>
      <c r="D690" s="720"/>
      <c r="E690" s="759" t="s">
        <v>186</v>
      </c>
      <c r="F690" s="759"/>
      <c r="G690" s="603"/>
      <c r="H690" s="165" t="s">
        <v>12</v>
      </c>
      <c r="I690" s="617"/>
      <c r="J690" s="617"/>
      <c r="K690" s="93"/>
      <c r="L690" s="93">
        <f ca="1">IFERROR(__xludf.DUMMYFUNCTION("IMPORTRANGE(""https://docs.google.com/spreadsheets/d/1QqKyyYR6Q21VydFLVH3TRQUabQu_ym0Zz7PgGX0-kHA/edit?usp=sharing"",""แผน!HW46"")"),13540)</f>
        <v>13540</v>
      </c>
      <c r="M690" s="93">
        <f ca="1">L690</f>
        <v>13540</v>
      </c>
      <c r="N690" s="93">
        <f>N691+N692+N693+N694</f>
        <v>13540</v>
      </c>
      <c r="O690" s="93">
        <f ca="1">IF(L690&gt;0,N690*100/L690,0)</f>
        <v>100</v>
      </c>
      <c r="P690" s="93">
        <f ca="1">IF(M690&gt;0,N690*100/M690,0)</f>
        <v>100</v>
      </c>
      <c r="Q690" s="604"/>
      <c r="R690" s="604"/>
      <c r="S690" s="604"/>
      <c r="T690" s="604"/>
      <c r="U690" s="604"/>
      <c r="V690" s="604"/>
      <c r="W690" s="604"/>
      <c r="X690" s="604"/>
      <c r="Y690" s="604"/>
      <c r="Z690" s="604"/>
    </row>
    <row r="691" spans="1:26" ht="18.75">
      <c r="A691" s="574"/>
      <c r="B691" s="575"/>
      <c r="C691" s="763"/>
      <c r="D691" s="763"/>
      <c r="E691" s="763"/>
      <c r="F691" s="763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40">
        <v>0</v>
      </c>
      <c r="O691" s="498"/>
      <c r="P691" s="49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</row>
    <row r="692" spans="1:26" ht="18.75">
      <c r="A692" s="574"/>
      <c r="B692" s="575"/>
      <c r="C692" s="763"/>
      <c r="D692" s="763"/>
      <c r="E692" s="763"/>
      <c r="F692" s="763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40">
        <v>0</v>
      </c>
      <c r="O692" s="498"/>
      <c r="P692" s="49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</row>
    <row r="693" spans="1:26" ht="18.75">
      <c r="A693" s="574"/>
      <c r="B693" s="575"/>
      <c r="C693" s="763"/>
      <c r="D693" s="763"/>
      <c r="E693" s="763"/>
      <c r="F693" s="763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40">
        <v>0</v>
      </c>
      <c r="O693" s="498"/>
      <c r="P693" s="49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</row>
    <row r="694" spans="1:26" ht="18.75">
      <c r="A694" s="574"/>
      <c r="B694" s="575"/>
      <c r="C694" s="763"/>
      <c r="D694" s="763"/>
      <c r="E694" s="763"/>
      <c r="F694" s="763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40">
        <v>13540</v>
      </c>
      <c r="O694" s="498"/>
      <c r="P694" s="49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</row>
    <row r="695" spans="1:26" ht="18.75">
      <c r="A695" s="597"/>
      <c r="B695" s="575"/>
      <c r="C695" s="763"/>
      <c r="D695" s="606" t="s">
        <v>21</v>
      </c>
      <c r="E695" s="763"/>
      <c r="F695" s="763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</row>
    <row r="696" spans="1:26" ht="18.75" hidden="1">
      <c r="A696" s="599"/>
      <c r="B696" s="607"/>
      <c r="C696" s="759"/>
      <c r="D696" s="759"/>
      <c r="E696" s="759" t="s">
        <v>18</v>
      </c>
      <c r="F696" s="759"/>
      <c r="G696" s="603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4"/>
      <c r="R696" s="604"/>
      <c r="S696" s="604"/>
      <c r="T696" s="604"/>
      <c r="U696" s="604"/>
      <c r="V696" s="604"/>
      <c r="W696" s="604"/>
      <c r="X696" s="604"/>
      <c r="Y696" s="604"/>
      <c r="Z696" s="604"/>
    </row>
    <row r="697" spans="1:26" ht="18.75" hidden="1">
      <c r="A697" s="599"/>
      <c r="B697" s="607"/>
      <c r="C697" s="759"/>
      <c r="D697" s="759"/>
      <c r="E697" s="759" t="s">
        <v>19</v>
      </c>
      <c r="F697" s="759"/>
      <c r="G697" s="603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4"/>
      <c r="R697" s="604"/>
      <c r="S697" s="604"/>
      <c r="T697" s="604"/>
      <c r="U697" s="604"/>
      <c r="V697" s="604"/>
      <c r="W697" s="604"/>
      <c r="X697" s="604"/>
      <c r="Y697" s="604"/>
      <c r="Z697" s="604"/>
    </row>
    <row r="698" spans="1:26" ht="19.5">
      <c r="A698" s="608"/>
      <c r="B698" s="618"/>
      <c r="C698" s="763" t="s">
        <v>16</v>
      </c>
      <c r="D698" s="898" t="s">
        <v>38</v>
      </c>
      <c r="E698" s="761"/>
      <c r="F698" s="761"/>
      <c r="G698" s="613"/>
      <c r="H698" s="762"/>
      <c r="I698" s="184"/>
      <c r="J698" s="184"/>
      <c r="K698" s="163"/>
      <c r="L698" s="163"/>
      <c r="M698" s="163"/>
      <c r="N698" s="163"/>
      <c r="O698" s="163"/>
      <c r="P698" s="163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</row>
    <row r="699" spans="1:26" ht="18.75">
      <c r="A699" s="744"/>
      <c r="B699" s="763"/>
      <c r="C699" s="763"/>
      <c r="D699" s="763" t="s">
        <v>295</v>
      </c>
      <c r="E699" s="763"/>
      <c r="F699" s="763"/>
      <c r="G699" s="189"/>
      <c r="H699" s="764" t="s">
        <v>46</v>
      </c>
      <c r="I699" s="765">
        <f ca="1">IFERROR(__xludf.DUMMYFUNCTION("IMPORTRANGE(""https://docs.google.com/spreadsheets/d/1QqKyyYR6Q21VydFLVH3TRQUabQu_ym0Zz7PgGX0-kHA/edit?usp=sharing"",""แผน!IC46"")"),0)</f>
        <v>0</v>
      </c>
      <c r="J699" s="270">
        <f ca="1">IFERROR(__xludf.DUMMYFUNCTION("IMPORTRANGE(""https://docs.google.com/spreadsheets/d/1XWAQStnk-4SwqDmLtmXYiTMKHgktTP8We1SCoS47DrQ/edit?usp=sharing"",""จัดที่ดิน!BB46"")"),0)</f>
        <v>0</v>
      </c>
      <c r="K699" s="498">
        <f t="shared" ref="K699:K701" ca="1" si="290">IF(I699&gt;0,J699*100/I699,0)</f>
        <v>0</v>
      </c>
      <c r="L699" s="498"/>
      <c r="M699" s="189"/>
      <c r="N699" s="766"/>
      <c r="O699" s="498"/>
      <c r="P699" s="49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</row>
    <row r="700" spans="1:26" ht="18.75">
      <c r="A700" s="744"/>
      <c r="B700" s="763"/>
      <c r="C700" s="763"/>
      <c r="D700" s="763" t="s">
        <v>296</v>
      </c>
      <c r="E700" s="763"/>
      <c r="F700" s="763"/>
      <c r="G700" s="189"/>
      <c r="H700" s="764" t="s">
        <v>35</v>
      </c>
      <c r="I700" s="765">
        <f ca="1">IFERROR(__xludf.DUMMYFUNCTION("IMPORTRANGE(""https://docs.google.com/spreadsheets/d/1QqKyyYR6Q21VydFLVH3TRQUabQu_ym0Zz7PgGX0-kHA/edit?usp=sharing"",""แผน!ID46"")"),15)</f>
        <v>15</v>
      </c>
      <c r="J700" s="270">
        <f ca="1">IFERROR(__xludf.DUMMYFUNCTION("IMPORTRANGE(""https://docs.google.com/spreadsheets/d/1XWAQStnk-4SwqDmLtmXYiTMKHgktTP8We1SCoS47DrQ/edit?usp=sharing"",""จัดที่ดิน!BD46"")"),12)</f>
        <v>12</v>
      </c>
      <c r="K700" s="498">
        <f t="shared" ca="1" si="290"/>
        <v>80</v>
      </c>
      <c r="L700" s="498"/>
      <c r="M700" s="189"/>
      <c r="N700" s="766"/>
      <c r="O700" s="498"/>
      <c r="P700" s="49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</row>
    <row r="701" spans="1:26" ht="19.5">
      <c r="A701" s="744"/>
      <c r="B701" s="763"/>
      <c r="C701" s="763"/>
      <c r="D701" s="763" t="s">
        <v>297</v>
      </c>
      <c r="E701" s="763"/>
      <c r="F701" s="763"/>
      <c r="G701" s="189"/>
      <c r="H701" s="767" t="s">
        <v>46</v>
      </c>
      <c r="I701" s="768">
        <f ca="1">IFERROR(__xludf.DUMMYFUNCTION("IMPORTRANGE(""https://docs.google.com/spreadsheets/d/1QqKyyYR6Q21VydFLVH3TRQUabQu_ym0Zz7PgGX0-kHA/edit?usp=sharing"",""แผน!IE46"")"),0)</f>
        <v>0</v>
      </c>
      <c r="J701" s="681">
        <f>J704+J707</f>
        <v>100</v>
      </c>
      <c r="K701" s="195">
        <f t="shared" ca="1" si="290"/>
        <v>0</v>
      </c>
      <c r="L701" s="498"/>
      <c r="M701" s="189"/>
      <c r="N701" s="766"/>
      <c r="O701" s="498"/>
      <c r="P701" s="49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</row>
    <row r="702" spans="1:26" ht="18.75">
      <c r="A702" s="744"/>
      <c r="B702" s="763"/>
      <c r="C702" s="763"/>
      <c r="D702" s="763"/>
      <c r="E702" s="763" t="s">
        <v>298</v>
      </c>
      <c r="F702" s="763"/>
      <c r="G702" s="189"/>
      <c r="H702" s="764" t="s">
        <v>35</v>
      </c>
      <c r="I702" s="765"/>
      <c r="J702" s="215">
        <v>0</v>
      </c>
      <c r="K702" s="498"/>
      <c r="L702" s="498"/>
      <c r="M702" s="189"/>
      <c r="N702" s="766"/>
      <c r="O702" s="498"/>
      <c r="P702" s="49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</row>
    <row r="703" spans="1:26" ht="18.75">
      <c r="A703" s="744"/>
      <c r="B703" s="763"/>
      <c r="C703" s="763"/>
      <c r="D703" s="763"/>
      <c r="E703" s="763"/>
      <c r="F703" s="763"/>
      <c r="G703" s="189"/>
      <c r="H703" s="764" t="s">
        <v>34</v>
      </c>
      <c r="I703" s="765"/>
      <c r="J703" s="215">
        <v>0</v>
      </c>
      <c r="K703" s="498"/>
      <c r="L703" s="498"/>
      <c r="M703" s="189"/>
      <c r="N703" s="766"/>
      <c r="O703" s="498"/>
      <c r="P703" s="49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</row>
    <row r="704" spans="1:26" ht="18.75">
      <c r="A704" s="744"/>
      <c r="B704" s="763"/>
      <c r="C704" s="763"/>
      <c r="D704" s="763"/>
      <c r="E704" s="763"/>
      <c r="F704" s="763"/>
      <c r="G704" s="189"/>
      <c r="H704" s="764" t="s">
        <v>46</v>
      </c>
      <c r="I704" s="765">
        <f ca="1">IFERROR(__xludf.DUMMYFUNCTION("IMPORTRANGE(""https://docs.google.com/spreadsheets/d/1QqKyyYR6Q21VydFLVH3TRQUabQu_ym0Zz7PgGX0-kHA/edit?usp=sharing"",""แผน!IF46"")"),0)</f>
        <v>0</v>
      </c>
      <c r="J704" s="215">
        <v>0</v>
      </c>
      <c r="K704" s="498"/>
      <c r="L704" s="498"/>
      <c r="M704" s="189"/>
      <c r="N704" s="766"/>
      <c r="O704" s="498"/>
      <c r="P704" s="49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</row>
    <row r="705" spans="1:26" ht="18.75">
      <c r="A705" s="744"/>
      <c r="B705" s="763"/>
      <c r="C705" s="763"/>
      <c r="D705" s="763"/>
      <c r="E705" s="763" t="s">
        <v>299</v>
      </c>
      <c r="F705" s="763"/>
      <c r="G705" s="189"/>
      <c r="H705" s="764" t="s">
        <v>35</v>
      </c>
      <c r="I705" s="765"/>
      <c r="J705" s="215">
        <v>10</v>
      </c>
      <c r="K705" s="498"/>
      <c r="L705" s="498"/>
      <c r="M705" s="189"/>
      <c r="N705" s="766"/>
      <c r="O705" s="498"/>
      <c r="P705" s="49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</row>
    <row r="706" spans="1:26" ht="18.75">
      <c r="A706" s="744"/>
      <c r="B706" s="763"/>
      <c r="C706" s="763"/>
      <c r="D706" s="763"/>
      <c r="E706" s="763"/>
      <c r="F706" s="763"/>
      <c r="G706" s="189"/>
      <c r="H706" s="764" t="s">
        <v>34</v>
      </c>
      <c r="I706" s="765"/>
      <c r="J706" s="215">
        <v>10</v>
      </c>
      <c r="K706" s="498"/>
      <c r="L706" s="498"/>
      <c r="M706" s="189"/>
      <c r="N706" s="766"/>
      <c r="O706" s="498"/>
      <c r="P706" s="49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</row>
    <row r="707" spans="1:26" ht="18.75">
      <c r="A707" s="744"/>
      <c r="B707" s="763"/>
      <c r="C707" s="763"/>
      <c r="D707" s="763"/>
      <c r="E707" s="763"/>
      <c r="F707" s="763"/>
      <c r="G707" s="189"/>
      <c r="H707" s="764" t="s">
        <v>46</v>
      </c>
      <c r="I707" s="765">
        <f ca="1">IFERROR(__xludf.DUMMYFUNCTION("IMPORTRANGE(""https://docs.google.com/spreadsheets/d/1QqKyyYR6Q21VydFLVH3TRQUabQu_ym0Zz7PgGX0-kHA/edit?usp=sharing"",""แผน!IG46"")"),0)</f>
        <v>0</v>
      </c>
      <c r="J707" s="215">
        <v>100</v>
      </c>
      <c r="K707" s="498"/>
      <c r="L707" s="498"/>
      <c r="M707" s="189"/>
      <c r="N707" s="766"/>
      <c r="O707" s="498"/>
      <c r="P707" s="49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</row>
    <row r="708" spans="1:26" ht="19.5">
      <c r="A708" s="744"/>
      <c r="B708" s="763"/>
      <c r="C708" s="763"/>
      <c r="D708" s="769" t="s">
        <v>300</v>
      </c>
      <c r="E708" s="763"/>
      <c r="F708" s="763"/>
      <c r="G708" s="189"/>
      <c r="H708" s="767" t="s">
        <v>46</v>
      </c>
      <c r="I708" s="768">
        <f ca="1">IFERROR(__xludf.DUMMYFUNCTION("IMPORTRANGE(""https://docs.google.com/spreadsheets/d/1QqKyyYR6Q21VydFLVH3TRQUabQu_ym0Zz7PgGX0-kHA/edit?usp=sharing"",""แผน!IH46"")"),342)</f>
        <v>342</v>
      </c>
      <c r="J708" s="681">
        <f>J714+J717</f>
        <v>342</v>
      </c>
      <c r="K708" s="195">
        <f ca="1">IF(I708&gt;0,J708*100/I708,0)</f>
        <v>100</v>
      </c>
      <c r="L708" s="498"/>
      <c r="M708" s="189"/>
      <c r="N708" s="766"/>
      <c r="O708" s="498"/>
      <c r="P708" s="49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</row>
    <row r="709" spans="1:26" ht="18.75">
      <c r="A709" s="744"/>
      <c r="B709" s="763"/>
      <c r="C709" s="763"/>
      <c r="D709" s="763"/>
      <c r="E709" s="763" t="s">
        <v>301</v>
      </c>
      <c r="F709" s="763"/>
      <c r="G709" s="189"/>
      <c r="H709" s="764" t="s">
        <v>34</v>
      </c>
      <c r="I709" s="765"/>
      <c r="J709" s="215">
        <v>0</v>
      </c>
      <c r="K709" s="498"/>
      <c r="L709" s="766"/>
      <c r="M709" s="189"/>
      <c r="N709" s="766"/>
      <c r="O709" s="498"/>
      <c r="P709" s="49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</row>
    <row r="710" spans="1:26" ht="18.75">
      <c r="A710" s="744"/>
      <c r="B710" s="763"/>
      <c r="C710" s="763"/>
      <c r="D710" s="763"/>
      <c r="E710" s="763"/>
      <c r="F710" s="763"/>
      <c r="G710" s="189"/>
      <c r="H710" s="764" t="s">
        <v>46</v>
      </c>
      <c r="I710" s="765"/>
      <c r="J710" s="215">
        <v>0</v>
      </c>
      <c r="K710" s="498"/>
      <c r="L710" s="766"/>
      <c r="M710" s="189"/>
      <c r="N710" s="766"/>
      <c r="O710" s="498"/>
      <c r="P710" s="49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</row>
    <row r="711" spans="1:26" ht="18.75">
      <c r="A711" s="744"/>
      <c r="B711" s="763"/>
      <c r="C711" s="763"/>
      <c r="D711" s="763"/>
      <c r="E711" s="763" t="s">
        <v>302</v>
      </c>
      <c r="F711" s="763"/>
      <c r="G711" s="189"/>
      <c r="H711" s="762"/>
      <c r="I711" s="765"/>
      <c r="J711" s="270"/>
      <c r="K711" s="498"/>
      <c r="L711" s="766"/>
      <c r="M711" s="189"/>
      <c r="N711" s="766"/>
      <c r="O711" s="498"/>
      <c r="P711" s="49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</row>
    <row r="712" spans="1:26" ht="18.75">
      <c r="A712" s="744"/>
      <c r="B712" s="763"/>
      <c r="C712" s="763"/>
      <c r="D712" s="763"/>
      <c r="E712" s="763"/>
      <c r="F712" s="763" t="s">
        <v>303</v>
      </c>
      <c r="G712" s="189"/>
      <c r="H712" s="764" t="s">
        <v>35</v>
      </c>
      <c r="I712" s="765"/>
      <c r="J712" s="215">
        <v>17</v>
      </c>
      <c r="K712" s="498"/>
      <c r="L712" s="766"/>
      <c r="M712" s="189"/>
      <c r="N712" s="766"/>
      <c r="O712" s="498"/>
      <c r="P712" s="49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</row>
    <row r="713" spans="1:26" ht="18.75">
      <c r="A713" s="744"/>
      <c r="B713" s="763"/>
      <c r="C713" s="763"/>
      <c r="D713" s="763"/>
      <c r="E713" s="763"/>
      <c r="F713" s="763"/>
      <c r="G713" s="189"/>
      <c r="H713" s="764" t="s">
        <v>34</v>
      </c>
      <c r="I713" s="765"/>
      <c r="J713" s="215">
        <v>17</v>
      </c>
      <c r="K713" s="498"/>
      <c r="L713" s="766"/>
      <c r="M713" s="189"/>
      <c r="N713" s="766"/>
      <c r="O713" s="498"/>
      <c r="P713" s="49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</row>
    <row r="714" spans="1:26" ht="18.75">
      <c r="A714" s="744"/>
      <c r="B714" s="763"/>
      <c r="C714" s="763"/>
      <c r="D714" s="763"/>
      <c r="E714" s="763"/>
      <c r="F714" s="763"/>
      <c r="G714" s="189"/>
      <c r="H714" s="764" t="s">
        <v>46</v>
      </c>
      <c r="I714" s="765"/>
      <c r="J714" s="215">
        <v>342</v>
      </c>
      <c r="K714" s="498"/>
      <c r="L714" s="766"/>
      <c r="M714" s="189"/>
      <c r="N714" s="766"/>
      <c r="O714" s="498"/>
      <c r="P714" s="49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</row>
    <row r="715" spans="1:26" ht="18.75">
      <c r="A715" s="744"/>
      <c r="B715" s="763"/>
      <c r="C715" s="763"/>
      <c r="D715" s="763"/>
      <c r="E715" s="763"/>
      <c r="F715" s="763" t="s">
        <v>304</v>
      </c>
      <c r="G715" s="189"/>
      <c r="H715" s="764" t="s">
        <v>35</v>
      </c>
      <c r="I715" s="765"/>
      <c r="J715" s="215">
        <v>0</v>
      </c>
      <c r="K715" s="498"/>
      <c r="L715" s="766"/>
      <c r="M715" s="189"/>
      <c r="N715" s="766"/>
      <c r="O715" s="498"/>
      <c r="P715" s="49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</row>
    <row r="716" spans="1:26" ht="18.75">
      <c r="A716" s="744"/>
      <c r="B716" s="763"/>
      <c r="C716" s="763"/>
      <c r="D716" s="763"/>
      <c r="E716" s="763"/>
      <c r="F716" s="763"/>
      <c r="G716" s="189"/>
      <c r="H716" s="764" t="s">
        <v>34</v>
      </c>
      <c r="I716" s="765"/>
      <c r="J716" s="215">
        <v>0</v>
      </c>
      <c r="K716" s="498"/>
      <c r="L716" s="766"/>
      <c r="M716" s="189"/>
      <c r="N716" s="766"/>
      <c r="O716" s="498"/>
      <c r="P716" s="49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</row>
    <row r="717" spans="1:26" ht="18.75">
      <c r="A717" s="744"/>
      <c r="B717" s="763"/>
      <c r="C717" s="763"/>
      <c r="D717" s="763"/>
      <c r="E717" s="763"/>
      <c r="F717" s="763"/>
      <c r="G717" s="189"/>
      <c r="H717" s="764" t="s">
        <v>46</v>
      </c>
      <c r="I717" s="765"/>
      <c r="J717" s="215">
        <v>0</v>
      </c>
      <c r="K717" s="498"/>
      <c r="L717" s="766"/>
      <c r="M717" s="189"/>
      <c r="N717" s="766"/>
      <c r="O717" s="498"/>
      <c r="P717" s="49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</row>
    <row r="718" spans="1:26" ht="18.75">
      <c r="A718" s="744"/>
      <c r="B718" s="763"/>
      <c r="C718" s="763"/>
      <c r="D718" s="763" t="s">
        <v>305</v>
      </c>
      <c r="E718" s="763"/>
      <c r="F718" s="763"/>
      <c r="G718" s="189"/>
      <c r="H718" s="764" t="s">
        <v>35</v>
      </c>
      <c r="I718" s="765"/>
      <c r="J718" s="270">
        <f ca="1">IFERROR(__xludf.DUMMYFUNCTION("IMPORTRANGE(""https://docs.google.com/spreadsheets/d/1XWAQStnk-4SwqDmLtmXYiTMKHgktTP8We1SCoS47DrQ/edit?usp=sharing"",""จัดที่ดิน!BF46"")"),8)</f>
        <v>8</v>
      </c>
      <c r="K718" s="498"/>
      <c r="L718" s="498"/>
      <c r="M718" s="189"/>
      <c r="N718" s="766"/>
      <c r="O718" s="498"/>
      <c r="P718" s="49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</row>
    <row r="719" spans="1:26" ht="18.75">
      <c r="A719" s="744"/>
      <c r="B719" s="763"/>
      <c r="C719" s="763"/>
      <c r="D719" s="763"/>
      <c r="E719" s="763"/>
      <c r="F719" s="763"/>
      <c r="G719" s="189"/>
      <c r="H719" s="764" t="s">
        <v>34</v>
      </c>
      <c r="I719" s="765"/>
      <c r="J719" s="270">
        <f ca="1">IFERROR(__xludf.DUMMYFUNCTION("IMPORTRANGE(""https://docs.google.com/spreadsheets/d/1XWAQStnk-4SwqDmLtmXYiTMKHgktTP8We1SCoS47DrQ/edit?usp=sharing"",""จัดที่ดิน!BG46"")"),8)</f>
        <v>8</v>
      </c>
      <c r="K719" s="498"/>
      <c r="L719" s="766"/>
      <c r="M719" s="189"/>
      <c r="N719" s="766"/>
      <c r="O719" s="498"/>
      <c r="P719" s="49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</row>
    <row r="720" spans="1:26" ht="18.75">
      <c r="A720" s="744"/>
      <c r="B720" s="763"/>
      <c r="C720" s="763"/>
      <c r="D720" s="763"/>
      <c r="E720" s="763"/>
      <c r="F720" s="763"/>
      <c r="G720" s="189"/>
      <c r="H720" s="764" t="s">
        <v>46</v>
      </c>
      <c r="I720" s="765">
        <f ca="1">IFERROR(__xludf.DUMMYFUNCTION("IMPORTRANGE(""https://docs.google.com/spreadsheets/d/1QqKyyYR6Q21VydFLVH3TRQUabQu_ym0Zz7PgGX0-kHA/edit?usp=sharing"",""แผน!II46"")"),130)</f>
        <v>130</v>
      </c>
      <c r="J720" s="270">
        <f ca="1">IFERROR(__xludf.DUMMYFUNCTION("IMPORTRANGE(""https://docs.google.com/spreadsheets/d/1XWAQStnk-4SwqDmLtmXYiTMKHgktTP8We1SCoS47DrQ/edit?usp=sharing"",""จัดที่ดิน!BH46"")"),79.83)</f>
        <v>79.83</v>
      </c>
      <c r="K720" s="498">
        <f t="shared" ref="K720:K723" ca="1" si="291">IF(I720&gt;0,J720*100/I720,0)</f>
        <v>61.407692307692308</v>
      </c>
      <c r="L720" s="766"/>
      <c r="M720" s="189"/>
      <c r="N720" s="766"/>
      <c r="O720" s="498"/>
      <c r="P720" s="49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</row>
    <row r="721" spans="1:26" ht="19.5">
      <c r="A721" s="744"/>
      <c r="B721" s="763"/>
      <c r="C721" s="763"/>
      <c r="D721" s="763" t="s">
        <v>306</v>
      </c>
      <c r="E721" s="763"/>
      <c r="F721" s="763"/>
      <c r="G721" s="189"/>
      <c r="H721" s="767" t="s">
        <v>35</v>
      </c>
      <c r="I721" s="768">
        <f ca="1">IFERROR(__xludf.DUMMYFUNCTION("IMPORTRANGE(""https://docs.google.com/spreadsheets/d/1QqKyyYR6Q21VydFLVH3TRQUabQu_ym0Zz7PgGX0-kHA/edit?usp=sharing"",""แผน!IJ46"")"),0)</f>
        <v>0</v>
      </c>
      <c r="J721" s="681">
        <f ca="1">J723+J726</f>
        <v>0</v>
      </c>
      <c r="K721" s="195">
        <f t="shared" ca="1" si="291"/>
        <v>0</v>
      </c>
      <c r="L721" s="766"/>
      <c r="M721" s="189"/>
      <c r="N721" s="766"/>
      <c r="O721" s="498"/>
      <c r="P721" s="49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</row>
    <row r="722" spans="1:26" ht="19.5">
      <c r="A722" s="744"/>
      <c r="B722" s="763"/>
      <c r="C722" s="763"/>
      <c r="D722" s="763"/>
      <c r="E722" s="763"/>
      <c r="F722" s="763"/>
      <c r="G722" s="189"/>
      <c r="H722" s="767" t="s">
        <v>46</v>
      </c>
      <c r="I722" s="768">
        <f ca="1">IFERROR(__xludf.DUMMYFUNCTION("IMPORTRANGE(""https://docs.google.com/spreadsheets/d/1QqKyyYR6Q21VydFLVH3TRQUabQu_ym0Zz7PgGX0-kHA/edit?usp=sharing"",""แผน!IK46"")"),0)</f>
        <v>0</v>
      </c>
      <c r="J722" s="681">
        <f ca="1">J725+J728</f>
        <v>0</v>
      </c>
      <c r="K722" s="195">
        <f t="shared" ca="1" si="291"/>
        <v>0</v>
      </c>
      <c r="L722" s="498"/>
      <c r="M722" s="189"/>
      <c r="N722" s="766"/>
      <c r="O722" s="498"/>
      <c r="P722" s="49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</row>
    <row r="723" spans="1:26" ht="18.75">
      <c r="A723" s="744"/>
      <c r="B723" s="763"/>
      <c r="C723" s="763"/>
      <c r="D723" s="763"/>
      <c r="E723" s="763" t="s">
        <v>307</v>
      </c>
      <c r="F723" s="763"/>
      <c r="G723" s="189"/>
      <c r="H723" s="764" t="s">
        <v>35</v>
      </c>
      <c r="I723" s="765">
        <f ca="1">IFERROR(__xludf.DUMMYFUNCTION("IMPORTRANGE(""https://docs.google.com/spreadsheets/d/1QqKyyYR6Q21VydFLVH3TRQUabQu_ym0Zz7PgGX0-kHA/edit?usp=sharing"",""แผน!IL46"")"),0)</f>
        <v>0</v>
      </c>
      <c r="J723" s="270">
        <f ca="1">IFERROR(__xludf.DUMMYFUNCTION("IMPORTRANGE(""https://docs.google.com/spreadsheets/d/1XWAQStnk-4SwqDmLtmXYiTMKHgktTP8We1SCoS47DrQ/edit?usp=sharing"",""จัดที่ดิน!BM46"")"),0)</f>
        <v>0</v>
      </c>
      <c r="K723" s="498">
        <f t="shared" ca="1" si="291"/>
        <v>0</v>
      </c>
      <c r="L723" s="498"/>
      <c r="M723" s="189"/>
      <c r="N723" s="766"/>
      <c r="O723" s="498"/>
      <c r="P723" s="49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</row>
    <row r="724" spans="1:26" ht="18.75">
      <c r="A724" s="744"/>
      <c r="B724" s="763"/>
      <c r="C724" s="763"/>
      <c r="D724" s="763"/>
      <c r="E724" s="763"/>
      <c r="F724" s="763"/>
      <c r="G724" s="189"/>
      <c r="H724" s="764" t="s">
        <v>34</v>
      </c>
      <c r="I724" s="765"/>
      <c r="J724" s="270">
        <f ca="1">IFERROR(__xludf.DUMMYFUNCTION("IMPORTRANGE(""https://docs.google.com/spreadsheets/d/1XWAQStnk-4SwqDmLtmXYiTMKHgktTP8We1SCoS47DrQ/edit?usp=sharing"",""จัดที่ดิน!BN46"")"),0)</f>
        <v>0</v>
      </c>
      <c r="K724" s="498"/>
      <c r="L724" s="766"/>
      <c r="M724" s="189"/>
      <c r="N724" s="766"/>
      <c r="O724" s="498"/>
      <c r="P724" s="49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</row>
    <row r="725" spans="1:26" ht="18.75">
      <c r="A725" s="744"/>
      <c r="B725" s="763"/>
      <c r="C725" s="763"/>
      <c r="D725" s="763"/>
      <c r="E725" s="763"/>
      <c r="F725" s="763"/>
      <c r="G725" s="189"/>
      <c r="H725" s="764" t="s">
        <v>46</v>
      </c>
      <c r="I725" s="765">
        <f ca="1">IFERROR(__xludf.DUMMYFUNCTION("IMPORTRANGE(""https://docs.google.com/spreadsheets/d/1QqKyyYR6Q21VydFLVH3TRQUabQu_ym0Zz7PgGX0-kHA/edit?usp=sharing"",""แผน!IM46"")"),0)</f>
        <v>0</v>
      </c>
      <c r="J725" s="270">
        <f ca="1">IFERROR(__xludf.DUMMYFUNCTION("IMPORTRANGE(""https://docs.google.com/spreadsheets/d/1XWAQStnk-4SwqDmLtmXYiTMKHgktTP8We1SCoS47DrQ/edit?usp=sharing"",""จัดที่ดิน!BO46"")"),0)</f>
        <v>0</v>
      </c>
      <c r="K725" s="498">
        <f t="shared" ref="K725:K726" ca="1" si="292">IF(I725&gt;0,J725*100/I725,0)</f>
        <v>0</v>
      </c>
      <c r="L725" s="766"/>
      <c r="M725" s="189"/>
      <c r="N725" s="766"/>
      <c r="O725" s="498"/>
      <c r="P725" s="49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</row>
    <row r="726" spans="1:26" ht="18.75">
      <c r="A726" s="744"/>
      <c r="B726" s="763"/>
      <c r="C726" s="763"/>
      <c r="D726" s="763"/>
      <c r="E726" s="763" t="s">
        <v>308</v>
      </c>
      <c r="F726" s="763"/>
      <c r="G726" s="189"/>
      <c r="H726" s="764" t="s">
        <v>35</v>
      </c>
      <c r="I726" s="765">
        <f ca="1">IFERROR(__xludf.DUMMYFUNCTION("IMPORTRANGE(""https://docs.google.com/spreadsheets/d/1QqKyyYR6Q21VydFLVH3TRQUabQu_ym0Zz7PgGX0-kHA/edit?usp=sharing"",""แผน!IN46"")"),0)</f>
        <v>0</v>
      </c>
      <c r="J726" s="270">
        <f ca="1">IFERROR(__xludf.DUMMYFUNCTION("IMPORTRANGE(""https://docs.google.com/spreadsheets/d/1XWAQStnk-4SwqDmLtmXYiTMKHgktTP8We1SCoS47DrQ/edit?usp=sharing"",""จัดที่ดิน!BR46"")"),0)</f>
        <v>0</v>
      </c>
      <c r="K726" s="498">
        <f t="shared" ca="1" si="292"/>
        <v>0</v>
      </c>
      <c r="L726" s="498"/>
      <c r="M726" s="189"/>
      <c r="N726" s="766"/>
      <c r="O726" s="498"/>
      <c r="P726" s="49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</row>
    <row r="727" spans="1:26" ht="18.75">
      <c r="A727" s="744"/>
      <c r="B727" s="763"/>
      <c r="C727" s="763"/>
      <c r="D727" s="763"/>
      <c r="E727" s="763"/>
      <c r="F727" s="763"/>
      <c r="G727" s="189"/>
      <c r="H727" s="764" t="s">
        <v>34</v>
      </c>
      <c r="I727" s="765"/>
      <c r="J727" s="270">
        <f ca="1">IFERROR(__xludf.DUMMYFUNCTION("IMPORTRANGE(""https://docs.google.com/spreadsheets/d/1XWAQStnk-4SwqDmLtmXYiTMKHgktTP8We1SCoS47DrQ/edit?usp=sharing"",""จัดที่ดิน!BS46"")"),0)</f>
        <v>0</v>
      </c>
      <c r="K727" s="498"/>
      <c r="L727" s="766"/>
      <c r="M727" s="189"/>
      <c r="N727" s="766"/>
      <c r="O727" s="498"/>
      <c r="P727" s="49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</row>
    <row r="728" spans="1:26" ht="18.75">
      <c r="A728" s="744"/>
      <c r="B728" s="763"/>
      <c r="C728" s="763"/>
      <c r="D728" s="763"/>
      <c r="E728" s="763"/>
      <c r="F728" s="763"/>
      <c r="G728" s="189"/>
      <c r="H728" s="764" t="s">
        <v>46</v>
      </c>
      <c r="I728" s="765">
        <f ca="1">IFERROR(__xludf.DUMMYFUNCTION("IMPORTRANGE(""https://docs.google.com/spreadsheets/d/1QqKyyYR6Q21VydFLVH3TRQUabQu_ym0Zz7PgGX0-kHA/edit?usp=sharing"",""แผน!IO46"")"),0)</f>
        <v>0</v>
      </c>
      <c r="J728" s="270">
        <f ca="1">IFERROR(__xludf.DUMMYFUNCTION("IMPORTRANGE(""https://docs.google.com/spreadsheets/d/1XWAQStnk-4SwqDmLtmXYiTMKHgktTP8We1SCoS47DrQ/edit?usp=sharing"",""จัดที่ดิน!BT46"")"),0)</f>
        <v>0</v>
      </c>
      <c r="K728" s="498">
        <f t="shared" ref="K728:K729" ca="1" si="293">IF(I728&gt;0,J728*100/I728,0)</f>
        <v>0</v>
      </c>
      <c r="L728" s="766"/>
      <c r="M728" s="189"/>
      <c r="N728" s="766"/>
      <c r="O728" s="498"/>
      <c r="P728" s="49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</row>
    <row r="729" spans="1:26" ht="19.5">
      <c r="A729" s="744"/>
      <c r="B729" s="763"/>
      <c r="C729" s="763"/>
      <c r="D729" s="763" t="s">
        <v>309</v>
      </c>
      <c r="E729" s="763"/>
      <c r="F729" s="763"/>
      <c r="G729" s="189"/>
      <c r="H729" s="767" t="s">
        <v>46</v>
      </c>
      <c r="I729" s="768">
        <f ca="1">IFERROR(__xludf.DUMMYFUNCTION("IMPORTRANGE(""https://docs.google.com/spreadsheets/d/1QqKyyYR6Q21VydFLVH3TRQUabQu_ym0Zz7PgGX0-kHA/edit?usp=sharing"",""แผน!IP46"")"),0)</f>
        <v>0</v>
      </c>
      <c r="J729" s="681">
        <f>J732+J735</f>
        <v>0</v>
      </c>
      <c r="K729" s="195">
        <f t="shared" ca="1" si="293"/>
        <v>0</v>
      </c>
      <c r="L729" s="498"/>
      <c r="M729" s="189"/>
      <c r="N729" s="766"/>
      <c r="O729" s="498"/>
      <c r="P729" s="49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</row>
    <row r="730" spans="1:26" ht="18.75">
      <c r="A730" s="744"/>
      <c r="B730" s="763"/>
      <c r="C730" s="763"/>
      <c r="D730" s="763"/>
      <c r="E730" s="763" t="s">
        <v>310</v>
      </c>
      <c r="F730" s="763"/>
      <c r="G730" s="189"/>
      <c r="H730" s="764" t="s">
        <v>35</v>
      </c>
      <c r="I730" s="765"/>
      <c r="J730" s="215">
        <v>0</v>
      </c>
      <c r="K730" s="498"/>
      <c r="L730" s="766"/>
      <c r="M730" s="498"/>
      <c r="N730" s="766"/>
      <c r="O730" s="498"/>
      <c r="P730" s="49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</row>
    <row r="731" spans="1:26" ht="18.75">
      <c r="A731" s="744"/>
      <c r="B731" s="763"/>
      <c r="C731" s="763"/>
      <c r="D731" s="763"/>
      <c r="E731" s="763"/>
      <c r="F731" s="763"/>
      <c r="G731" s="189"/>
      <c r="H731" s="764" t="s">
        <v>34</v>
      </c>
      <c r="I731" s="765"/>
      <c r="J731" s="215">
        <v>0</v>
      </c>
      <c r="K731" s="498"/>
      <c r="L731" s="766"/>
      <c r="M731" s="498"/>
      <c r="N731" s="766"/>
      <c r="O731" s="498"/>
      <c r="P731" s="49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</row>
    <row r="732" spans="1:26" ht="18.75">
      <c r="A732" s="744"/>
      <c r="B732" s="763"/>
      <c r="C732" s="763"/>
      <c r="D732" s="763"/>
      <c r="E732" s="763"/>
      <c r="F732" s="763"/>
      <c r="G732" s="189"/>
      <c r="H732" s="764" t="s">
        <v>46</v>
      </c>
      <c r="I732" s="765"/>
      <c r="J732" s="215">
        <v>0</v>
      </c>
      <c r="K732" s="498"/>
      <c r="L732" s="766"/>
      <c r="M732" s="498"/>
      <c r="N732" s="766"/>
      <c r="O732" s="498"/>
      <c r="P732" s="49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</row>
    <row r="733" spans="1:26" ht="18.75">
      <c r="A733" s="744"/>
      <c r="B733" s="763"/>
      <c r="C733" s="763"/>
      <c r="D733" s="763"/>
      <c r="E733" s="763" t="s">
        <v>311</v>
      </c>
      <c r="F733" s="763"/>
      <c r="G733" s="189"/>
      <c r="H733" s="764" t="s">
        <v>35</v>
      </c>
      <c r="I733" s="765"/>
      <c r="J733" s="215">
        <v>0</v>
      </c>
      <c r="K733" s="498"/>
      <c r="L733" s="766"/>
      <c r="M733" s="498"/>
      <c r="N733" s="766"/>
      <c r="O733" s="498"/>
      <c r="P733" s="49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</row>
    <row r="734" spans="1:26" ht="18.75">
      <c r="A734" s="744"/>
      <c r="B734" s="763"/>
      <c r="C734" s="763"/>
      <c r="D734" s="763"/>
      <c r="E734" s="763"/>
      <c r="F734" s="763"/>
      <c r="G734" s="189"/>
      <c r="H734" s="764" t="s">
        <v>34</v>
      </c>
      <c r="I734" s="765"/>
      <c r="J734" s="215">
        <v>0</v>
      </c>
      <c r="K734" s="498"/>
      <c r="L734" s="766"/>
      <c r="M734" s="498"/>
      <c r="N734" s="766"/>
      <c r="O734" s="498"/>
      <c r="P734" s="49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</row>
    <row r="735" spans="1:26" ht="19.5">
      <c r="A735" s="770"/>
      <c r="B735" s="771" t="s">
        <v>312</v>
      </c>
      <c r="C735" s="734"/>
      <c r="D735" s="734"/>
      <c r="E735" s="734"/>
      <c r="F735" s="734"/>
      <c r="G735" s="735"/>
      <c r="H735" s="422" t="s">
        <v>46</v>
      </c>
      <c r="I735" s="772"/>
      <c r="J735" s="424">
        <v>0</v>
      </c>
      <c r="K735" s="507"/>
      <c r="L735" s="773"/>
      <c r="M735" s="507"/>
      <c r="N735" s="773"/>
      <c r="O735" s="507"/>
      <c r="P735" s="507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</row>
    <row r="736" spans="1:26" ht="19.5" hidden="1">
      <c r="A736" s="774">
        <v>9</v>
      </c>
      <c r="B736" s="775" t="s">
        <v>313</v>
      </c>
      <c r="C736" s="776"/>
      <c r="D736" s="776"/>
      <c r="E736" s="776"/>
      <c r="F736" s="776"/>
      <c r="G736" s="777"/>
      <c r="H736" s="778" t="s">
        <v>46</v>
      </c>
      <c r="I736" s="779"/>
      <c r="J736" s="779">
        <f>J751</f>
        <v>0</v>
      </c>
      <c r="K736" s="780">
        <f>IF(I736&gt;0,J736*100/I736,0)</f>
        <v>0</v>
      </c>
      <c r="L736" s="781"/>
      <c r="M736" s="781"/>
      <c r="N736" s="781"/>
      <c r="O736" s="781"/>
      <c r="P736" s="781"/>
      <c r="Q736" s="604"/>
      <c r="R736" s="604"/>
      <c r="S736" s="604"/>
      <c r="T736" s="604"/>
      <c r="U736" s="604"/>
      <c r="V736" s="604"/>
      <c r="W736" s="604"/>
      <c r="X736" s="604"/>
      <c r="Y736" s="604"/>
      <c r="Z736" s="604"/>
    </row>
    <row r="737" spans="1:26" ht="19.5" hidden="1">
      <c r="A737" s="599"/>
      <c r="B737" s="759"/>
      <c r="C737" s="759" t="s">
        <v>16</v>
      </c>
      <c r="D737" s="864" t="s">
        <v>17</v>
      </c>
      <c r="E737" s="857"/>
      <c r="F737" s="857"/>
      <c r="G737" s="603"/>
      <c r="H737" s="646" t="s">
        <v>12</v>
      </c>
      <c r="I737" s="617"/>
      <c r="J737" s="617"/>
      <c r="K737" s="93"/>
      <c r="L737" s="647">
        <f t="shared" ref="L737:N737" si="294">L738+L739</f>
        <v>0</v>
      </c>
      <c r="M737" s="647">
        <f t="shared" si="294"/>
        <v>0</v>
      </c>
      <c r="N737" s="647">
        <f t="shared" si="294"/>
        <v>0</v>
      </c>
      <c r="O737" s="647">
        <f t="shared" ref="O737:O742" si="295">IF(L737&gt;0,N737*100/L737,0)</f>
        <v>0</v>
      </c>
      <c r="P737" s="647">
        <f t="shared" ref="P737:P742" si="296">IF(M737&gt;0,N737*100/M737,0)</f>
        <v>0</v>
      </c>
      <c r="Q737" s="604"/>
      <c r="R737" s="604"/>
      <c r="S737" s="604"/>
      <c r="T737" s="604"/>
      <c r="U737" s="604"/>
      <c r="V737" s="604"/>
      <c r="W737" s="604"/>
      <c r="X737" s="604"/>
      <c r="Y737" s="604"/>
      <c r="Z737" s="604"/>
    </row>
    <row r="738" spans="1:26" ht="18.75" hidden="1">
      <c r="A738" s="599"/>
      <c r="B738" s="759"/>
      <c r="C738" s="759"/>
      <c r="D738" s="720"/>
      <c r="E738" s="759" t="s">
        <v>185</v>
      </c>
      <c r="F738" s="759"/>
      <c r="G738" s="603"/>
      <c r="H738" s="165" t="s">
        <v>12</v>
      </c>
      <c r="I738" s="617"/>
      <c r="J738" s="617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4"/>
      <c r="R738" s="604"/>
      <c r="S738" s="604"/>
      <c r="T738" s="604"/>
      <c r="U738" s="604"/>
      <c r="V738" s="604"/>
      <c r="W738" s="604"/>
      <c r="X738" s="604"/>
      <c r="Y738" s="604"/>
      <c r="Z738" s="604"/>
    </row>
    <row r="739" spans="1:26" ht="18.75" hidden="1">
      <c r="A739" s="599"/>
      <c r="B739" s="607"/>
      <c r="C739" s="759"/>
      <c r="D739" s="720"/>
      <c r="E739" s="759" t="s">
        <v>186</v>
      </c>
      <c r="F739" s="759"/>
      <c r="G739" s="603"/>
      <c r="H739" s="165" t="s">
        <v>12</v>
      </c>
      <c r="I739" s="617"/>
      <c r="J739" s="617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4"/>
      <c r="R739" s="604"/>
      <c r="S739" s="604"/>
      <c r="T739" s="604"/>
      <c r="U739" s="604"/>
      <c r="V739" s="604"/>
      <c r="W739" s="604"/>
      <c r="X739" s="604"/>
      <c r="Y739" s="604"/>
      <c r="Z739" s="604"/>
    </row>
    <row r="740" spans="1:26" ht="19.5" hidden="1">
      <c r="A740" s="599"/>
      <c r="B740" s="607"/>
      <c r="C740" s="759"/>
      <c r="D740" s="645" t="s">
        <v>20</v>
      </c>
      <c r="E740" s="759"/>
      <c r="F740" s="759"/>
      <c r="G740" s="603"/>
      <c r="H740" s="646" t="s">
        <v>12</v>
      </c>
      <c r="I740" s="166"/>
      <c r="J740" s="166"/>
      <c r="K740" s="167"/>
      <c r="L740" s="647">
        <f t="shared" ref="L740:N740" si="298">L741+L742</f>
        <v>0</v>
      </c>
      <c r="M740" s="647">
        <f t="shared" si="298"/>
        <v>0</v>
      </c>
      <c r="N740" s="647">
        <f t="shared" si="298"/>
        <v>0</v>
      </c>
      <c r="O740" s="647">
        <f t="shared" si="295"/>
        <v>0</v>
      </c>
      <c r="P740" s="647">
        <f t="shared" si="296"/>
        <v>0</v>
      </c>
      <c r="Q740" s="604"/>
      <c r="R740" s="604"/>
      <c r="S740" s="604"/>
      <c r="T740" s="604"/>
      <c r="U740" s="604"/>
      <c r="V740" s="604"/>
      <c r="W740" s="604"/>
      <c r="X740" s="604"/>
      <c r="Y740" s="604"/>
      <c r="Z740" s="604"/>
    </row>
    <row r="741" spans="1:26" ht="18.75" hidden="1">
      <c r="A741" s="599"/>
      <c r="B741" s="607"/>
      <c r="C741" s="759"/>
      <c r="D741" s="720"/>
      <c r="E741" s="759" t="s">
        <v>185</v>
      </c>
      <c r="F741" s="759"/>
      <c r="G741" s="603"/>
      <c r="H741" s="165" t="s">
        <v>12</v>
      </c>
      <c r="I741" s="617"/>
      <c r="J741" s="617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4"/>
      <c r="R741" s="604"/>
      <c r="S741" s="604"/>
      <c r="T741" s="604"/>
      <c r="U741" s="604"/>
      <c r="V741" s="604"/>
      <c r="W741" s="604"/>
      <c r="X741" s="604"/>
      <c r="Y741" s="604"/>
      <c r="Z741" s="604"/>
    </row>
    <row r="742" spans="1:26" ht="18.75" hidden="1">
      <c r="A742" s="599"/>
      <c r="B742" s="607"/>
      <c r="C742" s="759"/>
      <c r="D742" s="720"/>
      <c r="E742" s="759" t="s">
        <v>186</v>
      </c>
      <c r="F742" s="759"/>
      <c r="G742" s="603"/>
      <c r="H742" s="165" t="s">
        <v>12</v>
      </c>
      <c r="I742" s="617"/>
      <c r="J742" s="617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4"/>
      <c r="R742" s="604"/>
      <c r="S742" s="604"/>
      <c r="T742" s="604"/>
      <c r="U742" s="604"/>
      <c r="V742" s="604"/>
      <c r="W742" s="604"/>
      <c r="X742" s="604"/>
      <c r="Y742" s="604"/>
      <c r="Z742" s="604"/>
    </row>
    <row r="743" spans="1:26" ht="18.75" hidden="1">
      <c r="A743" s="649"/>
      <c r="B743" s="607"/>
      <c r="C743" s="759"/>
      <c r="D743" s="759"/>
      <c r="E743" s="759"/>
      <c r="F743" s="759" t="s">
        <v>187</v>
      </c>
      <c r="G743" s="603"/>
      <c r="H743" s="165" t="s">
        <v>12</v>
      </c>
      <c r="I743" s="617"/>
      <c r="J743" s="617"/>
      <c r="K743" s="93"/>
      <c r="L743" s="93"/>
      <c r="M743" s="93"/>
      <c r="N743" s="93"/>
      <c r="O743" s="93"/>
      <c r="P743" s="93"/>
      <c r="Q743" s="604"/>
      <c r="R743" s="604"/>
      <c r="S743" s="604"/>
      <c r="T743" s="604"/>
      <c r="U743" s="604"/>
      <c r="V743" s="604"/>
      <c r="W743" s="604"/>
      <c r="X743" s="604"/>
      <c r="Y743" s="604"/>
      <c r="Z743" s="604"/>
    </row>
    <row r="744" spans="1:26" ht="18.75" hidden="1">
      <c r="A744" s="649"/>
      <c r="B744" s="607"/>
      <c r="C744" s="759"/>
      <c r="D744" s="759"/>
      <c r="E744" s="759"/>
      <c r="F744" s="759" t="s">
        <v>188</v>
      </c>
      <c r="G744" s="603"/>
      <c r="H744" s="165" t="s">
        <v>12</v>
      </c>
      <c r="I744" s="617"/>
      <c r="J744" s="617"/>
      <c r="K744" s="93"/>
      <c r="L744" s="93"/>
      <c r="M744" s="93"/>
      <c r="N744" s="93"/>
      <c r="O744" s="93"/>
      <c r="P744" s="93"/>
      <c r="Q744" s="604"/>
      <c r="R744" s="604"/>
      <c r="S744" s="604"/>
      <c r="T744" s="604"/>
      <c r="U744" s="604"/>
      <c r="V744" s="604"/>
      <c r="W744" s="604"/>
      <c r="X744" s="604"/>
      <c r="Y744" s="604"/>
      <c r="Z744" s="604"/>
    </row>
    <row r="745" spans="1:26" ht="18.75" hidden="1">
      <c r="A745" s="649"/>
      <c r="B745" s="607"/>
      <c r="C745" s="759"/>
      <c r="D745" s="759"/>
      <c r="E745" s="759"/>
      <c r="F745" s="759" t="s">
        <v>189</v>
      </c>
      <c r="G745" s="603"/>
      <c r="H745" s="165" t="s">
        <v>12</v>
      </c>
      <c r="I745" s="617"/>
      <c r="J745" s="617"/>
      <c r="K745" s="93"/>
      <c r="L745" s="93"/>
      <c r="M745" s="93"/>
      <c r="N745" s="93"/>
      <c r="O745" s="93"/>
      <c r="P745" s="93"/>
      <c r="Q745" s="604"/>
      <c r="R745" s="604"/>
      <c r="S745" s="604"/>
      <c r="T745" s="604"/>
      <c r="U745" s="604"/>
      <c r="V745" s="604"/>
      <c r="W745" s="604"/>
      <c r="X745" s="604"/>
      <c r="Y745" s="604"/>
      <c r="Z745" s="604"/>
    </row>
    <row r="746" spans="1:26" ht="18.75" hidden="1">
      <c r="A746" s="649"/>
      <c r="B746" s="607"/>
      <c r="C746" s="759"/>
      <c r="D746" s="759"/>
      <c r="E746" s="759"/>
      <c r="F746" s="759" t="s">
        <v>190</v>
      </c>
      <c r="G746" s="603"/>
      <c r="H746" s="165" t="s">
        <v>12</v>
      </c>
      <c r="I746" s="617"/>
      <c r="J746" s="617"/>
      <c r="K746" s="93"/>
      <c r="L746" s="93"/>
      <c r="M746" s="93"/>
      <c r="N746" s="93"/>
      <c r="O746" s="93"/>
      <c r="P746" s="93"/>
      <c r="Q746" s="604"/>
      <c r="R746" s="604"/>
      <c r="S746" s="604"/>
      <c r="T746" s="604"/>
      <c r="U746" s="604"/>
      <c r="V746" s="604"/>
      <c r="W746" s="604"/>
      <c r="X746" s="604"/>
      <c r="Y746" s="604"/>
      <c r="Z746" s="604"/>
    </row>
    <row r="747" spans="1:26" ht="19.5" hidden="1">
      <c r="A747" s="599"/>
      <c r="B747" s="607"/>
      <c r="C747" s="759"/>
      <c r="D747" s="645" t="s">
        <v>21</v>
      </c>
      <c r="E747" s="759"/>
      <c r="F747" s="759"/>
      <c r="G747" s="603"/>
      <c r="H747" s="783" t="s">
        <v>12</v>
      </c>
      <c r="I747" s="166"/>
      <c r="J747" s="166"/>
      <c r="K747" s="167"/>
      <c r="L747" s="647">
        <f t="shared" ref="L747:N747" si="299">L748+L749</f>
        <v>0</v>
      </c>
      <c r="M747" s="647">
        <f t="shared" si="299"/>
        <v>0</v>
      </c>
      <c r="N747" s="647">
        <f t="shared" si="299"/>
        <v>0</v>
      </c>
      <c r="O747" s="647">
        <f t="shared" ref="O747:O749" si="300">IF(L747&gt;0,N747*100/L747,0)</f>
        <v>0</v>
      </c>
      <c r="P747" s="647">
        <f t="shared" ref="P747:P749" si="301">IF(M747&gt;0,N747*100/M747,0)</f>
        <v>0</v>
      </c>
      <c r="Q747" s="604"/>
      <c r="R747" s="604"/>
      <c r="S747" s="604"/>
      <c r="T747" s="604"/>
      <c r="U747" s="604"/>
      <c r="V747" s="604"/>
      <c r="W747" s="604"/>
      <c r="X747" s="604"/>
      <c r="Y747" s="604"/>
      <c r="Z747" s="604"/>
    </row>
    <row r="748" spans="1:26" ht="18.75" hidden="1">
      <c r="A748" s="599"/>
      <c r="B748" s="607"/>
      <c r="C748" s="759"/>
      <c r="D748" s="759"/>
      <c r="E748" s="759" t="s">
        <v>18</v>
      </c>
      <c r="F748" s="759"/>
      <c r="G748" s="603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4"/>
      <c r="R748" s="604"/>
      <c r="S748" s="604"/>
      <c r="T748" s="604"/>
      <c r="U748" s="604"/>
      <c r="V748" s="604"/>
      <c r="W748" s="604"/>
      <c r="X748" s="604"/>
      <c r="Y748" s="604"/>
      <c r="Z748" s="604"/>
    </row>
    <row r="749" spans="1:26" ht="18.75" hidden="1">
      <c r="A749" s="599"/>
      <c r="B749" s="607"/>
      <c r="C749" s="759"/>
      <c r="D749" s="759"/>
      <c r="E749" s="759" t="s">
        <v>19</v>
      </c>
      <c r="F749" s="759"/>
      <c r="G749" s="603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4"/>
      <c r="R749" s="604"/>
      <c r="S749" s="604"/>
      <c r="T749" s="604"/>
      <c r="U749" s="604"/>
      <c r="V749" s="604"/>
      <c r="W749" s="604"/>
      <c r="X749" s="604"/>
      <c r="Y749" s="604"/>
      <c r="Z749" s="604"/>
    </row>
    <row r="750" spans="1:26" ht="19.5" hidden="1">
      <c r="A750" s="614"/>
      <c r="B750" s="616"/>
      <c r="C750" s="759" t="s">
        <v>16</v>
      </c>
      <c r="D750" s="899" t="s">
        <v>38</v>
      </c>
      <c r="E750" s="651"/>
      <c r="F750" s="651"/>
      <c r="G750" s="652"/>
      <c r="H750" s="366"/>
      <c r="I750" s="166"/>
      <c r="J750" s="166"/>
      <c r="K750" s="167"/>
      <c r="L750" s="167"/>
      <c r="M750" s="167"/>
      <c r="N750" s="167"/>
      <c r="O750" s="167"/>
      <c r="P750" s="167"/>
      <c r="Q750" s="604"/>
      <c r="R750" s="604"/>
      <c r="S750" s="604"/>
      <c r="T750" s="604"/>
      <c r="U750" s="604"/>
      <c r="V750" s="604"/>
      <c r="W750" s="604"/>
      <c r="X750" s="604"/>
      <c r="Y750" s="604"/>
      <c r="Z750" s="604"/>
    </row>
    <row r="751" spans="1:26" ht="18.75" hidden="1">
      <c r="A751" s="649"/>
      <c r="B751" s="607"/>
      <c r="C751" s="759"/>
      <c r="D751" s="759"/>
      <c r="E751" s="759" t="s">
        <v>314</v>
      </c>
      <c r="F751" s="759"/>
      <c r="G751" s="603"/>
      <c r="H751" s="165" t="s">
        <v>46</v>
      </c>
      <c r="I751" s="617"/>
      <c r="J751" s="617"/>
      <c r="K751" s="93"/>
      <c r="L751" s="93"/>
      <c r="M751" s="93"/>
      <c r="N751" s="93"/>
      <c r="O751" s="93"/>
      <c r="P751" s="93"/>
      <c r="Q751" s="604"/>
      <c r="R751" s="604"/>
      <c r="S751" s="604"/>
      <c r="T751" s="604"/>
      <c r="U751" s="604"/>
      <c r="V751" s="604"/>
      <c r="W751" s="604"/>
      <c r="X751" s="604"/>
      <c r="Y751" s="604"/>
      <c r="Z751" s="604"/>
    </row>
    <row r="752" spans="1:26" ht="18.75" hidden="1">
      <c r="A752" s="649"/>
      <c r="B752" s="607"/>
      <c r="C752" s="759"/>
      <c r="D752" s="759"/>
      <c r="E752" s="759"/>
      <c r="F752" s="759"/>
      <c r="G752" s="603"/>
      <c r="H752" s="165" t="s">
        <v>315</v>
      </c>
      <c r="I752" s="617"/>
      <c r="J752" s="617"/>
      <c r="K752" s="93"/>
      <c r="L752" s="93"/>
      <c r="M752" s="93"/>
      <c r="N752" s="93"/>
      <c r="O752" s="93"/>
      <c r="P752" s="93"/>
      <c r="Q752" s="604"/>
      <c r="R752" s="604"/>
      <c r="S752" s="604"/>
      <c r="T752" s="604"/>
      <c r="U752" s="604"/>
      <c r="V752" s="604"/>
      <c r="W752" s="604"/>
      <c r="X752" s="604"/>
      <c r="Y752" s="604"/>
      <c r="Z752" s="604"/>
    </row>
    <row r="753" spans="1:26" ht="19.5" hidden="1">
      <c r="A753" s="785">
        <v>10</v>
      </c>
      <c r="B753" s="786" t="s">
        <v>316</v>
      </c>
      <c r="C753" s="787"/>
      <c r="D753" s="787"/>
      <c r="E753" s="787"/>
      <c r="F753" s="787"/>
      <c r="G753" s="788"/>
      <c r="H753" s="789" t="s">
        <v>46</v>
      </c>
      <c r="I753" s="790"/>
      <c r="J753" s="790">
        <f>J768</f>
        <v>0</v>
      </c>
      <c r="K753" s="791">
        <f>IF(I753&gt;0,J753*100/I753,0)</f>
        <v>0</v>
      </c>
      <c r="L753" s="792"/>
      <c r="M753" s="792"/>
      <c r="N753" s="792"/>
      <c r="O753" s="792"/>
      <c r="P753" s="792"/>
      <c r="Q753" s="604"/>
      <c r="R753" s="604"/>
      <c r="S753" s="604"/>
      <c r="T753" s="604"/>
      <c r="U753" s="604"/>
      <c r="V753" s="604"/>
      <c r="W753" s="604"/>
      <c r="X753" s="604"/>
      <c r="Y753" s="604"/>
      <c r="Z753" s="604"/>
    </row>
    <row r="754" spans="1:26" ht="19.5" hidden="1">
      <c r="A754" s="599"/>
      <c r="B754" s="759"/>
      <c r="C754" s="759" t="s">
        <v>16</v>
      </c>
      <c r="D754" s="864" t="s">
        <v>17</v>
      </c>
      <c r="E754" s="857"/>
      <c r="F754" s="857"/>
      <c r="G754" s="603"/>
      <c r="H754" s="646" t="s">
        <v>12</v>
      </c>
      <c r="I754" s="617"/>
      <c r="J754" s="617"/>
      <c r="K754" s="93"/>
      <c r="L754" s="647">
        <f t="shared" ref="L754:N754" si="302">L755+L756</f>
        <v>0</v>
      </c>
      <c r="M754" s="647">
        <f t="shared" si="302"/>
        <v>0</v>
      </c>
      <c r="N754" s="647">
        <f t="shared" si="302"/>
        <v>0</v>
      </c>
      <c r="O754" s="647">
        <f t="shared" ref="O754:O759" si="303">IF(L754&gt;0,N754*100/L754,0)</f>
        <v>0</v>
      </c>
      <c r="P754" s="647">
        <f t="shared" ref="P754:P759" si="304">IF(M754&gt;0,N754*100/M754,0)</f>
        <v>0</v>
      </c>
      <c r="Q754" s="604"/>
      <c r="R754" s="604"/>
      <c r="S754" s="604"/>
      <c r="T754" s="604"/>
      <c r="U754" s="604"/>
      <c r="V754" s="604"/>
      <c r="W754" s="604"/>
      <c r="X754" s="604"/>
      <c r="Y754" s="604"/>
      <c r="Z754" s="604"/>
    </row>
    <row r="755" spans="1:26" ht="18.75" hidden="1">
      <c r="A755" s="599"/>
      <c r="B755" s="759"/>
      <c r="C755" s="759"/>
      <c r="D755" s="720"/>
      <c r="E755" s="759" t="s">
        <v>185</v>
      </c>
      <c r="F755" s="759"/>
      <c r="G755" s="603"/>
      <c r="H755" s="165" t="s">
        <v>12</v>
      </c>
      <c r="I755" s="617"/>
      <c r="J755" s="617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4"/>
      <c r="R755" s="604"/>
      <c r="S755" s="604"/>
      <c r="T755" s="604"/>
      <c r="U755" s="604"/>
      <c r="V755" s="604"/>
      <c r="W755" s="604"/>
      <c r="X755" s="604"/>
      <c r="Y755" s="604"/>
      <c r="Z755" s="604"/>
    </row>
    <row r="756" spans="1:26" ht="18.75" hidden="1">
      <c r="A756" s="599"/>
      <c r="B756" s="607"/>
      <c r="C756" s="759"/>
      <c r="D756" s="720"/>
      <c r="E756" s="759" t="s">
        <v>186</v>
      </c>
      <c r="F756" s="759"/>
      <c r="G756" s="603"/>
      <c r="H756" s="165" t="s">
        <v>12</v>
      </c>
      <c r="I756" s="617"/>
      <c r="J756" s="617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4"/>
      <c r="R756" s="604"/>
      <c r="S756" s="604"/>
      <c r="T756" s="604"/>
      <c r="U756" s="604"/>
      <c r="V756" s="604"/>
      <c r="W756" s="604"/>
      <c r="X756" s="604"/>
      <c r="Y756" s="604"/>
      <c r="Z756" s="604"/>
    </row>
    <row r="757" spans="1:26" ht="19.5" hidden="1">
      <c r="A757" s="599"/>
      <c r="B757" s="607"/>
      <c r="C757" s="759"/>
      <c r="D757" s="645" t="s">
        <v>20</v>
      </c>
      <c r="E757" s="759"/>
      <c r="F757" s="759"/>
      <c r="G757" s="603"/>
      <c r="H757" s="646" t="s">
        <v>12</v>
      </c>
      <c r="I757" s="166"/>
      <c r="J757" s="166"/>
      <c r="K757" s="167"/>
      <c r="L757" s="647">
        <f t="shared" ref="L757:N757" si="306">L758+L759</f>
        <v>0</v>
      </c>
      <c r="M757" s="647">
        <f t="shared" si="306"/>
        <v>0</v>
      </c>
      <c r="N757" s="647">
        <f t="shared" si="306"/>
        <v>0</v>
      </c>
      <c r="O757" s="647">
        <f t="shared" si="303"/>
        <v>0</v>
      </c>
      <c r="P757" s="647">
        <f t="shared" si="304"/>
        <v>0</v>
      </c>
      <c r="Q757" s="604"/>
      <c r="R757" s="604"/>
      <c r="S757" s="604"/>
      <c r="T757" s="604"/>
      <c r="U757" s="604"/>
      <c r="V757" s="604"/>
      <c r="W757" s="604"/>
      <c r="X757" s="604"/>
      <c r="Y757" s="604"/>
      <c r="Z757" s="604"/>
    </row>
    <row r="758" spans="1:26" ht="18.75" hidden="1">
      <c r="A758" s="599"/>
      <c r="B758" s="607"/>
      <c r="C758" s="759"/>
      <c r="D758" s="720"/>
      <c r="E758" s="759" t="s">
        <v>185</v>
      </c>
      <c r="F758" s="759"/>
      <c r="G758" s="603"/>
      <c r="H758" s="165" t="s">
        <v>12</v>
      </c>
      <c r="I758" s="617"/>
      <c r="J758" s="617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4"/>
      <c r="R758" s="604"/>
      <c r="S758" s="604"/>
      <c r="T758" s="604"/>
      <c r="U758" s="604"/>
      <c r="V758" s="604"/>
      <c r="W758" s="604"/>
      <c r="X758" s="604"/>
      <c r="Y758" s="604"/>
      <c r="Z758" s="604"/>
    </row>
    <row r="759" spans="1:26" ht="18.75" hidden="1">
      <c r="A759" s="599"/>
      <c r="B759" s="607"/>
      <c r="C759" s="759"/>
      <c r="D759" s="720"/>
      <c r="E759" s="759" t="s">
        <v>186</v>
      </c>
      <c r="F759" s="759"/>
      <c r="G759" s="603"/>
      <c r="H759" s="165" t="s">
        <v>12</v>
      </c>
      <c r="I759" s="617"/>
      <c r="J759" s="617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4"/>
      <c r="R759" s="604"/>
      <c r="S759" s="604"/>
      <c r="T759" s="604"/>
      <c r="U759" s="604"/>
      <c r="V759" s="604"/>
      <c r="W759" s="604"/>
      <c r="X759" s="604"/>
      <c r="Y759" s="604"/>
      <c r="Z759" s="604"/>
    </row>
    <row r="760" spans="1:26" ht="18.75" hidden="1">
      <c r="A760" s="649"/>
      <c r="B760" s="607"/>
      <c r="C760" s="759"/>
      <c r="D760" s="759"/>
      <c r="E760" s="759"/>
      <c r="F760" s="759" t="s">
        <v>187</v>
      </c>
      <c r="G760" s="603"/>
      <c r="H760" s="165" t="s">
        <v>12</v>
      </c>
      <c r="I760" s="617"/>
      <c r="J760" s="617"/>
      <c r="K760" s="93"/>
      <c r="L760" s="93"/>
      <c r="M760" s="93"/>
      <c r="N760" s="93"/>
      <c r="O760" s="93"/>
      <c r="P760" s="93"/>
      <c r="Q760" s="604"/>
      <c r="R760" s="604"/>
      <c r="S760" s="604"/>
      <c r="T760" s="604"/>
      <c r="U760" s="604"/>
      <c r="V760" s="604"/>
      <c r="W760" s="604"/>
      <c r="X760" s="604"/>
      <c r="Y760" s="604"/>
      <c r="Z760" s="604"/>
    </row>
    <row r="761" spans="1:26" ht="18.75" hidden="1">
      <c r="A761" s="649"/>
      <c r="B761" s="607"/>
      <c r="C761" s="759"/>
      <c r="D761" s="759"/>
      <c r="E761" s="759"/>
      <c r="F761" s="759" t="s">
        <v>188</v>
      </c>
      <c r="G761" s="603"/>
      <c r="H761" s="165" t="s">
        <v>12</v>
      </c>
      <c r="I761" s="617"/>
      <c r="J761" s="617"/>
      <c r="K761" s="93"/>
      <c r="L761" s="93"/>
      <c r="M761" s="93"/>
      <c r="N761" s="93"/>
      <c r="O761" s="93"/>
      <c r="P761" s="93"/>
      <c r="Q761" s="604"/>
      <c r="R761" s="604"/>
      <c r="S761" s="604"/>
      <c r="T761" s="604"/>
      <c r="U761" s="604"/>
      <c r="V761" s="604"/>
      <c r="W761" s="604"/>
      <c r="X761" s="604"/>
      <c r="Y761" s="604"/>
      <c r="Z761" s="604"/>
    </row>
    <row r="762" spans="1:26" ht="18.75" hidden="1">
      <c r="A762" s="649"/>
      <c r="B762" s="607"/>
      <c r="C762" s="759"/>
      <c r="D762" s="759"/>
      <c r="E762" s="759"/>
      <c r="F762" s="759" t="s">
        <v>189</v>
      </c>
      <c r="G762" s="603"/>
      <c r="H762" s="165" t="s">
        <v>12</v>
      </c>
      <c r="I762" s="617"/>
      <c r="J762" s="617"/>
      <c r="K762" s="93"/>
      <c r="L762" s="93"/>
      <c r="M762" s="93"/>
      <c r="N762" s="93"/>
      <c r="O762" s="93"/>
      <c r="P762" s="93"/>
      <c r="Q762" s="604"/>
      <c r="R762" s="604"/>
      <c r="S762" s="604"/>
      <c r="T762" s="604"/>
      <c r="U762" s="604"/>
      <c r="V762" s="604"/>
      <c r="W762" s="604"/>
      <c r="X762" s="604"/>
      <c r="Y762" s="604"/>
      <c r="Z762" s="604"/>
    </row>
    <row r="763" spans="1:26" ht="18.75" hidden="1">
      <c r="A763" s="649"/>
      <c r="B763" s="607"/>
      <c r="C763" s="759"/>
      <c r="D763" s="759"/>
      <c r="E763" s="759"/>
      <c r="F763" s="759" t="s">
        <v>190</v>
      </c>
      <c r="G763" s="603"/>
      <c r="H763" s="165" t="s">
        <v>12</v>
      </c>
      <c r="I763" s="617"/>
      <c r="J763" s="617"/>
      <c r="K763" s="93"/>
      <c r="L763" s="93"/>
      <c r="M763" s="93"/>
      <c r="N763" s="93"/>
      <c r="O763" s="93"/>
      <c r="P763" s="93"/>
      <c r="Q763" s="604"/>
      <c r="R763" s="604"/>
      <c r="S763" s="604"/>
      <c r="T763" s="604"/>
      <c r="U763" s="604"/>
      <c r="V763" s="604"/>
      <c r="W763" s="604"/>
      <c r="X763" s="604"/>
      <c r="Y763" s="604"/>
      <c r="Z763" s="604"/>
    </row>
    <row r="764" spans="1:26" ht="19.5" hidden="1">
      <c r="A764" s="599"/>
      <c r="B764" s="607"/>
      <c r="C764" s="759"/>
      <c r="D764" s="645" t="s">
        <v>21</v>
      </c>
      <c r="E764" s="759"/>
      <c r="F764" s="759"/>
      <c r="G764" s="603"/>
      <c r="H764" s="783" t="s">
        <v>12</v>
      </c>
      <c r="I764" s="166"/>
      <c r="J764" s="166"/>
      <c r="K764" s="167"/>
      <c r="L764" s="647">
        <f t="shared" ref="L764:N764" si="307">L765+L766</f>
        <v>0</v>
      </c>
      <c r="M764" s="647">
        <f t="shared" si="307"/>
        <v>0</v>
      </c>
      <c r="N764" s="647">
        <f t="shared" si="307"/>
        <v>0</v>
      </c>
      <c r="O764" s="647">
        <f t="shared" ref="O764:O766" si="308">IF(L764&gt;0,N764*100/L764,0)</f>
        <v>0</v>
      </c>
      <c r="P764" s="647">
        <f t="shared" ref="P764:P766" si="309">IF(M764&gt;0,N764*100/M764,0)</f>
        <v>0</v>
      </c>
      <c r="Q764" s="604"/>
      <c r="R764" s="604"/>
      <c r="S764" s="604"/>
      <c r="T764" s="604"/>
      <c r="U764" s="604"/>
      <c r="V764" s="604"/>
      <c r="W764" s="604"/>
      <c r="X764" s="604"/>
      <c r="Y764" s="604"/>
      <c r="Z764" s="604"/>
    </row>
    <row r="765" spans="1:26" ht="18.75" hidden="1">
      <c r="A765" s="599"/>
      <c r="B765" s="607"/>
      <c r="C765" s="759"/>
      <c r="D765" s="759"/>
      <c r="E765" s="759" t="s">
        <v>18</v>
      </c>
      <c r="F765" s="759"/>
      <c r="G765" s="603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4"/>
      <c r="R765" s="604"/>
      <c r="S765" s="604"/>
      <c r="T765" s="604"/>
      <c r="U765" s="604"/>
      <c r="V765" s="604"/>
      <c r="W765" s="604"/>
      <c r="X765" s="604"/>
      <c r="Y765" s="604"/>
      <c r="Z765" s="604"/>
    </row>
    <row r="766" spans="1:26" ht="18.75" hidden="1">
      <c r="A766" s="599"/>
      <c r="B766" s="607"/>
      <c r="C766" s="759"/>
      <c r="D766" s="759"/>
      <c r="E766" s="759" t="s">
        <v>19</v>
      </c>
      <c r="F766" s="759"/>
      <c r="G766" s="603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4"/>
      <c r="R766" s="604"/>
      <c r="S766" s="604"/>
      <c r="T766" s="604"/>
      <c r="U766" s="604"/>
      <c r="V766" s="604"/>
      <c r="W766" s="604"/>
      <c r="X766" s="604"/>
      <c r="Y766" s="604"/>
      <c r="Z766" s="604"/>
    </row>
    <row r="767" spans="1:26" ht="19.5" hidden="1">
      <c r="A767" s="614"/>
      <c r="B767" s="616"/>
      <c r="C767" s="759" t="s">
        <v>16</v>
      </c>
      <c r="D767" s="899" t="s">
        <v>38</v>
      </c>
      <c r="E767" s="651"/>
      <c r="F767" s="651"/>
      <c r="G767" s="652"/>
      <c r="H767" s="366"/>
      <c r="I767" s="166"/>
      <c r="J767" s="166"/>
      <c r="K767" s="167"/>
      <c r="L767" s="167"/>
      <c r="M767" s="167"/>
      <c r="N767" s="167"/>
      <c r="O767" s="167"/>
      <c r="P767" s="167"/>
      <c r="Q767" s="604"/>
      <c r="R767" s="604"/>
      <c r="S767" s="604"/>
      <c r="T767" s="604"/>
      <c r="U767" s="604"/>
      <c r="V767" s="604"/>
      <c r="W767" s="604"/>
      <c r="X767" s="604"/>
      <c r="Y767" s="604"/>
      <c r="Z767" s="604"/>
    </row>
    <row r="768" spans="1:26" ht="18.75" hidden="1">
      <c r="A768" s="649"/>
      <c r="B768" s="607"/>
      <c r="C768" s="759"/>
      <c r="D768" s="759"/>
      <c r="E768" s="759" t="s">
        <v>317</v>
      </c>
      <c r="F768" s="759"/>
      <c r="G768" s="603"/>
      <c r="H768" s="165" t="s">
        <v>46</v>
      </c>
      <c r="I768" s="617"/>
      <c r="J768" s="617"/>
      <c r="K768" s="93"/>
      <c r="L768" s="93"/>
      <c r="M768" s="93"/>
      <c r="N768" s="93"/>
      <c r="O768" s="93"/>
      <c r="P768" s="93"/>
      <c r="Q768" s="604"/>
      <c r="R768" s="604"/>
      <c r="S768" s="604"/>
      <c r="T768" s="604"/>
      <c r="U768" s="604"/>
      <c r="V768" s="604"/>
      <c r="W768" s="604"/>
      <c r="X768" s="604"/>
      <c r="Y768" s="604"/>
      <c r="Z768" s="604"/>
    </row>
    <row r="769" spans="1:26" ht="19.5" hidden="1">
      <c r="A769" s="793">
        <v>11</v>
      </c>
      <c r="B769" s="794" t="s">
        <v>318</v>
      </c>
      <c r="C769" s="795"/>
      <c r="D769" s="795"/>
      <c r="E769" s="795"/>
      <c r="F769" s="795"/>
      <c r="G769" s="796"/>
      <c r="H769" s="797" t="s">
        <v>46</v>
      </c>
      <c r="I769" s="798"/>
      <c r="J769" s="798">
        <f>J784</f>
        <v>0</v>
      </c>
      <c r="K769" s="799">
        <f>IF(I769&gt;0,J769*100/I769,0)</f>
        <v>0</v>
      </c>
      <c r="L769" s="800"/>
      <c r="M769" s="800"/>
      <c r="N769" s="800"/>
      <c r="O769" s="800"/>
      <c r="P769" s="800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</row>
    <row r="770" spans="1:26" ht="19.5" hidden="1">
      <c r="A770" s="599"/>
      <c r="B770" s="759"/>
      <c r="C770" s="759" t="s">
        <v>16</v>
      </c>
      <c r="D770" s="864" t="s">
        <v>17</v>
      </c>
      <c r="E770" s="857"/>
      <c r="F770" s="857"/>
      <c r="G770" s="603"/>
      <c r="H770" s="646" t="s">
        <v>12</v>
      </c>
      <c r="I770" s="617"/>
      <c r="J770" s="617"/>
      <c r="K770" s="93"/>
      <c r="L770" s="647">
        <f t="shared" ref="L770:N770" si="310">L771+L772</f>
        <v>0</v>
      </c>
      <c r="M770" s="647">
        <f t="shared" si="310"/>
        <v>0</v>
      </c>
      <c r="N770" s="647">
        <f t="shared" si="310"/>
        <v>0</v>
      </c>
      <c r="O770" s="647">
        <f t="shared" ref="O770:O775" si="311">IF(L770&gt;0,N770*100/L770,0)</f>
        <v>0</v>
      </c>
      <c r="P770" s="647">
        <f t="shared" ref="P770:P775" si="312">IF(M770&gt;0,N770*100/M770,0)</f>
        <v>0</v>
      </c>
      <c r="Q770" s="604"/>
      <c r="R770" s="604"/>
      <c r="S770" s="604"/>
      <c r="T770" s="604"/>
      <c r="U770" s="604"/>
      <c r="V770" s="604"/>
      <c r="W770" s="604"/>
      <c r="X770" s="604"/>
      <c r="Y770" s="604"/>
      <c r="Z770" s="604"/>
    </row>
    <row r="771" spans="1:26" ht="18.75" hidden="1">
      <c r="A771" s="599"/>
      <c r="B771" s="759"/>
      <c r="C771" s="759"/>
      <c r="D771" s="720"/>
      <c r="E771" s="759" t="s">
        <v>185</v>
      </c>
      <c r="F771" s="759"/>
      <c r="G771" s="603"/>
      <c r="H771" s="165" t="s">
        <v>12</v>
      </c>
      <c r="I771" s="617"/>
      <c r="J771" s="617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4"/>
      <c r="R771" s="604"/>
      <c r="S771" s="604"/>
      <c r="T771" s="604"/>
      <c r="U771" s="604"/>
      <c r="V771" s="604"/>
      <c r="W771" s="604"/>
      <c r="X771" s="604"/>
      <c r="Y771" s="604"/>
      <c r="Z771" s="604"/>
    </row>
    <row r="772" spans="1:26" ht="18.75" hidden="1">
      <c r="A772" s="599"/>
      <c r="B772" s="607"/>
      <c r="C772" s="759"/>
      <c r="D772" s="720"/>
      <c r="E772" s="759" t="s">
        <v>186</v>
      </c>
      <c r="F772" s="759"/>
      <c r="G772" s="603"/>
      <c r="H772" s="165" t="s">
        <v>12</v>
      </c>
      <c r="I772" s="617"/>
      <c r="J772" s="617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4"/>
      <c r="R772" s="604"/>
      <c r="S772" s="604"/>
      <c r="T772" s="604"/>
      <c r="U772" s="604"/>
      <c r="V772" s="604"/>
      <c r="W772" s="604"/>
      <c r="X772" s="604"/>
      <c r="Y772" s="604"/>
      <c r="Z772" s="604"/>
    </row>
    <row r="773" spans="1:26" ht="19.5" hidden="1">
      <c r="A773" s="599"/>
      <c r="B773" s="607"/>
      <c r="C773" s="759"/>
      <c r="D773" s="645" t="s">
        <v>20</v>
      </c>
      <c r="E773" s="759"/>
      <c r="F773" s="759"/>
      <c r="G773" s="603"/>
      <c r="H773" s="646" t="s">
        <v>12</v>
      </c>
      <c r="I773" s="166"/>
      <c r="J773" s="166"/>
      <c r="K773" s="167"/>
      <c r="L773" s="647">
        <f t="shared" ref="L773:N773" si="314">L774+L775</f>
        <v>0</v>
      </c>
      <c r="M773" s="647">
        <f t="shared" si="314"/>
        <v>0</v>
      </c>
      <c r="N773" s="647">
        <f t="shared" si="314"/>
        <v>0</v>
      </c>
      <c r="O773" s="647">
        <f t="shared" si="311"/>
        <v>0</v>
      </c>
      <c r="P773" s="647">
        <f t="shared" si="312"/>
        <v>0</v>
      </c>
      <c r="Q773" s="604"/>
      <c r="R773" s="604"/>
      <c r="S773" s="604"/>
      <c r="T773" s="604"/>
      <c r="U773" s="604"/>
      <c r="V773" s="604"/>
      <c r="W773" s="604"/>
      <c r="X773" s="604"/>
      <c r="Y773" s="604"/>
      <c r="Z773" s="604"/>
    </row>
    <row r="774" spans="1:26" ht="18.75" hidden="1">
      <c r="A774" s="599"/>
      <c r="B774" s="607"/>
      <c r="C774" s="759"/>
      <c r="D774" s="720"/>
      <c r="E774" s="759" t="s">
        <v>185</v>
      </c>
      <c r="F774" s="759"/>
      <c r="G774" s="603"/>
      <c r="H774" s="165" t="s">
        <v>12</v>
      </c>
      <c r="I774" s="617"/>
      <c r="J774" s="617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4"/>
      <c r="R774" s="604"/>
      <c r="S774" s="604"/>
      <c r="T774" s="604"/>
      <c r="U774" s="604"/>
      <c r="V774" s="604"/>
      <c r="W774" s="604"/>
      <c r="X774" s="604"/>
      <c r="Y774" s="604"/>
      <c r="Z774" s="604"/>
    </row>
    <row r="775" spans="1:26" ht="18.75" hidden="1">
      <c r="A775" s="599"/>
      <c r="B775" s="607"/>
      <c r="C775" s="759"/>
      <c r="D775" s="720"/>
      <c r="E775" s="759" t="s">
        <v>186</v>
      </c>
      <c r="F775" s="759"/>
      <c r="G775" s="603"/>
      <c r="H775" s="165" t="s">
        <v>12</v>
      </c>
      <c r="I775" s="617"/>
      <c r="J775" s="617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4"/>
      <c r="R775" s="604"/>
      <c r="S775" s="604"/>
      <c r="T775" s="604"/>
      <c r="U775" s="604"/>
      <c r="V775" s="604"/>
      <c r="W775" s="604"/>
      <c r="X775" s="604"/>
      <c r="Y775" s="604"/>
      <c r="Z775" s="604"/>
    </row>
    <row r="776" spans="1:26" ht="18.75" hidden="1">
      <c r="A776" s="649"/>
      <c r="B776" s="607"/>
      <c r="C776" s="759"/>
      <c r="D776" s="759"/>
      <c r="E776" s="759"/>
      <c r="F776" s="759" t="s">
        <v>187</v>
      </c>
      <c r="G776" s="603"/>
      <c r="H776" s="165" t="s">
        <v>12</v>
      </c>
      <c r="I776" s="617"/>
      <c r="J776" s="617"/>
      <c r="K776" s="93"/>
      <c r="L776" s="93"/>
      <c r="M776" s="93"/>
      <c r="N776" s="93"/>
      <c r="O776" s="93"/>
      <c r="P776" s="93"/>
      <c r="Q776" s="604"/>
      <c r="R776" s="604"/>
      <c r="S776" s="604"/>
      <c r="T776" s="604"/>
      <c r="U776" s="604"/>
      <c r="V776" s="604"/>
      <c r="W776" s="604"/>
      <c r="X776" s="604"/>
      <c r="Y776" s="604"/>
      <c r="Z776" s="604"/>
    </row>
    <row r="777" spans="1:26" ht="18.75" hidden="1">
      <c r="A777" s="649"/>
      <c r="B777" s="607"/>
      <c r="C777" s="759"/>
      <c r="D777" s="759"/>
      <c r="E777" s="759"/>
      <c r="F777" s="759" t="s">
        <v>188</v>
      </c>
      <c r="G777" s="603"/>
      <c r="H777" s="165" t="s">
        <v>12</v>
      </c>
      <c r="I777" s="617"/>
      <c r="J777" s="617"/>
      <c r="K777" s="93"/>
      <c r="L777" s="93"/>
      <c r="M777" s="93"/>
      <c r="N777" s="93"/>
      <c r="O777" s="93"/>
      <c r="P777" s="93"/>
      <c r="Q777" s="604"/>
      <c r="R777" s="604"/>
      <c r="S777" s="604"/>
      <c r="T777" s="604"/>
      <c r="U777" s="604"/>
      <c r="V777" s="604"/>
      <c r="W777" s="604"/>
      <c r="X777" s="604"/>
      <c r="Y777" s="604"/>
      <c r="Z777" s="604"/>
    </row>
    <row r="778" spans="1:26" ht="18.75" hidden="1">
      <c r="A778" s="649"/>
      <c r="B778" s="607"/>
      <c r="C778" s="759"/>
      <c r="D778" s="759"/>
      <c r="E778" s="759"/>
      <c r="F778" s="759" t="s">
        <v>189</v>
      </c>
      <c r="G778" s="603"/>
      <c r="H778" s="165" t="s">
        <v>12</v>
      </c>
      <c r="I778" s="617"/>
      <c r="J778" s="617"/>
      <c r="K778" s="93"/>
      <c r="L778" s="93"/>
      <c r="M778" s="93"/>
      <c r="N778" s="93"/>
      <c r="O778" s="93"/>
      <c r="P778" s="93"/>
      <c r="Q778" s="604"/>
      <c r="R778" s="604"/>
      <c r="S778" s="604"/>
      <c r="T778" s="604"/>
      <c r="U778" s="604"/>
      <c r="V778" s="604"/>
      <c r="W778" s="604"/>
      <c r="X778" s="604"/>
      <c r="Y778" s="604"/>
      <c r="Z778" s="604"/>
    </row>
    <row r="779" spans="1:26" ht="18.75" hidden="1">
      <c r="A779" s="649"/>
      <c r="B779" s="607"/>
      <c r="C779" s="759"/>
      <c r="D779" s="759"/>
      <c r="E779" s="759"/>
      <c r="F779" s="759" t="s">
        <v>190</v>
      </c>
      <c r="G779" s="603"/>
      <c r="H779" s="165" t="s">
        <v>12</v>
      </c>
      <c r="I779" s="617"/>
      <c r="J779" s="617"/>
      <c r="K779" s="93"/>
      <c r="L779" s="93"/>
      <c r="M779" s="93"/>
      <c r="N779" s="93"/>
      <c r="O779" s="93"/>
      <c r="P779" s="93"/>
      <c r="Q779" s="604"/>
      <c r="R779" s="604"/>
      <c r="S779" s="604"/>
      <c r="T779" s="604"/>
      <c r="U779" s="604"/>
      <c r="V779" s="604"/>
      <c r="W779" s="604"/>
      <c r="X779" s="604"/>
      <c r="Y779" s="604"/>
      <c r="Z779" s="604"/>
    </row>
    <row r="780" spans="1:26" ht="19.5" hidden="1">
      <c r="A780" s="599"/>
      <c r="B780" s="607"/>
      <c r="C780" s="759"/>
      <c r="D780" s="645" t="s">
        <v>21</v>
      </c>
      <c r="E780" s="759"/>
      <c r="F780" s="759"/>
      <c r="G780" s="603"/>
      <c r="H780" s="783" t="s">
        <v>12</v>
      </c>
      <c r="I780" s="166"/>
      <c r="J780" s="166"/>
      <c r="K780" s="167"/>
      <c r="L780" s="647">
        <f t="shared" ref="L780:N780" si="315">L781+L782</f>
        <v>0</v>
      </c>
      <c r="M780" s="647">
        <f t="shared" si="315"/>
        <v>0</v>
      </c>
      <c r="N780" s="647">
        <f t="shared" si="315"/>
        <v>0</v>
      </c>
      <c r="O780" s="647">
        <f t="shared" ref="O780:O782" si="316">IF(L780&gt;0,N780*100/L780,0)</f>
        <v>0</v>
      </c>
      <c r="P780" s="647">
        <f t="shared" ref="P780:P782" si="317">IF(M780&gt;0,N780*100/M780,0)</f>
        <v>0</v>
      </c>
      <c r="Q780" s="604"/>
      <c r="R780" s="604"/>
      <c r="S780" s="604"/>
      <c r="T780" s="604"/>
      <c r="U780" s="604"/>
      <c r="V780" s="604"/>
      <c r="W780" s="604"/>
      <c r="X780" s="604"/>
      <c r="Y780" s="604"/>
      <c r="Z780" s="604"/>
    </row>
    <row r="781" spans="1:26" ht="18.75" hidden="1">
      <c r="A781" s="599"/>
      <c r="B781" s="607"/>
      <c r="C781" s="759"/>
      <c r="D781" s="759"/>
      <c r="E781" s="759" t="s">
        <v>18</v>
      </c>
      <c r="F781" s="759"/>
      <c r="G781" s="603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4"/>
      <c r="R781" s="604"/>
      <c r="S781" s="604"/>
      <c r="T781" s="604"/>
      <c r="U781" s="604"/>
      <c r="V781" s="604"/>
      <c r="W781" s="604"/>
      <c r="X781" s="604"/>
      <c r="Y781" s="604"/>
      <c r="Z781" s="604"/>
    </row>
    <row r="782" spans="1:26" ht="18.75" hidden="1">
      <c r="A782" s="599"/>
      <c r="B782" s="607"/>
      <c r="C782" s="759"/>
      <c r="D782" s="759"/>
      <c r="E782" s="759" t="s">
        <v>19</v>
      </c>
      <c r="F782" s="759"/>
      <c r="G782" s="603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4"/>
      <c r="R782" s="604"/>
      <c r="S782" s="604"/>
      <c r="T782" s="604"/>
      <c r="U782" s="604"/>
      <c r="V782" s="604"/>
      <c r="W782" s="604"/>
      <c r="X782" s="604"/>
      <c r="Y782" s="604"/>
      <c r="Z782" s="604"/>
    </row>
    <row r="783" spans="1:26" ht="19.5" hidden="1">
      <c r="A783" s="614"/>
      <c r="B783" s="616"/>
      <c r="C783" s="759" t="s">
        <v>16</v>
      </c>
      <c r="D783" s="899" t="s">
        <v>38</v>
      </c>
      <c r="E783" s="651"/>
      <c r="F783" s="651"/>
      <c r="G783" s="652"/>
      <c r="H783" s="801"/>
      <c r="I783" s="166"/>
      <c r="J783" s="166"/>
      <c r="K783" s="167"/>
      <c r="L783" s="167"/>
      <c r="M783" s="167"/>
      <c r="N783" s="167"/>
      <c r="O783" s="167"/>
      <c r="P783" s="167"/>
      <c r="Q783" s="604"/>
      <c r="R783" s="604"/>
      <c r="S783" s="604"/>
      <c r="T783" s="604"/>
      <c r="U783" s="604"/>
      <c r="V783" s="604"/>
      <c r="W783" s="604"/>
      <c r="X783" s="604"/>
      <c r="Y783" s="604"/>
      <c r="Z783" s="604"/>
    </row>
    <row r="784" spans="1:26" ht="18.75" hidden="1">
      <c r="A784" s="649"/>
      <c r="B784" s="607"/>
      <c r="C784" s="759"/>
      <c r="D784" s="759"/>
      <c r="E784" s="759" t="s">
        <v>319</v>
      </c>
      <c r="F784" s="759"/>
      <c r="G784" s="603"/>
      <c r="H784" s="165" t="s">
        <v>46</v>
      </c>
      <c r="I784" s="617"/>
      <c r="J784" s="617"/>
      <c r="K784" s="93"/>
      <c r="L784" s="93"/>
      <c r="M784" s="93"/>
      <c r="N784" s="93"/>
      <c r="O784" s="93"/>
      <c r="P784" s="93"/>
      <c r="Q784" s="604"/>
      <c r="R784" s="604"/>
      <c r="S784" s="604"/>
      <c r="T784" s="604"/>
      <c r="U784" s="604"/>
      <c r="V784" s="604"/>
      <c r="W784" s="604"/>
      <c r="X784" s="604"/>
      <c r="Y784" s="604"/>
      <c r="Z784" s="604"/>
    </row>
    <row r="785" spans="1:26" ht="19.5">
      <c r="A785" s="802">
        <v>12</v>
      </c>
      <c r="B785" s="803" t="s">
        <v>320</v>
      </c>
      <c r="C785" s="804"/>
      <c r="D785" s="804"/>
      <c r="E785" s="804"/>
      <c r="F785" s="804"/>
      <c r="G785" s="805"/>
      <c r="H785" s="806" t="s">
        <v>46</v>
      </c>
      <c r="I785" s="807">
        <f t="shared" ref="I785:J785" ca="1" si="318">I801+I803</f>
        <v>3000</v>
      </c>
      <c r="J785" s="807">
        <f t="shared" ca="1" si="318"/>
        <v>3064</v>
      </c>
      <c r="K785" s="808">
        <f ca="1">IF(I785&gt;0,J785*100/I785,0)</f>
        <v>102.13333333333334</v>
      </c>
      <c r="L785" s="809"/>
      <c r="M785" s="809"/>
      <c r="N785" s="809"/>
      <c r="O785" s="809"/>
      <c r="P785" s="809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</row>
    <row r="786" spans="1:26" ht="19.5">
      <c r="A786" s="597"/>
      <c r="B786" s="575"/>
      <c r="C786" s="763" t="s">
        <v>16</v>
      </c>
      <c r="D786" s="863" t="s">
        <v>17</v>
      </c>
      <c r="E786" s="857"/>
      <c r="F786" s="857"/>
      <c r="G786" s="189"/>
      <c r="H786" s="810" t="s">
        <v>12</v>
      </c>
      <c r="I786" s="811"/>
      <c r="J786" s="811"/>
      <c r="K786" s="812"/>
      <c r="L786" s="195">
        <f t="shared" ref="L786:N786" ca="1" si="319">L787+L788</f>
        <v>213920</v>
      </c>
      <c r="M786" s="195">
        <f t="shared" ca="1" si="319"/>
        <v>231044</v>
      </c>
      <c r="N786" s="195">
        <f t="shared" si="319"/>
        <v>231044</v>
      </c>
      <c r="O786" s="195">
        <f t="shared" ref="O786:O791" ca="1" si="320">IF(L786&gt;0,N786*100/L786,0)</f>
        <v>108.00486163051607</v>
      </c>
      <c r="P786" s="195">
        <f t="shared" ref="P786:P791" ca="1" si="321">IF(M786&gt;0,N786*100/M786,0)</f>
        <v>100</v>
      </c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</row>
    <row r="787" spans="1:26" ht="18.75" hidden="1">
      <c r="A787" s="599"/>
      <c r="B787" s="607"/>
      <c r="C787" s="759"/>
      <c r="D787" s="720"/>
      <c r="E787" s="759" t="s">
        <v>185</v>
      </c>
      <c r="F787" s="759"/>
      <c r="G787" s="603"/>
      <c r="H787" s="813" t="s">
        <v>12</v>
      </c>
      <c r="I787" s="811"/>
      <c r="J787" s="811"/>
      <c r="K787" s="812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4"/>
      <c r="R787" s="604"/>
      <c r="S787" s="604"/>
      <c r="T787" s="604"/>
      <c r="U787" s="604"/>
      <c r="V787" s="604"/>
      <c r="W787" s="604"/>
      <c r="X787" s="604"/>
      <c r="Y787" s="604"/>
      <c r="Z787" s="604"/>
    </row>
    <row r="788" spans="1:26" ht="18.75" hidden="1">
      <c r="A788" s="599"/>
      <c r="B788" s="607"/>
      <c r="C788" s="607"/>
      <c r="D788" s="616"/>
      <c r="E788" s="759" t="s">
        <v>186</v>
      </c>
      <c r="F788" s="759"/>
      <c r="G788" s="603"/>
      <c r="H788" s="813" t="s">
        <v>12</v>
      </c>
      <c r="I788" s="811"/>
      <c r="J788" s="811"/>
      <c r="K788" s="812"/>
      <c r="L788" s="93">
        <f t="shared" ca="1" si="322"/>
        <v>213920</v>
      </c>
      <c r="M788" s="93">
        <f t="shared" ca="1" si="322"/>
        <v>231044</v>
      </c>
      <c r="N788" s="93">
        <f t="shared" si="322"/>
        <v>231044</v>
      </c>
      <c r="O788" s="93">
        <f t="shared" ca="1" si="320"/>
        <v>108.00486163051607</v>
      </c>
      <c r="P788" s="93">
        <f t="shared" ca="1" si="321"/>
        <v>100</v>
      </c>
      <c r="Q788" s="604"/>
      <c r="R788" s="604"/>
      <c r="S788" s="604"/>
      <c r="T788" s="604"/>
      <c r="U788" s="604"/>
      <c r="V788" s="604"/>
      <c r="W788" s="604"/>
      <c r="X788" s="604"/>
      <c r="Y788" s="604"/>
      <c r="Z788" s="604"/>
    </row>
    <row r="789" spans="1:26" ht="18.75">
      <c r="A789" s="597"/>
      <c r="B789" s="575"/>
      <c r="C789" s="575"/>
      <c r="D789" s="606" t="s">
        <v>20</v>
      </c>
      <c r="E789" s="763"/>
      <c r="F789" s="763"/>
      <c r="G789" s="189"/>
      <c r="H789" s="814" t="s">
        <v>12</v>
      </c>
      <c r="I789" s="815"/>
      <c r="J789" s="815"/>
      <c r="K789" s="816"/>
      <c r="L789" s="498">
        <f t="shared" ref="L789:N789" ca="1" si="323">L790+L791</f>
        <v>213920</v>
      </c>
      <c r="M789" s="498">
        <f t="shared" ca="1" si="323"/>
        <v>231044</v>
      </c>
      <c r="N789" s="498">
        <f t="shared" si="323"/>
        <v>231044</v>
      </c>
      <c r="O789" s="498">
        <f t="shared" ca="1" si="320"/>
        <v>108.00486163051607</v>
      </c>
      <c r="P789" s="498">
        <f t="shared" ca="1" si="321"/>
        <v>100</v>
      </c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</row>
    <row r="790" spans="1:26" ht="18.75" hidden="1">
      <c r="A790" s="599"/>
      <c r="B790" s="607"/>
      <c r="C790" s="607"/>
      <c r="D790" s="616"/>
      <c r="E790" s="759" t="s">
        <v>185</v>
      </c>
      <c r="F790" s="759"/>
      <c r="G790" s="603"/>
      <c r="H790" s="813" t="s">
        <v>12</v>
      </c>
      <c r="I790" s="811"/>
      <c r="J790" s="811"/>
      <c r="K790" s="812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4"/>
      <c r="R790" s="604"/>
      <c r="S790" s="604"/>
      <c r="T790" s="604"/>
      <c r="U790" s="604"/>
      <c r="V790" s="604"/>
      <c r="W790" s="604"/>
      <c r="X790" s="604"/>
      <c r="Y790" s="604"/>
      <c r="Z790" s="604"/>
    </row>
    <row r="791" spans="1:26" ht="18.75" hidden="1">
      <c r="A791" s="599"/>
      <c r="B791" s="607"/>
      <c r="C791" s="607"/>
      <c r="D791" s="616"/>
      <c r="E791" s="759" t="s">
        <v>186</v>
      </c>
      <c r="F791" s="759"/>
      <c r="G791" s="603"/>
      <c r="H791" s="813" t="s">
        <v>12</v>
      </c>
      <c r="I791" s="811"/>
      <c r="J791" s="811"/>
      <c r="K791" s="812"/>
      <c r="L791" s="93">
        <f ca="1">IFERROR(__xludf.DUMMYFUNCTION("IMPORTRANGE(""https://docs.google.com/spreadsheets/d/1QqKyyYR6Q21VydFLVH3TRQUabQu_ym0Zz7PgGX0-kHA/edit?usp=sharing"",""แผน!JJ46"")"),213920)</f>
        <v>213920</v>
      </c>
      <c r="M791" s="93">
        <f ca="1">L791+35000-17876</f>
        <v>231044</v>
      </c>
      <c r="N791" s="93">
        <f>N792+N793+N794+N795</f>
        <v>231044</v>
      </c>
      <c r="O791" s="93">
        <f t="shared" ca="1" si="320"/>
        <v>108.00486163051607</v>
      </c>
      <c r="P791" s="93">
        <f t="shared" ca="1" si="321"/>
        <v>100</v>
      </c>
      <c r="Q791" s="604"/>
      <c r="R791" s="604"/>
      <c r="S791" s="604"/>
      <c r="T791" s="604"/>
      <c r="U791" s="604"/>
      <c r="V791" s="604"/>
      <c r="W791" s="604"/>
      <c r="X791" s="604"/>
      <c r="Y791" s="604"/>
      <c r="Z791" s="604"/>
    </row>
    <row r="792" spans="1:26" ht="18.75">
      <c r="A792" s="574"/>
      <c r="B792" s="575"/>
      <c r="C792" s="763"/>
      <c r="D792" s="763"/>
      <c r="E792" s="763"/>
      <c r="F792" s="763" t="s">
        <v>187</v>
      </c>
      <c r="G792" s="189"/>
      <c r="H792" s="814" t="s">
        <v>12</v>
      </c>
      <c r="I792" s="811"/>
      <c r="J792" s="811"/>
      <c r="K792" s="812"/>
      <c r="L792" s="498"/>
      <c r="M792" s="498"/>
      <c r="N792" s="840">
        <v>0</v>
      </c>
      <c r="O792" s="498"/>
      <c r="P792" s="49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</row>
    <row r="793" spans="1:26" ht="18.75">
      <c r="A793" s="574"/>
      <c r="B793" s="575"/>
      <c r="C793" s="763"/>
      <c r="D793" s="763"/>
      <c r="E793" s="763"/>
      <c r="F793" s="763" t="s">
        <v>188</v>
      </c>
      <c r="G793" s="189"/>
      <c r="H793" s="814" t="s">
        <v>12</v>
      </c>
      <c r="I793" s="811"/>
      <c r="J793" s="811"/>
      <c r="K793" s="812"/>
      <c r="L793" s="498"/>
      <c r="M793" s="498"/>
      <c r="N793" s="840">
        <v>0</v>
      </c>
      <c r="O793" s="498"/>
      <c r="P793" s="49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</row>
    <row r="794" spans="1:26" ht="18.75">
      <c r="A794" s="574"/>
      <c r="B794" s="575"/>
      <c r="C794" s="763"/>
      <c r="D794" s="763"/>
      <c r="E794" s="763"/>
      <c r="F794" s="763" t="s">
        <v>189</v>
      </c>
      <c r="G794" s="189"/>
      <c r="H794" s="814" t="s">
        <v>12</v>
      </c>
      <c r="I794" s="811"/>
      <c r="J794" s="811"/>
      <c r="K794" s="812"/>
      <c r="L794" s="498"/>
      <c r="M794" s="498"/>
      <c r="N794" s="840">
        <v>80190</v>
      </c>
      <c r="O794" s="498"/>
      <c r="P794" s="49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</row>
    <row r="795" spans="1:26" ht="18.75">
      <c r="A795" s="574"/>
      <c r="B795" s="575"/>
      <c r="C795" s="763"/>
      <c r="D795" s="763"/>
      <c r="E795" s="763"/>
      <c r="F795" s="763" t="s">
        <v>190</v>
      </c>
      <c r="G795" s="189"/>
      <c r="H795" s="814" t="s">
        <v>12</v>
      </c>
      <c r="I795" s="811"/>
      <c r="J795" s="811"/>
      <c r="K795" s="812"/>
      <c r="L795" s="498"/>
      <c r="M795" s="498"/>
      <c r="N795" s="840">
        <v>150854</v>
      </c>
      <c r="O795" s="498"/>
      <c r="P795" s="49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</row>
    <row r="796" spans="1:26" ht="18.75">
      <c r="A796" s="597"/>
      <c r="B796" s="575"/>
      <c r="C796" s="763"/>
      <c r="D796" s="606" t="s">
        <v>21</v>
      </c>
      <c r="E796" s="763"/>
      <c r="F796" s="763"/>
      <c r="G796" s="189"/>
      <c r="H796" s="817" t="s">
        <v>12</v>
      </c>
      <c r="I796" s="815"/>
      <c r="J796" s="815"/>
      <c r="K796" s="816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</row>
    <row r="797" spans="1:26" ht="18.75" hidden="1">
      <c r="A797" s="599"/>
      <c r="B797" s="607"/>
      <c r="C797" s="759"/>
      <c r="D797" s="759"/>
      <c r="E797" s="759" t="s">
        <v>18</v>
      </c>
      <c r="F797" s="759"/>
      <c r="G797" s="603"/>
      <c r="H797" s="813" t="s">
        <v>12</v>
      </c>
      <c r="I797" s="815"/>
      <c r="J797" s="815"/>
      <c r="K797" s="816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4"/>
      <c r="R797" s="604"/>
      <c r="S797" s="604"/>
      <c r="T797" s="604"/>
      <c r="U797" s="604"/>
      <c r="V797" s="604"/>
      <c r="W797" s="604"/>
      <c r="X797" s="604"/>
      <c r="Y797" s="604"/>
      <c r="Z797" s="604"/>
    </row>
    <row r="798" spans="1:26" ht="18.75" hidden="1">
      <c r="A798" s="599"/>
      <c r="B798" s="607"/>
      <c r="C798" s="759"/>
      <c r="D798" s="759"/>
      <c r="E798" s="759" t="s">
        <v>19</v>
      </c>
      <c r="F798" s="759"/>
      <c r="G798" s="603"/>
      <c r="H798" s="818" t="s">
        <v>12</v>
      </c>
      <c r="I798" s="815"/>
      <c r="J798" s="815"/>
      <c r="K798" s="816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4"/>
      <c r="R798" s="604"/>
      <c r="S798" s="604"/>
      <c r="T798" s="604"/>
      <c r="U798" s="604"/>
      <c r="V798" s="604"/>
      <c r="W798" s="604"/>
      <c r="X798" s="604"/>
      <c r="Y798" s="604"/>
      <c r="Z798" s="604"/>
    </row>
    <row r="799" spans="1:26" ht="19.5">
      <c r="A799" s="608"/>
      <c r="B799" s="618"/>
      <c r="C799" s="763" t="s">
        <v>16</v>
      </c>
      <c r="D799" s="898" t="s">
        <v>38</v>
      </c>
      <c r="E799" s="761"/>
      <c r="F799" s="761"/>
      <c r="G799" s="613"/>
      <c r="H799" s="819"/>
      <c r="I799" s="815"/>
      <c r="J799" s="815"/>
      <c r="K799" s="816"/>
      <c r="L799" s="163"/>
      <c r="M799" s="163"/>
      <c r="N799" s="163"/>
      <c r="O799" s="163"/>
      <c r="P799" s="163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</row>
    <row r="800" spans="1:26" ht="18.75">
      <c r="A800" s="608"/>
      <c r="B800" s="618"/>
      <c r="C800" s="618"/>
      <c r="D800" s="618"/>
      <c r="E800" s="626"/>
      <c r="F800" s="626" t="s">
        <v>321</v>
      </c>
      <c r="G800" s="762"/>
      <c r="H800" s="820" t="s">
        <v>34</v>
      </c>
      <c r="I800" s="815"/>
      <c r="J800" s="821">
        <f ca="1">IFERROR(__xludf.DUMMYFUNCTION("IMPORTRANGE(""https://docs.google.com/spreadsheets/d/1MaWodYyGHDf7siQLGxnXhG4mBNTNIuy296niS2xXulU/edit?usp=sharing"",""RTK!H46"")"),354)</f>
        <v>354</v>
      </c>
      <c r="K800" s="812"/>
      <c r="L800" s="498"/>
      <c r="M800" s="498"/>
      <c r="N800" s="498"/>
      <c r="O800" s="163"/>
      <c r="P800" s="163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</row>
    <row r="801" spans="1:26" ht="18.75">
      <c r="A801" s="608"/>
      <c r="B801" s="618"/>
      <c r="C801" s="618"/>
      <c r="D801" s="618"/>
      <c r="E801" s="626"/>
      <c r="F801" s="626"/>
      <c r="G801" s="762"/>
      <c r="H801" s="814" t="s">
        <v>46</v>
      </c>
      <c r="I801" s="821">
        <f ca="1">IFERROR(__xludf.DUMMYFUNCTION("IMPORTRANGE(""https://docs.google.com/spreadsheets/d/1MaWodYyGHDf7siQLGxnXhG4mBNTNIuy296niS2xXulU/edit?usp=sharing"",""RTK!G46"")"),3000)</f>
        <v>3000</v>
      </c>
      <c r="J801" s="822">
        <f ca="1">IFERROR(__xludf.DUMMYFUNCTION("IMPORTRANGE(""https://docs.google.com/spreadsheets/d/1MaWodYyGHDf7siQLGxnXhG4mBNTNIuy296niS2xXulU/edit?usp=sharing"",""RTK!I46"")"),3064)</f>
        <v>3064</v>
      </c>
      <c r="K801" s="823">
        <f ca="1">IF(I801&gt;0,J801*100/I801,0)</f>
        <v>102.13333333333334</v>
      </c>
      <c r="L801" s="498"/>
      <c r="M801" s="498"/>
      <c r="N801" s="498"/>
      <c r="O801" s="163"/>
      <c r="P801" s="163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</row>
    <row r="802" spans="1:26" ht="18.75">
      <c r="A802" s="614"/>
      <c r="B802" s="616"/>
      <c r="C802" s="616"/>
      <c r="D802" s="616"/>
      <c r="E802" s="720"/>
      <c r="F802" s="824" t="s">
        <v>322</v>
      </c>
      <c r="G802" s="366"/>
      <c r="H802" s="820" t="s">
        <v>34</v>
      </c>
      <c r="I802" s="815"/>
      <c r="J802" s="821">
        <f ca="1">IFERROR(__xludf.DUMMYFUNCTION("IMPORTRANGE(""https://docs.google.com/spreadsheets/d/1MaWodYyGHDf7siQLGxnXhG4mBNTNIuy296niS2xXulU/edit?usp=sharing"",""RTK!L46"")"),0)</f>
        <v>0</v>
      </c>
      <c r="K802" s="812"/>
      <c r="L802" s="167"/>
      <c r="M802" s="167"/>
      <c r="N802" s="167"/>
      <c r="O802" s="167"/>
      <c r="P802" s="167"/>
      <c r="Q802" s="604"/>
      <c r="R802" s="604"/>
      <c r="S802" s="604"/>
      <c r="T802" s="604"/>
      <c r="U802" s="604"/>
      <c r="V802" s="604"/>
      <c r="W802" s="604"/>
      <c r="X802" s="604"/>
      <c r="Y802" s="604"/>
      <c r="Z802" s="604"/>
    </row>
    <row r="803" spans="1:26" ht="18.75">
      <c r="A803" s="614"/>
      <c r="B803" s="616"/>
      <c r="C803" s="616"/>
      <c r="D803" s="616"/>
      <c r="E803" s="720"/>
      <c r="F803" s="720"/>
      <c r="G803" s="366"/>
      <c r="H803" s="820" t="s">
        <v>46</v>
      </c>
      <c r="I803" s="821">
        <f ca="1">IFERROR(__xludf.DUMMYFUNCTION("IMPORTRANGE(""https://docs.google.com/spreadsheets/d/1MaWodYyGHDf7siQLGxnXhG4mBNTNIuy296niS2xXulU/edit?usp=sharing"",""RTK!K46"")"),0)</f>
        <v>0</v>
      </c>
      <c r="J803" s="822">
        <f ca="1">IFERROR(__xludf.DUMMYFUNCTION("IMPORTRANGE(""https://docs.google.com/spreadsheets/d/1MaWodYyGHDf7siQLGxnXhG4mBNTNIuy296niS2xXulU/edit?usp=sharing"",""RTK!M46"")"),0)</f>
        <v>0</v>
      </c>
      <c r="K803" s="823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4"/>
      <c r="R803" s="604"/>
      <c r="S803" s="604"/>
      <c r="T803" s="604"/>
      <c r="U803" s="604"/>
      <c r="V803" s="604"/>
      <c r="W803" s="604"/>
      <c r="X803" s="604"/>
      <c r="Y803" s="604"/>
      <c r="Z803" s="604"/>
    </row>
    <row r="804" spans="1:26" ht="19.5" hidden="1">
      <c r="A804" s="793">
        <v>13</v>
      </c>
      <c r="B804" s="794" t="s">
        <v>323</v>
      </c>
      <c r="C804" s="795"/>
      <c r="D804" s="825"/>
      <c r="E804" s="795"/>
      <c r="F804" s="795"/>
      <c r="G804" s="796"/>
      <c r="H804" s="797" t="s">
        <v>46</v>
      </c>
      <c r="I804" s="798"/>
      <c r="J804" s="798">
        <f>J819</f>
        <v>0</v>
      </c>
      <c r="K804" s="799">
        <f t="shared" si="327"/>
        <v>0</v>
      </c>
      <c r="L804" s="800"/>
      <c r="M804" s="800"/>
      <c r="N804" s="800"/>
      <c r="O804" s="800"/>
      <c r="P804" s="800"/>
      <c r="Q804" s="604"/>
      <c r="R804" s="604"/>
      <c r="S804" s="604"/>
      <c r="T804" s="604"/>
      <c r="U804" s="604"/>
      <c r="V804" s="604"/>
      <c r="W804" s="604"/>
      <c r="X804" s="604"/>
      <c r="Y804" s="604"/>
      <c r="Z804" s="604"/>
    </row>
    <row r="805" spans="1:26" ht="19.5" hidden="1">
      <c r="A805" s="599"/>
      <c r="B805" s="759"/>
      <c r="C805" s="759" t="s">
        <v>16</v>
      </c>
      <c r="D805" s="864" t="s">
        <v>17</v>
      </c>
      <c r="E805" s="857"/>
      <c r="F805" s="857"/>
      <c r="G805" s="603"/>
      <c r="H805" s="646" t="s">
        <v>12</v>
      </c>
      <c r="I805" s="617"/>
      <c r="J805" s="617"/>
      <c r="K805" s="93"/>
      <c r="L805" s="647">
        <f t="shared" ref="L805:N805" si="328">L806+L807</f>
        <v>0</v>
      </c>
      <c r="M805" s="647">
        <f t="shared" si="328"/>
        <v>0</v>
      </c>
      <c r="N805" s="647">
        <f t="shared" si="328"/>
        <v>0</v>
      </c>
      <c r="O805" s="647">
        <f t="shared" ref="O805:O810" si="329">IF(L805&gt;0,N805*100/L805,0)</f>
        <v>0</v>
      </c>
      <c r="P805" s="647">
        <f t="shared" ref="P805:P810" si="330">IF(M805&gt;0,N805*100/M805,0)</f>
        <v>0</v>
      </c>
      <c r="Q805" s="604"/>
      <c r="R805" s="604"/>
      <c r="S805" s="604"/>
      <c r="T805" s="604"/>
      <c r="U805" s="604"/>
      <c r="V805" s="604"/>
      <c r="W805" s="604"/>
      <c r="X805" s="604"/>
      <c r="Y805" s="604"/>
      <c r="Z805" s="604"/>
    </row>
    <row r="806" spans="1:26" ht="18.75" hidden="1">
      <c r="A806" s="599"/>
      <c r="B806" s="759"/>
      <c r="C806" s="759"/>
      <c r="D806" s="616"/>
      <c r="E806" s="759" t="s">
        <v>185</v>
      </c>
      <c r="F806" s="759"/>
      <c r="G806" s="603"/>
      <c r="H806" s="165" t="s">
        <v>12</v>
      </c>
      <c r="I806" s="617"/>
      <c r="J806" s="617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4"/>
      <c r="R806" s="604"/>
      <c r="S806" s="604"/>
      <c r="T806" s="604"/>
      <c r="U806" s="604"/>
      <c r="V806" s="604"/>
      <c r="W806" s="604"/>
      <c r="X806" s="604"/>
      <c r="Y806" s="604"/>
      <c r="Z806" s="604"/>
    </row>
    <row r="807" spans="1:26" ht="18.75" hidden="1">
      <c r="A807" s="599"/>
      <c r="B807" s="759"/>
      <c r="C807" s="759"/>
      <c r="D807" s="616"/>
      <c r="E807" s="759" t="s">
        <v>186</v>
      </c>
      <c r="F807" s="759"/>
      <c r="G807" s="603"/>
      <c r="H807" s="165" t="s">
        <v>12</v>
      </c>
      <c r="I807" s="617"/>
      <c r="J807" s="617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4"/>
      <c r="R807" s="604"/>
      <c r="S807" s="604"/>
      <c r="T807" s="604"/>
      <c r="U807" s="604"/>
      <c r="V807" s="604"/>
      <c r="W807" s="604"/>
      <c r="X807" s="604"/>
      <c r="Y807" s="604"/>
      <c r="Z807" s="604"/>
    </row>
    <row r="808" spans="1:26" ht="19.5" hidden="1">
      <c r="A808" s="599"/>
      <c r="B808" s="607"/>
      <c r="C808" s="759"/>
      <c r="D808" s="905" t="s">
        <v>20</v>
      </c>
      <c r="E808" s="857"/>
      <c r="F808" s="857"/>
      <c r="G808" s="603"/>
      <c r="H808" s="646" t="s">
        <v>12</v>
      </c>
      <c r="I808" s="166"/>
      <c r="J808" s="166"/>
      <c r="K808" s="167"/>
      <c r="L808" s="647">
        <f t="shared" ref="L808:N808" si="332">L809+L810</f>
        <v>0</v>
      </c>
      <c r="M808" s="647">
        <f t="shared" si="332"/>
        <v>0</v>
      </c>
      <c r="N808" s="647">
        <f t="shared" si="332"/>
        <v>0</v>
      </c>
      <c r="O808" s="647">
        <f t="shared" si="329"/>
        <v>0</v>
      </c>
      <c r="P808" s="647">
        <f t="shared" si="330"/>
        <v>0</v>
      </c>
      <c r="Q808" s="604"/>
      <c r="R808" s="604"/>
      <c r="S808" s="604"/>
      <c r="T808" s="604"/>
      <c r="U808" s="604"/>
      <c r="V808" s="604"/>
      <c r="W808" s="604"/>
      <c r="X808" s="604"/>
      <c r="Y808" s="604"/>
      <c r="Z808" s="604"/>
    </row>
    <row r="809" spans="1:26" ht="18.75" hidden="1">
      <c r="A809" s="599"/>
      <c r="B809" s="759"/>
      <c r="C809" s="759"/>
      <c r="D809" s="616"/>
      <c r="E809" s="759" t="s">
        <v>185</v>
      </c>
      <c r="F809" s="759"/>
      <c r="G809" s="603"/>
      <c r="H809" s="165" t="s">
        <v>12</v>
      </c>
      <c r="I809" s="617"/>
      <c r="J809" s="617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4"/>
      <c r="R809" s="604"/>
      <c r="S809" s="604"/>
      <c r="T809" s="604"/>
      <c r="U809" s="604"/>
      <c r="V809" s="604"/>
      <c r="W809" s="604"/>
      <c r="X809" s="604"/>
      <c r="Y809" s="604"/>
      <c r="Z809" s="604"/>
    </row>
    <row r="810" spans="1:26" ht="18.75" hidden="1">
      <c r="A810" s="599"/>
      <c r="B810" s="759"/>
      <c r="C810" s="759"/>
      <c r="D810" s="616"/>
      <c r="E810" s="759" t="s">
        <v>186</v>
      </c>
      <c r="F810" s="759"/>
      <c r="G810" s="603"/>
      <c r="H810" s="165" t="s">
        <v>12</v>
      </c>
      <c r="I810" s="617"/>
      <c r="J810" s="617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4"/>
      <c r="R810" s="604"/>
      <c r="S810" s="604"/>
      <c r="T810" s="604"/>
      <c r="U810" s="604"/>
      <c r="V810" s="604"/>
      <c r="W810" s="604"/>
      <c r="X810" s="604"/>
      <c r="Y810" s="604"/>
      <c r="Z810" s="604"/>
    </row>
    <row r="811" spans="1:26" ht="18.75" hidden="1">
      <c r="A811" s="649"/>
      <c r="B811" s="607"/>
      <c r="C811" s="759"/>
      <c r="D811" s="607"/>
      <c r="E811" s="759"/>
      <c r="F811" s="759" t="s">
        <v>187</v>
      </c>
      <c r="G811" s="603"/>
      <c r="H811" s="165" t="s">
        <v>12</v>
      </c>
      <c r="I811" s="617"/>
      <c r="J811" s="617"/>
      <c r="K811" s="93"/>
      <c r="L811" s="93"/>
      <c r="M811" s="93"/>
      <c r="N811" s="93"/>
      <c r="O811" s="93"/>
      <c r="P811" s="93"/>
      <c r="Q811" s="604"/>
      <c r="R811" s="604"/>
      <c r="S811" s="604"/>
      <c r="T811" s="604"/>
      <c r="U811" s="604"/>
      <c r="V811" s="604"/>
      <c r="W811" s="604"/>
      <c r="X811" s="604"/>
      <c r="Y811" s="604"/>
      <c r="Z811" s="604"/>
    </row>
    <row r="812" spans="1:26" ht="18.75" hidden="1">
      <c r="A812" s="649"/>
      <c r="B812" s="607"/>
      <c r="C812" s="759"/>
      <c r="D812" s="607"/>
      <c r="E812" s="759"/>
      <c r="F812" s="759" t="s">
        <v>188</v>
      </c>
      <c r="G812" s="603"/>
      <c r="H812" s="165" t="s">
        <v>12</v>
      </c>
      <c r="I812" s="617"/>
      <c r="J812" s="617"/>
      <c r="K812" s="93"/>
      <c r="L812" s="93"/>
      <c r="M812" s="93"/>
      <c r="N812" s="93"/>
      <c r="O812" s="93"/>
      <c r="P812" s="93"/>
      <c r="Q812" s="604"/>
      <c r="R812" s="604"/>
      <c r="S812" s="604"/>
      <c r="T812" s="604"/>
      <c r="U812" s="604"/>
      <c r="V812" s="604"/>
      <c r="W812" s="604"/>
      <c r="X812" s="604"/>
      <c r="Y812" s="604"/>
      <c r="Z812" s="604"/>
    </row>
    <row r="813" spans="1:26" ht="18.75" hidden="1">
      <c r="A813" s="649"/>
      <c r="B813" s="607"/>
      <c r="C813" s="759"/>
      <c r="D813" s="607"/>
      <c r="E813" s="759"/>
      <c r="F813" s="759" t="s">
        <v>189</v>
      </c>
      <c r="G813" s="603"/>
      <c r="H813" s="165" t="s">
        <v>12</v>
      </c>
      <c r="I813" s="617"/>
      <c r="J813" s="617"/>
      <c r="K813" s="93"/>
      <c r="L813" s="93"/>
      <c r="M813" s="93"/>
      <c r="N813" s="93"/>
      <c r="O813" s="93"/>
      <c r="P813" s="93"/>
      <c r="Q813" s="604"/>
      <c r="R813" s="604"/>
      <c r="S813" s="604"/>
      <c r="T813" s="604"/>
      <c r="U813" s="604"/>
      <c r="V813" s="604"/>
      <c r="W813" s="604"/>
      <c r="X813" s="604"/>
      <c r="Y813" s="604"/>
      <c r="Z813" s="604"/>
    </row>
    <row r="814" spans="1:26" ht="18.75" hidden="1">
      <c r="A814" s="649"/>
      <c r="B814" s="607"/>
      <c r="C814" s="759"/>
      <c r="D814" s="607"/>
      <c r="E814" s="759"/>
      <c r="F814" s="759" t="s">
        <v>190</v>
      </c>
      <c r="G814" s="603"/>
      <c r="H814" s="165" t="s">
        <v>12</v>
      </c>
      <c r="I814" s="617"/>
      <c r="J814" s="617"/>
      <c r="K814" s="93"/>
      <c r="L814" s="93"/>
      <c r="M814" s="93"/>
      <c r="N814" s="93"/>
      <c r="O814" s="93"/>
      <c r="P814" s="93"/>
      <c r="Q814" s="604"/>
      <c r="R814" s="604"/>
      <c r="S814" s="604"/>
      <c r="T814" s="604"/>
      <c r="U814" s="604"/>
      <c r="V814" s="604"/>
      <c r="W814" s="604"/>
      <c r="X814" s="604"/>
      <c r="Y814" s="604"/>
      <c r="Z814" s="604"/>
    </row>
    <row r="815" spans="1:26" ht="19.5" hidden="1">
      <c r="A815" s="599"/>
      <c r="B815" s="607"/>
      <c r="C815" s="759"/>
      <c r="D815" s="905" t="s">
        <v>21</v>
      </c>
      <c r="E815" s="857"/>
      <c r="F815" s="857"/>
      <c r="G815" s="603"/>
      <c r="H815" s="783" t="s">
        <v>12</v>
      </c>
      <c r="I815" s="166"/>
      <c r="J815" s="166"/>
      <c r="K815" s="167"/>
      <c r="L815" s="647">
        <f t="shared" ref="L815:N815" si="333">L816+L817</f>
        <v>0</v>
      </c>
      <c r="M815" s="647">
        <f t="shared" si="333"/>
        <v>0</v>
      </c>
      <c r="N815" s="647">
        <f t="shared" si="333"/>
        <v>0</v>
      </c>
      <c r="O815" s="647">
        <f t="shared" ref="O815:O817" si="334">IF(L815&gt;0,N815*100/L815,0)</f>
        <v>0</v>
      </c>
      <c r="P815" s="647">
        <f t="shared" ref="P815:P817" si="335">IF(M815&gt;0,N815*100/M815,0)</f>
        <v>0</v>
      </c>
      <c r="Q815" s="604"/>
      <c r="R815" s="604"/>
      <c r="S815" s="604"/>
      <c r="T815" s="604"/>
      <c r="U815" s="604"/>
      <c r="V815" s="604"/>
      <c r="W815" s="604"/>
      <c r="X815" s="604"/>
      <c r="Y815" s="604"/>
      <c r="Z815" s="604"/>
    </row>
    <row r="816" spans="1:26" ht="18.75" hidden="1">
      <c r="A816" s="599"/>
      <c r="B816" s="607"/>
      <c r="C816" s="759"/>
      <c r="D816" s="607"/>
      <c r="E816" s="759" t="s">
        <v>18</v>
      </c>
      <c r="F816" s="759"/>
      <c r="G816" s="603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4"/>
      <c r="R816" s="604"/>
      <c r="S816" s="604"/>
      <c r="T816" s="604"/>
      <c r="U816" s="604"/>
      <c r="V816" s="604"/>
      <c r="W816" s="604"/>
      <c r="X816" s="604"/>
      <c r="Y816" s="604"/>
      <c r="Z816" s="604"/>
    </row>
    <row r="817" spans="1:26" ht="18.75" hidden="1">
      <c r="A817" s="599"/>
      <c r="B817" s="607"/>
      <c r="C817" s="759"/>
      <c r="D817" s="607"/>
      <c r="E817" s="759" t="s">
        <v>19</v>
      </c>
      <c r="F817" s="759"/>
      <c r="G817" s="603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4"/>
      <c r="R817" s="604"/>
      <c r="S817" s="604"/>
      <c r="T817" s="604"/>
      <c r="U817" s="604"/>
      <c r="V817" s="604"/>
      <c r="W817" s="604"/>
      <c r="X817" s="604"/>
      <c r="Y817" s="604"/>
      <c r="Z817" s="604"/>
    </row>
    <row r="818" spans="1:26" ht="19.5" hidden="1">
      <c r="A818" s="614"/>
      <c r="B818" s="616"/>
      <c r="C818" s="759" t="s">
        <v>16</v>
      </c>
      <c r="D818" s="906" t="s">
        <v>38</v>
      </c>
      <c r="E818" s="651"/>
      <c r="F818" s="651"/>
      <c r="G818" s="652"/>
      <c r="H818" s="366"/>
      <c r="I818" s="166"/>
      <c r="J818" s="166"/>
      <c r="K818" s="167"/>
      <c r="L818" s="167"/>
      <c r="M818" s="167"/>
      <c r="N818" s="167"/>
      <c r="O818" s="167"/>
      <c r="P818" s="167"/>
      <c r="Q818" s="604"/>
      <c r="R818" s="604"/>
      <c r="S818" s="604"/>
      <c r="T818" s="604"/>
      <c r="U818" s="604"/>
      <c r="V818" s="604"/>
      <c r="W818" s="604"/>
      <c r="X818" s="604"/>
      <c r="Y818" s="604"/>
      <c r="Z818" s="604"/>
    </row>
    <row r="819" spans="1:26" ht="19.5" hidden="1" thickBot="1">
      <c r="A819" s="827"/>
      <c r="B819" s="828"/>
      <c r="C819" s="830"/>
      <c r="D819" s="828"/>
      <c r="E819" s="830" t="s">
        <v>324</v>
      </c>
      <c r="F819" s="830"/>
      <c r="G819" s="831"/>
      <c r="H819" s="832" t="s">
        <v>46</v>
      </c>
      <c r="I819" s="833"/>
      <c r="J819" s="833"/>
      <c r="K819" s="834"/>
      <c r="L819" s="834"/>
      <c r="M819" s="834"/>
      <c r="N819" s="834"/>
      <c r="O819" s="834"/>
      <c r="P819" s="834"/>
      <c r="Q819" s="604"/>
      <c r="R819" s="604"/>
      <c r="S819" s="604"/>
      <c r="T819" s="604"/>
      <c r="U819" s="604"/>
      <c r="V819" s="604"/>
      <c r="W819" s="604"/>
      <c r="X819" s="604"/>
      <c r="Y819" s="604"/>
      <c r="Z819" s="604"/>
    </row>
    <row r="820" spans="1:26" ht="19.5">
      <c r="A820" s="907" t="s">
        <v>337</v>
      </c>
      <c r="B820" s="908"/>
      <c r="C820" s="908"/>
      <c r="D820" s="909"/>
      <c r="E820" s="908"/>
      <c r="F820" s="908"/>
      <c r="G820" s="910"/>
      <c r="H820" s="91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912"/>
      <c r="J820" s="912"/>
      <c r="K820" s="913"/>
      <c r="L820" s="913"/>
      <c r="M820" s="913"/>
      <c r="N820" s="913"/>
      <c r="O820" s="913"/>
      <c r="P820" s="913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</row>
    <row r="821" spans="1:26" ht="18.75">
      <c r="A821" s="744"/>
      <c r="B821" s="763" t="s">
        <v>326</v>
      </c>
      <c r="C821" s="763"/>
      <c r="D821" s="575"/>
      <c r="E821" s="763"/>
      <c r="F821" s="763"/>
      <c r="G821" s="189"/>
      <c r="H821" s="623" t="s">
        <v>12</v>
      </c>
      <c r="I821" s="270">
        <f ca="1">IFERROR(__xludf.DUMMYFUNCTION("IMPORTRANGE(""https://docs.google.com/spreadsheets/d/19vJNZY_5yjcGF2XGBMNZRCAIB0Kwfpjp8YEOfu-bneM/edit?usp=sharing"",""งานกองทุน!D46"")"),5888535.13)</f>
        <v>5888535.1299999999</v>
      </c>
      <c r="J821" s="270">
        <f ca="1">IFERROR(__xludf.DUMMYFUNCTION("IMPORTRANGE(""https://docs.google.com/spreadsheets/d/19vJNZY_5yjcGF2XGBMNZRCAIB0Kwfpjp8YEOfu-bneM/edit?usp=sharing"",""งานกองทุน!F46"")"),6762150.34)</f>
        <v>6762150.3399999999</v>
      </c>
      <c r="K821" s="498">
        <f t="shared" ref="K821:K828" ca="1" si="336">IF(I821&gt;0,J821*100/I821,0)</f>
        <v>114.83586648824154</v>
      </c>
      <c r="L821" s="498"/>
      <c r="M821" s="498"/>
      <c r="N821" s="498"/>
      <c r="O821" s="498"/>
      <c r="P821" s="49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</row>
    <row r="822" spans="1:26" ht="18.75">
      <c r="A822" s="744"/>
      <c r="B822" s="763"/>
      <c r="C822" s="763"/>
      <c r="D822" s="575"/>
      <c r="E822" s="763"/>
      <c r="F822" s="763"/>
      <c r="G822" s="189"/>
      <c r="H822" s="623" t="s">
        <v>35</v>
      </c>
      <c r="I822" s="270">
        <f ca="1">IFERROR(__xludf.DUMMYFUNCTION("IMPORTRANGE(""https://docs.google.com/spreadsheets/d/19vJNZY_5yjcGF2XGBMNZRCAIB0Kwfpjp8YEOfu-bneM/edit?usp=sharing"",""งานกองทุน!C46"")"),285)</f>
        <v>285</v>
      </c>
      <c r="J822" s="270">
        <f ca="1">IFERROR(__xludf.DUMMYFUNCTION("IMPORTRANGE(""https://docs.google.com/spreadsheets/d/19vJNZY_5yjcGF2XGBMNZRCAIB0Kwfpjp8YEOfu-bneM/edit?usp=sharing"",""งานกองทุน!E46"")"),309)</f>
        <v>309</v>
      </c>
      <c r="K822" s="498">
        <f t="shared" ca="1" si="336"/>
        <v>108.42105263157895</v>
      </c>
      <c r="L822" s="498"/>
      <c r="M822" s="498"/>
      <c r="N822" s="498"/>
      <c r="O822" s="498"/>
      <c r="P822" s="49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</row>
    <row r="823" spans="1:26" ht="18.75">
      <c r="A823" s="744"/>
      <c r="B823" s="763" t="s">
        <v>327</v>
      </c>
      <c r="C823" s="763"/>
      <c r="D823" s="575"/>
      <c r="E823" s="763"/>
      <c r="F823" s="763"/>
      <c r="G823" s="189"/>
      <c r="H823" s="623" t="s">
        <v>12</v>
      </c>
      <c r="I823" s="270">
        <f ca="1">IFERROR(__xludf.DUMMYFUNCTION("IMPORTRANGE(""https://docs.google.com/spreadsheets/d/19vJNZY_5yjcGF2XGBMNZRCAIB0Kwfpjp8YEOfu-bneM/edit?usp=sharing"",""งานกองทุน!I46"")"),6026961.11)</f>
        <v>6026961.1100000003</v>
      </c>
      <c r="J823" s="270">
        <f ca="1">IFERROR(__xludf.DUMMYFUNCTION("IMPORTRANGE(""https://docs.google.com/spreadsheets/d/19vJNZY_5yjcGF2XGBMNZRCAIB0Kwfpjp8YEOfu-bneM/edit?usp=sharing"",""งานกองทุน!K46"")"),873890.82)</f>
        <v>873890.82</v>
      </c>
      <c r="K823" s="498">
        <f t="shared" ca="1" si="336"/>
        <v>14.499692366523334</v>
      </c>
      <c r="L823" s="498"/>
      <c r="M823" s="498"/>
      <c r="N823" s="498"/>
      <c r="O823" s="498"/>
      <c r="P823" s="49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</row>
    <row r="824" spans="1:26" ht="18.75">
      <c r="A824" s="744"/>
      <c r="B824" s="763"/>
      <c r="C824" s="763"/>
      <c r="D824" s="575"/>
      <c r="E824" s="763"/>
      <c r="F824" s="763"/>
      <c r="G824" s="189"/>
      <c r="H824" s="623" t="s">
        <v>35</v>
      </c>
      <c r="I824" s="270">
        <f ca="1">IFERROR(__xludf.DUMMYFUNCTION("IMPORTRANGE(""https://docs.google.com/spreadsheets/d/19vJNZY_5yjcGF2XGBMNZRCAIB0Kwfpjp8YEOfu-bneM/edit?usp=sharing"",""งานกองทุน!H46"")"),375)</f>
        <v>375</v>
      </c>
      <c r="J824" s="270">
        <f ca="1">IFERROR(__xludf.DUMMYFUNCTION("IMPORTRANGE(""https://docs.google.com/spreadsheets/d/19vJNZY_5yjcGF2XGBMNZRCAIB0Kwfpjp8YEOfu-bneM/edit?usp=sharing"",""งานกองทุน!J46"")"),117)</f>
        <v>117</v>
      </c>
      <c r="K824" s="498">
        <f t="shared" ca="1" si="336"/>
        <v>31.2</v>
      </c>
      <c r="L824" s="498"/>
      <c r="M824" s="498"/>
      <c r="N824" s="498"/>
      <c r="O824" s="498"/>
      <c r="P824" s="49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</row>
    <row r="825" spans="1:26" ht="18.75">
      <c r="A825" s="744"/>
      <c r="B825" s="763" t="s">
        <v>328</v>
      </c>
      <c r="C825" s="763"/>
      <c r="D825" s="575"/>
      <c r="E825" s="763"/>
      <c r="F825" s="763"/>
      <c r="G825" s="189"/>
      <c r="H825" s="623" t="s">
        <v>12</v>
      </c>
      <c r="I825" s="270">
        <f ca="1">IFERROR(__xludf.DUMMYFUNCTION("IMPORTRANGE(""https://docs.google.com/spreadsheets/d/19vJNZY_5yjcGF2XGBMNZRCAIB0Kwfpjp8YEOfu-bneM/edit?usp=sharing"",""งานกองทุน!N46"")"),0)</f>
        <v>0</v>
      </c>
      <c r="J825" s="270">
        <f ca="1">IFERROR(__xludf.DUMMYFUNCTION("IMPORTRANGE(""https://docs.google.com/spreadsheets/d/19vJNZY_5yjcGF2XGBMNZRCAIB0Kwfpjp8YEOfu-bneM/edit?usp=sharing"",""งานกองทุน!P46"")"),7208)</f>
        <v>7208</v>
      </c>
      <c r="K825" s="498">
        <f t="shared" ca="1" si="336"/>
        <v>0</v>
      </c>
      <c r="L825" s="498"/>
      <c r="M825" s="498"/>
      <c r="N825" s="498"/>
      <c r="O825" s="498"/>
      <c r="P825" s="49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</row>
    <row r="826" spans="1:26" ht="18.75">
      <c r="A826" s="744"/>
      <c r="B826" s="763"/>
      <c r="C826" s="763"/>
      <c r="D826" s="575"/>
      <c r="E826" s="763"/>
      <c r="F826" s="763"/>
      <c r="G826" s="189"/>
      <c r="H826" s="623" t="s">
        <v>35</v>
      </c>
      <c r="I826" s="270">
        <f ca="1">IFERROR(__xludf.DUMMYFUNCTION("IMPORTRANGE(""https://docs.google.com/spreadsheets/d/19vJNZY_5yjcGF2XGBMNZRCAIB0Kwfpjp8YEOfu-bneM/edit?usp=sharing"",""งานกองทุน!M46"")"),0)</f>
        <v>0</v>
      </c>
      <c r="J826" s="270">
        <f ca="1">IFERROR(__xludf.DUMMYFUNCTION("IMPORTRANGE(""https://docs.google.com/spreadsheets/d/19vJNZY_5yjcGF2XGBMNZRCAIB0Kwfpjp8YEOfu-bneM/edit?usp=sharing"",""งานกองทุน!O46"")"),5)</f>
        <v>5</v>
      </c>
      <c r="K826" s="498">
        <f t="shared" ca="1" si="336"/>
        <v>0</v>
      </c>
      <c r="L826" s="498"/>
      <c r="M826" s="498"/>
      <c r="N826" s="498"/>
      <c r="O826" s="498"/>
      <c r="P826" s="49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</row>
    <row r="827" spans="1:26" ht="18.75">
      <c r="A827" s="744"/>
      <c r="B827" s="763" t="s">
        <v>329</v>
      </c>
      <c r="C827" s="763"/>
      <c r="D827" s="575"/>
      <c r="E827" s="763"/>
      <c r="F827" s="763"/>
      <c r="G827" s="189"/>
      <c r="H827" s="623" t="s">
        <v>12</v>
      </c>
      <c r="I827" s="270">
        <f ca="1">IFERROR(__xludf.DUMMYFUNCTION("IMPORTRANGE(""https://docs.google.com/spreadsheets/d/19vJNZY_5yjcGF2XGBMNZRCAIB0Kwfpjp8YEOfu-bneM/edit?usp=sharing"",""งานกองทุน!S46"")"),11100000)</f>
        <v>11100000</v>
      </c>
      <c r="J827" s="270">
        <f ca="1">IFERROR(__xludf.DUMMYFUNCTION("IMPORTRANGE(""https://docs.google.com/spreadsheets/d/19vJNZY_5yjcGF2XGBMNZRCAIB0Kwfpjp8YEOfu-bneM/edit?usp=sharing"",""งานกองทุน!U46"")"),12300000)</f>
        <v>12300000</v>
      </c>
      <c r="K827" s="498">
        <f t="shared" ca="1" si="336"/>
        <v>110.81081081081081</v>
      </c>
      <c r="L827" s="498"/>
      <c r="M827" s="498"/>
      <c r="N827" s="498"/>
      <c r="O827" s="498"/>
      <c r="P827" s="49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</row>
    <row r="828" spans="1:26" ht="18.75">
      <c r="A828" s="841"/>
      <c r="B828" s="749"/>
      <c r="C828" s="749"/>
      <c r="D828" s="748"/>
      <c r="E828" s="749"/>
      <c r="F828" s="749"/>
      <c r="G828" s="842"/>
      <c r="H828" s="843" t="s">
        <v>35</v>
      </c>
      <c r="I828" s="506">
        <f ca="1">IFERROR(__xludf.DUMMYFUNCTION("IMPORTRANGE(""https://docs.google.com/spreadsheets/d/19vJNZY_5yjcGF2XGBMNZRCAIB0Kwfpjp8YEOfu-bneM/edit?usp=sharing"",""งานกองทุน!R46"")"),444)</f>
        <v>444</v>
      </c>
      <c r="J828" s="506">
        <f ca="1">IFERROR(__xludf.DUMMYFUNCTION("IMPORTRANGE(""https://docs.google.com/spreadsheets/d/19vJNZY_5yjcGF2XGBMNZRCAIB0Kwfpjp8YEOfu-bneM/edit?usp=sharing"",""งานกองทุน!T46"")"),341)</f>
        <v>341</v>
      </c>
      <c r="K828" s="507">
        <f t="shared" ca="1" si="336"/>
        <v>76.801801801801801</v>
      </c>
      <c r="L828" s="507"/>
      <c r="M828" s="507"/>
      <c r="N828" s="507"/>
      <c r="O828" s="507"/>
      <c r="P828" s="507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95555-F681-4C33-9F9D-FB9620801F4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357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364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7020230</v>
      </c>
      <c r="M8" s="22">
        <f t="shared" ca="1" si="0"/>
        <v>7348330.3300000001</v>
      </c>
      <c r="N8" s="22">
        <f t="shared" ca="1" si="0"/>
        <v>7347331.4700000007</v>
      </c>
      <c r="O8" s="22">
        <f t="shared" ref="O8:O16" ca="1" si="1">IF(L8&gt;0,N8*100/L8,0)</f>
        <v>104.65941244090295</v>
      </c>
      <c r="P8" s="22">
        <f t="shared" ref="P8:P16" ca="1" si="2">IF(M8&gt;0,N8*100/M8,0)</f>
        <v>99.986406980155465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7020230</v>
      </c>
      <c r="M10" s="30">
        <f t="shared" ca="1" si="3"/>
        <v>7348330.3300000001</v>
      </c>
      <c r="N10" s="30">
        <f t="shared" ca="1" si="3"/>
        <v>7347331.4700000007</v>
      </c>
      <c r="O10" s="30">
        <f t="shared" ca="1" si="1"/>
        <v>104.65941244090295</v>
      </c>
      <c r="P10" s="30">
        <f t="shared" ca="1" si="2"/>
        <v>99.986406980155465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3" t="s">
        <v>12</v>
      </c>
      <c r="I11" s="270"/>
      <c r="J11" s="270"/>
      <c r="K11" s="498"/>
      <c r="L11" s="498">
        <f t="shared" ref="L11:N11" ca="1" si="4">L12+L13</f>
        <v>6637130</v>
      </c>
      <c r="M11" s="498">
        <f t="shared" ca="1" si="4"/>
        <v>6965230.3300000001</v>
      </c>
      <c r="N11" s="498">
        <f t="shared" ca="1" si="4"/>
        <v>6964231.4700000007</v>
      </c>
      <c r="O11" s="498">
        <f t="shared" ca="1" si="1"/>
        <v>104.92835713629236</v>
      </c>
      <c r="P11" s="498">
        <f t="shared" ca="1" si="2"/>
        <v>99.985659339997753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7"/>
      <c r="J12" s="617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7"/>
      <c r="J13" s="617"/>
      <c r="K13" s="93"/>
      <c r="L13" s="93">
        <f t="shared" ca="1" si="5"/>
        <v>6637130</v>
      </c>
      <c r="M13" s="93">
        <f t="shared" ca="1" si="5"/>
        <v>6965230.3300000001</v>
      </c>
      <c r="N13" s="93">
        <f t="shared" ca="1" si="5"/>
        <v>6964231.4700000007</v>
      </c>
      <c r="O13" s="93">
        <f t="shared" ca="1" si="1"/>
        <v>104.92835713629236</v>
      </c>
      <c r="P13" s="93">
        <f t="shared" ca="1" si="2"/>
        <v>99.985659339997753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3" t="s">
        <v>12</v>
      </c>
      <c r="I14" s="270"/>
      <c r="J14" s="270"/>
      <c r="K14" s="498"/>
      <c r="L14" s="498">
        <f t="shared" ref="L14:N14" ca="1" si="6">L15+L16</f>
        <v>383100</v>
      </c>
      <c r="M14" s="498">
        <f t="shared" ca="1" si="6"/>
        <v>383100</v>
      </c>
      <c r="N14" s="498">
        <f t="shared" ca="1" si="6"/>
        <v>383100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7"/>
      <c r="J15" s="617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383100</v>
      </c>
      <c r="M16" s="52">
        <f t="shared" ca="1" si="7"/>
        <v>383100</v>
      </c>
      <c r="N16" s="52">
        <f t="shared" ca="1" si="7"/>
        <v>383100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5014676</v>
      </c>
      <c r="M18" s="22">
        <f t="shared" ca="1" si="8"/>
        <v>5308546</v>
      </c>
      <c r="N18" s="22">
        <f t="shared" ca="1" si="8"/>
        <v>5307547.1400000006</v>
      </c>
      <c r="O18" s="22">
        <f t="shared" ref="O18:O26" ca="1" si="9">IF(L18&gt;0,N18*100/L18,0)</f>
        <v>105.84028040894368</v>
      </c>
      <c r="P18" s="22">
        <f t="shared" ref="P18:P26" ca="1" si="10">IF(M18&gt;0,N18*100/M18,0)</f>
        <v>99.98118392493916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5014676</v>
      </c>
      <c r="M20" s="30">
        <f t="shared" ca="1" si="11"/>
        <v>5308546</v>
      </c>
      <c r="N20" s="30">
        <f t="shared" ca="1" si="11"/>
        <v>5307547.1400000006</v>
      </c>
      <c r="O20" s="30">
        <f t="shared" ca="1" si="9"/>
        <v>105.84028040894368</v>
      </c>
      <c r="P20" s="30">
        <f t="shared" ca="1" si="10"/>
        <v>99.98118392493916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3" t="s">
        <v>12</v>
      </c>
      <c r="I21" s="270"/>
      <c r="J21" s="270"/>
      <c r="K21" s="498"/>
      <c r="L21" s="498">
        <f t="shared" ref="L21:N21" ca="1" si="12">L22+L23</f>
        <v>4631576</v>
      </c>
      <c r="M21" s="498">
        <f t="shared" ca="1" si="12"/>
        <v>4925446</v>
      </c>
      <c r="N21" s="498">
        <f t="shared" ca="1" si="12"/>
        <v>4924447.1400000006</v>
      </c>
      <c r="O21" s="498">
        <f t="shared" ca="1" si="9"/>
        <v>106.32335818304612</v>
      </c>
      <c r="P21" s="498">
        <f t="shared" ca="1" si="10"/>
        <v>99.979720415166483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7"/>
      <c r="J22" s="617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7"/>
      <c r="J23" s="617"/>
      <c r="K23" s="93"/>
      <c r="L23" s="93">
        <f t="shared" ca="1" si="13"/>
        <v>4631576</v>
      </c>
      <c r="M23" s="93">
        <f t="shared" ca="1" si="13"/>
        <v>4925446</v>
      </c>
      <c r="N23" s="93">
        <f t="shared" ca="1" si="13"/>
        <v>4924447.1400000006</v>
      </c>
      <c r="O23" s="93">
        <f t="shared" ca="1" si="9"/>
        <v>106.32335818304612</v>
      </c>
      <c r="P23" s="93">
        <f t="shared" ca="1" si="10"/>
        <v>99.979720415166483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3" t="s">
        <v>12</v>
      </c>
      <c r="I24" s="270"/>
      <c r="J24" s="270"/>
      <c r="K24" s="498"/>
      <c r="L24" s="498">
        <f t="shared" ref="L24:N24" ca="1" si="14">L25+L26</f>
        <v>383100</v>
      </c>
      <c r="M24" s="498">
        <f t="shared" ca="1" si="14"/>
        <v>383100</v>
      </c>
      <c r="N24" s="498">
        <f t="shared" ca="1" si="14"/>
        <v>383100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7"/>
      <c r="J25" s="617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383100</v>
      </c>
      <c r="M26" s="52">
        <f t="shared" ca="1" si="15"/>
        <v>383100</v>
      </c>
      <c r="N26" s="52">
        <f t="shared" ca="1" si="15"/>
        <v>383100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2005554</v>
      </c>
      <c r="M28" s="22">
        <f t="shared" ca="1" si="16"/>
        <v>2039784.33</v>
      </c>
      <c r="N28" s="22">
        <f t="shared" si="16"/>
        <v>2039784.33</v>
      </c>
      <c r="O28" s="22">
        <f t="shared" ref="O28:O37" ca="1" si="17">IF(L28&gt;0,N28*100/L28,0)</f>
        <v>101.70677678087949</v>
      </c>
      <c r="P28" s="22">
        <f t="shared" ref="P28:P37" ca="1" si="18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2005554</v>
      </c>
      <c r="M30" s="30">
        <f t="shared" ca="1" si="19"/>
        <v>2039784.33</v>
      </c>
      <c r="N30" s="30">
        <f t="shared" si="19"/>
        <v>2039784.33</v>
      </c>
      <c r="O30" s="30">
        <f t="shared" ca="1" si="17"/>
        <v>101.70677678087949</v>
      </c>
      <c r="P30" s="30">
        <f t="shared" ca="1" si="18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3" t="s">
        <v>12</v>
      </c>
      <c r="I31" s="270"/>
      <c r="J31" s="270"/>
      <c r="K31" s="498"/>
      <c r="L31" s="498">
        <f t="shared" ref="L31:N31" ca="1" si="20">L32+L33</f>
        <v>2005554</v>
      </c>
      <c r="M31" s="498">
        <f t="shared" ca="1" si="20"/>
        <v>2039784.33</v>
      </c>
      <c r="N31" s="498">
        <f t="shared" si="20"/>
        <v>2039784.33</v>
      </c>
      <c r="O31" s="498">
        <f t="shared" ca="1" si="17"/>
        <v>101.70677678087949</v>
      </c>
      <c r="P31" s="498">
        <f t="shared" ca="1" si="18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7"/>
      <c r="J32" s="617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7"/>
      <c r="J33" s="617"/>
      <c r="K33" s="93"/>
      <c r="L33" s="93">
        <f t="shared" ca="1" si="21"/>
        <v>2005554</v>
      </c>
      <c r="M33" s="93">
        <f t="shared" ca="1" si="21"/>
        <v>2039784.33</v>
      </c>
      <c r="N33" s="93">
        <f t="shared" si="21"/>
        <v>2039784.33</v>
      </c>
      <c r="O33" s="93">
        <f t="shared" ca="1" si="17"/>
        <v>101.70677678087949</v>
      </c>
      <c r="P33" s="93">
        <f t="shared" ca="1" si="18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3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7"/>
      <c r="J35" s="617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7" t="s">
        <v>24</v>
      </c>
      <c r="B37" s="868"/>
      <c r="C37" s="868"/>
      <c r="D37" s="868"/>
      <c r="E37" s="868"/>
      <c r="F37" s="868"/>
      <c r="G37" s="869"/>
      <c r="H37" s="870"/>
      <c r="I37" s="871"/>
      <c r="J37" s="871"/>
      <c r="K37" s="872"/>
      <c r="L37" s="873">
        <f t="shared" ref="L37:N37" ca="1" si="24">L41+L53+L66+L88+L119+L132+L149+L165+L181+L261+L277+L298+L315+L328+L345+L389+L402</f>
        <v>5014676</v>
      </c>
      <c r="M37" s="873">
        <f t="shared" ca="1" si="24"/>
        <v>5308546</v>
      </c>
      <c r="N37" s="873">
        <f t="shared" ca="1" si="24"/>
        <v>5307547.1400000006</v>
      </c>
      <c r="O37" s="873">
        <f t="shared" ca="1" si="17"/>
        <v>105.84028040894368</v>
      </c>
      <c r="P37" s="873">
        <f t="shared" ca="1" si="18"/>
        <v>99.98118392493916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699341</v>
      </c>
      <c r="M41" s="85">
        <f t="shared" ca="1" si="25"/>
        <v>763631</v>
      </c>
      <c r="N41" s="85">
        <f t="shared" ca="1" si="25"/>
        <v>763631</v>
      </c>
      <c r="O41" s="85">
        <f t="shared" ref="O41:O49" ca="1" si="26">IF(L41&gt;0,N41*100/L41,0)</f>
        <v>109.19294021085565</v>
      </c>
      <c r="P41" s="85">
        <f t="shared" ref="P41:P49" ca="1" si="27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699341</v>
      </c>
      <c r="M43" s="92">
        <f t="shared" ca="1" si="28"/>
        <v>763631</v>
      </c>
      <c r="N43" s="92">
        <f t="shared" ca="1" si="28"/>
        <v>763631</v>
      </c>
      <c r="O43" s="92">
        <f t="shared" ca="1" si="26"/>
        <v>109.19294021085565</v>
      </c>
      <c r="P43" s="92">
        <f t="shared" ca="1" si="27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3" t="s">
        <v>12</v>
      </c>
      <c r="I44" s="270"/>
      <c r="J44" s="270"/>
      <c r="K44" s="498"/>
      <c r="L44" s="498">
        <f t="shared" ref="L44:N44" ca="1" si="29">L45+L46</f>
        <v>699341</v>
      </c>
      <c r="M44" s="498">
        <f t="shared" ca="1" si="29"/>
        <v>763631</v>
      </c>
      <c r="N44" s="498">
        <f t="shared" ca="1" si="29"/>
        <v>763631</v>
      </c>
      <c r="O44" s="498">
        <f t="shared" ca="1" si="26"/>
        <v>109.19294021085565</v>
      </c>
      <c r="P44" s="498">
        <f t="shared" ca="1" si="27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7"/>
      <c r="J45" s="617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7"/>
      <c r="J46" s="617"/>
      <c r="K46" s="93"/>
      <c r="L46" s="93">
        <f ca="1">IFERROR(__xludf.DUMMYFUNCTION("IMPORTRANGE(""https://docs.google.com/spreadsheets/d/1MeEWN-I1oV_STSDYn1IFDPWt_1FKiwhDph83XaGc0o0/edit?usp=sharing"",""งบพรบ!M47"")"),699341)</f>
        <v>699341</v>
      </c>
      <c r="M46" s="93">
        <f ca="1">IFERROR(__xludf.DUMMYFUNCTION("IMPORTRANGE(""https://docs.google.com/spreadsheets/d/1MeEWN-I1oV_STSDYn1IFDPWt_1FKiwhDph83XaGc0o0/edit?usp=sharing"",""งบพรบ!R47"")"),763631)</f>
        <v>763631</v>
      </c>
      <c r="N46" s="93">
        <f ca="1">IFERROR(__xludf.DUMMYFUNCTION("IMPORTRANGE(""https://docs.google.com/spreadsheets/d/1MeEWN-I1oV_STSDYn1IFDPWt_1FKiwhDph83XaGc0o0/edit?usp=sharing"",""งบพรบ!T47"")"),763631)</f>
        <v>763631</v>
      </c>
      <c r="O46" s="93">
        <f t="shared" ca="1" si="26"/>
        <v>109.19294021085565</v>
      </c>
      <c r="P46" s="93">
        <f t="shared" ca="1" si="27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3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7"/>
      <c r="J48" s="617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IFERROR(__xludf.DUMMYFUNCTION("IMPORTRANGE(""https://docs.google.com/spreadsheets/d/1MeEWN-I1oV_STSDYn1IFDPWt_1FKiwhDph83XaGc0o0/edit?usp=sharing"",""งบพรบ!P47"")"),0)</f>
        <v>0</v>
      </c>
      <c r="M49" s="52">
        <f ca="1">IFERROR(__xludf.DUMMYFUNCTION("IMPORTRANGE(""https://docs.google.com/spreadsheets/d/1MeEWN-I1oV_STSDYn1IFDPWt_1FKiwhDph83XaGc0o0/edit?usp=sharing"",""งบพรบ!S47"")"),0)</f>
        <v>0</v>
      </c>
      <c r="N49" s="52">
        <f ca="1">IFERROR(__xludf.DUMMYFUNCTION("IMPORTRANGE(""https://docs.google.com/spreadsheets/d/1MeEWN-I1oV_STSDYn1IFDPWt_1FKiwhDph83XaGc0o0/edit?usp=sharing"",""งบพรบ!U47"")"),0)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842400</v>
      </c>
      <c r="M53" s="116">
        <f t="shared" ca="1" si="31"/>
        <v>918700</v>
      </c>
      <c r="N53" s="116">
        <f t="shared" ca="1" si="31"/>
        <v>917701.16</v>
      </c>
      <c r="O53" s="116">
        <f t="shared" ref="O53:O61" ca="1" si="32">IF(L53&gt;0,N53*100/L53,0)</f>
        <v>108.93888414055081</v>
      </c>
      <c r="P53" s="116">
        <f t="shared" ref="P53:P61" ca="1" si="33">IF(M53&gt;0,N53*100/M53,0)</f>
        <v>99.891276804179824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842400</v>
      </c>
      <c r="M55" s="123">
        <f t="shared" ca="1" si="34"/>
        <v>918700</v>
      </c>
      <c r="N55" s="123">
        <f t="shared" ca="1" si="34"/>
        <v>917701.16</v>
      </c>
      <c r="O55" s="123">
        <f t="shared" ca="1" si="32"/>
        <v>108.93888414055081</v>
      </c>
      <c r="P55" s="123">
        <f t="shared" ca="1" si="33"/>
        <v>99.891276804179824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3" t="s">
        <v>12</v>
      </c>
      <c r="I56" s="270"/>
      <c r="J56" s="270"/>
      <c r="K56" s="498"/>
      <c r="L56" s="498">
        <f t="shared" ref="L56:N56" ca="1" si="35">L57+L58</f>
        <v>842400</v>
      </c>
      <c r="M56" s="498">
        <f t="shared" ca="1" si="35"/>
        <v>918700</v>
      </c>
      <c r="N56" s="498">
        <f t="shared" ca="1" si="35"/>
        <v>917701.16</v>
      </c>
      <c r="O56" s="498">
        <f t="shared" ca="1" si="32"/>
        <v>108.93888414055081</v>
      </c>
      <c r="P56" s="498">
        <f t="shared" ca="1" si="33"/>
        <v>99.891276804179824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7"/>
      <c r="J57" s="617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7"/>
      <c r="J58" s="617"/>
      <c r="K58" s="93"/>
      <c r="L58" s="93">
        <f ca="1">IFERROR(__xludf.DUMMYFUNCTION("IMPORTRANGE(""https://docs.google.com/spreadsheets/d/1MeEWN-I1oV_STSDYn1IFDPWt_1FKiwhDph83XaGc0o0/edit?usp=sharing"",""งบพรบ!W47"")"),842400)</f>
        <v>842400</v>
      </c>
      <c r="M58" s="93">
        <f ca="1">IFERROR(__xludf.DUMMYFUNCTION("IMPORTRANGE(""https://docs.google.com/spreadsheets/d/1MeEWN-I1oV_STSDYn1IFDPWt_1FKiwhDph83XaGc0o0/edit?usp=sharing"",""งบพรบ!AB47"")"),918700)</f>
        <v>918700</v>
      </c>
      <c r="N58" s="93">
        <f ca="1">IFERROR(__xludf.DUMMYFUNCTION("IMPORTRANGE(""https://docs.google.com/spreadsheets/d/1MeEWN-I1oV_STSDYn1IFDPWt_1FKiwhDph83XaGc0o0/edit?usp=sharing"",""งบพรบ!AD47"")"),917701.16)</f>
        <v>917701.16</v>
      </c>
      <c r="O58" s="93">
        <f t="shared" ca="1" si="32"/>
        <v>108.93888414055081</v>
      </c>
      <c r="P58" s="93">
        <f t="shared" ca="1" si="33"/>
        <v>99.891276804179824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3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7"/>
      <c r="J60" s="617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IFERROR(__xludf.DUMMYFUNCTION("IMPORTRANGE(""https://docs.google.com/spreadsheets/d/1MeEWN-I1oV_STSDYn1IFDPWt_1FKiwhDph83XaGc0o0/edit?usp=sharing"",""งบพรบ!Z47"")"),0)</f>
        <v>0</v>
      </c>
      <c r="M61" s="52">
        <f ca="1">IFERROR(__xludf.DUMMYFUNCTION("IMPORTRANGE(""https://docs.google.com/spreadsheets/d/1MeEWN-I1oV_STSDYn1IFDPWt_1FKiwhDph83XaGc0o0/edit?usp=sharing"",""งบพรบ!AC47"")"),0)</f>
        <v>0</v>
      </c>
      <c r="N61" s="52">
        <f ca="1">IFERROR(__xludf.DUMMYFUNCTION("IMPORTRANGE(""https://docs.google.com/spreadsheets/d/1MeEWN-I1oV_STSDYn1IFDPWt_1FKiwhDph83XaGc0o0/edit?usp=sharing"",""งบพรบ!AE47"")"),0)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114</v>
      </c>
      <c r="J65" s="144">
        <f t="shared" si="37"/>
        <v>114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1380900</v>
      </c>
      <c r="M66" s="155">
        <f t="shared" ca="1" si="39"/>
        <v>1416350</v>
      </c>
      <c r="N66" s="155">
        <f t="shared" ca="1" si="39"/>
        <v>1416349.98</v>
      </c>
      <c r="O66" s="155">
        <f t="shared" ref="O66:O74" ca="1" si="40">IF(L66&gt;0,N66*100/L66,0)</f>
        <v>102.56716489246143</v>
      </c>
      <c r="P66" s="155">
        <f t="shared" ref="P66:P74" ca="1" si="41">IF(M66&gt;0,N66*100/M66,0)</f>
        <v>99.999998587919649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7"/>
      <c r="J67" s="617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7"/>
      <c r="J68" s="617"/>
      <c r="K68" s="93"/>
      <c r="L68" s="93">
        <f t="shared" ca="1" si="42"/>
        <v>1380900</v>
      </c>
      <c r="M68" s="93">
        <f t="shared" ca="1" si="42"/>
        <v>1416350</v>
      </c>
      <c r="N68" s="93">
        <f t="shared" ca="1" si="42"/>
        <v>1416349.98</v>
      </c>
      <c r="O68" s="93">
        <f t="shared" ca="1" si="40"/>
        <v>102.56716489246143</v>
      </c>
      <c r="P68" s="93">
        <f t="shared" ca="1" si="41"/>
        <v>99.999998587919649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1380900</v>
      </c>
      <c r="M69" s="498">
        <f t="shared" ca="1" si="43"/>
        <v>1416350</v>
      </c>
      <c r="N69" s="498">
        <f t="shared" ca="1" si="43"/>
        <v>1416349.98</v>
      </c>
      <c r="O69" s="498">
        <f t="shared" ca="1" si="40"/>
        <v>102.56716489246143</v>
      </c>
      <c r="P69" s="498">
        <f t="shared" ca="1" si="41"/>
        <v>99.999998587919649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IFERROR(__xludf.DUMMYFUNCTION("IMPORTRANGE(""https://docs.google.com/spreadsheets/d/1MeEWN-I1oV_STSDYn1IFDPWt_1FKiwhDph83XaGc0o0/edit?usp=sharing"",""งบพรบ!AG47"")"),1380900)</f>
        <v>1380900</v>
      </c>
      <c r="M71" s="93">
        <f ca="1">IFERROR(__xludf.DUMMYFUNCTION("IMPORTRANGE(""https://docs.google.com/spreadsheets/d/1MeEWN-I1oV_STSDYn1IFDPWt_1FKiwhDph83XaGc0o0/edit?usp=sharing"",""งบพรบ!AL47"")"),1416350)</f>
        <v>1416350</v>
      </c>
      <c r="N71" s="93">
        <f ca="1">IFERROR(__xludf.DUMMYFUNCTION("IMPORTRANGE(""https://docs.google.com/spreadsheets/d/1MeEWN-I1oV_STSDYn1IFDPWt_1FKiwhDph83XaGc0o0/edit?usp=sharing"",""งบพรบ!AN47"")"),1416349.98)</f>
        <v>1416349.98</v>
      </c>
      <c r="O71" s="93">
        <f t="shared" ca="1" si="40"/>
        <v>102.56716489246143</v>
      </c>
      <c r="P71" s="93">
        <f t="shared" ca="1" si="41"/>
        <v>99.999998587919649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IFERROR(__xludf.DUMMYFUNCTION("IMPORTRANGE(""https://docs.google.com/spreadsheets/d/1MeEWN-I1oV_STSDYn1IFDPWt_1FKiwhDph83XaGc0o0/edit?usp=sharing"",""งบพรบ!AJ47"")"),0)</f>
        <v>0</v>
      </c>
      <c r="M74" s="93">
        <f ca="1">IFERROR(__xludf.DUMMYFUNCTION("IMPORTRANGE(""https://docs.google.com/spreadsheets/d/1MeEWN-I1oV_STSDYn1IFDPWt_1FKiwhDph83XaGc0o0/edit?usp=sharing"",""งบพรบ!AM47"")"),0)</f>
        <v>0</v>
      </c>
      <c r="N74" s="93">
        <f ca="1">IFERROR(__xludf.DUMMYFUNCTION("IMPORTRANGE(""https://docs.google.com/spreadsheets/d/1MeEWN-I1oV_STSDYn1IFDPWt_1FKiwhDph83XaGc0o0/edit?usp=sharing"",""งบพรบ!AO47"")"),0)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7" t="s">
        <v>38</v>
      </c>
      <c r="E75" s="173"/>
      <c r="F75" s="173"/>
      <c r="G75" s="174"/>
      <c r="H75" s="76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114</v>
      </c>
      <c r="J77" s="270">
        <f t="shared" si="45"/>
        <v>114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4" t="s">
        <v>34</v>
      </c>
      <c r="I78" s="184">
        <f ca="1">IFERROR(__xludf.DUMMYFUNCTION("IMPORTRANGE(""https://docs.google.com/spreadsheets/d/1QqKyyYR6Q21VydFLVH3TRQUabQu_ym0Zz7PgGX0-kHA/edit?usp=sharing"",""แผน!H47"")"),1)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4" t="s">
        <v>35</v>
      </c>
      <c r="I79" s="184">
        <f ca="1">IFERROR(__xludf.DUMMYFUNCTION("IMPORTRANGE(""https://docs.google.com/spreadsheets/d/1QqKyyYR6Q21VydFLVH3TRQUabQu_ym0Zz7PgGX0-kHA/edit?usp=sharing"",""แผน!I47"")"),50)</f>
        <v>50</v>
      </c>
      <c r="J79" s="215">
        <v>50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4" t="s">
        <v>34</v>
      </c>
      <c r="I80" s="184">
        <f ca="1">IFERROR(__xludf.DUMMYFUNCTION("IMPORTRANGE(""https://docs.google.com/spreadsheets/d/1QqKyyYR6Q21VydFLVH3TRQUabQu_ym0Zz7PgGX0-kHA/edit?usp=sharing"",""แผน!F47"")"),0)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4" t="s">
        <v>35</v>
      </c>
      <c r="I81" s="184">
        <f ca="1">IFERROR(__xludf.DUMMYFUNCTION("IMPORTRANGE(""https://docs.google.com/spreadsheets/d/1QqKyyYR6Q21VydFLVH3TRQUabQu_ym0Zz7PgGX0-kHA/edit?usp=sharing"",""แผน!G47"")"),0)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4" t="s">
        <v>34</v>
      </c>
      <c r="I82" s="184">
        <f ca="1">IFERROR(__xludf.DUMMYFUNCTION("IMPORTRANGE(""https://docs.google.com/spreadsheets/d/1QqKyyYR6Q21VydFLVH3TRQUabQu_ym0Zz7PgGX0-kHA/edit?usp=sharing"",""แผน!D47"")"),1)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4" t="s">
        <v>35</v>
      </c>
      <c r="I83" s="184">
        <f ca="1">IFERROR(__xludf.DUMMYFUNCTION("IMPORTRANGE(""https://docs.google.com/spreadsheets/d/1QqKyyYR6Q21VydFLVH3TRQUabQu_ym0Zz7PgGX0-kHA/edit?usp=sharing"",""แผน!E47"")"),64)</f>
        <v>64</v>
      </c>
      <c r="J83" s="215">
        <v>64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IFERROR(__xludf.DUMMYFUNCTION("IMPORTRANGE(""https://docs.google.com/spreadsheets/d/1QqKyyYR6Q21VydFLVH3TRQUabQu_ym0Zz7PgGX0-kHA/edit?usp=sharing"",""แผน!J47"")"),2)</f>
        <v>2</v>
      </c>
      <c r="J84" s="215">
        <v>2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140780</v>
      </c>
      <c r="M88" s="155">
        <f t="shared" ca="1" si="49"/>
        <v>137770</v>
      </c>
      <c r="N88" s="155">
        <f t="shared" ca="1" si="49"/>
        <v>137770</v>
      </c>
      <c r="O88" s="155">
        <f t="shared" ref="O88:O96" ca="1" si="50">IF(L88&gt;0,N88*100/L88,0)</f>
        <v>97.861912203437981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7"/>
      <c r="J89" s="617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7"/>
      <c r="J90" s="617"/>
      <c r="K90" s="93"/>
      <c r="L90" s="93">
        <f t="shared" ca="1" si="52"/>
        <v>140780</v>
      </c>
      <c r="M90" s="93">
        <f t="shared" ca="1" si="52"/>
        <v>137770</v>
      </c>
      <c r="N90" s="93">
        <f t="shared" ca="1" si="52"/>
        <v>137770</v>
      </c>
      <c r="O90" s="93">
        <f t="shared" ca="1" si="50"/>
        <v>97.861912203437981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140780</v>
      </c>
      <c r="M91" s="498">
        <f t="shared" ca="1" si="53"/>
        <v>137770</v>
      </c>
      <c r="N91" s="498">
        <f t="shared" ca="1" si="53"/>
        <v>137770</v>
      </c>
      <c r="O91" s="498">
        <f t="shared" ca="1" si="50"/>
        <v>97.861912203437981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IFERROR(__xludf.DUMMYFUNCTION("IMPORTRANGE(""https://docs.google.com/spreadsheets/d/1MeEWN-I1oV_STSDYn1IFDPWt_1FKiwhDph83XaGc0o0/edit?usp=sharing"",""งบพรบ!AQ47"")"),140780)</f>
        <v>140780</v>
      </c>
      <c r="M93" s="93">
        <f ca="1">IFERROR(__xludf.DUMMYFUNCTION("IMPORTRANGE(""https://docs.google.com/spreadsheets/d/1MeEWN-I1oV_STSDYn1IFDPWt_1FKiwhDph83XaGc0o0/edit?usp=sharing"",""งบพรบ!AV47"")"),137770)</f>
        <v>137770</v>
      </c>
      <c r="N93" s="93">
        <f ca="1">IFERROR(__xludf.DUMMYFUNCTION("IMPORTRANGE(""https://docs.google.com/spreadsheets/d/1MeEWN-I1oV_STSDYn1IFDPWt_1FKiwhDph83XaGc0o0/edit?usp=sharing"",""งบพรบ!AX47"")"),137770)</f>
        <v>137770</v>
      </c>
      <c r="O93" s="93">
        <f t="shared" ca="1" si="50"/>
        <v>97.861912203437981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IFERROR(__xludf.DUMMYFUNCTION("IMPORTRANGE(""https://docs.google.com/spreadsheets/d/1MeEWN-I1oV_STSDYn1IFDPWt_1FKiwhDph83XaGc0o0/edit?usp=sharing"",""งบพรบ!AT47"")"),0)</f>
        <v>0</v>
      </c>
      <c r="M96" s="93">
        <f ca="1">IFERROR(__xludf.DUMMYFUNCTION("IMPORTRANGE(""https://docs.google.com/spreadsheets/d/1MeEWN-I1oV_STSDYn1IFDPWt_1FKiwhDph83XaGc0o0/edit?usp=sharing"",""งบพรบ!AW47"")"),0)</f>
        <v>0</v>
      </c>
      <c r="N96" s="93">
        <f ca="1">IFERROR(__xludf.DUMMYFUNCTION("IMPORTRANGE(""https://docs.google.com/spreadsheets/d/1MeEWN-I1oV_STSDYn1IFDPWt_1FKiwhDph83XaGc0o0/edit?usp=sharing"",""งบพรบ!AY47"")"),0)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7" t="s">
        <v>38</v>
      </c>
      <c r="E97" s="173"/>
      <c r="F97" s="173"/>
      <c r="G97" s="174"/>
      <c r="H97" s="762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3" t="s">
        <v>46</v>
      </c>
      <c r="I98" s="270">
        <f ca="1">IFERROR(__xludf.DUMMYFUNCTION("IMPORTRANGE(""https://docs.google.com/spreadsheets/d/1QqKyyYR6Q21VydFLVH3TRQUabQu_ym0Zz7PgGX0-kHA/edit?usp=sharing"",""แผน!K47"")"),60)</f>
        <v>60</v>
      </c>
      <c r="J98" s="270">
        <f>J102</f>
        <v>60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3" t="s">
        <v>35</v>
      </c>
      <c r="I99" s="270">
        <f ca="1">IFERROR(__xludf.DUMMYFUNCTION("IMPORTRANGE(""https://docs.google.com/spreadsheets/d/1QqKyyYR6Q21VydFLVH3TRQUabQu_ym0Zz7PgGX0-kHA/edit?usp=sharing"",""แผน!L47"")"),20)</f>
        <v>20</v>
      </c>
      <c r="J99" s="270">
        <f>J104</f>
        <v>20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3" t="s">
        <v>49</v>
      </c>
      <c r="I100" s="270">
        <f ca="1">IFERROR(__xludf.DUMMYFUNCTION("IMPORTRANGE(""https://docs.google.com/spreadsheets/d/1QqKyyYR6Q21VydFLVH3TRQUabQu_ym0Zz7PgGX0-kHA/edit?usp=sharing"",""แผน!M47"")"),3)</f>
        <v>3</v>
      </c>
      <c r="J100" s="270">
        <f>J107+J110</f>
        <v>3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3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6" t="s">
        <v>47</v>
      </c>
      <c r="F102" s="178"/>
      <c r="G102" s="179"/>
      <c r="H102" s="623" t="s">
        <v>46</v>
      </c>
      <c r="I102" s="270">
        <f ca="1">IFERROR(__xludf.DUMMYFUNCTION("IMPORTRANGE(""https://docs.google.com/spreadsheets/d/1QqKyyYR6Q21VydFLVH3TRQUabQu_ym0Zz7PgGX0-kHA/edit?usp=sharing"",""แผน!N47"")"),60)</f>
        <v>60</v>
      </c>
      <c r="J102" s="215">
        <v>60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3" t="s">
        <v>35</v>
      </c>
      <c r="I103" s="270">
        <f ca="1">IFERROR(__xludf.DUMMYFUNCTION("IMPORTRANGE(""https://docs.google.com/spreadsheets/d/1QqKyyYR6Q21VydFLVH3TRQUabQu_ym0Zz7PgGX0-kHA/edit?usp=sharing"",""แผน!O47"")"),20)</f>
        <v>20</v>
      </c>
      <c r="J103" s="215">
        <v>20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3" t="s">
        <v>35</v>
      </c>
      <c r="I104" s="270">
        <f ca="1">IFERROR(__xludf.DUMMYFUNCTION("IMPORTRANGE(""https://docs.google.com/spreadsheets/d/1QqKyyYR6Q21VydFLVH3TRQUabQu_ym0Zz7PgGX0-kHA/edit?usp=sharing"",""แผน!O47"")"),20)</f>
        <v>20</v>
      </c>
      <c r="J104" s="215">
        <v>20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3" t="s">
        <v>49</v>
      </c>
      <c r="I106" s="270">
        <f ca="1">IFERROR(__xludf.DUMMYFUNCTION("IMPORTRANGE(""https://docs.google.com/spreadsheets/d/1QqKyyYR6Q21VydFLVH3TRQUabQu_ym0Zz7PgGX0-kHA/edit?usp=sharing"",""แผน!P47"")"),2)</f>
        <v>2</v>
      </c>
      <c r="J106" s="215">
        <v>2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3" t="s">
        <v>49</v>
      </c>
      <c r="I107" s="270">
        <f ca="1">IFERROR(__xludf.DUMMYFUNCTION("IMPORTRANGE(""https://docs.google.com/spreadsheets/d/1QqKyyYR6Q21VydFLVH3TRQUabQu_ym0Zz7PgGX0-kHA/edit?usp=sharing"",""แผน!P47"")"),2)</f>
        <v>2</v>
      </c>
      <c r="J107" s="215">
        <v>2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3" t="s">
        <v>49</v>
      </c>
      <c r="I109" s="270">
        <f ca="1">IFERROR(__xludf.DUMMYFUNCTION("IMPORTRANGE(""https://docs.google.com/spreadsheets/d/1QqKyyYR6Q21VydFLVH3TRQUabQu_ym0Zz7PgGX0-kHA/edit?usp=sharing"",""แผน!Q47"")"),1)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3" t="s">
        <v>49</v>
      </c>
      <c r="I110" s="270">
        <f ca="1">IFERROR(__xludf.DUMMYFUNCTION("IMPORTRANGE(""https://docs.google.com/spreadsheets/d/1QqKyyYR6Q21VydFLVH3TRQUabQu_ym0Zz7PgGX0-kHA/edit?usp=sharing"",""แผน!Q47"")"),1)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7" t="s">
        <v>35</v>
      </c>
      <c r="I111" s="193">
        <f ca="1">IFERROR(__xludf.DUMMYFUNCTION("IMPORTRANGE(""https://docs.google.com/spreadsheets/d/1QqKyyYR6Q21VydFLVH3TRQUabQu_ym0Zz7PgGX0-kHA/edit?usp=sharing"",""แผน!R47"")"),20)</f>
        <v>20</v>
      </c>
      <c r="J111" s="681">
        <f>J114</f>
        <v>20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81">
        <f t="shared" si="59"/>
        <v>3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2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IFERROR(__xludf.DUMMYFUNCTION("IMPORTRANGE(""https://docs.google.com/spreadsheets/d/1QqKyyYR6Q21VydFLVH3TRQUabQu_ym0Zz7PgGX0-kHA/edit?usp=sharing"",""แผน!R47"")"),20)</f>
        <v>20</v>
      </c>
      <c r="J113" s="215">
        <v>20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IFERROR(__xludf.DUMMYFUNCTION("IMPORTRANGE(""https://docs.google.com/spreadsheets/d/1QqKyyYR6Q21VydFLVH3TRQUabQu_ym0Zz7PgGX0-kHA/edit?usp=sharing"",""แผน!R47"")"),20)</f>
        <v>20</v>
      </c>
      <c r="J114" s="215">
        <v>20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IFERROR(__xludf.DUMMYFUNCTION("IMPORTRANGE(""https://docs.google.com/spreadsheets/d/1QqKyyYR6Q21VydFLVH3TRQUabQu_ym0Zz7PgGX0-kHA/edit?usp=sharing"",""แผน!S47"")"),2)</f>
        <v>2</v>
      </c>
      <c r="J115" s="215">
        <v>2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IFERROR(__xludf.DUMMYFUNCTION("IMPORTRANGE(""https://docs.google.com/spreadsheets/d/1QqKyyYR6Q21VydFLVH3TRQUabQu_ym0Zz7PgGX0-kHA/edit?usp=sharing"",""แผน!T47"")"),1)</f>
        <v>1</v>
      </c>
      <c r="J116" s="215">
        <v>1</v>
      </c>
      <c r="K116" s="498">
        <f t="shared" ca="1" si="5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7"/>
      <c r="J120" s="617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7"/>
      <c r="J121" s="617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IFERROR(__xludf.DUMMYFUNCTION("IMPORTRANGE(""https://docs.google.com/spreadsheets/d/1MeEWN-I1oV_STSDYn1IFDPWt_1FKiwhDph83XaGc0o0/edit?usp=sharing"",""งบพรบ!BA47"")"),0)</f>
        <v>0</v>
      </c>
      <c r="M124" s="93">
        <f ca="1">IFERROR(__xludf.DUMMYFUNCTION("IMPORTRANGE(""https://docs.google.com/spreadsheets/d/1MeEWN-I1oV_STSDYn1IFDPWt_1FKiwhDph83XaGc0o0/edit?usp=sharing"",""งบพรบ!BF47"")"),0)</f>
        <v>0</v>
      </c>
      <c r="N124" s="93">
        <f ca="1">IFERROR(__xludf.DUMMYFUNCTION("IMPORTRANGE(""https://docs.google.com/spreadsheets/d/1MeEWN-I1oV_STSDYn1IFDPWt_1FKiwhDph83XaGc0o0/edit?usp=sharing"",""งบพรบ!BH47"")"),0)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IFERROR(__xludf.DUMMYFUNCTION("IMPORTRANGE(""https://docs.google.com/spreadsheets/d/1MeEWN-I1oV_STSDYn1IFDPWt_1FKiwhDph83XaGc0o0/edit?usp=sharing"",""งบพรบ!BD47"")"),0)</f>
        <v>0</v>
      </c>
      <c r="M127" s="93">
        <f ca="1">IFERROR(__xludf.DUMMYFUNCTION("IMPORTRANGE(""https://docs.google.com/spreadsheets/d/1MeEWN-I1oV_STSDYn1IFDPWt_1FKiwhDph83XaGc0o0/edit?usp=sharing"",""งบพรบ!BG47"")"),0)</f>
        <v>0</v>
      </c>
      <c r="N127" s="93">
        <f ca="1">IFERROR(__xludf.DUMMYFUNCTION("IMPORTRANGE(""https://docs.google.com/spreadsheets/d/1MeEWN-I1oV_STSDYn1IFDPWt_1FKiwhDph83XaGc0o0/edit?usp=sharing"",""งบพรบ!BI47"")"),0)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473465</v>
      </c>
      <c r="N132" s="155">
        <f t="shared" ca="1" si="69"/>
        <v>473465</v>
      </c>
      <c r="O132" s="155">
        <f t="shared" ref="O132:O140" ca="1" si="70">IF(L132&gt;0,N132*100/L132,0)</f>
        <v>104.06624685415362</v>
      </c>
      <c r="P132" s="155">
        <f t="shared" ref="P132:P140" ca="1" si="71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7"/>
      <c r="J133" s="617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7"/>
      <c r="J134" s="617"/>
      <c r="K134" s="93"/>
      <c r="L134" s="93">
        <f t="shared" ca="1" si="72"/>
        <v>454965</v>
      </c>
      <c r="M134" s="93">
        <f t="shared" ca="1" si="72"/>
        <v>473465</v>
      </c>
      <c r="N134" s="93">
        <f t="shared" ca="1" si="72"/>
        <v>473465</v>
      </c>
      <c r="O134" s="93">
        <f t="shared" ca="1" si="70"/>
        <v>104.06624685415362</v>
      </c>
      <c r="P134" s="93">
        <f t="shared" ca="1" si="71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145965</v>
      </c>
      <c r="M135" s="498">
        <f t="shared" ca="1" si="73"/>
        <v>164465</v>
      </c>
      <c r="N135" s="498">
        <f t="shared" ca="1" si="73"/>
        <v>164465</v>
      </c>
      <c r="O135" s="498">
        <f t="shared" ca="1" si="70"/>
        <v>112.67427122940431</v>
      </c>
      <c r="P135" s="498">
        <f t="shared" ca="1" si="71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IFERROR(__xludf.DUMMYFUNCTION("IMPORTRANGE(""https://docs.google.com/spreadsheets/d/1MeEWN-I1oV_STSDYn1IFDPWt_1FKiwhDph83XaGc0o0/edit?usp=sharing"",""งบพรบ!BK47"")"),145965)</f>
        <v>145965</v>
      </c>
      <c r="M137" s="93">
        <f ca="1">IFERROR(__xludf.DUMMYFUNCTION("IMPORTRANGE(""https://docs.google.com/spreadsheets/d/1MeEWN-I1oV_STSDYn1IFDPWt_1FKiwhDph83XaGc0o0/edit?usp=sharing"",""งบพรบ!BP47"")"),164465)</f>
        <v>164465</v>
      </c>
      <c r="N137" s="93">
        <f ca="1">IFERROR(__xludf.DUMMYFUNCTION("IMPORTRANGE(""https://docs.google.com/spreadsheets/d/1MeEWN-I1oV_STSDYn1IFDPWt_1FKiwhDph83XaGc0o0/edit?usp=sharing"",""งบพรบ!BR47"")"),164465)</f>
        <v>164465</v>
      </c>
      <c r="O137" s="93">
        <f t="shared" ca="1" si="70"/>
        <v>112.67427122940431</v>
      </c>
      <c r="P137" s="93">
        <f t="shared" ca="1" si="71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309000</v>
      </c>
      <c r="M138" s="498">
        <f t="shared" ca="1" si="74"/>
        <v>309000</v>
      </c>
      <c r="N138" s="498">
        <f t="shared" ca="1" si="74"/>
        <v>309000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IFERROR(__xludf.DUMMYFUNCTION("IMPORTRANGE(""https://docs.google.com/spreadsheets/d/1MeEWN-I1oV_STSDYn1IFDPWt_1FKiwhDph83XaGc0o0/edit?usp=sharing"",""งบพรบ!BN47"")"),309000)</f>
        <v>309000</v>
      </c>
      <c r="M140" s="93">
        <f ca="1">IFERROR(__xludf.DUMMYFUNCTION("IMPORTRANGE(""https://docs.google.com/spreadsheets/d/1MeEWN-I1oV_STSDYn1IFDPWt_1FKiwhDph83XaGc0o0/edit?usp=sharing"",""งบพรบ!BQ47"")"),309000)</f>
        <v>309000</v>
      </c>
      <c r="N140" s="93">
        <f ca="1">IFERROR(__xludf.DUMMYFUNCTION("IMPORTRANGE(""https://docs.google.com/spreadsheets/d/1MeEWN-I1oV_STSDYn1IFDPWt_1FKiwhDph83XaGc0o0/edit?usp=sharing"",""งบพรบ!BS47"")"),309000)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IFERROR(__xludf.DUMMYFUNCTION("IMPORTRANGE(""https://docs.google.com/spreadsheets/d/1QqKyyYR6Q21VydFLVH3TRQUabQu_ym0Zz7PgGX0-kHA/edit?usp=sharing"",""แผน!U47"")"),15)</f>
        <v>15</v>
      </c>
      <c r="J144" s="215">
        <v>15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IFERROR(__xludf.DUMMYFUNCTION("IMPORTRANGE(""https://docs.google.com/spreadsheets/d/1QqKyyYR6Q21VydFLVH3TRQUabQu_ym0Zz7PgGX0-kHA/edit?usp=sharing"",""แผน!V47"")"),30)</f>
        <v>30</v>
      </c>
      <c r="J145" s="215">
        <v>30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IFERROR(__xludf.DUMMYFUNCTION("IMPORTRANGE(""https://docs.google.com/spreadsheets/d/1QqKyyYR6Q21VydFLVH3TRQUabQu_ym0Zz7PgGX0-kHA/edit?usp=sharing"",""แผน!W47"")"),3)</f>
        <v>3</v>
      </c>
      <c r="J146" s="215">
        <v>3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7"/>
      <c r="J150" s="617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7"/>
      <c r="J151" s="617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IFERROR(__xludf.DUMMYFUNCTION("IMPORTRANGE(""https://docs.google.com/spreadsheets/d/1MeEWN-I1oV_STSDYn1IFDPWt_1FKiwhDph83XaGc0o0/edit?usp=sharing"",""งบพรบ!BU47"")"),0)</f>
        <v>0</v>
      </c>
      <c r="M154" s="93">
        <f ca="1">IFERROR(__xludf.DUMMYFUNCTION("IMPORTRANGE(""https://docs.google.com/spreadsheets/d/1MeEWN-I1oV_STSDYn1IFDPWt_1FKiwhDph83XaGc0o0/edit?usp=sharing"",""งบพรบ!BZ47"")"),0)</f>
        <v>0</v>
      </c>
      <c r="N154" s="93">
        <f ca="1">IFERROR(__xludf.DUMMYFUNCTION("IMPORTRANGE(""https://docs.google.com/spreadsheets/d/1MeEWN-I1oV_STSDYn1IFDPWt_1FKiwhDph83XaGc0o0/edit?usp=sharing"",""งบพรบ!CB47"")"),0)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IFERROR(__xludf.DUMMYFUNCTION("IMPORTRANGE(""https://docs.google.com/spreadsheets/d/1MeEWN-I1oV_STSDYn1IFDPWt_1FKiwhDph83XaGc0o0/edit?usp=sharing"",""งบพรบ!BX47"")"),0)</f>
        <v>0</v>
      </c>
      <c r="M157" s="93">
        <f ca="1">IFERROR(__xludf.DUMMYFUNCTION("IMPORTRANGE(""https://docs.google.com/spreadsheets/d/1MeEWN-I1oV_STSDYn1IFDPWt_1FKiwhDph83XaGc0o0/edit?usp=sharing"",""งบพรบ!CA47"")"),0)</f>
        <v>0</v>
      </c>
      <c r="N157" s="93">
        <f ca="1">IFERROR(__xludf.DUMMYFUNCTION("IMPORTRANGE(""https://docs.google.com/spreadsheets/d/1MeEWN-I1oV_STSDYn1IFDPWt_1FKiwhDph83XaGc0o0/edit?usp=sharing"",""งบพรบ!CC47"")"),0)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IFERROR(__xludf.DUMMYFUNCTION("IMPORTRANGE(""https://docs.google.com/spreadsheets/d/1QqKyyYR6Q21VydFLVH3TRQUabQu_ym0Zz7PgGX0-kHA/edit?usp=sharing"",""แผน!X47"")"),0)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7"/>
      <c r="J160" s="617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924">
        <f t="shared" ref="I164:J164" ca="1" si="83">I174+I177</f>
        <v>0</v>
      </c>
      <c r="J164" s="924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7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13400</v>
      </c>
      <c r="N165" s="154">
        <f t="shared" ca="1" si="84"/>
        <v>13400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7"/>
      <c r="J166" s="617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7"/>
      <c r="J167" s="617"/>
      <c r="K167" s="93"/>
      <c r="L167" s="93">
        <f t="shared" ca="1" si="87"/>
        <v>0</v>
      </c>
      <c r="M167" s="93">
        <f t="shared" ca="1" si="87"/>
        <v>13400</v>
      </c>
      <c r="N167" s="93">
        <f t="shared" ca="1" si="87"/>
        <v>13400</v>
      </c>
      <c r="O167" s="93">
        <f t="shared" ca="1" si="85"/>
        <v>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0</v>
      </c>
      <c r="M168" s="498">
        <f t="shared" ca="1" si="88"/>
        <v>13400</v>
      </c>
      <c r="N168" s="498">
        <f t="shared" ca="1" si="88"/>
        <v>13400</v>
      </c>
      <c r="O168" s="498">
        <f t="shared" ca="1" si="85"/>
        <v>0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IFERROR(__xludf.DUMMYFUNCTION("IMPORTRANGE(""https://docs.google.com/spreadsheets/d/1MeEWN-I1oV_STSDYn1IFDPWt_1FKiwhDph83XaGc0o0/edit?usp=sharing"",""งบพรบ!CE47"")"),0)</f>
        <v>0</v>
      </c>
      <c r="M170" s="93">
        <f ca="1">IFERROR(__xludf.DUMMYFUNCTION("IMPORTRANGE(""https://docs.google.com/spreadsheets/d/1MeEWN-I1oV_STSDYn1IFDPWt_1FKiwhDph83XaGc0o0/edit?usp=sharing"",""งบพรบ!CJ47"")"),13400)</f>
        <v>13400</v>
      </c>
      <c r="N170" s="93">
        <f ca="1">IFERROR(__xludf.DUMMYFUNCTION("IMPORTRANGE(""https://docs.google.com/spreadsheets/d/1MeEWN-I1oV_STSDYn1IFDPWt_1FKiwhDph83XaGc0o0/edit?usp=sharing"",""งบพรบ!CL47"")"),13400)</f>
        <v>13400</v>
      </c>
      <c r="O170" s="93">
        <f t="shared" ca="1" si="85"/>
        <v>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IFERROR(__xludf.DUMMYFUNCTION("IMPORTRANGE(""https://docs.google.com/spreadsheets/d/1MeEWN-I1oV_STSDYn1IFDPWt_1FKiwhDph83XaGc0o0/edit?usp=sharing"",""งบพรบ!CH47"")"),0)</f>
        <v>0</v>
      </c>
      <c r="M173" s="93">
        <f ca="1">IFERROR(__xludf.DUMMYFUNCTION("IMPORTRANGE(""https://docs.google.com/spreadsheets/d/1MeEWN-I1oV_STSDYn1IFDPWt_1FKiwhDph83XaGc0o0/edit?usp=sharing"",""งบพรบ!CK47"")"),0)</f>
        <v>0</v>
      </c>
      <c r="N173" s="93">
        <f ca="1">IFERROR(__xludf.DUMMYFUNCTION("IMPORTRANGE(""https://docs.google.com/spreadsheets/d/1MeEWN-I1oV_STSDYn1IFDPWt_1FKiwhDph83XaGc0o0/edit?usp=sharing"",""งบพรบ!CM47"")"),0)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77" t="s">
        <v>38</v>
      </c>
      <c r="E175" s="173"/>
      <c r="F175" s="173"/>
      <c r="G175" s="174"/>
      <c r="H175" s="76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6" t="s">
        <v>85</v>
      </c>
      <c r="E176" s="178"/>
      <c r="F176" s="178"/>
      <c r="G176" s="179"/>
      <c r="H176" s="623" t="s">
        <v>35</v>
      </c>
      <c r="I176" s="270">
        <f ca="1">IFERROR(__xludf.DUMMYFUNCTION("IMPORTRANGE(""https://docs.google.com/spreadsheets/d/1QqKyyYR6Q21VydFLVH3TRQUabQu_ym0Zz7PgGX0-kHA/edit?usp=sharing"",""แผน!Y47"")"),0)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77500</v>
      </c>
      <c r="M181" s="155">
        <f t="shared" ca="1" si="92"/>
        <v>93940</v>
      </c>
      <c r="N181" s="155">
        <f t="shared" ca="1" si="92"/>
        <v>93940</v>
      </c>
      <c r="O181" s="155">
        <f t="shared" ref="O181:O189" ca="1" si="93">IF(L181&gt;0,N181*100/L181,0)</f>
        <v>121.21290322580646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7"/>
      <c r="J182" s="617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7"/>
      <c r="J183" s="617"/>
      <c r="K183" s="93"/>
      <c r="L183" s="93">
        <f t="shared" ca="1" si="95"/>
        <v>77500</v>
      </c>
      <c r="M183" s="93">
        <f t="shared" ca="1" si="95"/>
        <v>93940</v>
      </c>
      <c r="N183" s="93">
        <f t="shared" ca="1" si="95"/>
        <v>93940</v>
      </c>
      <c r="O183" s="93">
        <f t="shared" ca="1" si="93"/>
        <v>121.21290322580646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77500</v>
      </c>
      <c r="M184" s="498">
        <f t="shared" ca="1" si="96"/>
        <v>93940</v>
      </c>
      <c r="N184" s="498">
        <f t="shared" ca="1" si="96"/>
        <v>93940</v>
      </c>
      <c r="O184" s="498">
        <f t="shared" ca="1" si="93"/>
        <v>121.21290322580646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IFERROR(__xludf.DUMMYFUNCTION("IMPORTRANGE(""https://docs.google.com/spreadsheets/d/1MeEWN-I1oV_STSDYn1IFDPWt_1FKiwhDph83XaGc0o0/edit?usp=sharing"",""งบพรบ!CO47"")"),77500)</f>
        <v>77500</v>
      </c>
      <c r="M186" s="93">
        <f ca="1">IFERROR(__xludf.DUMMYFUNCTION("IMPORTRANGE(""https://docs.google.com/spreadsheets/d/1MeEWN-I1oV_STSDYn1IFDPWt_1FKiwhDph83XaGc0o0/edit?usp=sharing"",""งบพรบ!CT47"")"),93940)</f>
        <v>93940</v>
      </c>
      <c r="N186" s="93">
        <f ca="1">IFERROR(__xludf.DUMMYFUNCTION("IMPORTRANGE(""https://docs.google.com/spreadsheets/d/1MeEWN-I1oV_STSDYn1IFDPWt_1FKiwhDph83XaGc0o0/edit?usp=sharing"",""งบพรบ!CV47"")"),93940)</f>
        <v>93940</v>
      </c>
      <c r="O186" s="93">
        <f t="shared" ca="1" si="93"/>
        <v>121.21290322580646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IFERROR(__xludf.DUMMYFUNCTION("IMPORTRANGE(""https://docs.google.com/spreadsheets/d/1MeEWN-I1oV_STSDYn1IFDPWt_1FKiwhDph83XaGc0o0/edit?usp=sharing"",""งบพรบ!CR47"")"),0)</f>
        <v>0</v>
      </c>
      <c r="M189" s="93">
        <f ca="1">IFERROR(__xludf.DUMMYFUNCTION("IMPORTRANGE(""https://docs.google.com/spreadsheets/d/1MeEWN-I1oV_STSDYn1IFDPWt_1FKiwhDph83XaGc0o0/edit?usp=sharing"",""งบพรบ!CU47"")"),0)</f>
        <v>0</v>
      </c>
      <c r="N189" s="93">
        <f ca="1">IFERROR(__xludf.DUMMYFUNCTION("IMPORTRANGE(""https://docs.google.com/spreadsheets/d/1MeEWN-I1oV_STSDYn1IFDPWt_1FKiwhDph83XaGc0o0/edit?usp=sharing"",""งบพรบ!CW47"")"),0)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8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IFERROR(__xludf.DUMMYFUNCTION("IMPORTRANGE(""https://docs.google.com/spreadsheets/d/1QqKyyYR6Q21VydFLVH3TRQUabQu_ym0Zz7PgGX0-kHA/edit?usp=sharing"",""แผน!Z47"")"),6000)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7" t="s">
        <v>38</v>
      </c>
      <c r="E192" s="173"/>
      <c r="F192" s="173"/>
      <c r="G192" s="174"/>
      <c r="H192" s="762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4" t="s">
        <v>90</v>
      </c>
      <c r="I193" s="270">
        <f ca="1">IFERROR(__xludf.DUMMYFUNCTION("IMPORTRANGE(""https://docs.google.com/spreadsheets/d/1QqKyyYR6Q21VydFLVH3TRQUabQu_ym0Zz7PgGX0-kHA/edit?usp=sharing"",""แผน!AC47"")"),4)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8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44000</v>
      </c>
      <c r="M198" s="155"/>
      <c r="N198" s="155">
        <f>N199+N200+N201+N202</f>
        <v>44000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IFERROR(__xludf.DUMMYFUNCTION("IMPORTRANGE(""https://docs.google.com/spreadsheets/d/1QqKyyYR6Q21VydFLVH3TRQUabQu_ym0Zz7PgGX0-kHA/edit?usp=sharing"",""แผน!AE47"")"),3000)</f>
        <v>3000</v>
      </c>
      <c r="M199" s="498"/>
      <c r="N199" s="840">
        <v>3310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3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IFERROR(__xludf.DUMMYFUNCTION("IMPORTRANGE(""https://docs.google.com/spreadsheets/d/1QqKyyYR6Q21VydFLVH3TRQUabQu_ym0Zz7PgGX0-kHA/edit?usp=sharing"",""แผน!AF47"")"),24000)</f>
        <v>24000</v>
      </c>
      <c r="M200" s="498"/>
      <c r="N200" s="840">
        <v>24900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3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IFERROR(__xludf.DUMMYFUNCTION("IMPORTRANGE(""https://docs.google.com/spreadsheets/d/1QqKyyYR6Q21VydFLVH3TRQUabQu_ym0Zz7PgGX0-kHA/edit?usp=sharing"",""แผน!AG47"")"),12000)</f>
        <v>12000</v>
      </c>
      <c r="M201" s="498"/>
      <c r="N201" s="840">
        <v>10790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3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IFERROR(__xludf.DUMMYFUNCTION("IMPORTRANGE(""https://docs.google.com/spreadsheets/d/1QqKyyYR6Q21VydFLVH3TRQUabQu_ym0Zz7PgGX0-kHA/edit?usp=sharing"",""แผน!AH47"")"),5000)</f>
        <v>5000</v>
      </c>
      <c r="M202" s="498"/>
      <c r="N202" s="840">
        <v>5000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7" t="s">
        <v>38</v>
      </c>
      <c r="E203" s="173"/>
      <c r="F203" s="173"/>
      <c r="G203" s="174"/>
      <c r="H203" s="76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2" t="s">
        <v>96</v>
      </c>
      <c r="I204" s="270">
        <f ca="1">IFERROR(__xludf.DUMMYFUNCTION("IMPORTRANGE(""https://docs.google.com/spreadsheets/d/1QqKyyYR6Q21VydFLVH3TRQUabQu_ym0Zz7PgGX0-kHA/edit?usp=sharing"",""แผน!AI47"")"),3)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2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2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8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IFERROR(__xludf.DUMMYFUNCTION("IMPORTRANGE(""https://docs.google.com/spreadsheets/d/1QqKyyYR6Q21VydFLVH3TRQUabQu_ym0Zz7PgGX0-kHA/edit?usp=sharing"",""แผน!AK47"")"),1000)</f>
        <v>1000</v>
      </c>
      <c r="M210" s="498"/>
      <c r="N210" s="840">
        <v>1000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IFERROR(__xludf.DUMMYFUNCTION("IMPORTRANGE(""https://docs.google.com/spreadsheets/d/1QqKyyYR6Q21VydFLVH3TRQUabQu_ym0Zz7PgGX0-kHA/edit?usp=sharing"",""แผน!AL47"")"),5000)</f>
        <v>5000</v>
      </c>
      <c r="M211" s="498"/>
      <c r="N211" s="840">
        <v>5000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IFERROR(__xludf.DUMMYFUNCTION("IMPORTRANGE(""https://docs.google.com/spreadsheets/d/1QqKyyYR6Q21VydFLVH3TRQUabQu_ym0Zz7PgGX0-kHA/edit?usp=sharing"",""แผน!AM47"")"),8000)</f>
        <v>8000</v>
      </c>
      <c r="M212" s="498"/>
      <c r="N212" s="840">
        <v>8000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7" t="s">
        <v>38</v>
      </c>
      <c r="E213" s="173"/>
      <c r="F213" s="173"/>
      <c r="G213" s="174"/>
      <c r="H213" s="762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2" t="s">
        <v>96</v>
      </c>
      <c r="I214" s="270">
        <f ca="1">IFERROR(__xludf.DUMMYFUNCTION("IMPORTRANGE(""https://docs.google.com/spreadsheets/d/1QqKyyYR6Q21VydFLVH3TRQUabQu_ym0Zz7PgGX0-kHA/edit?usp=sharing"",""แผน!AN47"")"),1)</f>
        <v>1</v>
      </c>
      <c r="J214" s="215">
        <v>1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2" t="s">
        <v>96</v>
      </c>
      <c r="I215" s="270">
        <f ca="1">IFERROR(__xludf.DUMMYFUNCTION("IMPORTRANGE(""https://docs.google.com/spreadsheets/d/1QqKyyYR6Q21VydFLVH3TRQUabQu_ym0Zz7PgGX0-kHA/edit?usp=sharing"",""แผน!AN47"")"),1)</f>
        <v>1</v>
      </c>
      <c r="J215" s="215">
        <v>1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30000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8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13500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IFERROR(__xludf.DUMMYFUNCTION("IMPORTRANGE(""https://docs.google.com/spreadsheets/d/1QqKyyYR6Q21VydFLVH3TRQUabQu_ym0Zz7PgGX0-kHA/edit?usp=sharing"",""แผน!AP47"")"),5000)</f>
        <v>5000</v>
      </c>
      <c r="M218" s="498"/>
      <c r="N218" s="840">
        <v>5000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IFERROR(__xludf.DUMMYFUNCTION("IMPORTRANGE(""https://docs.google.com/spreadsheets/d/1QqKyyYR6Q21VydFLVH3TRQUabQu_ym0Zz7PgGX0-kHA/edit?usp=sharing"",""แผน!AQ47"")"),8500)</f>
        <v>8500</v>
      </c>
      <c r="M219" s="498"/>
      <c r="N219" s="840">
        <v>8500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IFERROR(__xludf.DUMMYFUNCTION("IMPORTRANGE(""https://docs.google.com/spreadsheets/d/1QqKyyYR6Q21VydFLVH3TRQUabQu_ym0Zz7PgGX0-kHA/edit?usp=sharing"",""แผน!AR47"")"),0)</f>
        <v>0</v>
      </c>
      <c r="M220" s="498"/>
      <c r="N220" s="840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7" t="s">
        <v>38</v>
      </c>
      <c r="E221" s="173"/>
      <c r="F221" s="173"/>
      <c r="G221" s="174"/>
      <c r="H221" s="76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4" t="s">
        <v>109</v>
      </c>
      <c r="I223" s="270">
        <f ca="1">IFERROR(__xludf.DUMMYFUNCTION("IMPORTRANGE(""https://docs.google.com/spreadsheets/d/1QqKyyYR6Q21VydFLVH3TRQUabQu_ym0Zz7PgGX0-kHA/edit?usp=sharing"",""แผน!AT47"")"),30000)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4" t="s">
        <v>109</v>
      </c>
      <c r="I224" s="270">
        <f ca="1">IFERROR(__xludf.DUMMYFUNCTION("IMPORTRANGE(""https://docs.google.com/spreadsheets/d/1QqKyyYR6Q21VydFLVH3TRQUabQu_ym0Zz7PgGX0-kHA/edit?usp=sharing"",""แผน!AT47"")"),30000)</f>
        <v>30000</v>
      </c>
      <c r="J224" s="215">
        <v>30000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4" t="s">
        <v>35</v>
      </c>
      <c r="I225" s="270">
        <f ca="1">IFERROR(__xludf.DUMMYFUNCTION("IMPORTRANGE(""https://docs.google.com/spreadsheets/d/1QqKyyYR6Q21VydFLVH3TRQUabQu_ym0Zz7PgGX0-kHA/edit?usp=sharing"",""แผน!AS47"")"),0)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8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2"/>
      <c r="P227" s="8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7"/>
      <c r="J229" s="617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7"/>
      <c r="J230" s="617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7"/>
      <c r="J231" s="617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7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7">
        <f t="shared" ref="I233:J233" ca="1" si="108">I244+I255</f>
        <v>0</v>
      </c>
      <c r="J233" s="617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7"/>
      <c r="J234" s="617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7">
        <f t="shared" ref="I235:J236" si="109">I246+I257</f>
        <v>0</v>
      </c>
      <c r="J235" s="617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7">
        <f t="shared" si="109"/>
        <v>0</v>
      </c>
      <c r="J236" s="617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IFERROR(__xludf.DUMMYFUNCTION("IMPORTRANGE(""https://docs.google.com/spreadsheets/d/1QqKyyYR6Q21VydFLVH3TRQUabQu_ym0Zz7PgGX0-kHA/edit?usp=sharing"",""แผน!AV47"")"),0)</f>
        <v>0</v>
      </c>
      <c r="M239" s="322"/>
      <c r="N239" s="88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IFERROR(__xludf.DUMMYFUNCTION("IMPORTRANGE(""https://docs.google.com/spreadsheets/d/1QqKyyYR6Q21VydFLVH3TRQUabQu_ym0Zz7PgGX0-kHA/edit?usp=sharing"",""แผน!AW47"")"),0)</f>
        <v>0</v>
      </c>
      <c r="M240" s="322"/>
      <c r="N240" s="88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IFERROR(__xludf.DUMMYFUNCTION("IMPORTRANGE(""https://docs.google.com/spreadsheets/d/1QqKyyYR6Q21VydFLVH3TRQUabQu_ym0Zz7PgGX0-kHA/edit?usp=sharing"",""แผน!AX47"")"),0)</f>
        <v>0</v>
      </c>
      <c r="M241" s="322"/>
      <c r="N241" s="88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IFERROR(__xludf.DUMMYFUNCTION("IMPORTRANGE(""https://docs.google.com/spreadsheets/d/1QqKyyYR6Q21VydFLVH3TRQUabQu_ym0Zz7PgGX0-kHA/edit?usp=sharing"",""แผน!AY47"")"),0)</f>
        <v>0</v>
      </c>
      <c r="M242" s="322"/>
      <c r="N242" s="88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7" t="s">
        <v>38</v>
      </c>
      <c r="E243" s="173"/>
      <c r="F243" s="173"/>
      <c r="G243" s="174"/>
      <c r="H243" s="762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4" t="s">
        <v>35</v>
      </c>
      <c r="I244" s="270">
        <f ca="1">IFERROR(__xludf.DUMMYFUNCTION("IMPORTRANGE(""https://docs.google.com/spreadsheets/d/1QqKyyYR6Q21VydFLVH3TRQUabQu_ym0Zz7PgGX0-kHA/edit?usp=sharing"",""แผน!BE47"")"),0)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4" t="s">
        <v>43</v>
      </c>
      <c r="E245" s="178"/>
      <c r="F245" s="178"/>
      <c r="G245" s="179"/>
      <c r="H245" s="764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4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4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8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IFERROR(__xludf.DUMMYFUNCTION("IMPORTRANGE(""https://docs.google.com/spreadsheets/d/1QqKyyYR6Q21VydFLVH3TRQUabQu_ym0Zz7PgGX0-kHA/edit?usp=sharing"",""แผน!AZ47"")"),0)</f>
        <v>0</v>
      </c>
      <c r="M250" s="322"/>
      <c r="N250" s="88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IFERROR(__xludf.DUMMYFUNCTION("IMPORTRANGE(""https://docs.google.com/spreadsheets/d/1QqKyyYR6Q21VydFLVH3TRQUabQu_ym0Zz7PgGX0-kHA/edit?usp=sharing"",""แผน!BA47"")"),0)</f>
        <v>0</v>
      </c>
      <c r="M251" s="322"/>
      <c r="N251" s="88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IFERROR(__xludf.DUMMYFUNCTION("IMPORTRANGE(""https://docs.google.com/spreadsheets/d/1QqKyyYR6Q21VydFLVH3TRQUabQu_ym0Zz7PgGX0-kHA/edit?usp=sharing"",""แผน!BB47"")"),0)</f>
        <v>0</v>
      </c>
      <c r="M252" s="322"/>
      <c r="N252" s="88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IFERROR(__xludf.DUMMYFUNCTION("IMPORTRANGE(""https://docs.google.com/spreadsheets/d/1QqKyyYR6Q21VydFLVH3TRQUabQu_ym0Zz7PgGX0-kHA/edit?usp=sharing"",""แผน!BC47"")"),0)</f>
        <v>0</v>
      </c>
      <c r="M253" s="322"/>
      <c r="N253" s="88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7" t="s">
        <v>38</v>
      </c>
      <c r="E254" s="173"/>
      <c r="F254" s="173"/>
      <c r="G254" s="174"/>
      <c r="H254" s="762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4" t="s">
        <v>35</v>
      </c>
      <c r="I255" s="270">
        <f ca="1">IFERROR(__xludf.DUMMYFUNCTION("IMPORTRANGE(""https://docs.google.com/spreadsheets/d/1QqKyyYR6Q21VydFLVH3TRQUabQu_ym0Zz7PgGX0-kHA/edit?usp=sharing"",""แผน!BF47"")"),0)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4" t="s">
        <v>43</v>
      </c>
      <c r="E256" s="178"/>
      <c r="F256" s="178"/>
      <c r="G256" s="179"/>
      <c r="H256" s="764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4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4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26900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7"/>
      <c r="J262" s="617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7"/>
      <c r="J263" s="617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26900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26900</v>
      </c>
      <c r="N264" s="498">
        <f t="shared" ca="1" si="120"/>
        <v>26900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IFERROR(__xludf.DUMMYFUNCTION("IMPORTRANGE(""https://docs.google.com/spreadsheets/d/1MeEWN-I1oV_STSDYn1IFDPWt_1FKiwhDph83XaGc0o0/edit?usp=sharing"",""งบพรบ!CY47"")"),26900)</f>
        <v>26900</v>
      </c>
      <c r="M266" s="93">
        <f ca="1">IFERROR(__xludf.DUMMYFUNCTION("IMPORTRANGE(""https://docs.google.com/spreadsheets/d/1MeEWN-I1oV_STSDYn1IFDPWt_1FKiwhDph83XaGc0o0/edit?usp=sharing"",""งบพรบ!DD47"")"),26900)</f>
        <v>26900</v>
      </c>
      <c r="N266" s="93">
        <f ca="1">IFERROR(__xludf.DUMMYFUNCTION("IMPORTRANGE(""https://docs.google.com/spreadsheets/d/1MeEWN-I1oV_STSDYn1IFDPWt_1FKiwhDph83XaGc0o0/edit?usp=sharing"",""งบพรบ!DF47"")"),26900)</f>
        <v>26900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IFERROR(__xludf.DUMMYFUNCTION("IMPORTRANGE(""https://docs.google.com/spreadsheets/d/1MeEWN-I1oV_STSDYn1IFDPWt_1FKiwhDph83XaGc0o0/edit?usp=sharing"",""งบพรบ!DB47"")"),0)</f>
        <v>0</v>
      </c>
      <c r="M269" s="93">
        <f ca="1">IFERROR(__xludf.DUMMYFUNCTION("IMPORTRANGE(""https://docs.google.com/spreadsheets/d/1MeEWN-I1oV_STSDYn1IFDPWt_1FKiwhDph83XaGc0o0/edit?usp=sharing"",""งบพรบ!DE47"")"),0)</f>
        <v>0</v>
      </c>
      <c r="N269" s="93">
        <f ca="1">IFERROR(__xludf.DUMMYFUNCTION("IMPORTRANGE(""https://docs.google.com/spreadsheets/d/1MeEWN-I1oV_STSDYn1IFDPWt_1FKiwhDph83XaGc0o0/edit?usp=sharing"",""งบพรบ!DG47"")"),0)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7" t="s">
        <v>38</v>
      </c>
      <c r="E270" s="173"/>
      <c r="F270" s="173"/>
      <c r="G270" s="174"/>
      <c r="H270" s="76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6">
        <v>0</v>
      </c>
      <c r="J272" s="506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5">
        <f t="shared" ref="I276:J276" ca="1" si="124">I287</f>
        <v>50</v>
      </c>
      <c r="J276" s="885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22630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7"/>
      <c r="J278" s="617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7"/>
      <c r="J279" s="617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22630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22630</v>
      </c>
      <c r="M280" s="498">
        <f t="shared" ca="1" si="129"/>
        <v>22630</v>
      </c>
      <c r="N280" s="498">
        <f t="shared" ca="1" si="129"/>
        <v>22630</v>
      </c>
      <c r="O280" s="498">
        <f t="shared" ca="1" si="126"/>
        <v>100</v>
      </c>
      <c r="P280" s="49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IFERROR(__xludf.DUMMYFUNCTION("IMPORTRANGE(""https://docs.google.com/spreadsheets/d/1MeEWN-I1oV_STSDYn1IFDPWt_1FKiwhDph83XaGc0o0/edit?usp=sharing"",""งบพรบ!DI47"")"),22630)</f>
        <v>22630</v>
      </c>
      <c r="M282" s="93">
        <f ca="1">IFERROR(__xludf.DUMMYFUNCTION("IMPORTRANGE(""https://docs.google.com/spreadsheets/d/1MeEWN-I1oV_STSDYn1IFDPWt_1FKiwhDph83XaGc0o0/edit?usp=sharing"",""งบพรบ!DN47"")"),22630)</f>
        <v>22630</v>
      </c>
      <c r="N282" s="93">
        <f ca="1">IFERROR(__xludf.DUMMYFUNCTION("IMPORTRANGE(""https://docs.google.com/spreadsheets/d/1MeEWN-I1oV_STSDYn1IFDPWt_1FKiwhDph83XaGc0o0/edit?usp=sharing"",""งบพรบ!DP47"")"),22630)</f>
        <v>22630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IFERROR(__xludf.DUMMYFUNCTION("IMPORTRANGE(""https://docs.google.com/spreadsheets/d/1MeEWN-I1oV_STSDYn1IFDPWt_1FKiwhDph83XaGc0o0/edit?usp=sharing"",""งบพรบ!DL47"")"),0)</f>
        <v>0</v>
      </c>
      <c r="M285" s="93">
        <f ca="1">IFERROR(__xludf.DUMMYFUNCTION("IMPORTRANGE(""https://docs.google.com/spreadsheets/d/1MeEWN-I1oV_STSDYn1IFDPWt_1FKiwhDph83XaGc0o0/edit?usp=sharing"",""งบพรบ!DO47"")"),0)</f>
        <v>0</v>
      </c>
      <c r="N285" s="93">
        <f ca="1">IFERROR(__xludf.DUMMYFUNCTION("IMPORTRANGE(""https://docs.google.com/spreadsheets/d/1MeEWN-I1oV_STSDYn1IFDPWt_1FKiwhDph83XaGc0o0/edit?usp=sharing"",""งบพรบ!DQ47"")"),0)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7" t="s">
        <v>38</v>
      </c>
      <c r="E286" s="173"/>
      <c r="F286" s="173"/>
      <c r="G286" s="174"/>
      <c r="H286" s="76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6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IFERROR(__xludf.DUMMYFUNCTION("IMPORTRANGE(""https://docs.google.com/spreadsheets/d/1QqKyyYR6Q21VydFLVH3TRQUabQu_ym0Zz7PgGX0-kHA/edit?usp=sharing"",""แผน!EC47"")"),50)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6" t="s">
        <v>130</v>
      </c>
      <c r="E288" s="171"/>
      <c r="F288" s="178"/>
      <c r="G288" s="179"/>
      <c r="H288" s="180" t="s">
        <v>35</v>
      </c>
      <c r="I288" s="681">
        <f ca="1">IFERROR(__xludf.DUMMYFUNCTION("IMPORTRANGE(""https://docs.google.com/spreadsheets/d/1QqKyyYR6Q21VydFLVH3TRQUabQu_ym0Zz7PgGX0-kHA/edit?usp=sharing"",""แผน!EB47"")"),5)</f>
        <v>5</v>
      </c>
      <c r="J288" s="681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6" t="s">
        <v>132</v>
      </c>
      <c r="F290" s="178"/>
      <c r="G290" s="179"/>
      <c r="H290" s="764" t="s">
        <v>35</v>
      </c>
      <c r="I290" s="184">
        <f ca="1">IFERROR(__xludf.DUMMYFUNCTION("IMPORTRANGE(""https://docs.google.com/spreadsheets/d/1QqKyyYR6Q21VydFLVH3TRQUabQu_ym0Zz7PgGX0-kHA/edit?usp=sharing"",""แผน!EB47"")"),5)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6" t="s">
        <v>133</v>
      </c>
      <c r="F291" s="178"/>
      <c r="G291" s="179"/>
      <c r="H291" s="764" t="s">
        <v>35</v>
      </c>
      <c r="I291" s="184">
        <f ca="1">IFERROR(__xludf.DUMMYFUNCTION("IMPORTRANGE(""https://docs.google.com/spreadsheets/d/1QqKyyYR6Q21VydFLVH3TRQUabQu_ym0Zz7PgGX0-kHA/edit?usp=sharing"",""แผน!EB47"")"),5)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6" t="s">
        <v>132</v>
      </c>
      <c r="F293" s="178"/>
      <c r="G293" s="179"/>
      <c r="H293" s="764" t="s">
        <v>35</v>
      </c>
      <c r="I293" s="184">
        <f ca="1">IFERROR(__xludf.DUMMYFUNCTION("IMPORTRANGE(""https://docs.google.com/spreadsheets/d/1QqKyyYR6Q21VydFLVH3TRQUabQu_ym0Zz7PgGX0-kHA/edit?usp=sharing"",""แผน!EB47"")"),5)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4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IFERROR(__xludf.DUMMYFUNCTION("IMPORTRANGE(""https://docs.google.com/spreadsheets/d/1QqKyyYR6Q21VydFLVH3TRQUabQu_ym0Zz7PgGX0-kHA/edit?usp=sharing"",""แผน!EB47"")"),5)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7"/>
      <c r="J299" s="617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7"/>
      <c r="J300" s="617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IFERROR(__xludf.DUMMYFUNCTION("IMPORTRANGE(""https://docs.google.com/spreadsheets/d/1MeEWN-I1oV_STSDYn1IFDPWt_1FKiwhDph83XaGc0o0/edit?usp=sharing"",""งบพรบ!DS47"")"),0)</f>
        <v>0</v>
      </c>
      <c r="M303" s="93">
        <f ca="1">IFERROR(__xludf.DUMMYFUNCTION("IMPORTRANGE(""https://docs.google.com/spreadsheets/d/1MeEWN-I1oV_STSDYn1IFDPWt_1FKiwhDph83XaGc0o0/edit?usp=sharing"",""งบพรบ!DX47"")"),0)</f>
        <v>0</v>
      </c>
      <c r="N303" s="93">
        <f ca="1">IFERROR(__xludf.DUMMYFUNCTION("IMPORTRANGE(""https://docs.google.com/spreadsheets/d/1MeEWN-I1oV_STSDYn1IFDPWt_1FKiwhDph83XaGc0o0/edit?usp=sharing"",""งบพรบ!DZ47"")"),0)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IFERROR(__xludf.DUMMYFUNCTION("IMPORTRANGE(""https://docs.google.com/spreadsheets/d/1MeEWN-I1oV_STSDYn1IFDPWt_1FKiwhDph83XaGc0o0/edit?usp=sharing"",""งบพรบ!DV47"")"),0)</f>
        <v>0</v>
      </c>
      <c r="M306" s="93">
        <f ca="1">IFERROR(__xludf.DUMMYFUNCTION("IMPORTRANGE(""https://docs.google.com/spreadsheets/d/1MeEWN-I1oV_STSDYn1IFDPWt_1FKiwhDph83XaGc0o0/edit?usp=sharing"",""งบพรบ!DY47"")"),0)</f>
        <v>0</v>
      </c>
      <c r="N306" s="93">
        <f ca="1">IFERROR(__xludf.DUMMYFUNCTION("IMPORTRANGE(""https://docs.google.com/spreadsheets/d/1MeEWN-I1oV_STSDYn1IFDPWt_1FKiwhDph83XaGc0o0/edit?usp=sharing"",""งบพรบ!EA47"")"),0)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7" t="s">
        <v>38</v>
      </c>
      <c r="E307" s="173"/>
      <c r="F307" s="173"/>
      <c r="G307" s="174"/>
      <c r="H307" s="762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4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4" t="s">
        <v>35</v>
      </c>
      <c r="I309" s="270">
        <f ca="1">IFERROR(__xludf.DUMMYFUNCTION("IMPORTRANGE(""https://docs.google.com/spreadsheets/d/1QqKyyYR6Q21VydFLVH3TRQUabQu_ym0Zz7PgGX0-kHA/edit?usp=sharing"",""แผน!ED47"")"),0)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4" t="s">
        <v>35</v>
      </c>
      <c r="I310" s="270">
        <f ca="1">IFERROR(__xludf.DUMMYFUNCTION("IMPORTRANGE(""https://docs.google.com/spreadsheets/d/1QqKyyYR6Q21VydFLVH3TRQUabQu_ym0Zz7PgGX0-kHA/edit?usp=sharing"",""แผน!ED47"")"),0)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4" t="s">
        <v>35</v>
      </c>
      <c r="I311" s="270">
        <f ca="1">IFERROR(__xludf.DUMMYFUNCTION("IMPORTRANGE(""https://docs.google.com/spreadsheets/d/1QqKyyYR6Q21VydFLVH3TRQUabQu_ym0Zz7PgGX0-kHA/edit?usp=sharing"",""แผน!ED47"")"),0)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4" t="s">
        <v>35</v>
      </c>
      <c r="I312" s="270">
        <f ca="1">IFERROR(__xludf.DUMMYFUNCTION("IMPORTRANGE(""https://docs.google.com/spreadsheets/d/1QqKyyYR6Q21VydFLVH3TRQUabQu_ym0Zz7PgGX0-kHA/edit?usp=sharing"",""แผน!EE47"")"),0)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7"/>
      <c r="J316" s="617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7"/>
      <c r="J317" s="617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IFERROR(__xludf.DUMMYFUNCTION("IMPORTRANGE(""https://docs.google.com/spreadsheets/d/1MeEWN-I1oV_STSDYn1IFDPWt_1FKiwhDph83XaGc0o0/edit?usp=sharing"",""งบพรบ!EC47"")"),0)</f>
        <v>0</v>
      </c>
      <c r="M320" s="93">
        <f ca="1">IFERROR(__xludf.DUMMYFUNCTION("IMPORTRANGE(""https://docs.google.com/spreadsheets/d/1MeEWN-I1oV_STSDYn1IFDPWt_1FKiwhDph83XaGc0o0/edit?usp=sharing"",""งบพรบ!EH47"")"),0)</f>
        <v>0</v>
      </c>
      <c r="N320" s="93">
        <f ca="1">IFERROR(__xludf.DUMMYFUNCTION("IMPORTRANGE(""https://docs.google.com/spreadsheets/d/1MeEWN-I1oV_STSDYn1IFDPWt_1FKiwhDph83XaGc0o0/edit?usp=sharing"",""งบพรบ!EJ47"")"),0)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IFERROR(__xludf.DUMMYFUNCTION("IMPORTRANGE(""https://docs.google.com/spreadsheets/d/1MeEWN-I1oV_STSDYn1IFDPWt_1FKiwhDph83XaGc0o0/edit?usp=sharing"",""งบพรบ!EF47"")"),0)</f>
        <v>0</v>
      </c>
      <c r="M323" s="93">
        <f ca="1">IFERROR(__xludf.DUMMYFUNCTION("IMPORTRANGE(""https://docs.google.com/spreadsheets/d/1MeEWN-I1oV_STSDYn1IFDPWt_1FKiwhDph83XaGc0o0/edit?usp=sharing"",""งบพรบ!EI47"")"),0)</f>
        <v>0</v>
      </c>
      <c r="N323" s="93">
        <f ca="1">IFERROR(__xludf.DUMMYFUNCTION("IMPORTRANGE(""https://docs.google.com/spreadsheets/d/1MeEWN-I1oV_STSDYn1IFDPWt_1FKiwhDph83XaGc0o0/edit?usp=sharing"",""งบพรบ!EK47"")"),0)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7" t="s">
        <v>38</v>
      </c>
      <c r="E324" s="173"/>
      <c r="F324" s="173"/>
      <c r="G324" s="174"/>
      <c r="H324" s="762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3" t="s">
        <v>146</v>
      </c>
      <c r="I325" s="270">
        <f ca="1">IFERROR(__xludf.DUMMYFUNCTION("IMPORTRANGE(""https://docs.google.com/spreadsheets/d/1QqKyyYR6Q21VydFLVH3TRQUabQu_ym0Zz7PgGX0-kHA/edit?usp=sharing"",""แผน!EF47"")"),0)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IFERROR(__xludf.DUMMYFUNCTION("IMPORTRANGE(""https://docs.google.com/spreadsheets/d/1QqKyyYR6Q21VydFLVH3TRQUabQu_ym0Zz7PgGX0-kHA/edit?usp=sharing"",""แผน!EG47"")"),3800)</f>
        <v>3800</v>
      </c>
      <c r="J327" s="444">
        <f ca="1">J338+J341+J342+J343</f>
        <v>6289</v>
      </c>
      <c r="K327" s="445">
        <f ca="1">IF(I327&gt;0,J327*100/I327,0)</f>
        <v>165.5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177000</v>
      </c>
      <c r="M328" s="155">
        <f t="shared" ca="1" si="149"/>
        <v>179500</v>
      </c>
      <c r="N328" s="155">
        <f t="shared" ca="1" si="149"/>
        <v>179500</v>
      </c>
      <c r="O328" s="155">
        <f t="shared" ref="O328:O336" ca="1" si="150">IF(L328&gt;0,N328*100/L328,0)</f>
        <v>101.41242937853107</v>
      </c>
      <c r="P328" s="155">
        <f t="shared" ref="P328:P336" ca="1" si="151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7"/>
      <c r="J329" s="617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7"/>
      <c r="J330" s="617"/>
      <c r="K330" s="93"/>
      <c r="L330" s="93">
        <f t="shared" ca="1" si="152"/>
        <v>177000</v>
      </c>
      <c r="M330" s="93">
        <f t="shared" ca="1" si="152"/>
        <v>179500</v>
      </c>
      <c r="N330" s="93">
        <f t="shared" ca="1" si="152"/>
        <v>179500</v>
      </c>
      <c r="O330" s="93">
        <f t="shared" ca="1" si="150"/>
        <v>101.41242937853107</v>
      </c>
      <c r="P330" s="93">
        <f t="shared" ca="1" si="151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177000</v>
      </c>
      <c r="M331" s="498">
        <f t="shared" ca="1" si="153"/>
        <v>179500</v>
      </c>
      <c r="N331" s="498">
        <f t="shared" ca="1" si="153"/>
        <v>179500</v>
      </c>
      <c r="O331" s="498">
        <f t="shared" ca="1" si="150"/>
        <v>101.41242937853107</v>
      </c>
      <c r="P331" s="498">
        <f t="shared" ca="1" si="151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IFERROR(__xludf.DUMMYFUNCTION("IMPORTRANGE(""https://docs.google.com/spreadsheets/d/1MeEWN-I1oV_STSDYn1IFDPWt_1FKiwhDph83XaGc0o0/edit?usp=sharing"",""งบพรบ!EM47"")"),177000)</f>
        <v>177000</v>
      </c>
      <c r="M333" s="93">
        <f ca="1">IFERROR(__xludf.DUMMYFUNCTION("IMPORTRANGE(""https://docs.google.com/spreadsheets/d/1MeEWN-I1oV_STSDYn1IFDPWt_1FKiwhDph83XaGc0o0/edit?usp=sharing"",""งบพรบ!ER47"")"),179500)</f>
        <v>179500</v>
      </c>
      <c r="N333" s="93">
        <f ca="1">IFERROR(__xludf.DUMMYFUNCTION("IMPORTRANGE(""https://docs.google.com/spreadsheets/d/1MeEWN-I1oV_STSDYn1IFDPWt_1FKiwhDph83XaGc0o0/edit?usp=sharing"",""งบพรบ!ET47"")"),179500)</f>
        <v>179500</v>
      </c>
      <c r="O333" s="93">
        <f t="shared" ca="1" si="150"/>
        <v>101.41242937853107</v>
      </c>
      <c r="P333" s="93">
        <f t="shared" ca="1" si="151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IFERROR(__xludf.DUMMYFUNCTION("IMPORTRANGE(""https://docs.google.com/spreadsheets/d/1MeEWN-I1oV_STSDYn1IFDPWt_1FKiwhDph83XaGc0o0/edit?usp=sharing"",""งบพรบ!EP47"")"),0)</f>
        <v>0</v>
      </c>
      <c r="M336" s="93">
        <f ca="1">IFERROR(__xludf.DUMMYFUNCTION("IMPORTRANGE(""https://docs.google.com/spreadsheets/d/1MeEWN-I1oV_STSDYn1IFDPWt_1FKiwhDph83XaGc0o0/edit?usp=sharing"",""งบพรบ!ES47"")"),0)</f>
        <v>0</v>
      </c>
      <c r="N336" s="93">
        <f ca="1">IFERROR(__xludf.DUMMYFUNCTION("IMPORTRANGE(""https://docs.google.com/spreadsheets/d/1MeEWN-I1oV_STSDYn1IFDPWt_1FKiwhDph83XaGc0o0/edit?usp=sharing"",""งบพรบ!EU47"")"),0)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86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62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IFERROR(__xludf.DUMMYFUNCTION("IMPORTRANGE(""https://docs.google.com/spreadsheets/d/1QqKyyYR6Q21VydFLVH3TRQUabQu_ym0Zz7PgGX0-kHA/edit?usp=sharing"",""แผน!EG47"")"),3800)</f>
        <v>3800</v>
      </c>
      <c r="J338" s="270">
        <f ca="1">IFERROR(__xludf.DUMMYFUNCTION("IMPORTRANGE(""https://docs.google.com/spreadsheets/d/1kVcqe37tkHyjCSG3S0O1AXqVkqjo8mSIZil3BcpIysc/edit?usp=sharing"",""ศูนย์!D47"")"),5457)</f>
        <v>5457</v>
      </c>
      <c r="K338" s="498">
        <f ca="1">IF(I338&gt;0,J338*100/I338,0)</f>
        <v>143.60526315789474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IFERROR(__xludf.DUMMYFUNCTION("IMPORTRANGE(""https://docs.google.com/spreadsheets/d/1QqKyyYR6Q21VydFLVH3TRQUabQu_ym0Zz7PgGX0-kHA/edit?usp=sharing"",""แผน!EH47"")"),7)</f>
        <v>7</v>
      </c>
      <c r="J340" s="270">
        <f ca="1">IFERROR(__xludf.DUMMYFUNCTION("IMPORTRANGE(""https://docs.google.com/spreadsheets/d/1kVcqe37tkHyjCSG3S0O1AXqVkqjo8mSIZil3BcpIysc/edit?usp=sharing"",""ศูนย์!E47"")"),7)</f>
        <v>7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IFERROR(__xludf.DUMMYFUNCTION("IMPORTRANGE(""https://docs.google.com/spreadsheets/d/1kVcqe37tkHyjCSG3S0O1AXqVkqjo8mSIZil3BcpIysc/edit?usp=sharing"",""ศูนย์!F47"")"),830)</f>
        <v>830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IFERROR(__xludf.DUMMYFUNCTION("IMPORTRANGE(""https://docs.google.com/spreadsheets/d/1kVcqe37tkHyjCSG3S0O1AXqVkqjo8mSIZil3BcpIysc/edit?usp=sharing"",""ศูนย์!G47"")"),2)</f>
        <v>2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IFERROR(__xludf.DUMMYFUNCTION("IMPORTRANGE(""https://docs.google.com/spreadsheets/d/1kVcqe37tkHyjCSG3S0O1AXqVkqjo8mSIZil3BcpIysc/edit?usp=sharing"",""ศูนย์!H47"")"),0)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1192260</v>
      </c>
      <c r="M345" s="155">
        <f t="shared" ca="1" si="155"/>
        <v>1262260</v>
      </c>
      <c r="N345" s="155">
        <f t="shared" ca="1" si="155"/>
        <v>1262260</v>
      </c>
      <c r="O345" s="155">
        <f t="shared" ref="O345:O353" ca="1" si="156">IF(L345&gt;0,N345*100/L345,0)</f>
        <v>105.87120259003909</v>
      </c>
      <c r="P345" s="155">
        <f t="shared" ref="P345:P353" ca="1" si="157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7"/>
      <c r="J346" s="617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7"/>
      <c r="J347" s="617"/>
      <c r="K347" s="93"/>
      <c r="L347" s="93">
        <f t="shared" ca="1" si="158"/>
        <v>1192260</v>
      </c>
      <c r="M347" s="93">
        <f t="shared" ca="1" si="158"/>
        <v>1262260</v>
      </c>
      <c r="N347" s="93">
        <f t="shared" ca="1" si="158"/>
        <v>1262260</v>
      </c>
      <c r="O347" s="93">
        <f t="shared" ca="1" si="156"/>
        <v>105.87120259003909</v>
      </c>
      <c r="P347" s="93">
        <f t="shared" ca="1" si="157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1118160</v>
      </c>
      <c r="M348" s="498">
        <f t="shared" ca="1" si="159"/>
        <v>1188160</v>
      </c>
      <c r="N348" s="498">
        <f t="shared" ca="1" si="159"/>
        <v>1188160</v>
      </c>
      <c r="O348" s="498">
        <f t="shared" ca="1" si="156"/>
        <v>106.26028475352365</v>
      </c>
      <c r="P348" s="498">
        <f t="shared" ca="1" si="157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IFERROR(__xludf.DUMMYFUNCTION("IMPORTRANGE(""https://docs.google.com/spreadsheets/d/1MeEWN-I1oV_STSDYn1IFDPWt_1FKiwhDph83XaGc0o0/edit?usp=sharing"",""งบพรบ!EW47"")"),1118160)</f>
        <v>1118160</v>
      </c>
      <c r="M350" s="93">
        <f ca="1">IFERROR(__xludf.DUMMYFUNCTION("IMPORTRANGE(""https://docs.google.com/spreadsheets/d/1MeEWN-I1oV_STSDYn1IFDPWt_1FKiwhDph83XaGc0o0/edit?usp=sharing"",""งบพรบ!FB47"")"),1188160)</f>
        <v>1188160</v>
      </c>
      <c r="N350" s="93">
        <f ca="1">IFERROR(__xludf.DUMMYFUNCTION("IMPORTRANGE(""https://docs.google.com/spreadsheets/d/1MeEWN-I1oV_STSDYn1IFDPWt_1FKiwhDph83XaGc0o0/edit?usp=sharing"",""งบพรบ!FD47"")"),1188160)</f>
        <v>1188160</v>
      </c>
      <c r="O350" s="93">
        <f t="shared" ca="1" si="156"/>
        <v>106.26028475352365</v>
      </c>
      <c r="P350" s="93">
        <f t="shared" ca="1" si="157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74100</v>
      </c>
      <c r="M351" s="498">
        <f t="shared" ca="1" si="160"/>
        <v>74100</v>
      </c>
      <c r="N351" s="498">
        <f t="shared" ca="1" si="160"/>
        <v>74100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IFERROR(__xludf.DUMMYFUNCTION("IMPORTRANGE(""https://docs.google.com/spreadsheets/d/1MeEWN-I1oV_STSDYn1IFDPWt_1FKiwhDph83XaGc0o0/edit?usp=sharing"",""งบพรบ!EZ47"")"),74100)</f>
        <v>74100</v>
      </c>
      <c r="M353" s="93">
        <f ca="1">IFERROR(__xludf.DUMMYFUNCTION("IMPORTRANGE(""https://docs.google.com/spreadsheets/d/1MeEWN-I1oV_STSDYn1IFDPWt_1FKiwhDph83XaGc0o0/edit?usp=sharing"",""งบพรบ!FC47"")"),74100)</f>
        <v>74100</v>
      </c>
      <c r="N353" s="93">
        <f ca="1">IFERROR(__xludf.DUMMYFUNCTION("IMPORTRANGE(""https://docs.google.com/spreadsheets/d/1MeEWN-I1oV_STSDYn1IFDPWt_1FKiwhDph83XaGc0o0/edit?usp=sharing"",""งบพรบ!FE47"")"),74100)</f>
        <v>74100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8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IFERROR(__xludf.DUMMYFUNCTION("IMPORTRANGE(""https://docs.google.com/spreadsheets/d/1QqKyyYR6Q21VydFLVH3TRQUabQu_ym0Zz7PgGX0-kHA/edit?usp=sharing"",""แผน!EP47"")"),381)</f>
        <v>381</v>
      </c>
      <c r="J355" s="465">
        <f ca="1">J362</f>
        <v>211</v>
      </c>
      <c r="K355" s="466">
        <f ca="1">IF(I355&gt;0,J355*100/I355,0)</f>
        <v>55.380577427821521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77" t="s">
        <v>38</v>
      </c>
      <c r="E357" s="173"/>
      <c r="F357" s="173"/>
      <c r="G357" s="174"/>
      <c r="H357" s="762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IFERROR(__xludf.DUMMYFUNCTION("IMPORTRANGE(""https://docs.google.com/spreadsheets/d/1XWAQStnk-4SwqDmLtmXYiTMKHgktTP8We1SCoS47DrQ/edit?usp=sharing"",""จัดที่ดิน!W47"")"),309)</f>
        <v>309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IFERROR(__xludf.DUMMYFUNCTION("IMPORTRANGE(""https://docs.google.com/spreadsheets/d/1QqKyyYR6Q21VydFLVH3TRQUabQu_ym0Zz7PgGX0-kHA/edit?usp=sharing"",""แผน!EO47"")"),4100)</f>
        <v>4100</v>
      </c>
      <c r="J359" s="270">
        <f ca="1">IFERROR(__xludf.DUMMYFUNCTION("IMPORTRANGE(""https://docs.google.com/spreadsheets/d/1XWAQStnk-4SwqDmLtmXYiTMKHgktTP8We1SCoS47DrQ/edit?usp=sharing"",""จัดที่ดิน!X47"")"),3453.17)</f>
        <v>3453.17</v>
      </c>
      <c r="K359" s="498">
        <f t="shared" ca="1" si="161"/>
        <v>84.223658536585361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4" t="s">
        <v>35</v>
      </c>
      <c r="I360" s="270">
        <f ca="1">IFERROR(__xludf.DUMMYFUNCTION("IMPORTRANGE(""https://docs.google.com/spreadsheets/d/1QqKyyYR6Q21VydFLVH3TRQUabQu_ym0Zz7PgGX0-kHA/edit?usp=sharing"",""แผน!EP47"")"),381)</f>
        <v>381</v>
      </c>
      <c r="J360" s="270">
        <f ca="1">IFERROR(__xludf.DUMMYFUNCTION("IMPORTRANGE(""https://docs.google.com/spreadsheets/d/1XWAQStnk-4SwqDmLtmXYiTMKHgktTP8We1SCoS47DrQ/edit?usp=sharing"",""จัดที่ดิน!Y47"")"),313)</f>
        <v>313</v>
      </c>
      <c r="K360" s="498">
        <f t="shared" ca="1" si="161"/>
        <v>82.152230971128603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IFERROR(__xludf.DUMMYFUNCTION("IMPORTRANGE(""https://docs.google.com/spreadsheets/d/1XWAQStnk-4SwqDmLtmXYiTMKHgktTP8We1SCoS47DrQ/edit?usp=sharing"",""จัดที่ดิน!Z47"")"),3511.6)</f>
        <v>3511.6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4" t="s">
        <v>35</v>
      </c>
      <c r="I362" s="270">
        <f ca="1">IFERROR(__xludf.DUMMYFUNCTION("IMPORTRANGE(""https://docs.google.com/spreadsheets/d/1QqKyyYR6Q21VydFLVH3TRQUabQu_ym0Zz7PgGX0-kHA/edit?usp=sharing"",""แผน!EP47"")"),381)</f>
        <v>381</v>
      </c>
      <c r="J362" s="270">
        <f ca="1">IFERROR(__xludf.DUMMYFUNCTION("IMPORTRANGE(""https://docs.google.com/spreadsheets/d/1XWAQStnk-4SwqDmLtmXYiTMKHgktTP8We1SCoS47DrQ/edit?usp=sharing"",""จัดที่ดิน!AA47"")"),211)</f>
        <v>211</v>
      </c>
      <c r="K362" s="498">
        <f t="shared" ca="1" si="161"/>
        <v>55.380577427821521</v>
      </c>
      <c r="L362" s="163"/>
      <c r="M362" s="163"/>
      <c r="N362" s="163"/>
      <c r="O362" s="163"/>
      <c r="P362" s="163"/>
    </row>
    <row r="363" spans="1:26" ht="18.75" hidden="1">
      <c r="A363" s="499" t="s">
        <v>169</v>
      </c>
      <c r="B363" s="178"/>
      <c r="C363" s="171"/>
      <c r="D363" s="178"/>
      <c r="E363" s="447"/>
      <c r="F363" s="178"/>
      <c r="G363" s="179"/>
      <c r="H363" s="76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IFERROR(__xludf.DUMMYFUNCTION("IMPORTRANGE(""https://docs.google.com/spreadsheets/d/1XWAQStnk-4SwqDmLtmXYiTMKHgktTP8We1SCoS47DrQ/edit?usp=sharing"",""จัดที่ดิน!AB47"")"),2324.6)</f>
        <v>2324.6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t="shared" ref="I364:J364" ca="1" si="162">I365+I374</f>
        <v>801</v>
      </c>
      <c r="J364" s="479">
        <f t="shared" ca="1" si="162"/>
        <v>814</v>
      </c>
      <c r="K364" s="480">
        <f t="shared" ca="1" si="161"/>
        <v>101.62297128589263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IFERROR(__xludf.DUMMYFUNCTION("IMPORTRANGE(""https://docs.google.com/spreadsheets/d/1QqKyyYR6Q21VydFLVH3TRQUabQu_ym0Zz7PgGX0-kHA/edit?usp=sharing"",""แผน!EJ47"")"),10)</f>
        <v>10</v>
      </c>
      <c r="J365" s="491">
        <f ca="1">J372</f>
        <v>12</v>
      </c>
      <c r="K365" s="492">
        <f t="shared" ca="1" si="161"/>
        <v>120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77" t="s">
        <v>38</v>
      </c>
      <c r="E367" s="173"/>
      <c r="F367" s="173"/>
      <c r="G367" s="174"/>
      <c r="H367" s="762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IFERROR(__xludf.DUMMYFUNCTION("IMPORTRANGE(""https://docs.google.com/spreadsheets/d/1XWAQStnk-4SwqDmLtmXYiTMKHgktTP8We1SCoS47DrQ/edit?usp=sharing"",""จัดที่ดิน!E47"")"),4)</f>
        <v>4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IFERROR(__xludf.DUMMYFUNCTION("IMPORTRANGE(""https://docs.google.com/spreadsheets/d/1QqKyyYR6Q21VydFLVH3TRQUabQu_ym0Zz7PgGX0-kHA/edit?usp=sharing"",""แผน!EI47"")"),100)</f>
        <v>100</v>
      </c>
      <c r="J369" s="270">
        <f ca="1">IFERROR(__xludf.DUMMYFUNCTION("IMPORTRANGE(""https://docs.google.com/spreadsheets/d/1XWAQStnk-4SwqDmLtmXYiTMKHgktTP8We1SCoS47DrQ/edit?usp=sharing"",""จัดที่ดิน!F47"")"),53.84)</f>
        <v>53.84</v>
      </c>
      <c r="K369" s="498">
        <f t="shared" ca="1" si="163"/>
        <v>53.84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4" t="s">
        <v>35</v>
      </c>
      <c r="I370" s="270">
        <f ca="1">IFERROR(__xludf.DUMMYFUNCTION("IMPORTRANGE(""https://docs.google.com/spreadsheets/d/1QqKyyYR6Q21VydFLVH3TRQUabQu_ym0Zz7PgGX0-kHA/edit?usp=sharing"",""แผน!EJ47"")"),10)</f>
        <v>10</v>
      </c>
      <c r="J370" s="270">
        <f ca="1">IFERROR(__xludf.DUMMYFUNCTION("IMPORTRANGE(""https://docs.google.com/spreadsheets/d/1XWAQStnk-4SwqDmLtmXYiTMKHgktTP8We1SCoS47DrQ/edit?usp=sharing"",""จัดที่ดิน!G47"")"),12)</f>
        <v>12</v>
      </c>
      <c r="K370" s="498">
        <f t="shared" ca="1" si="163"/>
        <v>120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IFERROR(__xludf.DUMMYFUNCTION("IMPORTRANGE(""https://docs.google.com/spreadsheets/d/1XWAQStnk-4SwqDmLtmXYiTMKHgktTP8We1SCoS47DrQ/edit?usp=sharing"",""จัดที่ดิน!H47"")"),161.15)</f>
        <v>161.15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4" t="s">
        <v>35</v>
      </c>
      <c r="I372" s="270">
        <f ca="1">IFERROR(__xludf.DUMMYFUNCTION("IMPORTRANGE(""https://docs.google.com/spreadsheets/d/1QqKyyYR6Q21VydFLVH3TRQUabQu_ym0Zz7PgGX0-kHA/edit?usp=sharing"",""แผน!EJ47"")"),10)</f>
        <v>10</v>
      </c>
      <c r="J372" s="270">
        <f ca="1">IFERROR(__xludf.DUMMYFUNCTION("IMPORTRANGE(""https://docs.google.com/spreadsheets/d/1XWAQStnk-4SwqDmLtmXYiTMKHgktTP8We1SCoS47DrQ/edit?usp=sharing"",""จัดที่ดิน!I47"")"),12)</f>
        <v>12</v>
      </c>
      <c r="K372" s="498">
        <f t="shared" ca="1" si="163"/>
        <v>120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8"/>
      <c r="C373" s="171"/>
      <c r="D373" s="178"/>
      <c r="E373" s="447"/>
      <c r="F373" s="178"/>
      <c r="G373" s="179"/>
      <c r="H373" s="76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IFERROR(__xludf.DUMMYFUNCTION("IMPORTRANGE(""https://docs.google.com/spreadsheets/d/1XWAQStnk-4SwqDmLtmXYiTMKHgktTP8We1SCoS47DrQ/edit?usp=sharing"",""จัดที่ดิน!J47"")"),161.24)</f>
        <v>161.24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IFERROR(__xludf.DUMMYFUNCTION("IMPORTRANGE(""https://docs.google.com/spreadsheets/d/1QqKyyYR6Q21VydFLVH3TRQUabQu_ym0Zz7PgGX0-kHA/edit?usp=sharing"",""แผน!EU47"")"),791)</f>
        <v>791</v>
      </c>
      <c r="J374" s="491">
        <f ca="1">J381</f>
        <v>802</v>
      </c>
      <c r="K374" s="492">
        <f t="shared" ca="1" si="163"/>
        <v>101.39064475347661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77" t="s">
        <v>38</v>
      </c>
      <c r="E376" s="173"/>
      <c r="F376" s="173"/>
      <c r="G376" s="174"/>
      <c r="H376" s="762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IFERROR(__xludf.DUMMYFUNCTION("IMPORTRANGE(""https://docs.google.com/spreadsheets/d/1XWAQStnk-4SwqDmLtmXYiTMKHgktTP8We1SCoS47DrQ/edit?usp=sharing"",""จัดที่ดิน!AH47"")"),305)</f>
        <v>305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IFERROR(__xludf.DUMMYFUNCTION("IMPORTRANGE(""https://docs.google.com/spreadsheets/d/1QqKyyYR6Q21VydFLVH3TRQUabQu_ym0Zz7PgGX0-kHA/edit?usp=sharing"",""แผน!ET47"")"),4000)</f>
        <v>4000</v>
      </c>
      <c r="J378" s="270">
        <f ca="1">IFERROR(__xludf.DUMMYFUNCTION("IMPORTRANGE(""https://docs.google.com/spreadsheets/d/1XWAQStnk-4SwqDmLtmXYiTMKHgktTP8We1SCoS47DrQ/edit?usp=sharing"",""จัดที่ดิน!AI47"")"),3399.33)</f>
        <v>3399.33</v>
      </c>
      <c r="K378" s="498">
        <f t="shared" ca="1" si="164"/>
        <v>84.983249999999998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4" t="s">
        <v>35</v>
      </c>
      <c r="I379" s="270">
        <f ca="1">IFERROR(__xludf.DUMMYFUNCTION("IMPORTRANGE(""https://docs.google.com/spreadsheets/d/1QqKyyYR6Q21VydFLVH3TRQUabQu_ym0Zz7PgGX0-kHA/edit?usp=sharing"",""แผน!EU47"")"),791)</f>
        <v>791</v>
      </c>
      <c r="J379" s="270">
        <f ca="1">IFERROR(__xludf.DUMMYFUNCTION("IMPORTRANGE(""https://docs.google.com/spreadsheets/d/1XWAQStnk-4SwqDmLtmXYiTMKHgktTP8We1SCoS47DrQ/edit?usp=sharing"",""จัดที่ดิน!AJ47"")"),991)</f>
        <v>991</v>
      </c>
      <c r="K379" s="498">
        <f t="shared" ca="1" si="164"/>
        <v>125.28445006321112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IFERROR(__xludf.DUMMYFUNCTION("IMPORTRANGE(""https://docs.google.com/spreadsheets/d/1XWAQStnk-4SwqDmLtmXYiTMKHgktTP8We1SCoS47DrQ/edit?usp=sharing"",""จัดที่ดิน!AK47"")"),13930.45)</f>
        <v>13930.45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4" t="s">
        <v>35</v>
      </c>
      <c r="I381" s="270">
        <f ca="1">IFERROR(__xludf.DUMMYFUNCTION("IMPORTRANGE(""https://docs.google.com/spreadsheets/d/1QqKyyYR6Q21VydFLVH3TRQUabQu_ym0Zz7PgGX0-kHA/edit?usp=sharing"",""แผน!EU47"")"),791)</f>
        <v>791</v>
      </c>
      <c r="J381" s="270">
        <f ca="1">IFERROR(__xludf.DUMMYFUNCTION("IMPORTRANGE(""https://docs.google.com/spreadsheets/d/1XWAQStnk-4SwqDmLtmXYiTMKHgktTP8We1SCoS47DrQ/edit?usp=sharing"",""จัดที่ดิน!AL47"")"),802)</f>
        <v>802</v>
      </c>
      <c r="K381" s="498">
        <f t="shared" ca="1" si="164"/>
        <v>101.39064475347661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8"/>
      <c r="C382" s="171"/>
      <c r="D382" s="178"/>
      <c r="E382" s="447"/>
      <c r="F382" s="178"/>
      <c r="G382" s="179"/>
      <c r="H382" s="76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IFERROR(__xludf.DUMMYFUNCTION("IMPORTRANGE(""https://docs.google.com/spreadsheets/d/1XWAQStnk-4SwqDmLtmXYiTMKHgktTP8We1SCoS47DrQ/edit?usp=sharing"",""จัดที่ดิน!AM47"")"),11445.47)</f>
        <v>11445.47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500"/>
      <c r="B383" s="501"/>
      <c r="C383" s="291"/>
      <c r="D383" s="889" t="s">
        <v>170</v>
      </c>
      <c r="E383" s="291"/>
      <c r="F383" s="291"/>
      <c r="G383" s="503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86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62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4" t="s">
        <v>171</v>
      </c>
      <c r="F385" s="381"/>
      <c r="G385" s="382"/>
      <c r="H385" s="505" t="s">
        <v>35</v>
      </c>
      <c r="I385" s="506">
        <f ca="1">IFERROR(__xludf.DUMMYFUNCTION("IMPORTRANGE(""https://docs.google.com/spreadsheets/d/1QqKyyYR6Q21VydFLVH3TRQUabQu_ym0Zz7PgGX0-kHA/edit?usp=sharing"",""แผน!EW47"")"),120)</f>
        <v>120</v>
      </c>
      <c r="J385" s="506">
        <f ca="1">IFERROR(__xludf.DUMMYFUNCTION("IMPORTRANGE(""https://docs.google.com/spreadsheets/d/1XWAQStnk-4SwqDmLtmXYiTMKHgktTP8We1SCoS47DrQ/edit?usp=sharing"",""จัดที่ดิน!AP47"")"),0)</f>
        <v>0</v>
      </c>
      <c r="K385" s="507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8" t="s">
        <v>172</v>
      </c>
      <c r="B386" s="509"/>
      <c r="C386" s="509"/>
      <c r="D386" s="509"/>
      <c r="E386" s="510"/>
      <c r="F386" s="510"/>
      <c r="G386" s="511"/>
      <c r="H386" s="512"/>
      <c r="I386" s="513"/>
      <c r="J386" s="513"/>
      <c r="K386" s="514"/>
      <c r="L386" s="514"/>
      <c r="M386" s="514"/>
      <c r="N386" s="514"/>
      <c r="O386" s="514"/>
      <c r="P386" s="514"/>
    </row>
    <row r="387" spans="1:26" ht="19.5" hidden="1">
      <c r="A387" s="515" t="s">
        <v>173</v>
      </c>
      <c r="B387" s="516"/>
      <c r="C387" s="516"/>
      <c r="D387" s="517"/>
      <c r="E387" s="516"/>
      <c r="F387" s="516"/>
      <c r="G387" s="516"/>
      <c r="H387" s="518"/>
      <c r="I387" s="519"/>
      <c r="J387" s="519"/>
      <c r="K387" s="520"/>
      <c r="L387" s="520"/>
      <c r="M387" s="520"/>
      <c r="N387" s="520"/>
      <c r="O387" s="520"/>
      <c r="P387" s="520"/>
    </row>
    <row r="388" spans="1:26" ht="19.5" hidden="1">
      <c r="A388" s="521"/>
      <c r="B388" s="522" t="s">
        <v>174</v>
      </c>
      <c r="C388" s="523"/>
      <c r="D388" s="524"/>
      <c r="E388" s="524"/>
      <c r="F388" s="524"/>
      <c r="G388" s="525"/>
      <c r="H388" s="526" t="s">
        <v>66</v>
      </c>
      <c r="I388" s="527">
        <f t="shared" ref="I388:J388" si="165">I400</f>
        <v>0</v>
      </c>
      <c r="J388" s="527">
        <f t="shared" si="165"/>
        <v>0</v>
      </c>
      <c r="K388" s="528">
        <f>IF(I388&gt;0,J388*100/I388,0)</f>
        <v>0</v>
      </c>
      <c r="L388" s="529"/>
      <c r="M388" s="529"/>
      <c r="N388" s="529"/>
      <c r="O388" s="529"/>
      <c r="P388" s="529"/>
    </row>
    <row r="389" spans="1:26" ht="19.5" hidden="1">
      <c r="A389" s="147"/>
      <c r="B389" s="148"/>
      <c r="C389" s="149" t="s">
        <v>16</v>
      </c>
      <c r="D389" s="87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7"/>
      <c r="J390" s="617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7"/>
      <c r="J391" s="617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IFERROR(__xludf.DUMMYFUNCTION("IMPORTRANGE(""https://docs.google.com/spreadsheets/d/1MeEWN-I1oV_STSDYn1IFDPWt_1FKiwhDph83XaGc0o0/edit?usp=sharing"",""งบพรบ!FG47"")"),0)</f>
        <v>0</v>
      </c>
      <c r="M394" s="93">
        <f ca="1">IFERROR(__xludf.DUMMYFUNCTION("IMPORTRANGE(""https://docs.google.com/spreadsheets/d/1MeEWN-I1oV_STSDYn1IFDPWt_1FKiwhDph83XaGc0o0/edit?usp=sharing"",""งบพรบ!FL47"")"),0)</f>
        <v>0</v>
      </c>
      <c r="N394" s="93">
        <f ca="1">IFERROR(__xludf.DUMMYFUNCTION("IMPORTRANGE(""https://docs.google.com/spreadsheets/d/1MeEWN-I1oV_STSDYn1IFDPWt_1FKiwhDph83XaGc0o0/edit?usp=sharing"",""งบพรบ!FN47"")"),0)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IFERROR(__xludf.DUMMYFUNCTION("IMPORTRANGE(""https://docs.google.com/spreadsheets/d/1MeEWN-I1oV_STSDYn1IFDPWt_1FKiwhDph83XaGc0o0/edit?usp=sharing"",""งบพรบ!FJ47"")"),0)</f>
        <v>0</v>
      </c>
      <c r="M397" s="93">
        <f ca="1">IFERROR(__xludf.DUMMYFUNCTION("IMPORTRANGE(""https://docs.google.com/spreadsheets/d/1MeEWN-I1oV_STSDYn1IFDPWt_1FKiwhDph83XaGc0o0/edit?usp=sharing"",""งบพรบ!FM47"")"),0)</f>
        <v>0</v>
      </c>
      <c r="N397" s="93">
        <f ca="1">IFERROR(__xludf.DUMMYFUNCTION("IMPORTRANGE(""https://docs.google.com/spreadsheets/d/1MeEWN-I1oV_STSDYn1IFDPWt_1FKiwhDph83XaGc0o0/edit?usp=sharing"",""งบพรบ!FO47"")"),0)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7" t="s">
        <v>38</v>
      </c>
      <c r="E398" s="173"/>
      <c r="F398" s="173"/>
      <c r="G398" s="174"/>
      <c r="H398" s="762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30"/>
      <c r="B399" s="148"/>
      <c r="C399" s="531"/>
      <c r="D399" s="532" t="s">
        <v>175</v>
      </c>
      <c r="E399" s="415"/>
      <c r="F399" s="148"/>
      <c r="G399" s="151"/>
      <c r="H399" s="533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4"/>
      <c r="M399" s="534"/>
      <c r="N399" s="534"/>
      <c r="O399" s="534"/>
      <c r="P399" s="534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1"/>
      <c r="B401" s="522" t="s">
        <v>177</v>
      </c>
      <c r="C401" s="523"/>
      <c r="D401" s="524"/>
      <c r="E401" s="524"/>
      <c r="F401" s="524"/>
      <c r="G401" s="525"/>
      <c r="H401" s="526" t="s">
        <v>66</v>
      </c>
      <c r="I401" s="527">
        <f t="shared" ref="I401:J401" si="173">I412</f>
        <v>0</v>
      </c>
      <c r="J401" s="527">
        <f t="shared" si="173"/>
        <v>0</v>
      </c>
      <c r="K401" s="528">
        <f t="shared" si="172"/>
        <v>0</v>
      </c>
      <c r="L401" s="529"/>
      <c r="M401" s="529"/>
      <c r="N401" s="529"/>
      <c r="O401" s="529"/>
      <c r="P401" s="529"/>
    </row>
    <row r="402" spans="1:26" ht="19.5" hidden="1">
      <c r="A402" s="147"/>
      <c r="B402" s="148"/>
      <c r="C402" s="149" t="s">
        <v>16</v>
      </c>
      <c r="D402" s="87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7"/>
      <c r="J403" s="617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7"/>
      <c r="J404" s="617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IFERROR(__xludf.DUMMYFUNCTION("IMPORTRANGE(""https://docs.google.com/spreadsheets/d/1MeEWN-I1oV_STSDYn1IFDPWt_1FKiwhDph83XaGc0o0/edit?usp=sharing"",""งบพรบ!FQ47"")"),0)</f>
        <v>0</v>
      </c>
      <c r="M407" s="93">
        <f ca="1">IFERROR(__xludf.DUMMYFUNCTION("IMPORTRANGE(""https://docs.google.com/spreadsheets/d/1MeEWN-I1oV_STSDYn1IFDPWt_1FKiwhDph83XaGc0o0/edit?usp=sharing"",""งบพรบ!FV47"")"),0)</f>
        <v>0</v>
      </c>
      <c r="N407" s="93">
        <f ca="1">IFERROR(__xludf.DUMMYFUNCTION("IMPORTRANGE(""https://docs.google.com/spreadsheets/d/1MeEWN-I1oV_STSDYn1IFDPWt_1FKiwhDph83XaGc0o0/edit?usp=sharing"",""งบพรบ!FX47"")"),0)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IFERROR(__xludf.DUMMYFUNCTION("IMPORTRANGE(""https://docs.google.com/spreadsheets/d/1MeEWN-I1oV_STSDYn1IFDPWt_1FKiwhDph83XaGc0o0/edit?usp=sharing"",""งบพรบ!FT47"")"),0)</f>
        <v>0</v>
      </c>
      <c r="M410" s="93">
        <f ca="1">IFERROR(__xludf.DUMMYFUNCTION("IMPORTRANGE(""https://docs.google.com/spreadsheets/d/1MeEWN-I1oV_STSDYn1IFDPWt_1FKiwhDph83XaGc0o0/edit?usp=sharing"",""งบพรบ!FW47"")"),0)</f>
        <v>0</v>
      </c>
      <c r="N410" s="93">
        <f ca="1">IFERROR(__xludf.DUMMYFUNCTION("IMPORTRANGE(""https://docs.google.com/spreadsheets/d/1MeEWN-I1oV_STSDYn1IFDPWt_1FKiwhDph83XaGc0o0/edit?usp=sharing"",""งบพรบ!FY47"")"),0)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90" t="s">
        <v>38</v>
      </c>
      <c r="E411" s="536"/>
      <c r="F411" s="536"/>
      <c r="G411" s="537"/>
      <c r="H411" s="762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8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9"/>
      <c r="B413" s="540"/>
      <c r="C413" s="540"/>
      <c r="D413" s="541" t="s">
        <v>179</v>
      </c>
      <c r="E413" s="540"/>
      <c r="F413" s="540"/>
      <c r="G413" s="542"/>
      <c r="H413" s="543" t="s">
        <v>180</v>
      </c>
      <c r="I413" s="544">
        <v>0</v>
      </c>
      <c r="J413" s="545">
        <v>0</v>
      </c>
      <c r="K413" s="546">
        <f t="shared" si="180"/>
        <v>0</v>
      </c>
      <c r="L413" s="547"/>
      <c r="M413" s="547"/>
      <c r="N413" s="547"/>
      <c r="O413" s="547"/>
      <c r="P413" s="547"/>
    </row>
    <row r="414" spans="1:26" ht="19.5">
      <c r="A414" s="548" t="s">
        <v>181</v>
      </c>
      <c r="B414" s="549"/>
      <c r="C414" s="549"/>
      <c r="D414" s="549"/>
      <c r="E414" s="549"/>
      <c r="F414" s="549"/>
      <c r="G414" s="550"/>
      <c r="H414" s="551"/>
      <c r="I414" s="552"/>
      <c r="J414" s="552"/>
      <c r="K414" s="553"/>
      <c r="L414" s="554">
        <f t="shared" ref="L414:N414" ca="1" si="181">L419+L444+L467+L502+L523+L544+L629+L655+L685+L737+L754+L770+L786+L805</f>
        <v>2005554</v>
      </c>
      <c r="M414" s="554">
        <f t="shared" ca="1" si="181"/>
        <v>2039784.33</v>
      </c>
      <c r="N414" s="554">
        <f t="shared" si="181"/>
        <v>2039784.33</v>
      </c>
      <c r="O414" s="554">
        <f ca="1">IF(L414&gt;0,N414*100/L414,0)</f>
        <v>101.70677678087949</v>
      </c>
      <c r="P414" s="554">
        <f ca="1">IF(M414&gt;0,N414*100/M414,0)</f>
        <v>100</v>
      </c>
    </row>
    <row r="415" spans="1:26" ht="19.5">
      <c r="A415" s="555" t="s">
        <v>182</v>
      </c>
      <c r="B415" s="556"/>
      <c r="C415" s="556"/>
      <c r="D415" s="556"/>
      <c r="E415" s="556"/>
      <c r="F415" s="556"/>
      <c r="G415" s="556"/>
      <c r="H415" s="557"/>
      <c r="I415" s="558"/>
      <c r="J415" s="558"/>
      <c r="K415" s="559"/>
      <c r="L415" s="560"/>
      <c r="M415" s="560"/>
      <c r="N415" s="560"/>
      <c r="O415" s="560"/>
      <c r="P415" s="560"/>
    </row>
    <row r="416" spans="1:26" ht="19.5">
      <c r="A416" s="555" t="s">
        <v>183</v>
      </c>
      <c r="B416" s="556"/>
      <c r="C416" s="556"/>
      <c r="D416" s="556"/>
      <c r="E416" s="556"/>
      <c r="F416" s="556"/>
      <c r="G416" s="561"/>
      <c r="H416" s="562"/>
      <c r="I416" s="563"/>
      <c r="J416" s="563"/>
      <c r="K416" s="560"/>
      <c r="L416" s="560"/>
      <c r="M416" s="560"/>
      <c r="N416" s="560"/>
      <c r="O416" s="560"/>
      <c r="P416" s="560"/>
    </row>
    <row r="417" spans="1:26" ht="39">
      <c r="A417" s="564">
        <v>1</v>
      </c>
      <c r="B417" s="566" t="s">
        <v>184</v>
      </c>
      <c r="C417" s="566"/>
      <c r="D417" s="567"/>
      <c r="E417" s="567"/>
      <c r="F417" s="567"/>
      <c r="G417" s="568"/>
      <c r="H417" s="569" t="s">
        <v>35</v>
      </c>
      <c r="I417" s="570">
        <f t="shared" ref="I417:J418" ca="1" si="182">I433</f>
        <v>20</v>
      </c>
      <c r="J417" s="570">
        <f t="shared" ca="1" si="182"/>
        <v>20</v>
      </c>
      <c r="K417" s="571">
        <f t="shared" ref="K417:K418" ca="1" si="183">IF(I417&gt;0,J417*100/I417,0)</f>
        <v>100</v>
      </c>
      <c r="L417" s="572"/>
      <c r="M417" s="572"/>
      <c r="N417" s="572"/>
      <c r="O417" s="572"/>
      <c r="P417" s="572"/>
    </row>
    <row r="418" spans="1:26" ht="19.5">
      <c r="A418" s="573"/>
      <c r="B418" s="564"/>
      <c r="C418" s="566"/>
      <c r="D418" s="567"/>
      <c r="E418" s="567"/>
      <c r="F418" s="567"/>
      <c r="G418" s="568"/>
      <c r="H418" s="569" t="s">
        <v>49</v>
      </c>
      <c r="I418" s="570">
        <f t="shared" ca="1" si="182"/>
        <v>1</v>
      </c>
      <c r="J418" s="570">
        <f t="shared" si="182"/>
        <v>1</v>
      </c>
      <c r="K418" s="571">
        <f t="shared" ca="1" si="183"/>
        <v>100</v>
      </c>
      <c r="L418" s="572"/>
      <c r="M418" s="572"/>
      <c r="N418" s="572"/>
      <c r="O418" s="572"/>
      <c r="P418" s="572"/>
    </row>
    <row r="419" spans="1:26" ht="19.5">
      <c r="A419" s="147"/>
      <c r="B419" s="148"/>
      <c r="C419" s="148" t="s">
        <v>16</v>
      </c>
      <c r="D419" s="891" t="s">
        <v>17</v>
      </c>
      <c r="E419" s="862"/>
      <c r="F419" s="86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83798</v>
      </c>
      <c r="N419" s="155">
        <f t="shared" si="184"/>
        <v>83798</v>
      </c>
      <c r="O419" s="155">
        <f t="shared" ref="O419:O424" ca="1" si="185">IF(L419&gt;0,N419*100/L419,0)</f>
        <v>106.53190948385456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7"/>
      <c r="J420" s="617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7"/>
      <c r="J421" s="617"/>
      <c r="K421" s="93"/>
      <c r="L421" s="93">
        <f t="shared" ca="1" si="187"/>
        <v>78660</v>
      </c>
      <c r="M421" s="93">
        <f t="shared" ca="1" si="187"/>
        <v>83798</v>
      </c>
      <c r="N421" s="93">
        <f t="shared" si="187"/>
        <v>83798</v>
      </c>
      <c r="O421" s="93">
        <f t="shared" ca="1" si="185"/>
        <v>106.53190948385456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83798</v>
      </c>
      <c r="N422" s="498">
        <f t="shared" si="188"/>
        <v>83798</v>
      </c>
      <c r="O422" s="498">
        <f t="shared" ca="1" si="185"/>
        <v>106.53190948385456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7"/>
      <c r="J423" s="617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7"/>
      <c r="J424" s="617"/>
      <c r="K424" s="93"/>
      <c r="L424" s="93">
        <f ca="1">IFERROR(__xludf.DUMMYFUNCTION("IMPORTRANGE(""https://docs.google.com/spreadsheets/d/1QqKyyYR6Q21VydFLVH3TRQUabQu_ym0Zz7PgGX0-kHA/edit?usp=sharing"",""แผน!EY47"")"),78660)</f>
        <v>78660</v>
      </c>
      <c r="M424" s="93">
        <f ca="1">L424+15000-9862</f>
        <v>83798</v>
      </c>
      <c r="N424" s="93">
        <f>N425+N426+N427+N428</f>
        <v>83798</v>
      </c>
      <c r="O424" s="93">
        <f t="shared" ca="1" si="185"/>
        <v>106.53190948385456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4"/>
      <c r="B425" s="575"/>
      <c r="C425" s="763"/>
      <c r="D425" s="763"/>
      <c r="E425" s="763"/>
      <c r="F425" s="763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40">
        <v>70869</v>
      </c>
      <c r="O425" s="498"/>
      <c r="P425" s="49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</row>
    <row r="426" spans="1:26" ht="18.75">
      <c r="A426" s="574"/>
      <c r="B426" s="575"/>
      <c r="C426" s="763"/>
      <c r="D426" s="763"/>
      <c r="E426" s="763"/>
      <c r="F426" s="763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40">
        <v>0</v>
      </c>
      <c r="O426" s="498"/>
      <c r="P426" s="49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</row>
    <row r="427" spans="1:26" ht="18.75">
      <c r="A427" s="574"/>
      <c r="B427" s="575"/>
      <c r="C427" s="763"/>
      <c r="D427" s="763"/>
      <c r="E427" s="763"/>
      <c r="F427" s="763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40">
        <v>0</v>
      </c>
      <c r="O427" s="498"/>
      <c r="P427" s="49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40">
        <v>12929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92" t="s">
        <v>38</v>
      </c>
      <c r="E432" s="580"/>
      <c r="F432" s="580"/>
      <c r="G432" s="581"/>
      <c r="H432" s="582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1">
        <f ca="1">I435</f>
        <v>20</v>
      </c>
      <c r="J433" s="681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1">
        <f t="shared" ref="I434:J434" ca="1" si="193">I438+I440</f>
        <v>1</v>
      </c>
      <c r="J434" s="681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3" t="s">
        <v>35</v>
      </c>
      <c r="I435" s="583">
        <f ca="1">IFERROR(__xludf.DUMMYFUNCTION("IMPORTRANGE(""https://docs.google.com/spreadsheets/d/1QqKyyYR6Q21VydFLVH3TRQUabQu_ym0Zz7PgGX0-kHA/edit?usp=sharing"",""แผน!FC47"")"),20)</f>
        <v>20</v>
      </c>
      <c r="J435" s="584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3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3" t="s">
        <v>35</v>
      </c>
      <c r="I437" s="583">
        <f ca="1">IFERROR(__xludf.DUMMYFUNCTION("IMPORTRANGE(""https://docs.google.com/spreadsheets/d/1QqKyyYR6Q21VydFLVH3TRQUabQu_ym0Zz7PgGX0-kHA/edit?usp=sharing"",""แผน!FD47"")"),0)</f>
        <v>0</v>
      </c>
      <c r="J437" s="584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3" t="s">
        <v>49</v>
      </c>
      <c r="I438" s="270">
        <f ca="1">IFERROR(__xludf.DUMMYFUNCTION("IMPORTRANGE(""https://docs.google.com/spreadsheets/d/1QqKyyYR6Q21VydFLVH3TRQUabQu_ym0Zz7PgGX0-kHA/edit?usp=sharing"",""แผน!FE47"")"),0)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3" t="s">
        <v>35</v>
      </c>
      <c r="I439" s="583">
        <f ca="1">IFERROR(__xludf.DUMMYFUNCTION("IMPORTRANGE(""https://docs.google.com/spreadsheets/d/1QqKyyYR6Q21VydFLVH3TRQUabQu_ym0Zz7PgGX0-kHA/edit?usp=sharing"",""แผน!FF47"")"),20)</f>
        <v>20</v>
      </c>
      <c r="J439" s="584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3" t="s">
        <v>49</v>
      </c>
      <c r="I440" s="270">
        <f ca="1">IFERROR(__xludf.DUMMYFUNCTION("IMPORTRANGE(""https://docs.google.com/spreadsheets/d/1QqKyyYR6Q21VydFLVH3TRQUabQu_ym0Zz7PgGX0-kHA/edit?usp=sharing"",""แผน!FG47"")"),1)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3" t="s">
        <v>35</v>
      </c>
      <c r="I441" s="270">
        <f ca="1">IFERROR(__xludf.DUMMYFUNCTION("IMPORTRANGE(""https://docs.google.com/spreadsheets/d/1QqKyyYR6Q21VydFLVH3TRQUabQu_ym0Zz7PgGX0-kHA/edit?usp=sharing"",""แผน!FH47"")"),0)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5">
        <v>2</v>
      </c>
      <c r="B442" s="586" t="s">
        <v>200</v>
      </c>
      <c r="C442" s="587"/>
      <c r="D442" s="587"/>
      <c r="E442" s="587"/>
      <c r="F442" s="587"/>
      <c r="G442" s="588"/>
      <c r="H442" s="589" t="s">
        <v>35</v>
      </c>
      <c r="I442" s="590">
        <f t="shared" ref="I442:J442" ca="1" si="195">I460</f>
        <v>90</v>
      </c>
      <c r="J442" s="590">
        <f t="shared" si="195"/>
        <v>90</v>
      </c>
      <c r="K442" s="591">
        <f t="shared" ca="1" si="194"/>
        <v>100</v>
      </c>
      <c r="L442" s="592"/>
      <c r="M442" s="592"/>
      <c r="N442" s="592"/>
      <c r="O442" s="592"/>
      <c r="P442" s="592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</row>
    <row r="443" spans="1:26" ht="19.5">
      <c r="A443" s="593"/>
      <c r="B443" s="594"/>
      <c r="C443" s="595"/>
      <c r="D443" s="595"/>
      <c r="E443" s="595"/>
      <c r="F443" s="595"/>
      <c r="G443" s="596"/>
      <c r="H443" s="569" t="s">
        <v>46</v>
      </c>
      <c r="I443" s="570">
        <f t="shared" ref="I443:J443" ca="1" si="196">I462</f>
        <v>400</v>
      </c>
      <c r="J443" s="570">
        <f t="shared" si="196"/>
        <v>400</v>
      </c>
      <c r="K443" s="571">
        <f t="shared" ca="1" si="194"/>
        <v>100</v>
      </c>
      <c r="L443" s="572"/>
      <c r="M443" s="572"/>
      <c r="N443" s="572"/>
      <c r="O443" s="572"/>
      <c r="P443" s="572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</row>
    <row r="444" spans="1:26" ht="19.5">
      <c r="A444" s="597"/>
      <c r="B444" s="763"/>
      <c r="C444" s="763" t="s">
        <v>16</v>
      </c>
      <c r="D444" s="863" t="s">
        <v>17</v>
      </c>
      <c r="E444" s="857"/>
      <c r="F444" s="857"/>
      <c r="G444" s="189"/>
      <c r="H444" s="598" t="s">
        <v>12</v>
      </c>
      <c r="I444" s="270"/>
      <c r="J444" s="270"/>
      <c r="K444" s="498"/>
      <c r="L444" s="195">
        <f t="shared" ref="L444:N444" ca="1" si="197">L445+L446</f>
        <v>690400</v>
      </c>
      <c r="M444" s="195">
        <f t="shared" ca="1" si="197"/>
        <v>729788.25</v>
      </c>
      <c r="N444" s="195">
        <f t="shared" si="197"/>
        <v>729788.25</v>
      </c>
      <c r="O444" s="195">
        <f t="shared" ref="O444:O449" ca="1" si="198">IF(L444&gt;0,N444*100/L444,0)</f>
        <v>105.70513470451912</v>
      </c>
      <c r="P444" s="195">
        <f t="shared" ref="P444:P449" ca="1" si="199">IF(M444&gt;0,N444*100/M444,0)</f>
        <v>100</v>
      </c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</row>
    <row r="445" spans="1:26" ht="18.75" hidden="1">
      <c r="A445" s="599"/>
      <c r="B445" s="759"/>
      <c r="C445" s="759"/>
      <c r="D445" s="720"/>
      <c r="E445" s="759" t="s">
        <v>185</v>
      </c>
      <c r="F445" s="759"/>
      <c r="G445" s="603"/>
      <c r="H445" s="165" t="s">
        <v>12</v>
      </c>
      <c r="I445" s="617"/>
      <c r="J445" s="617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4"/>
      <c r="R445" s="604"/>
      <c r="S445" s="604"/>
      <c r="T445" s="604"/>
      <c r="U445" s="604"/>
      <c r="V445" s="604"/>
      <c r="W445" s="604"/>
      <c r="X445" s="604"/>
      <c r="Y445" s="604"/>
      <c r="Z445" s="604"/>
    </row>
    <row r="446" spans="1:26" ht="18.75" hidden="1">
      <c r="A446" s="599"/>
      <c r="B446" s="607"/>
      <c r="C446" s="759"/>
      <c r="D446" s="720"/>
      <c r="E446" s="759" t="s">
        <v>186</v>
      </c>
      <c r="F446" s="759"/>
      <c r="G446" s="603"/>
      <c r="H446" s="165" t="s">
        <v>12</v>
      </c>
      <c r="I446" s="617"/>
      <c r="J446" s="617"/>
      <c r="K446" s="93"/>
      <c r="L446" s="93">
        <f t="shared" ca="1" si="200"/>
        <v>690400</v>
      </c>
      <c r="M446" s="93">
        <f t="shared" ca="1" si="200"/>
        <v>729788.25</v>
      </c>
      <c r="N446" s="93">
        <f t="shared" si="200"/>
        <v>729788.25</v>
      </c>
      <c r="O446" s="93">
        <f t="shared" ca="1" si="198"/>
        <v>105.70513470451912</v>
      </c>
      <c r="P446" s="93">
        <f t="shared" ca="1" si="199"/>
        <v>100</v>
      </c>
      <c r="Q446" s="604"/>
      <c r="R446" s="604"/>
      <c r="S446" s="604"/>
      <c r="T446" s="604"/>
      <c r="U446" s="604"/>
      <c r="V446" s="604"/>
      <c r="W446" s="604"/>
      <c r="X446" s="604"/>
      <c r="Y446" s="604"/>
      <c r="Z446" s="604"/>
    </row>
    <row r="447" spans="1:26" ht="18.75">
      <c r="A447" s="597"/>
      <c r="B447" s="575"/>
      <c r="C447" s="763"/>
      <c r="D447" s="606" t="s">
        <v>20</v>
      </c>
      <c r="E447" s="763"/>
      <c r="F447" s="763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690400</v>
      </c>
      <c r="M447" s="498">
        <f t="shared" ca="1" si="201"/>
        <v>729788.25</v>
      </c>
      <c r="N447" s="498">
        <f t="shared" si="201"/>
        <v>729788.25</v>
      </c>
      <c r="O447" s="498">
        <f t="shared" ca="1" si="198"/>
        <v>105.70513470451912</v>
      </c>
      <c r="P447" s="498">
        <f t="shared" ca="1" si="199"/>
        <v>100</v>
      </c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</row>
    <row r="448" spans="1:26" ht="18.75" hidden="1">
      <c r="A448" s="599"/>
      <c r="B448" s="607"/>
      <c r="C448" s="759"/>
      <c r="D448" s="720"/>
      <c r="E448" s="759" t="s">
        <v>185</v>
      </c>
      <c r="F448" s="759"/>
      <c r="G448" s="603"/>
      <c r="H448" s="165" t="s">
        <v>12</v>
      </c>
      <c r="I448" s="617"/>
      <c r="J448" s="617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</row>
    <row r="449" spans="1:26" ht="18.75" hidden="1">
      <c r="A449" s="599"/>
      <c r="B449" s="607"/>
      <c r="C449" s="759"/>
      <c r="D449" s="720"/>
      <c r="E449" s="759" t="s">
        <v>186</v>
      </c>
      <c r="F449" s="759"/>
      <c r="G449" s="603"/>
      <c r="H449" s="165" t="s">
        <v>12</v>
      </c>
      <c r="I449" s="617"/>
      <c r="J449" s="617"/>
      <c r="K449" s="93"/>
      <c r="L449" s="93">
        <f ca="1">IFERROR(__xludf.DUMMYFUNCTION("IMPORTRANGE(""https://docs.google.com/spreadsheets/d/1QqKyyYR6Q21VydFLVH3TRQUabQu_ym0Zz7PgGX0-kHA/edit?usp=sharing"",""แผน!FJ47"")"),690400)</f>
        <v>690400</v>
      </c>
      <c r="M449" s="93">
        <f ca="1">L449+58354-18965.75</f>
        <v>729788.25</v>
      </c>
      <c r="N449" s="93">
        <f>N450+N451+N452+N453</f>
        <v>729788.25</v>
      </c>
      <c r="O449" s="93">
        <f t="shared" ca="1" si="198"/>
        <v>105.70513470451912</v>
      </c>
      <c r="P449" s="93">
        <f t="shared" ca="1" si="199"/>
        <v>100</v>
      </c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</row>
    <row r="450" spans="1:26" ht="18.75">
      <c r="A450" s="574"/>
      <c r="B450" s="575"/>
      <c r="C450" s="763"/>
      <c r="D450" s="763"/>
      <c r="E450" s="763"/>
      <c r="F450" s="763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40">
        <v>157890</v>
      </c>
      <c r="O450" s="498"/>
      <c r="P450" s="49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</row>
    <row r="451" spans="1:26" ht="18.75">
      <c r="A451" s="574"/>
      <c r="B451" s="575"/>
      <c r="C451" s="763"/>
      <c r="D451" s="763"/>
      <c r="E451" s="763"/>
      <c r="F451" s="763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40">
        <v>375000</v>
      </c>
      <c r="O451" s="498"/>
      <c r="P451" s="49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</row>
    <row r="452" spans="1:26" ht="18.75">
      <c r="A452" s="574"/>
      <c r="B452" s="575"/>
      <c r="C452" s="575"/>
      <c r="D452" s="575"/>
      <c r="E452" s="575"/>
      <c r="F452" s="763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40">
        <v>138728.25</v>
      </c>
      <c r="O452" s="498"/>
      <c r="P452" s="49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</row>
    <row r="453" spans="1:26" ht="18.75">
      <c r="A453" s="574"/>
      <c r="B453" s="575"/>
      <c r="C453" s="575"/>
      <c r="D453" s="575"/>
      <c r="E453" s="575"/>
      <c r="F453" s="763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40">
        <v>58170</v>
      </c>
      <c r="O453" s="498"/>
      <c r="P453" s="49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</row>
    <row r="454" spans="1:26" ht="18.75">
      <c r="A454" s="597"/>
      <c r="B454" s="575"/>
      <c r="C454" s="575"/>
      <c r="D454" s="606" t="s">
        <v>21</v>
      </c>
      <c r="E454" s="575"/>
      <c r="F454" s="763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</row>
    <row r="455" spans="1:26" ht="18.75" hidden="1">
      <c r="A455" s="599"/>
      <c r="B455" s="607"/>
      <c r="C455" s="607"/>
      <c r="D455" s="607"/>
      <c r="E455" s="607" t="s">
        <v>18</v>
      </c>
      <c r="F455" s="759"/>
      <c r="G455" s="603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4"/>
      <c r="R455" s="604"/>
      <c r="S455" s="604"/>
      <c r="T455" s="604"/>
      <c r="U455" s="604"/>
      <c r="V455" s="604"/>
      <c r="W455" s="604"/>
      <c r="X455" s="604"/>
      <c r="Y455" s="604"/>
      <c r="Z455" s="604"/>
    </row>
    <row r="456" spans="1:26" ht="18.75" hidden="1">
      <c r="A456" s="599"/>
      <c r="B456" s="607"/>
      <c r="C456" s="607"/>
      <c r="D456" s="607"/>
      <c r="E456" s="607" t="s">
        <v>19</v>
      </c>
      <c r="F456" s="759"/>
      <c r="G456" s="603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4"/>
      <c r="R456" s="604"/>
      <c r="S456" s="604"/>
      <c r="T456" s="604"/>
      <c r="U456" s="604"/>
      <c r="V456" s="604"/>
      <c r="W456" s="604"/>
      <c r="X456" s="604"/>
      <c r="Y456" s="604"/>
      <c r="Z456" s="604"/>
    </row>
    <row r="457" spans="1:26" ht="19.5">
      <c r="A457" s="608"/>
      <c r="B457" s="618"/>
      <c r="C457" s="575" t="s">
        <v>16</v>
      </c>
      <c r="D457" s="893" t="s">
        <v>38</v>
      </c>
      <c r="E457" s="611"/>
      <c r="F457" s="761"/>
      <c r="G457" s="613"/>
      <c r="H457" s="762"/>
      <c r="I457" s="270"/>
      <c r="J457" s="270"/>
      <c r="K457" s="498"/>
      <c r="L457" s="498"/>
      <c r="M457" s="498"/>
      <c r="N457" s="498"/>
      <c r="O457" s="498"/>
      <c r="P457" s="49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</row>
    <row r="458" spans="1:26" ht="18.75" hidden="1">
      <c r="A458" s="614"/>
      <c r="B458" s="616"/>
      <c r="C458" s="616"/>
      <c r="D458" s="616" t="s">
        <v>201</v>
      </c>
      <c r="E458" s="616"/>
      <c r="F458" s="720"/>
      <c r="G458" s="366"/>
      <c r="H458" s="370" t="s">
        <v>35</v>
      </c>
      <c r="I458" s="617">
        <v>0</v>
      </c>
      <c r="J458" s="617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4"/>
      <c r="R458" s="604"/>
      <c r="S458" s="604"/>
      <c r="T458" s="604"/>
      <c r="U458" s="604"/>
      <c r="V458" s="604"/>
      <c r="W458" s="604"/>
      <c r="X458" s="604"/>
      <c r="Y458" s="604"/>
      <c r="Z458" s="604"/>
    </row>
    <row r="459" spans="1:26" ht="18.75" hidden="1">
      <c r="A459" s="614"/>
      <c r="B459" s="616"/>
      <c r="C459" s="616"/>
      <c r="D459" s="616" t="s">
        <v>202</v>
      </c>
      <c r="E459" s="616"/>
      <c r="F459" s="720"/>
      <c r="G459" s="366"/>
      <c r="H459" s="370"/>
      <c r="I459" s="617"/>
      <c r="J459" s="617"/>
      <c r="K459" s="93"/>
      <c r="L459" s="93"/>
      <c r="M459" s="93"/>
      <c r="N459" s="93"/>
      <c r="O459" s="93"/>
      <c r="P459" s="93"/>
      <c r="Q459" s="604"/>
      <c r="R459" s="604"/>
      <c r="S459" s="604"/>
      <c r="T459" s="604"/>
      <c r="U459" s="604"/>
      <c r="V459" s="604"/>
      <c r="W459" s="604"/>
      <c r="X459" s="604"/>
      <c r="Y459" s="604"/>
      <c r="Z459" s="604"/>
    </row>
    <row r="460" spans="1:26" ht="18.75">
      <c r="A460" s="608"/>
      <c r="B460" s="618"/>
      <c r="C460" s="618"/>
      <c r="D460" s="618" t="s">
        <v>203</v>
      </c>
      <c r="E460" s="618"/>
      <c r="F460" s="626"/>
      <c r="G460" s="762"/>
      <c r="H460" s="764" t="s">
        <v>35</v>
      </c>
      <c r="I460" s="270">
        <f ca="1">IFERROR(__xludf.DUMMYFUNCTION("IMPORTRANGE(""https://docs.google.com/spreadsheets/d/1QqKyyYR6Q21VydFLVH3TRQUabQu_ym0Zz7PgGX0-kHA/edit?usp=sharing"",""แผน!FN47"")"),90)</f>
        <v>90</v>
      </c>
      <c r="J460" s="215">
        <v>90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</row>
    <row r="461" spans="1:26" ht="18.75">
      <c r="A461" s="608"/>
      <c r="B461" s="618"/>
      <c r="C461" s="618"/>
      <c r="D461" s="618" t="s">
        <v>204</v>
      </c>
      <c r="E461" s="626"/>
      <c r="F461" s="626"/>
      <c r="G461" s="762"/>
      <c r="H461" s="764"/>
      <c r="I461" s="270"/>
      <c r="J461" s="270"/>
      <c r="K461" s="498"/>
      <c r="L461" s="498"/>
      <c r="M461" s="498"/>
      <c r="N461" s="498"/>
      <c r="O461" s="498"/>
      <c r="P461" s="49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</row>
    <row r="462" spans="1:26" ht="18.75">
      <c r="A462" s="608"/>
      <c r="B462" s="618"/>
      <c r="C462" s="618"/>
      <c r="D462" s="618" t="s">
        <v>205</v>
      </c>
      <c r="E462" s="626"/>
      <c r="F462" s="626"/>
      <c r="G462" s="762"/>
      <c r="H462" s="764" t="s">
        <v>46</v>
      </c>
      <c r="I462" s="270">
        <f ca="1">IFERROR(__xludf.DUMMYFUNCTION("IMPORTRANGE(""https://docs.google.com/spreadsheets/d/1QqKyyYR6Q21VydFLVH3TRQUabQu_ym0Zz7PgGX0-kHA/edit?usp=sharing"",""แผน!FO47"")"),400)</f>
        <v>400</v>
      </c>
      <c r="J462" s="215">
        <v>400</v>
      </c>
      <c r="K462" s="498">
        <f t="shared" ref="K462:K466" ca="1" si="205">IF(I462&gt;0,J462*100/I462,0)</f>
        <v>100</v>
      </c>
      <c r="L462" s="498"/>
      <c r="M462" s="498"/>
      <c r="N462" s="498"/>
      <c r="O462" s="498"/>
      <c r="P462" s="49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</row>
    <row r="463" spans="1:26" ht="18.75">
      <c r="A463" s="608"/>
      <c r="B463" s="618"/>
      <c r="C463" s="618"/>
      <c r="D463" s="618" t="s">
        <v>59</v>
      </c>
      <c r="E463" s="626"/>
      <c r="F463" s="763"/>
      <c r="G463" s="189"/>
      <c r="H463" s="764" t="s">
        <v>46</v>
      </c>
      <c r="I463" s="270">
        <f ca="1">IFERROR(__xludf.DUMMYFUNCTION("IMPORTRANGE(""https://docs.google.com/spreadsheets/d/1QqKyyYR6Q21VydFLVH3TRQUabQu_ym0Zz7PgGX0-kHA/edit?usp=sharing"",""แผน!FO47"")"),400)</f>
        <v>400</v>
      </c>
      <c r="J463" s="215">
        <v>400</v>
      </c>
      <c r="K463" s="498">
        <f t="shared" ca="1" si="205"/>
        <v>100</v>
      </c>
      <c r="L463" s="498"/>
      <c r="M463" s="498"/>
      <c r="N463" s="498"/>
      <c r="O463" s="498"/>
      <c r="P463" s="49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</row>
    <row r="464" spans="1:26" ht="19.5">
      <c r="A464" s="608"/>
      <c r="B464" s="618"/>
      <c r="C464" s="618"/>
      <c r="D464" s="618"/>
      <c r="E464" s="626"/>
      <c r="F464" s="626"/>
      <c r="G464" s="620"/>
      <c r="H464" s="764" t="s">
        <v>35</v>
      </c>
      <c r="I464" s="270">
        <f ca="1">IFERROR(__xludf.DUMMYFUNCTION("IMPORTRANGE(""https://docs.google.com/spreadsheets/d/1QqKyyYR6Q21VydFLVH3TRQUabQu_ym0Zz7PgGX0-kHA/edit?usp=sharing"",""แผน!FN47"")"),90)</f>
        <v>90</v>
      </c>
      <c r="J464" s="215">
        <v>90</v>
      </c>
      <c r="K464" s="498">
        <f t="shared" ca="1" si="205"/>
        <v>100</v>
      </c>
      <c r="L464" s="498"/>
      <c r="M464" s="498"/>
      <c r="N464" s="498"/>
      <c r="O464" s="498"/>
      <c r="P464" s="49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</row>
    <row r="465" spans="1:26" ht="19.5">
      <c r="A465" s="585">
        <v>3</v>
      </c>
      <c r="B465" s="586" t="s">
        <v>206</v>
      </c>
      <c r="C465" s="587"/>
      <c r="D465" s="587"/>
      <c r="E465" s="587"/>
      <c r="F465" s="587"/>
      <c r="G465" s="588"/>
      <c r="H465" s="589" t="s">
        <v>35</v>
      </c>
      <c r="I465" s="590">
        <f ca="1">IFERROR(__xludf.DUMMYFUNCTION("IMPORTRANGE(""https://docs.google.com/spreadsheets/d/1QqKyyYR6Q21VydFLVH3TRQUabQu_ym0Zz7PgGX0-kHA/edit?usp=sharing"",""แผน!FX47"")"),51)</f>
        <v>51</v>
      </c>
      <c r="J465" s="590">
        <f>J485+J489+J492</f>
        <v>51</v>
      </c>
      <c r="K465" s="591">
        <f t="shared" ca="1" si="205"/>
        <v>100</v>
      </c>
      <c r="L465" s="592"/>
      <c r="M465" s="592"/>
      <c r="N465" s="592"/>
      <c r="O465" s="592"/>
      <c r="P465" s="592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</row>
    <row r="466" spans="1:26" ht="19.5">
      <c r="A466" s="593"/>
      <c r="B466" s="594"/>
      <c r="C466" s="595"/>
      <c r="D466" s="595"/>
      <c r="E466" s="595"/>
      <c r="F466" s="595"/>
      <c r="G466" s="596"/>
      <c r="H466" s="569" t="s">
        <v>46</v>
      </c>
      <c r="I466" s="570">
        <f ca="1">IFERROR(__xludf.DUMMYFUNCTION("IMPORTRANGE(""https://docs.google.com/spreadsheets/d/1QqKyyYR6Q21VydFLVH3TRQUabQu_ym0Zz7PgGX0-kHA/edit?usp=sharing"",""แผน!FW47"")"),500)</f>
        <v>500</v>
      </c>
      <c r="J466" s="570">
        <f>J495+J498</f>
        <v>500</v>
      </c>
      <c r="K466" s="571">
        <f t="shared" ca="1" si="205"/>
        <v>100</v>
      </c>
      <c r="L466" s="572"/>
      <c r="M466" s="572"/>
      <c r="N466" s="572"/>
      <c r="O466" s="572"/>
      <c r="P466" s="572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</row>
    <row r="467" spans="1:26" ht="19.5">
      <c r="A467" s="597"/>
      <c r="B467" s="763"/>
      <c r="C467" s="763" t="s">
        <v>16</v>
      </c>
      <c r="D467" s="863" t="s">
        <v>17</v>
      </c>
      <c r="E467" s="857"/>
      <c r="F467" s="857"/>
      <c r="G467" s="189"/>
      <c r="H467" s="598" t="s">
        <v>12</v>
      </c>
      <c r="I467" s="270"/>
      <c r="J467" s="270"/>
      <c r="K467" s="498"/>
      <c r="L467" s="195">
        <f t="shared" ref="L467:N467" ca="1" si="206">L468+L469</f>
        <v>403983</v>
      </c>
      <c r="M467" s="195">
        <f t="shared" ca="1" si="206"/>
        <v>412050</v>
      </c>
      <c r="N467" s="195">
        <f t="shared" si="206"/>
        <v>412050</v>
      </c>
      <c r="O467" s="195">
        <f t="shared" ref="O467:O472" ca="1" si="207">IF(L467&gt;0,N467*100/L467,0)</f>
        <v>101.99686620476604</v>
      </c>
      <c r="P467" s="195">
        <f t="shared" ref="P467:P472" ca="1" si="208">IF(M467&gt;0,N467*100/M467,0)</f>
        <v>100</v>
      </c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</row>
    <row r="468" spans="1:26" ht="18.75" hidden="1">
      <c r="A468" s="599"/>
      <c r="B468" s="759"/>
      <c r="C468" s="759"/>
      <c r="D468" s="720"/>
      <c r="E468" s="759" t="s">
        <v>185</v>
      </c>
      <c r="F468" s="759"/>
      <c r="G468" s="603"/>
      <c r="H468" s="165" t="s">
        <v>12</v>
      </c>
      <c r="I468" s="617"/>
      <c r="J468" s="617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4"/>
      <c r="R468" s="604"/>
      <c r="S468" s="604"/>
      <c r="T468" s="604"/>
      <c r="U468" s="604"/>
      <c r="V468" s="604"/>
      <c r="W468" s="604"/>
      <c r="X468" s="604"/>
      <c r="Y468" s="604"/>
      <c r="Z468" s="604"/>
    </row>
    <row r="469" spans="1:26" ht="18.75" hidden="1">
      <c r="A469" s="599"/>
      <c r="B469" s="607"/>
      <c r="C469" s="759"/>
      <c r="D469" s="720"/>
      <c r="E469" s="759" t="s">
        <v>186</v>
      </c>
      <c r="F469" s="759"/>
      <c r="G469" s="603"/>
      <c r="H469" s="165" t="s">
        <v>12</v>
      </c>
      <c r="I469" s="617"/>
      <c r="J469" s="617"/>
      <c r="K469" s="93"/>
      <c r="L469" s="93">
        <f t="shared" ca="1" si="209"/>
        <v>403983</v>
      </c>
      <c r="M469" s="93">
        <f t="shared" ca="1" si="209"/>
        <v>412050</v>
      </c>
      <c r="N469" s="93">
        <f t="shared" si="209"/>
        <v>412050</v>
      </c>
      <c r="O469" s="93">
        <f t="shared" ca="1" si="207"/>
        <v>101.99686620476604</v>
      </c>
      <c r="P469" s="93">
        <f t="shared" ca="1" si="208"/>
        <v>100</v>
      </c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</row>
    <row r="470" spans="1:26" ht="18.75">
      <c r="A470" s="597"/>
      <c r="B470" s="575"/>
      <c r="C470" s="763"/>
      <c r="D470" s="606" t="s">
        <v>20</v>
      </c>
      <c r="E470" s="763"/>
      <c r="F470" s="763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403983</v>
      </c>
      <c r="M470" s="498">
        <f t="shared" ca="1" si="210"/>
        <v>412050</v>
      </c>
      <c r="N470" s="498">
        <f t="shared" si="210"/>
        <v>412050</v>
      </c>
      <c r="O470" s="498">
        <f t="shared" ca="1" si="207"/>
        <v>101.99686620476604</v>
      </c>
      <c r="P470" s="498">
        <f t="shared" ca="1" si="208"/>
        <v>100</v>
      </c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</row>
    <row r="471" spans="1:26" ht="18.75" hidden="1">
      <c r="A471" s="599"/>
      <c r="B471" s="607"/>
      <c r="C471" s="759"/>
      <c r="D471" s="720"/>
      <c r="E471" s="759" t="s">
        <v>185</v>
      </c>
      <c r="F471" s="759"/>
      <c r="G471" s="603"/>
      <c r="H471" s="165" t="s">
        <v>12</v>
      </c>
      <c r="I471" s="617"/>
      <c r="J471" s="617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4"/>
      <c r="R471" s="604"/>
      <c r="S471" s="604"/>
      <c r="T471" s="604"/>
      <c r="U471" s="604"/>
      <c r="V471" s="604"/>
      <c r="W471" s="604"/>
      <c r="X471" s="604"/>
      <c r="Y471" s="604"/>
      <c r="Z471" s="604"/>
    </row>
    <row r="472" spans="1:26" ht="18.75" hidden="1">
      <c r="A472" s="599"/>
      <c r="B472" s="607"/>
      <c r="C472" s="759"/>
      <c r="D472" s="720"/>
      <c r="E472" s="759" t="s">
        <v>186</v>
      </c>
      <c r="F472" s="759"/>
      <c r="G472" s="603"/>
      <c r="H472" s="165" t="s">
        <v>12</v>
      </c>
      <c r="I472" s="617"/>
      <c r="J472" s="617"/>
      <c r="K472" s="93"/>
      <c r="L472" s="93">
        <f ca="1">IFERROR(__xludf.DUMMYFUNCTION("IMPORTRANGE(""https://docs.google.com/spreadsheets/d/1QqKyyYR6Q21VydFLVH3TRQUabQu_ym0Zz7PgGX0-kHA/edit?usp=sharing"",""แผน!FS47"")"),403983)</f>
        <v>403983</v>
      </c>
      <c r="M472" s="93">
        <f ca="1">L472+11010-2943</f>
        <v>412050</v>
      </c>
      <c r="N472" s="93">
        <f>N473+N474+N475+N476</f>
        <v>412050</v>
      </c>
      <c r="O472" s="93">
        <f t="shared" ca="1" si="207"/>
        <v>101.99686620476604</v>
      </c>
      <c r="P472" s="93">
        <f t="shared" ca="1" si="208"/>
        <v>100</v>
      </c>
      <c r="Q472" s="604"/>
      <c r="R472" s="604"/>
      <c r="S472" s="604"/>
      <c r="T472" s="604"/>
      <c r="U472" s="604"/>
      <c r="V472" s="604"/>
      <c r="W472" s="604"/>
      <c r="X472" s="604"/>
      <c r="Y472" s="604"/>
      <c r="Z472" s="604"/>
    </row>
    <row r="473" spans="1:26" ht="18.75">
      <c r="A473" s="574"/>
      <c r="B473" s="575"/>
      <c r="C473" s="763"/>
      <c r="D473" s="763"/>
      <c r="E473" s="763"/>
      <c r="F473" s="763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40">
        <v>69950</v>
      </c>
      <c r="O473" s="498"/>
      <c r="P473" s="49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</row>
    <row r="474" spans="1:26" ht="18.75">
      <c r="A474" s="574"/>
      <c r="B474" s="575"/>
      <c r="C474" s="763"/>
      <c r="D474" s="763"/>
      <c r="E474" s="763"/>
      <c r="F474" s="763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40">
        <v>310000</v>
      </c>
      <c r="O474" s="498"/>
      <c r="P474" s="49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</row>
    <row r="475" spans="1:26" ht="18.75">
      <c r="A475" s="574"/>
      <c r="B475" s="575"/>
      <c r="C475" s="575"/>
      <c r="D475" s="575"/>
      <c r="E475" s="575"/>
      <c r="F475" s="763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40">
        <v>1200</v>
      </c>
      <c r="O475" s="498"/>
      <c r="P475" s="49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</row>
    <row r="476" spans="1:26" ht="18.75">
      <c r="A476" s="574"/>
      <c r="B476" s="575"/>
      <c r="C476" s="575"/>
      <c r="D476" s="575"/>
      <c r="E476" s="575"/>
      <c r="F476" s="763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40">
        <v>30900</v>
      </c>
      <c r="O476" s="498"/>
      <c r="P476" s="49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</row>
    <row r="477" spans="1:26" ht="18.75">
      <c r="A477" s="597"/>
      <c r="B477" s="575"/>
      <c r="C477" s="575"/>
      <c r="D477" s="606" t="s">
        <v>21</v>
      </c>
      <c r="E477" s="575"/>
      <c r="F477" s="575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</row>
    <row r="478" spans="1:26" ht="18.75" hidden="1">
      <c r="A478" s="599"/>
      <c r="B478" s="607"/>
      <c r="C478" s="607"/>
      <c r="D478" s="607"/>
      <c r="E478" s="607" t="s">
        <v>18</v>
      </c>
      <c r="F478" s="607"/>
      <c r="G478" s="603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4"/>
      <c r="R478" s="604"/>
      <c r="S478" s="604"/>
      <c r="T478" s="604"/>
      <c r="U478" s="604"/>
      <c r="V478" s="604"/>
      <c r="W478" s="604"/>
      <c r="X478" s="604"/>
      <c r="Y478" s="604"/>
      <c r="Z478" s="604"/>
    </row>
    <row r="479" spans="1:26" ht="18.75" hidden="1">
      <c r="A479" s="599"/>
      <c r="B479" s="607"/>
      <c r="C479" s="607"/>
      <c r="D479" s="607"/>
      <c r="E479" s="607" t="s">
        <v>19</v>
      </c>
      <c r="F479" s="607"/>
      <c r="G479" s="603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4"/>
      <c r="R479" s="604"/>
      <c r="S479" s="604"/>
      <c r="T479" s="604"/>
      <c r="U479" s="604"/>
      <c r="V479" s="604"/>
      <c r="W479" s="604"/>
      <c r="X479" s="604"/>
      <c r="Y479" s="604"/>
      <c r="Z479" s="604"/>
    </row>
    <row r="480" spans="1:26" ht="19.5">
      <c r="A480" s="608"/>
      <c r="B480" s="618"/>
      <c r="C480" s="575" t="s">
        <v>16</v>
      </c>
      <c r="D480" s="894" t="s">
        <v>38</v>
      </c>
      <c r="E480" s="611"/>
      <c r="F480" s="761"/>
      <c r="G480" s="613"/>
      <c r="H480" s="762"/>
      <c r="I480" s="270"/>
      <c r="J480" s="270"/>
      <c r="K480" s="498"/>
      <c r="L480" s="498"/>
      <c r="M480" s="498"/>
      <c r="N480" s="498"/>
      <c r="O480" s="498"/>
      <c r="P480" s="49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</row>
    <row r="481" spans="1:26" ht="19.5">
      <c r="A481" s="608"/>
      <c r="B481" s="618"/>
      <c r="C481" s="618"/>
      <c r="D481" s="625" t="s">
        <v>207</v>
      </c>
      <c r="E481" s="618"/>
      <c r="F481" s="618"/>
      <c r="G481" s="762"/>
      <c r="H481" s="189"/>
      <c r="I481" s="270"/>
      <c r="J481" s="270"/>
      <c r="K481" s="498"/>
      <c r="L481" s="498"/>
      <c r="M481" s="498"/>
      <c r="N481" s="498"/>
      <c r="O481" s="498"/>
      <c r="P481" s="49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</row>
    <row r="482" spans="1:26" ht="18.75">
      <c r="A482" s="608"/>
      <c r="B482" s="618"/>
      <c r="C482" s="618"/>
      <c r="D482" s="618"/>
      <c r="E482" s="618" t="s">
        <v>208</v>
      </c>
      <c r="F482" s="618"/>
      <c r="G482" s="762"/>
      <c r="H482" s="189"/>
      <c r="I482" s="270"/>
      <c r="J482" s="270"/>
      <c r="K482" s="498"/>
      <c r="L482" s="498"/>
      <c r="M482" s="498"/>
      <c r="N482" s="498"/>
      <c r="O482" s="498"/>
      <c r="P482" s="49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</row>
    <row r="483" spans="1:26" ht="18.75">
      <c r="A483" s="608"/>
      <c r="B483" s="618"/>
      <c r="C483" s="618"/>
      <c r="D483" s="618"/>
      <c r="E483" s="618"/>
      <c r="F483" s="618" t="s">
        <v>209</v>
      </c>
      <c r="G483" s="762"/>
      <c r="H483" s="623" t="s">
        <v>46</v>
      </c>
      <c r="I483" s="270">
        <f ca="1">IFERROR(__xludf.DUMMYFUNCTION("IMPORTRANGE(""https://docs.google.com/spreadsheets/d/1QqKyyYR6Q21VydFLVH3TRQUabQu_ym0Zz7PgGX0-kHA/edit?usp=sharing"",""แผน!FY47"")"),450)</f>
        <v>450</v>
      </c>
      <c r="J483" s="215">
        <v>450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</row>
    <row r="484" spans="1:26" ht="18.75">
      <c r="A484" s="608"/>
      <c r="B484" s="618"/>
      <c r="C484" s="618"/>
      <c r="D484" s="618"/>
      <c r="E484" s="618"/>
      <c r="F484" s="618" t="s">
        <v>210</v>
      </c>
      <c r="G484" s="762"/>
      <c r="H484" s="623" t="s">
        <v>35</v>
      </c>
      <c r="I484" s="270"/>
      <c r="J484" s="215">
        <v>45</v>
      </c>
      <c r="K484" s="498"/>
      <c r="L484" s="498"/>
      <c r="M484" s="498"/>
      <c r="N484" s="498"/>
      <c r="O484" s="498"/>
      <c r="P484" s="49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</row>
    <row r="485" spans="1:26" ht="18.75">
      <c r="A485" s="608"/>
      <c r="B485" s="618"/>
      <c r="C485" s="618"/>
      <c r="D485" s="618"/>
      <c r="E485" s="618"/>
      <c r="F485" s="618" t="s">
        <v>211</v>
      </c>
      <c r="G485" s="762"/>
      <c r="H485" s="623" t="s">
        <v>35</v>
      </c>
      <c r="I485" s="270">
        <f ca="1">IFERROR(__xludf.DUMMYFUNCTION("IMPORTRANGE(""https://docs.google.com/spreadsheets/d/1QqKyyYR6Q21VydFLVH3TRQUabQu_ym0Zz7PgGX0-kHA/edit?usp=sharing"",""แผน!FZ47"")"),45)</f>
        <v>45</v>
      </c>
      <c r="J485" s="215">
        <v>45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</row>
    <row r="486" spans="1:26" ht="18.75">
      <c r="A486" s="608"/>
      <c r="B486" s="618"/>
      <c r="C486" s="618"/>
      <c r="D486" s="618"/>
      <c r="E486" s="618" t="s">
        <v>62</v>
      </c>
      <c r="F486" s="618"/>
      <c r="G486" s="762"/>
      <c r="H486" s="623"/>
      <c r="I486" s="270"/>
      <c r="J486" s="270"/>
      <c r="K486" s="498"/>
      <c r="L486" s="498"/>
      <c r="M486" s="498"/>
      <c r="N486" s="498"/>
      <c r="O486" s="498"/>
      <c r="P486" s="49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</row>
    <row r="487" spans="1:26" ht="18.75">
      <c r="A487" s="608"/>
      <c r="B487" s="618"/>
      <c r="C487" s="618"/>
      <c r="D487" s="618"/>
      <c r="E487" s="618"/>
      <c r="F487" s="618" t="s">
        <v>209</v>
      </c>
      <c r="G487" s="762"/>
      <c r="H487" s="623" t="s">
        <v>46</v>
      </c>
      <c r="I487" s="270">
        <f ca="1">IFERROR(__xludf.DUMMYFUNCTION("IMPORTRANGE(""https://docs.google.com/spreadsheets/d/1QqKyyYR6Q21VydFLVH3TRQUabQu_ym0Zz7PgGX0-kHA/edit?usp=sharing"",""แผน!GA47"")"),50)</f>
        <v>50</v>
      </c>
      <c r="J487" s="215">
        <v>50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</row>
    <row r="488" spans="1:26" ht="18.75">
      <c r="A488" s="608"/>
      <c r="B488" s="618"/>
      <c r="C488" s="618"/>
      <c r="D488" s="618"/>
      <c r="E488" s="618"/>
      <c r="F488" s="618" t="s">
        <v>212</v>
      </c>
      <c r="G488" s="762"/>
      <c r="H488" s="623" t="s">
        <v>35</v>
      </c>
      <c r="I488" s="270"/>
      <c r="J488" s="215">
        <v>5</v>
      </c>
      <c r="K488" s="498"/>
      <c r="L488" s="498"/>
      <c r="M488" s="498"/>
      <c r="N488" s="498"/>
      <c r="O488" s="498"/>
      <c r="P488" s="49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</row>
    <row r="489" spans="1:26" ht="18.75">
      <c r="A489" s="608"/>
      <c r="B489" s="618"/>
      <c r="C489" s="618"/>
      <c r="D489" s="618"/>
      <c r="E489" s="618"/>
      <c r="F489" s="618" t="s">
        <v>213</v>
      </c>
      <c r="G489" s="762"/>
      <c r="H489" s="623" t="s">
        <v>35</v>
      </c>
      <c r="I489" s="270">
        <f ca="1">IFERROR(__xludf.DUMMYFUNCTION("IMPORTRANGE(""https://docs.google.com/spreadsheets/d/1QqKyyYR6Q21VydFLVH3TRQUabQu_ym0Zz7PgGX0-kHA/edit?usp=sharing"",""แผน!GB47"")"),5)</f>
        <v>5</v>
      </c>
      <c r="J489" s="215">
        <v>5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</row>
    <row r="490" spans="1:26" ht="18.75">
      <c r="A490" s="608"/>
      <c r="B490" s="618"/>
      <c r="C490" s="618"/>
      <c r="D490" s="618"/>
      <c r="E490" s="618" t="s">
        <v>63</v>
      </c>
      <c r="F490" s="626"/>
      <c r="G490" s="762"/>
      <c r="H490" s="623"/>
      <c r="I490" s="270"/>
      <c r="J490" s="270"/>
      <c r="K490" s="498"/>
      <c r="L490" s="498"/>
      <c r="M490" s="498"/>
      <c r="N490" s="498"/>
      <c r="O490" s="498"/>
      <c r="P490" s="49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</row>
    <row r="491" spans="1:26" ht="18.75">
      <c r="A491" s="608"/>
      <c r="B491" s="618"/>
      <c r="C491" s="618"/>
      <c r="D491" s="618"/>
      <c r="E491" s="618"/>
      <c r="F491" s="618" t="s">
        <v>214</v>
      </c>
      <c r="G491" s="762"/>
      <c r="H491" s="623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</row>
    <row r="492" spans="1:26" ht="18.75">
      <c r="A492" s="608"/>
      <c r="B492" s="618"/>
      <c r="C492" s="618"/>
      <c r="D492" s="618"/>
      <c r="E492" s="618"/>
      <c r="F492" s="618" t="s">
        <v>215</v>
      </c>
      <c r="G492" s="762"/>
      <c r="H492" s="623" t="s">
        <v>35</v>
      </c>
      <c r="I492" s="270">
        <f ca="1">IFERROR(__xludf.DUMMYFUNCTION("IMPORTRANGE(""https://docs.google.com/spreadsheets/d/1QqKyyYR6Q21VydFLVH3TRQUabQu_ym0Zz7PgGX0-kHA/edit?usp=sharing"",""แผน!GC47"")"),1)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</row>
    <row r="493" spans="1:26" ht="19.5">
      <c r="A493" s="608"/>
      <c r="B493" s="618"/>
      <c r="C493" s="618"/>
      <c r="D493" s="625" t="s">
        <v>59</v>
      </c>
      <c r="E493" s="618"/>
      <c r="F493" s="626"/>
      <c r="G493" s="762"/>
      <c r="H493" s="189"/>
      <c r="I493" s="270"/>
      <c r="J493" s="270"/>
      <c r="K493" s="498"/>
      <c r="L493" s="498"/>
      <c r="M493" s="498"/>
      <c r="N493" s="498"/>
      <c r="O493" s="498"/>
      <c r="P493" s="49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</row>
    <row r="494" spans="1:26" ht="18.75">
      <c r="A494" s="608"/>
      <c r="B494" s="618"/>
      <c r="C494" s="618"/>
      <c r="D494" s="618"/>
      <c r="E494" s="618" t="s">
        <v>208</v>
      </c>
      <c r="F494" s="626"/>
      <c r="G494" s="762"/>
      <c r="H494" s="189"/>
      <c r="I494" s="270"/>
      <c r="J494" s="270"/>
      <c r="K494" s="498"/>
      <c r="L494" s="498"/>
      <c r="M494" s="498"/>
      <c r="N494" s="498"/>
      <c r="O494" s="498"/>
      <c r="P494" s="49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</row>
    <row r="495" spans="1:26" ht="18.75">
      <c r="A495" s="608"/>
      <c r="B495" s="618"/>
      <c r="C495" s="618"/>
      <c r="D495" s="618"/>
      <c r="E495" s="618"/>
      <c r="F495" s="626" t="s">
        <v>216</v>
      </c>
      <c r="G495" s="762"/>
      <c r="H495" s="623" t="s">
        <v>46</v>
      </c>
      <c r="I495" s="270">
        <f ca="1">IFERROR(__xludf.DUMMYFUNCTION("IMPORTRANGE(""https://docs.google.com/spreadsheets/d/1QqKyyYR6Q21VydFLVH3TRQUabQu_ym0Zz7PgGX0-kHA/edit?usp=sharing"",""แผน!FY47"")"),450)</f>
        <v>450</v>
      </c>
      <c r="J495" s="215">
        <v>450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</row>
    <row r="496" spans="1:26" ht="18.75">
      <c r="A496" s="608"/>
      <c r="B496" s="618"/>
      <c r="C496" s="618"/>
      <c r="D496" s="618"/>
      <c r="E496" s="618"/>
      <c r="F496" s="626" t="s">
        <v>217</v>
      </c>
      <c r="G496" s="762"/>
      <c r="H496" s="623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</row>
    <row r="497" spans="1:26" ht="18.75">
      <c r="A497" s="608"/>
      <c r="B497" s="618"/>
      <c r="C497" s="618"/>
      <c r="D497" s="618"/>
      <c r="E497" s="618" t="s">
        <v>62</v>
      </c>
      <c r="F497" s="626"/>
      <c r="G497" s="762"/>
      <c r="H497" s="189"/>
      <c r="I497" s="270"/>
      <c r="J497" s="270"/>
      <c r="K497" s="498"/>
      <c r="L497" s="498"/>
      <c r="M497" s="498"/>
      <c r="N497" s="498"/>
      <c r="O497" s="498"/>
      <c r="P497" s="49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</row>
    <row r="498" spans="1:26" ht="18.75">
      <c r="A498" s="608"/>
      <c r="B498" s="618"/>
      <c r="C498" s="618"/>
      <c r="D498" s="618"/>
      <c r="E498" s="626"/>
      <c r="F498" s="626" t="s">
        <v>218</v>
      </c>
      <c r="G498" s="762"/>
      <c r="H498" s="623" t="s">
        <v>46</v>
      </c>
      <c r="I498" s="270">
        <f ca="1">IFERROR(__xludf.DUMMYFUNCTION("IMPORTRANGE(""https://docs.google.com/spreadsheets/d/1QqKyyYR6Q21VydFLVH3TRQUabQu_ym0Zz7PgGX0-kHA/edit?usp=sharing"",""แผน!GA47"")"),50)</f>
        <v>50</v>
      </c>
      <c r="J498" s="215">
        <v>50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</row>
    <row r="499" spans="1:26" ht="18.75">
      <c r="A499" s="608"/>
      <c r="B499" s="618"/>
      <c r="C499" s="618"/>
      <c r="D499" s="618"/>
      <c r="E499" s="626"/>
      <c r="F499" s="626" t="s">
        <v>219</v>
      </c>
      <c r="G499" s="762"/>
      <c r="H499" s="623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</row>
    <row r="500" spans="1:26" ht="19.5" hidden="1">
      <c r="A500" s="627">
        <v>4</v>
      </c>
      <c r="B500" s="628" t="s">
        <v>220</v>
      </c>
      <c r="C500" s="629"/>
      <c r="D500" s="630"/>
      <c r="E500" s="630"/>
      <c r="F500" s="630"/>
      <c r="G500" s="631"/>
      <c r="H500" s="632" t="s">
        <v>109</v>
      </c>
      <c r="I500" s="633"/>
      <c r="J500" s="633">
        <f t="shared" ref="J500:J501" si="214">J516</f>
        <v>0</v>
      </c>
      <c r="K500" s="634">
        <f t="shared" ref="K500:K501" si="215">IF(I500&gt;0,J500*100/I500,0)</f>
        <v>0</v>
      </c>
      <c r="L500" s="635"/>
      <c r="M500" s="635"/>
      <c r="N500" s="635"/>
      <c r="O500" s="635"/>
      <c r="P500" s="635"/>
      <c r="Q500" s="604"/>
      <c r="R500" s="604"/>
      <c r="S500" s="604"/>
      <c r="T500" s="604"/>
      <c r="U500" s="604"/>
      <c r="V500" s="604"/>
      <c r="W500" s="604"/>
      <c r="X500" s="604"/>
      <c r="Y500" s="604"/>
      <c r="Z500" s="604"/>
    </row>
    <row r="501" spans="1:26" ht="19.5" hidden="1">
      <c r="A501" s="636"/>
      <c r="B501" s="638" t="s">
        <v>221</v>
      </c>
      <c r="C501" s="638"/>
      <c r="D501" s="639"/>
      <c r="E501" s="639"/>
      <c r="F501" s="639"/>
      <c r="G501" s="640"/>
      <c r="H501" s="641" t="s">
        <v>35</v>
      </c>
      <c r="I501" s="642"/>
      <c r="J501" s="642">
        <f t="shared" si="214"/>
        <v>0</v>
      </c>
      <c r="K501" s="643">
        <f t="shared" si="215"/>
        <v>0</v>
      </c>
      <c r="L501" s="644"/>
      <c r="M501" s="644"/>
      <c r="N501" s="644"/>
      <c r="O501" s="644"/>
      <c r="P501" s="64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</row>
    <row r="502" spans="1:26" ht="19.5" hidden="1">
      <c r="A502" s="599"/>
      <c r="B502" s="759"/>
      <c r="C502" s="759" t="s">
        <v>16</v>
      </c>
      <c r="D502" s="864" t="s">
        <v>17</v>
      </c>
      <c r="E502" s="857"/>
      <c r="F502" s="857"/>
      <c r="G502" s="603"/>
      <c r="H502" s="646" t="s">
        <v>12</v>
      </c>
      <c r="I502" s="617"/>
      <c r="J502" s="617"/>
      <c r="K502" s="93"/>
      <c r="L502" s="647">
        <f t="shared" ref="L502:N502" si="216">L503+L504</f>
        <v>0</v>
      </c>
      <c r="M502" s="647">
        <f t="shared" si="216"/>
        <v>0</v>
      </c>
      <c r="N502" s="647">
        <f t="shared" si="216"/>
        <v>0</v>
      </c>
      <c r="O502" s="647">
        <f t="shared" ref="O502:O507" si="217">IF(L502&gt;0,N502*100/L502,0)</f>
        <v>0</v>
      </c>
      <c r="P502" s="647">
        <f t="shared" ref="P502:P507" si="218">IF(M502&gt;0,N502*100/M502,0)</f>
        <v>0</v>
      </c>
      <c r="Q502" s="604"/>
      <c r="R502" s="604"/>
      <c r="S502" s="604"/>
      <c r="T502" s="604"/>
      <c r="U502" s="604"/>
      <c r="V502" s="604"/>
      <c r="W502" s="604"/>
      <c r="X502" s="604"/>
      <c r="Y502" s="604"/>
      <c r="Z502" s="604"/>
    </row>
    <row r="503" spans="1:26" ht="18.75" hidden="1">
      <c r="A503" s="599"/>
      <c r="B503" s="759"/>
      <c r="C503" s="759"/>
      <c r="D503" s="720"/>
      <c r="E503" s="759" t="s">
        <v>185</v>
      </c>
      <c r="F503" s="759"/>
      <c r="G503" s="603"/>
      <c r="H503" s="165" t="s">
        <v>12</v>
      </c>
      <c r="I503" s="617"/>
      <c r="J503" s="617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4"/>
      <c r="R503" s="604"/>
      <c r="S503" s="604"/>
      <c r="T503" s="604"/>
      <c r="U503" s="604"/>
      <c r="V503" s="604"/>
      <c r="W503" s="604"/>
      <c r="X503" s="604"/>
      <c r="Y503" s="604"/>
      <c r="Z503" s="604"/>
    </row>
    <row r="504" spans="1:26" ht="18.75" hidden="1">
      <c r="A504" s="599"/>
      <c r="B504" s="607"/>
      <c r="C504" s="759"/>
      <c r="D504" s="720"/>
      <c r="E504" s="759" t="s">
        <v>186</v>
      </c>
      <c r="F504" s="759"/>
      <c r="G504" s="603"/>
      <c r="H504" s="165" t="s">
        <v>12</v>
      </c>
      <c r="I504" s="617"/>
      <c r="J504" s="617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4"/>
      <c r="R504" s="604"/>
      <c r="S504" s="604"/>
      <c r="T504" s="604"/>
      <c r="U504" s="604"/>
      <c r="V504" s="604"/>
      <c r="W504" s="604"/>
      <c r="X504" s="604"/>
      <c r="Y504" s="604"/>
      <c r="Z504" s="604"/>
    </row>
    <row r="505" spans="1:26" ht="18.75" hidden="1">
      <c r="A505" s="599"/>
      <c r="B505" s="607"/>
      <c r="C505" s="759"/>
      <c r="D505" s="648" t="s">
        <v>20</v>
      </c>
      <c r="E505" s="759"/>
      <c r="F505" s="759"/>
      <c r="G505" s="603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4"/>
      <c r="R505" s="604"/>
      <c r="S505" s="604"/>
      <c r="T505" s="604"/>
      <c r="U505" s="604"/>
      <c r="V505" s="604"/>
      <c r="W505" s="604"/>
      <c r="X505" s="604"/>
      <c r="Y505" s="604"/>
      <c r="Z505" s="604"/>
    </row>
    <row r="506" spans="1:26" ht="18.75" hidden="1">
      <c r="A506" s="599"/>
      <c r="B506" s="607"/>
      <c r="C506" s="759"/>
      <c r="D506" s="720"/>
      <c r="E506" s="759" t="s">
        <v>185</v>
      </c>
      <c r="F506" s="759"/>
      <c r="G506" s="603"/>
      <c r="H506" s="165" t="s">
        <v>12</v>
      </c>
      <c r="I506" s="617"/>
      <c r="J506" s="617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4"/>
      <c r="R506" s="604"/>
      <c r="S506" s="604"/>
      <c r="T506" s="604"/>
      <c r="U506" s="604"/>
      <c r="V506" s="604"/>
      <c r="W506" s="604"/>
      <c r="X506" s="604"/>
      <c r="Y506" s="604"/>
      <c r="Z506" s="604"/>
    </row>
    <row r="507" spans="1:26" ht="18.75" hidden="1">
      <c r="A507" s="599"/>
      <c r="B507" s="607"/>
      <c r="C507" s="759"/>
      <c r="D507" s="720"/>
      <c r="E507" s="759" t="s">
        <v>186</v>
      </c>
      <c r="F507" s="759"/>
      <c r="G507" s="603"/>
      <c r="H507" s="165" t="s">
        <v>12</v>
      </c>
      <c r="I507" s="617"/>
      <c r="J507" s="617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4"/>
      <c r="R507" s="604"/>
      <c r="S507" s="604"/>
      <c r="T507" s="604"/>
      <c r="U507" s="604"/>
      <c r="V507" s="604"/>
      <c r="W507" s="604"/>
      <c r="X507" s="604"/>
      <c r="Y507" s="604"/>
      <c r="Z507" s="604"/>
    </row>
    <row r="508" spans="1:26" ht="18.75" hidden="1">
      <c r="A508" s="649"/>
      <c r="B508" s="607"/>
      <c r="C508" s="759"/>
      <c r="D508" s="759"/>
      <c r="E508" s="759"/>
      <c r="F508" s="759" t="s">
        <v>187</v>
      </c>
      <c r="G508" s="603"/>
      <c r="H508" s="165" t="s">
        <v>12</v>
      </c>
      <c r="I508" s="617"/>
      <c r="J508" s="617"/>
      <c r="K508" s="93"/>
      <c r="L508" s="93"/>
      <c r="M508" s="93"/>
      <c r="N508" s="93">
        <v>0</v>
      </c>
      <c r="O508" s="93"/>
      <c r="P508" s="93"/>
      <c r="Q508" s="604"/>
      <c r="R508" s="604"/>
      <c r="S508" s="604"/>
      <c r="T508" s="604"/>
      <c r="U508" s="604"/>
      <c r="V508" s="604"/>
      <c r="W508" s="604"/>
      <c r="X508" s="604"/>
      <c r="Y508" s="604"/>
      <c r="Z508" s="604"/>
    </row>
    <row r="509" spans="1:26" ht="18.75" hidden="1">
      <c r="A509" s="649"/>
      <c r="B509" s="607"/>
      <c r="C509" s="759"/>
      <c r="D509" s="759"/>
      <c r="E509" s="759"/>
      <c r="F509" s="759" t="s">
        <v>188</v>
      </c>
      <c r="G509" s="603"/>
      <c r="H509" s="165" t="s">
        <v>12</v>
      </c>
      <c r="I509" s="617"/>
      <c r="J509" s="617"/>
      <c r="K509" s="93"/>
      <c r="L509" s="93"/>
      <c r="M509" s="93"/>
      <c r="N509" s="93">
        <v>0</v>
      </c>
      <c r="O509" s="93"/>
      <c r="P509" s="93"/>
      <c r="Q509" s="604"/>
      <c r="R509" s="604"/>
      <c r="S509" s="604"/>
      <c r="T509" s="604"/>
      <c r="U509" s="604"/>
      <c r="V509" s="604"/>
      <c r="W509" s="604"/>
      <c r="X509" s="604"/>
      <c r="Y509" s="604"/>
      <c r="Z509" s="604"/>
    </row>
    <row r="510" spans="1:26" ht="18.75" hidden="1">
      <c r="A510" s="649"/>
      <c r="B510" s="607"/>
      <c r="C510" s="607"/>
      <c r="D510" s="607"/>
      <c r="E510" s="759"/>
      <c r="F510" s="759" t="s">
        <v>189</v>
      </c>
      <c r="G510" s="603"/>
      <c r="H510" s="165" t="s">
        <v>12</v>
      </c>
      <c r="I510" s="617"/>
      <c r="J510" s="617"/>
      <c r="K510" s="93"/>
      <c r="L510" s="93"/>
      <c r="M510" s="93"/>
      <c r="N510" s="93">
        <v>0</v>
      </c>
      <c r="O510" s="93"/>
      <c r="P510" s="93"/>
      <c r="Q510" s="604"/>
      <c r="R510" s="604"/>
      <c r="S510" s="604"/>
      <c r="T510" s="604"/>
      <c r="U510" s="604"/>
      <c r="V510" s="604"/>
      <c r="W510" s="604"/>
      <c r="X510" s="604"/>
      <c r="Y510" s="604"/>
      <c r="Z510" s="604"/>
    </row>
    <row r="511" spans="1:26" ht="18.75" hidden="1">
      <c r="A511" s="649"/>
      <c r="B511" s="607"/>
      <c r="C511" s="607"/>
      <c r="D511" s="607"/>
      <c r="E511" s="759"/>
      <c r="F511" s="759" t="s">
        <v>190</v>
      </c>
      <c r="G511" s="603"/>
      <c r="H511" s="165" t="s">
        <v>12</v>
      </c>
      <c r="I511" s="617"/>
      <c r="J511" s="617"/>
      <c r="K511" s="93"/>
      <c r="L511" s="93"/>
      <c r="M511" s="93"/>
      <c r="N511" s="93">
        <v>0</v>
      </c>
      <c r="O511" s="93"/>
      <c r="P511" s="93"/>
      <c r="Q511" s="604"/>
      <c r="R511" s="604"/>
      <c r="S511" s="604"/>
      <c r="T511" s="604"/>
      <c r="U511" s="604"/>
      <c r="V511" s="604"/>
      <c r="W511" s="604"/>
      <c r="X511" s="604"/>
      <c r="Y511" s="604"/>
      <c r="Z511" s="604"/>
    </row>
    <row r="512" spans="1:26" ht="18.75" hidden="1">
      <c r="A512" s="599"/>
      <c r="B512" s="607"/>
      <c r="C512" s="607"/>
      <c r="D512" s="648" t="s">
        <v>21</v>
      </c>
      <c r="E512" s="607"/>
      <c r="F512" s="759"/>
      <c r="G512" s="603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4"/>
      <c r="R512" s="604"/>
      <c r="S512" s="604"/>
      <c r="T512" s="604"/>
      <c r="U512" s="604"/>
      <c r="V512" s="604"/>
      <c r="W512" s="604"/>
      <c r="X512" s="604"/>
      <c r="Y512" s="604"/>
      <c r="Z512" s="604"/>
    </row>
    <row r="513" spans="1:26" ht="18.75" hidden="1">
      <c r="A513" s="599"/>
      <c r="B513" s="607"/>
      <c r="C513" s="607"/>
      <c r="D513" s="607"/>
      <c r="E513" s="607" t="s">
        <v>18</v>
      </c>
      <c r="F513" s="759"/>
      <c r="G513" s="603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4"/>
      <c r="R513" s="604"/>
      <c r="S513" s="604"/>
      <c r="T513" s="604"/>
      <c r="U513" s="604"/>
      <c r="V513" s="604"/>
      <c r="W513" s="604"/>
      <c r="X513" s="604"/>
      <c r="Y513" s="604"/>
      <c r="Z513" s="604"/>
    </row>
    <row r="514" spans="1:26" ht="18.75" hidden="1">
      <c r="A514" s="599"/>
      <c r="B514" s="607"/>
      <c r="C514" s="607"/>
      <c r="D514" s="759"/>
      <c r="E514" s="607" t="s">
        <v>19</v>
      </c>
      <c r="F514" s="759"/>
      <c r="G514" s="603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4"/>
      <c r="R514" s="604"/>
      <c r="S514" s="604"/>
      <c r="T514" s="604"/>
      <c r="U514" s="604"/>
      <c r="V514" s="604"/>
      <c r="W514" s="604"/>
      <c r="X514" s="604"/>
      <c r="Y514" s="604"/>
      <c r="Z514" s="604"/>
    </row>
    <row r="515" spans="1:26" ht="19.5" hidden="1">
      <c r="A515" s="614"/>
      <c r="B515" s="616"/>
      <c r="C515" s="607" t="s">
        <v>16</v>
      </c>
      <c r="D515" s="895" t="s">
        <v>38</v>
      </c>
      <c r="E515" s="651"/>
      <c r="F515" s="651"/>
      <c r="G515" s="652"/>
      <c r="H515" s="366"/>
      <c r="I515" s="166"/>
      <c r="J515" s="166"/>
      <c r="K515" s="167"/>
      <c r="L515" s="167"/>
      <c r="M515" s="167"/>
      <c r="N515" s="167"/>
      <c r="O515" s="167"/>
      <c r="P515" s="167"/>
      <c r="Q515" s="604"/>
      <c r="R515" s="604"/>
      <c r="S515" s="604"/>
      <c r="T515" s="604"/>
      <c r="U515" s="604"/>
      <c r="V515" s="604"/>
      <c r="W515" s="604"/>
      <c r="X515" s="604"/>
      <c r="Y515" s="604"/>
      <c r="Z515" s="604"/>
    </row>
    <row r="516" spans="1:26" ht="18.75" hidden="1">
      <c r="A516" s="614"/>
      <c r="B516" s="616"/>
      <c r="C516" s="616"/>
      <c r="D516" s="616" t="s">
        <v>222</v>
      </c>
      <c r="E516" s="720"/>
      <c r="F516" s="720"/>
      <c r="G516" s="366"/>
      <c r="H516" s="653" t="s">
        <v>109</v>
      </c>
      <c r="I516" s="617"/>
      <c r="J516" s="617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4"/>
      <c r="R516" s="604"/>
      <c r="S516" s="604"/>
      <c r="T516" s="604"/>
      <c r="U516" s="604"/>
      <c r="V516" s="604"/>
      <c r="W516" s="604"/>
      <c r="X516" s="604"/>
      <c r="Y516" s="604"/>
      <c r="Z516" s="604"/>
    </row>
    <row r="517" spans="1:26" ht="19.5" hidden="1">
      <c r="A517" s="614"/>
      <c r="B517" s="616"/>
      <c r="C517" s="616"/>
      <c r="D517" s="616" t="s">
        <v>223</v>
      </c>
      <c r="E517" s="720"/>
      <c r="F517" s="720"/>
      <c r="G517" s="366"/>
      <c r="H517" s="654" t="s">
        <v>35</v>
      </c>
      <c r="I517" s="655"/>
      <c r="J517" s="655">
        <f>J518+J519</f>
        <v>0</v>
      </c>
      <c r="K517" s="656">
        <f t="shared" si="224"/>
        <v>0</v>
      </c>
      <c r="L517" s="167"/>
      <c r="M517" s="167"/>
      <c r="N517" s="167"/>
      <c r="O517" s="167"/>
      <c r="P517" s="167"/>
      <c r="Q517" s="604"/>
      <c r="R517" s="604"/>
      <c r="S517" s="604"/>
      <c r="T517" s="604"/>
      <c r="U517" s="604"/>
      <c r="V517" s="604"/>
      <c r="W517" s="604"/>
      <c r="X517" s="604"/>
      <c r="Y517" s="604"/>
      <c r="Z517" s="604"/>
    </row>
    <row r="518" spans="1:26" ht="18.75" hidden="1">
      <c r="A518" s="614"/>
      <c r="B518" s="616"/>
      <c r="C518" s="616"/>
      <c r="D518" s="616"/>
      <c r="E518" s="616" t="s">
        <v>224</v>
      </c>
      <c r="F518" s="720"/>
      <c r="G518" s="366"/>
      <c r="H518" s="370" t="s">
        <v>35</v>
      </c>
      <c r="I518" s="617"/>
      <c r="J518" s="617"/>
      <c r="K518" s="167"/>
      <c r="L518" s="167"/>
      <c r="M518" s="167"/>
      <c r="N518" s="167"/>
      <c r="O518" s="167"/>
      <c r="P518" s="167"/>
      <c r="Q518" s="604"/>
      <c r="R518" s="604"/>
      <c r="S518" s="604"/>
      <c r="T518" s="604"/>
      <c r="U518" s="604"/>
      <c r="V518" s="604"/>
      <c r="W518" s="604"/>
      <c r="X518" s="604"/>
      <c r="Y518" s="604"/>
      <c r="Z518" s="604"/>
    </row>
    <row r="519" spans="1:26" ht="18.75" hidden="1">
      <c r="A519" s="614"/>
      <c r="B519" s="616"/>
      <c r="C519" s="616"/>
      <c r="D519" s="616"/>
      <c r="E519" s="616" t="s">
        <v>225</v>
      </c>
      <c r="F519" s="720"/>
      <c r="G519" s="366"/>
      <c r="H519" s="653" t="s">
        <v>35</v>
      </c>
      <c r="I519" s="617"/>
      <c r="J519" s="617"/>
      <c r="K519" s="167"/>
      <c r="L519" s="167"/>
      <c r="M519" s="167"/>
      <c r="N519" s="167"/>
      <c r="O519" s="167"/>
      <c r="P519" s="167"/>
      <c r="Q519" s="604"/>
      <c r="R519" s="604"/>
      <c r="S519" s="604"/>
      <c r="T519" s="604"/>
      <c r="U519" s="604"/>
      <c r="V519" s="604"/>
      <c r="W519" s="604"/>
      <c r="X519" s="604"/>
      <c r="Y519" s="604"/>
      <c r="Z519" s="604"/>
    </row>
    <row r="520" spans="1:26" ht="19.5">
      <c r="A520" s="657" t="s">
        <v>137</v>
      </c>
      <c r="B520" s="658"/>
      <c r="C520" s="658"/>
      <c r="D520" s="659"/>
      <c r="E520" s="659"/>
      <c r="F520" s="659"/>
      <c r="G520" s="660"/>
      <c r="H520" s="661"/>
      <c r="I520" s="662"/>
      <c r="J520" s="662"/>
      <c r="K520" s="663"/>
      <c r="L520" s="663"/>
      <c r="M520" s="663"/>
      <c r="N520" s="663"/>
      <c r="O520" s="663"/>
      <c r="P520" s="663"/>
    </row>
    <row r="521" spans="1:26" ht="19.5" hidden="1">
      <c r="A521" s="664">
        <v>5</v>
      </c>
      <c r="B521" s="665" t="s">
        <v>226</v>
      </c>
      <c r="C521" s="666"/>
      <c r="D521" s="667"/>
      <c r="E521" s="667"/>
      <c r="F521" s="667"/>
      <c r="G521" s="667"/>
      <c r="H521" s="668"/>
      <c r="I521" s="669"/>
      <c r="J521" s="669"/>
      <c r="K521" s="670"/>
      <c r="L521" s="670"/>
      <c r="M521" s="670"/>
      <c r="N521" s="670"/>
      <c r="O521" s="670"/>
      <c r="P521" s="670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</row>
    <row r="522" spans="1:26" ht="19.5" hidden="1">
      <c r="A522" s="671"/>
      <c r="B522" s="672" t="s">
        <v>227</v>
      </c>
      <c r="C522" s="673"/>
      <c r="D522" s="673"/>
      <c r="E522" s="673"/>
      <c r="F522" s="673"/>
      <c r="G522" s="674"/>
      <c r="H522" s="675" t="s">
        <v>35</v>
      </c>
      <c r="I522" s="708">
        <f t="shared" ref="I522:J522" ca="1" si="225">I537</f>
        <v>0</v>
      </c>
      <c r="J522" s="708">
        <f t="shared" ca="1" si="225"/>
        <v>0</v>
      </c>
      <c r="K522" s="677">
        <f ca="1">IF(I522&gt;0,J522*100/I522,0)</f>
        <v>0</v>
      </c>
      <c r="L522" s="678"/>
      <c r="M522" s="678"/>
      <c r="N522" s="678"/>
      <c r="O522" s="678"/>
      <c r="P522" s="6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</row>
    <row r="523" spans="1:26" ht="19.5" hidden="1">
      <c r="A523" s="597"/>
      <c r="B523" s="763"/>
      <c r="C523" s="763" t="s">
        <v>16</v>
      </c>
      <c r="D523" s="863" t="s">
        <v>17</v>
      </c>
      <c r="E523" s="857"/>
      <c r="F523" s="857"/>
      <c r="G523" s="189"/>
      <c r="H523" s="598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</row>
    <row r="524" spans="1:26" ht="18.75" hidden="1">
      <c r="A524" s="599"/>
      <c r="B524" s="759"/>
      <c r="C524" s="759"/>
      <c r="D524" s="720"/>
      <c r="E524" s="759" t="s">
        <v>185</v>
      </c>
      <c r="F524" s="759"/>
      <c r="G524" s="603"/>
      <c r="H524" s="165" t="s">
        <v>12</v>
      </c>
      <c r="I524" s="617"/>
      <c r="J524" s="617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4"/>
      <c r="R524" s="604"/>
      <c r="S524" s="604"/>
      <c r="T524" s="604"/>
      <c r="U524" s="604"/>
      <c r="V524" s="604"/>
      <c r="W524" s="604"/>
      <c r="X524" s="604"/>
      <c r="Y524" s="604"/>
      <c r="Z524" s="604"/>
    </row>
    <row r="525" spans="1:26" ht="18.75" hidden="1">
      <c r="A525" s="599"/>
      <c r="B525" s="607"/>
      <c r="C525" s="759"/>
      <c r="D525" s="720"/>
      <c r="E525" s="759" t="s">
        <v>186</v>
      </c>
      <c r="F525" s="759"/>
      <c r="G525" s="603"/>
      <c r="H525" s="165" t="s">
        <v>12</v>
      </c>
      <c r="I525" s="617"/>
      <c r="J525" s="617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4"/>
      <c r="R525" s="604"/>
      <c r="S525" s="604"/>
      <c r="T525" s="604"/>
      <c r="U525" s="604"/>
      <c r="V525" s="604"/>
      <c r="W525" s="604"/>
      <c r="X525" s="604"/>
      <c r="Y525" s="604"/>
      <c r="Z525" s="604"/>
    </row>
    <row r="526" spans="1:26" ht="18.75" hidden="1">
      <c r="A526" s="597"/>
      <c r="B526" s="575"/>
      <c r="C526" s="763"/>
      <c r="D526" s="606" t="s">
        <v>20</v>
      </c>
      <c r="E526" s="763"/>
      <c r="F526" s="763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</row>
    <row r="527" spans="1:26" ht="18.75" hidden="1">
      <c r="A527" s="599"/>
      <c r="B527" s="607"/>
      <c r="C527" s="759"/>
      <c r="D527" s="720"/>
      <c r="E527" s="759" t="s">
        <v>185</v>
      </c>
      <c r="F527" s="759"/>
      <c r="G527" s="603"/>
      <c r="H527" s="165" t="s">
        <v>12</v>
      </c>
      <c r="I527" s="617"/>
      <c r="J527" s="617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4"/>
      <c r="R527" s="604"/>
      <c r="S527" s="604"/>
      <c r="T527" s="604"/>
      <c r="U527" s="604"/>
      <c r="V527" s="604"/>
      <c r="W527" s="604"/>
      <c r="X527" s="604"/>
      <c r="Y527" s="604"/>
      <c r="Z527" s="604"/>
    </row>
    <row r="528" spans="1:26" ht="18.75" hidden="1">
      <c r="A528" s="599"/>
      <c r="B528" s="607"/>
      <c r="C528" s="759"/>
      <c r="D528" s="720"/>
      <c r="E528" s="759" t="s">
        <v>186</v>
      </c>
      <c r="F528" s="759"/>
      <c r="G528" s="603"/>
      <c r="H528" s="165" t="s">
        <v>12</v>
      </c>
      <c r="I528" s="617"/>
      <c r="J528" s="617"/>
      <c r="K528" s="93"/>
      <c r="L528" s="93">
        <f ca="1">IFERROR(__xludf.DUMMYFUNCTION("IMPORTRANGE(""https://docs.google.com/spreadsheets/d/1QqKyyYR6Q21VydFLVH3TRQUabQu_ym0Zz7PgGX0-kHA/edit?usp=sharing"",""แผน!GQ47"")"),0)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4"/>
      <c r="R528" s="604"/>
      <c r="S528" s="604"/>
      <c r="T528" s="604"/>
      <c r="U528" s="604"/>
      <c r="V528" s="604"/>
      <c r="W528" s="604"/>
      <c r="X528" s="604"/>
      <c r="Y528" s="604"/>
      <c r="Z528" s="604"/>
    </row>
    <row r="529" spans="1:26" ht="18.75" hidden="1">
      <c r="A529" s="574"/>
      <c r="B529" s="575"/>
      <c r="C529" s="763"/>
      <c r="D529" s="763"/>
      <c r="E529" s="763"/>
      <c r="F529" s="763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40">
        <v>0</v>
      </c>
      <c r="O529" s="498"/>
      <c r="P529" s="49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</row>
    <row r="530" spans="1:26" ht="18.75" hidden="1">
      <c r="A530" s="574"/>
      <c r="B530" s="575"/>
      <c r="C530" s="763"/>
      <c r="D530" s="763"/>
      <c r="E530" s="763"/>
      <c r="F530" s="763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40">
        <v>0</v>
      </c>
      <c r="O530" s="498"/>
      <c r="P530" s="49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</row>
    <row r="531" spans="1:26" ht="18.75" hidden="1">
      <c r="A531" s="574"/>
      <c r="B531" s="575"/>
      <c r="C531" s="763"/>
      <c r="D531" s="763"/>
      <c r="E531" s="763"/>
      <c r="F531" s="763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40">
        <v>0</v>
      </c>
      <c r="O531" s="498"/>
      <c r="P531" s="49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</row>
    <row r="532" spans="1:26" ht="18.75" hidden="1">
      <c r="A532" s="574"/>
      <c r="B532" s="575"/>
      <c r="C532" s="763"/>
      <c r="D532" s="763"/>
      <c r="E532" s="763"/>
      <c r="F532" s="763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40">
        <v>0</v>
      </c>
      <c r="O532" s="498"/>
      <c r="P532" s="49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</row>
    <row r="533" spans="1:26" ht="18.75" hidden="1">
      <c r="A533" s="597"/>
      <c r="B533" s="575"/>
      <c r="C533" s="763"/>
      <c r="D533" s="606" t="s">
        <v>21</v>
      </c>
      <c r="E533" s="763"/>
      <c r="F533" s="763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</row>
    <row r="534" spans="1:26" ht="18.75" hidden="1">
      <c r="A534" s="599"/>
      <c r="B534" s="607"/>
      <c r="C534" s="759"/>
      <c r="D534" s="759"/>
      <c r="E534" s="759" t="s">
        <v>18</v>
      </c>
      <c r="F534" s="759"/>
      <c r="G534" s="603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4"/>
      <c r="R534" s="604"/>
      <c r="S534" s="604"/>
      <c r="T534" s="604"/>
      <c r="U534" s="604"/>
      <c r="V534" s="604"/>
      <c r="W534" s="604"/>
      <c r="X534" s="604"/>
      <c r="Y534" s="604"/>
      <c r="Z534" s="604"/>
    </row>
    <row r="535" spans="1:26" ht="18.75" hidden="1">
      <c r="A535" s="599"/>
      <c r="B535" s="607"/>
      <c r="C535" s="759"/>
      <c r="D535" s="759"/>
      <c r="E535" s="759" t="s">
        <v>19</v>
      </c>
      <c r="F535" s="759"/>
      <c r="G535" s="603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4"/>
      <c r="R535" s="604"/>
      <c r="S535" s="604"/>
      <c r="T535" s="604"/>
      <c r="U535" s="604"/>
      <c r="V535" s="604"/>
      <c r="W535" s="604"/>
      <c r="X535" s="604"/>
      <c r="Y535" s="604"/>
      <c r="Z535" s="604"/>
    </row>
    <row r="536" spans="1:26" ht="19.5" hidden="1">
      <c r="A536" s="608"/>
      <c r="B536" s="618"/>
      <c r="C536" s="763" t="s">
        <v>16</v>
      </c>
      <c r="D536" s="896" t="s">
        <v>38</v>
      </c>
      <c r="E536" s="761"/>
      <c r="F536" s="761"/>
      <c r="G536" s="613"/>
      <c r="H536" s="762"/>
      <c r="I536" s="184"/>
      <c r="J536" s="184"/>
      <c r="K536" s="163"/>
      <c r="L536" s="163"/>
      <c r="M536" s="163"/>
      <c r="N536" s="163"/>
      <c r="O536" s="163"/>
      <c r="P536" s="163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</row>
    <row r="537" spans="1:26" ht="19.5" hidden="1">
      <c r="A537" s="574"/>
      <c r="B537" s="575"/>
      <c r="C537" s="763"/>
      <c r="D537" s="763" t="s">
        <v>228</v>
      </c>
      <c r="E537" s="763"/>
      <c r="F537" s="763"/>
      <c r="G537" s="189"/>
      <c r="H537" s="623" t="s">
        <v>35</v>
      </c>
      <c r="I537" s="681">
        <f ca="1">IFERROR(__xludf.DUMMYFUNCTION("IMPORTRANGE(""https://docs.google.com/spreadsheets/d/1QqKyyYR6Q21VydFLVH3TRQUabQu_ym0Zz7PgGX0-kHA/edit?usp=sharing"",""แผน!GU47"")"),0)</f>
        <v>0</v>
      </c>
      <c r="J537" s="681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2"/>
      <c r="R537" s="682"/>
      <c r="S537" s="682"/>
      <c r="T537" s="682"/>
      <c r="U537" s="682"/>
      <c r="V537" s="682"/>
      <c r="W537" s="682"/>
      <c r="X537" s="682"/>
      <c r="Y537" s="682"/>
      <c r="Z537" s="682"/>
    </row>
    <row r="538" spans="1:26" ht="18.75" hidden="1">
      <c r="A538" s="574"/>
      <c r="B538" s="575"/>
      <c r="C538" s="763"/>
      <c r="D538" s="763"/>
      <c r="E538" s="763" t="s">
        <v>229</v>
      </c>
      <c r="F538" s="763"/>
      <c r="G538" s="189"/>
      <c r="H538" s="623" t="s">
        <v>35</v>
      </c>
      <c r="I538" s="270">
        <f ca="1">IFERROR(__xludf.DUMMYFUNCTION("IMPORTRANGE(""https://docs.google.com/spreadsheets/d/1QqKyyYR6Q21VydFLVH3TRQUabQu_ym0Zz7PgGX0-kHA/edit?usp=sharing"",""แผน!GV47"")"),0)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2"/>
      <c r="R538" s="682"/>
      <c r="S538" s="682"/>
      <c r="T538" s="682"/>
      <c r="U538" s="682"/>
      <c r="V538" s="682"/>
      <c r="W538" s="682"/>
      <c r="X538" s="682"/>
      <c r="Y538" s="682"/>
      <c r="Z538" s="682"/>
    </row>
    <row r="539" spans="1:26" ht="18.75" hidden="1">
      <c r="A539" s="574"/>
      <c r="B539" s="575"/>
      <c r="C539" s="763"/>
      <c r="D539" s="763"/>
      <c r="E539" s="763" t="s">
        <v>230</v>
      </c>
      <c r="F539" s="763"/>
      <c r="G539" s="189"/>
      <c r="H539" s="623" t="s">
        <v>35</v>
      </c>
      <c r="I539" s="270">
        <f ca="1">IFERROR(__xludf.DUMMYFUNCTION("IMPORTRANGE(""https://docs.google.com/spreadsheets/d/1QqKyyYR6Q21VydFLVH3TRQUabQu_ym0Zz7PgGX0-kHA/edit?usp=sharing"",""แผน!GW47"")"),0)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2"/>
      <c r="R539" s="682"/>
      <c r="S539" s="682"/>
      <c r="T539" s="682"/>
      <c r="U539" s="682"/>
      <c r="V539" s="682"/>
      <c r="W539" s="682"/>
      <c r="X539" s="682"/>
      <c r="Y539" s="682"/>
      <c r="Z539" s="682"/>
    </row>
    <row r="540" spans="1:26" ht="18.75" hidden="1">
      <c r="A540" s="574"/>
      <c r="B540" s="575"/>
      <c r="C540" s="763"/>
      <c r="D540" s="763"/>
      <c r="E540" s="763" t="s">
        <v>231</v>
      </c>
      <c r="F540" s="763"/>
      <c r="G540" s="189"/>
      <c r="H540" s="623" t="s">
        <v>35</v>
      </c>
      <c r="I540" s="270">
        <f ca="1">IFERROR(__xludf.DUMMYFUNCTION("IMPORTRANGE(""https://docs.google.com/spreadsheets/d/1QqKyyYR6Q21VydFLVH3TRQUabQu_ym0Zz7PgGX0-kHA/edit?usp=sharing"",""แผน!GX47"")"),0)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2"/>
      <c r="R540" s="682"/>
      <c r="S540" s="682"/>
      <c r="T540" s="682"/>
      <c r="U540" s="682"/>
      <c r="V540" s="682"/>
      <c r="W540" s="682"/>
      <c r="X540" s="682"/>
      <c r="Y540" s="682"/>
      <c r="Z540" s="682"/>
    </row>
    <row r="541" spans="1:26" ht="18.75" hidden="1">
      <c r="A541" s="574"/>
      <c r="B541" s="575"/>
      <c r="C541" s="763"/>
      <c r="D541" s="763"/>
      <c r="E541" s="769" t="s">
        <v>232</v>
      </c>
      <c r="F541" s="763"/>
      <c r="G541" s="189"/>
      <c r="H541" s="623" t="s">
        <v>35</v>
      </c>
      <c r="I541" s="270">
        <f ca="1">IFERROR(__xludf.DUMMYFUNCTION("IMPORTRANGE(""https://docs.google.com/spreadsheets/d/1QqKyyYR6Q21VydFLVH3TRQUabQu_ym0Zz7PgGX0-kHA/edit?usp=sharing"",""แผน!GY47"")"),0)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2"/>
      <c r="R541" s="682"/>
      <c r="S541" s="682"/>
      <c r="T541" s="682"/>
      <c r="U541" s="682"/>
      <c r="V541" s="682"/>
      <c r="W541" s="682"/>
      <c r="X541" s="682"/>
      <c r="Y541" s="682"/>
      <c r="Z541" s="682"/>
    </row>
    <row r="542" spans="1:26" ht="18.75" hidden="1">
      <c r="A542" s="574"/>
      <c r="B542" s="575"/>
      <c r="C542" s="763"/>
      <c r="D542" s="763" t="s">
        <v>59</v>
      </c>
      <c r="E542" s="763"/>
      <c r="F542" s="763"/>
      <c r="G542" s="189"/>
      <c r="H542" s="623" t="s">
        <v>35</v>
      </c>
      <c r="I542" s="270">
        <f ca="1">IFERROR(__xludf.DUMMYFUNCTION("IMPORTRANGE(""https://docs.google.com/spreadsheets/d/1QqKyyYR6Q21VydFLVH3TRQUabQu_ym0Zz7PgGX0-kHA/edit?usp=sharing"",""แผน!GZ47"")"),0)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2"/>
      <c r="R542" s="682"/>
      <c r="S542" s="682"/>
      <c r="T542" s="682"/>
      <c r="U542" s="682"/>
      <c r="V542" s="682"/>
      <c r="W542" s="682"/>
      <c r="X542" s="682"/>
      <c r="Y542" s="682"/>
      <c r="Z542" s="682"/>
    </row>
    <row r="543" spans="1:26" ht="19.5">
      <c r="A543" s="664">
        <v>6</v>
      </c>
      <c r="B543" s="685" t="s">
        <v>233</v>
      </c>
      <c r="C543" s="667"/>
      <c r="D543" s="667"/>
      <c r="E543" s="667"/>
      <c r="F543" s="667"/>
      <c r="G543" s="668"/>
      <c r="H543" s="686" t="s">
        <v>46</v>
      </c>
      <c r="I543" s="687">
        <f t="shared" ref="I543:J543" ca="1" si="235">I559</f>
        <v>3345.6617999999999</v>
      </c>
      <c r="J543" s="687">
        <f t="shared" si="235"/>
        <v>3345.6618000000003</v>
      </c>
      <c r="K543" s="688">
        <f t="shared" ca="1" si="234"/>
        <v>100.00000000000001</v>
      </c>
      <c r="L543" s="670"/>
      <c r="M543" s="670"/>
      <c r="N543" s="670"/>
      <c r="O543" s="670"/>
      <c r="P543" s="670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</row>
    <row r="544" spans="1:26" ht="19.5">
      <c r="A544" s="689"/>
      <c r="B544" s="690"/>
      <c r="C544" s="690" t="s">
        <v>16</v>
      </c>
      <c r="D544" s="897" t="s">
        <v>17</v>
      </c>
      <c r="E544" s="862"/>
      <c r="F544" s="862"/>
      <c r="G544" s="691"/>
      <c r="H544" s="275" t="s">
        <v>12</v>
      </c>
      <c r="I544" s="420"/>
      <c r="J544" s="420"/>
      <c r="K544" s="154"/>
      <c r="L544" s="155">
        <f t="shared" ref="L544:N544" ca="1" si="236">L545+L546</f>
        <v>390611</v>
      </c>
      <c r="M544" s="155">
        <f t="shared" ca="1" si="236"/>
        <v>389735</v>
      </c>
      <c r="N544" s="155">
        <f t="shared" si="236"/>
        <v>389735</v>
      </c>
      <c r="O544" s="155">
        <f t="shared" ref="O544:O549" ca="1" si="237">IF(L544&gt;0,N544*100/L544,0)</f>
        <v>99.775735962376885</v>
      </c>
      <c r="P544" s="155">
        <f t="shared" ref="P544:P549" ca="1" si="238">IF(M544&gt;0,N544*100/M544,0)</f>
        <v>100</v>
      </c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</row>
    <row r="545" spans="1:26" ht="18.75" hidden="1">
      <c r="A545" s="599"/>
      <c r="B545" s="759"/>
      <c r="C545" s="759"/>
      <c r="D545" s="759"/>
      <c r="E545" s="759" t="s">
        <v>185</v>
      </c>
      <c r="F545" s="759"/>
      <c r="G545" s="603"/>
      <c r="H545" s="165" t="s">
        <v>12</v>
      </c>
      <c r="I545" s="617"/>
      <c r="J545" s="617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4"/>
      <c r="R545" s="604"/>
      <c r="S545" s="604"/>
      <c r="T545" s="604"/>
      <c r="U545" s="604"/>
      <c r="V545" s="604"/>
      <c r="W545" s="604"/>
      <c r="X545" s="604"/>
      <c r="Y545" s="604"/>
      <c r="Z545" s="604"/>
    </row>
    <row r="546" spans="1:26" ht="18.75" hidden="1">
      <c r="A546" s="599"/>
      <c r="B546" s="607"/>
      <c r="C546" s="759"/>
      <c r="D546" s="759"/>
      <c r="E546" s="759" t="s">
        <v>186</v>
      </c>
      <c r="F546" s="759"/>
      <c r="G546" s="603"/>
      <c r="H546" s="165" t="s">
        <v>12</v>
      </c>
      <c r="I546" s="617"/>
      <c r="J546" s="617"/>
      <c r="K546" s="93"/>
      <c r="L546" s="93">
        <f t="shared" ca="1" si="239"/>
        <v>390611</v>
      </c>
      <c r="M546" s="93">
        <f t="shared" ca="1" si="240"/>
        <v>389735</v>
      </c>
      <c r="N546" s="93">
        <f t="shared" si="240"/>
        <v>389735</v>
      </c>
      <c r="O546" s="93">
        <f t="shared" ca="1" si="237"/>
        <v>99.775735962376885</v>
      </c>
      <c r="P546" s="93">
        <f t="shared" ca="1" si="238"/>
        <v>100</v>
      </c>
      <c r="Q546" s="604"/>
      <c r="R546" s="604"/>
      <c r="S546" s="604"/>
      <c r="T546" s="604"/>
      <c r="U546" s="604"/>
      <c r="V546" s="604"/>
      <c r="W546" s="604"/>
      <c r="X546" s="604"/>
      <c r="Y546" s="604"/>
      <c r="Z546" s="604"/>
    </row>
    <row r="547" spans="1:26" ht="18.75">
      <c r="A547" s="597"/>
      <c r="B547" s="575"/>
      <c r="C547" s="763"/>
      <c r="D547" s="606" t="s">
        <v>20</v>
      </c>
      <c r="E547" s="763"/>
      <c r="F547" s="763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390611</v>
      </c>
      <c r="M547" s="498">
        <f t="shared" ca="1" si="241"/>
        <v>389735</v>
      </c>
      <c r="N547" s="498">
        <f t="shared" si="241"/>
        <v>389735</v>
      </c>
      <c r="O547" s="498">
        <f t="shared" ca="1" si="237"/>
        <v>99.775735962376885</v>
      </c>
      <c r="P547" s="498">
        <f t="shared" ca="1" si="238"/>
        <v>100</v>
      </c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</row>
    <row r="548" spans="1:26" ht="18.75" hidden="1">
      <c r="A548" s="599"/>
      <c r="B548" s="607"/>
      <c r="C548" s="759"/>
      <c r="D548" s="720"/>
      <c r="E548" s="759" t="s">
        <v>185</v>
      </c>
      <c r="F548" s="759"/>
      <c r="G548" s="603"/>
      <c r="H548" s="165" t="s">
        <v>12</v>
      </c>
      <c r="I548" s="617"/>
      <c r="J548" s="617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4"/>
      <c r="R548" s="604"/>
      <c r="S548" s="604"/>
      <c r="T548" s="604"/>
      <c r="U548" s="604"/>
      <c r="V548" s="604"/>
      <c r="W548" s="604"/>
      <c r="X548" s="604"/>
      <c r="Y548" s="604"/>
      <c r="Z548" s="604"/>
    </row>
    <row r="549" spans="1:26" ht="18.75" hidden="1">
      <c r="A549" s="599"/>
      <c r="B549" s="607"/>
      <c r="C549" s="759"/>
      <c r="D549" s="720"/>
      <c r="E549" s="759" t="s">
        <v>186</v>
      </c>
      <c r="F549" s="759"/>
      <c r="G549" s="603"/>
      <c r="H549" s="165" t="s">
        <v>12</v>
      </c>
      <c r="I549" s="617"/>
      <c r="J549" s="617"/>
      <c r="K549" s="93"/>
      <c r="L549" s="93">
        <f ca="1">IFERROR(__xludf.DUMMYFUNCTION("IMPORTRANGE(""https://docs.google.com/spreadsheets/d/1QqKyyYR6Q21VydFLVH3TRQUabQu_ym0Zz7PgGX0-kHA/edit?usp=sharing"",""แผน!HB47"")"),390611)</f>
        <v>390611</v>
      </c>
      <c r="M549" s="93">
        <f ca="1">L549-876</f>
        <v>389735</v>
      </c>
      <c r="N549" s="93">
        <f>N550+N551+N552+N553+N554</f>
        <v>389735</v>
      </c>
      <c r="O549" s="93">
        <f t="shared" ca="1" si="237"/>
        <v>99.775735962376885</v>
      </c>
      <c r="P549" s="93">
        <f t="shared" ca="1" si="238"/>
        <v>100</v>
      </c>
      <c r="Q549" s="604"/>
      <c r="R549" s="604"/>
      <c r="S549" s="604"/>
      <c r="T549" s="604"/>
      <c r="U549" s="604"/>
      <c r="V549" s="604"/>
      <c r="W549" s="604"/>
      <c r="X549" s="604"/>
      <c r="Y549" s="604"/>
      <c r="Z549" s="604"/>
    </row>
    <row r="550" spans="1:26" ht="18.75">
      <c r="A550" s="574"/>
      <c r="B550" s="575"/>
      <c r="C550" s="763"/>
      <c r="D550" s="763"/>
      <c r="E550" s="763"/>
      <c r="F550" s="763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40">
        <v>0</v>
      </c>
      <c r="O550" s="498"/>
      <c r="P550" s="49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</row>
    <row r="551" spans="1:26" ht="18.75">
      <c r="A551" s="574"/>
      <c r="B551" s="575"/>
      <c r="C551" s="575"/>
      <c r="D551" s="575"/>
      <c r="E551" s="763"/>
      <c r="F551" s="763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40">
        <v>0</v>
      </c>
      <c r="O551" s="498"/>
      <c r="P551" s="49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</row>
    <row r="552" spans="1:26" ht="18.75">
      <c r="A552" s="574"/>
      <c r="B552" s="575"/>
      <c r="C552" s="763"/>
      <c r="D552" s="763"/>
      <c r="E552" s="763"/>
      <c r="F552" s="763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40">
        <v>142124</v>
      </c>
      <c r="O552" s="498"/>
      <c r="P552" s="498"/>
      <c r="Q552" s="578"/>
      <c r="R552" s="578"/>
      <c r="S552" s="578"/>
      <c r="T552" s="578"/>
      <c r="U552" s="578"/>
      <c r="V552" s="578"/>
      <c r="W552" s="578"/>
      <c r="X552" s="578"/>
      <c r="Y552" s="578"/>
      <c r="Z552" s="578"/>
    </row>
    <row r="553" spans="1:26" ht="18.75">
      <c r="A553" s="574"/>
      <c r="B553" s="575"/>
      <c r="C553" s="575"/>
      <c r="D553" s="575"/>
      <c r="E553" s="763"/>
      <c r="F553" s="763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40">
        <v>247611</v>
      </c>
      <c r="O553" s="498"/>
      <c r="P553" s="49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</row>
    <row r="554" spans="1:26" ht="18.75">
      <c r="A554" s="574"/>
      <c r="B554" s="575"/>
      <c r="C554" s="575"/>
      <c r="D554" s="575"/>
      <c r="E554" s="763"/>
      <c r="F554" s="763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40">
        <v>0</v>
      </c>
      <c r="O554" s="498"/>
      <c r="P554" s="49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</row>
    <row r="555" spans="1:26" ht="18.75">
      <c r="A555" s="597"/>
      <c r="B555" s="575"/>
      <c r="C555" s="575"/>
      <c r="D555" s="606" t="s">
        <v>21</v>
      </c>
      <c r="E555" s="763"/>
      <c r="F555" s="763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</row>
    <row r="556" spans="1:26" ht="18.75" hidden="1">
      <c r="A556" s="599"/>
      <c r="B556" s="607"/>
      <c r="C556" s="607"/>
      <c r="D556" s="759"/>
      <c r="E556" s="759" t="s">
        <v>18</v>
      </c>
      <c r="F556" s="759"/>
      <c r="G556" s="603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4"/>
      <c r="R556" s="604"/>
      <c r="S556" s="604"/>
      <c r="T556" s="604"/>
      <c r="U556" s="604"/>
      <c r="V556" s="604"/>
      <c r="W556" s="604"/>
      <c r="X556" s="604"/>
      <c r="Y556" s="604"/>
      <c r="Z556" s="604"/>
    </row>
    <row r="557" spans="1:26" ht="18.75" hidden="1">
      <c r="A557" s="599"/>
      <c r="B557" s="607"/>
      <c r="C557" s="607"/>
      <c r="D557" s="759"/>
      <c r="E557" s="759" t="s">
        <v>19</v>
      </c>
      <c r="F557" s="759"/>
      <c r="G557" s="603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4"/>
      <c r="R557" s="604"/>
      <c r="S557" s="604"/>
      <c r="T557" s="604"/>
      <c r="U557" s="604"/>
      <c r="V557" s="604"/>
      <c r="W557" s="604"/>
      <c r="X557" s="604"/>
      <c r="Y557" s="604"/>
      <c r="Z557" s="604"/>
    </row>
    <row r="558" spans="1:26" ht="19.5">
      <c r="A558" s="608"/>
      <c r="B558" s="618"/>
      <c r="C558" s="575" t="s">
        <v>16</v>
      </c>
      <c r="D558" s="896" t="s">
        <v>38</v>
      </c>
      <c r="E558" s="761"/>
      <c r="F558" s="761"/>
      <c r="G558" s="613"/>
      <c r="H558" s="762"/>
      <c r="I558" s="184"/>
      <c r="J558" s="184"/>
      <c r="K558" s="163"/>
      <c r="L558" s="163"/>
      <c r="M558" s="163"/>
      <c r="N558" s="163"/>
      <c r="O558" s="163"/>
      <c r="P558" s="163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</row>
    <row r="559" spans="1:26" ht="19.5">
      <c r="A559" s="692"/>
      <c r="B559" s="693" t="s">
        <v>235</v>
      </c>
      <c r="C559" s="694"/>
      <c r="D559" s="694"/>
      <c r="E559" s="673"/>
      <c r="F559" s="673"/>
      <c r="G559" s="674"/>
      <c r="H559" s="695" t="s">
        <v>46</v>
      </c>
      <c r="I559" s="708">
        <f t="shared" ref="I559:J559" ca="1" si="245">I576</f>
        <v>3345.6617999999999</v>
      </c>
      <c r="J559" s="708">
        <f t="shared" si="245"/>
        <v>3345.6618000000003</v>
      </c>
      <c r="K559" s="677">
        <f t="shared" ref="K559:K561" ca="1" si="246">IF(I559&gt;0,J559*100/I559,0)</f>
        <v>100.00000000000001</v>
      </c>
      <c r="L559" s="678"/>
      <c r="M559" s="678"/>
      <c r="N559" s="678"/>
      <c r="O559" s="678"/>
      <c r="P559" s="6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</row>
    <row r="560" spans="1:26" ht="19.5">
      <c r="A560" s="608"/>
      <c r="B560" s="618"/>
      <c r="C560" s="625" t="s">
        <v>236</v>
      </c>
      <c r="D560" s="618"/>
      <c r="E560" s="626"/>
      <c r="F560" s="626"/>
      <c r="G560" s="762"/>
      <c r="H560" s="767" t="s">
        <v>46</v>
      </c>
      <c r="I560" s="193">
        <f ca="1">IFERROR(__xludf.DUMMYFUNCTION("IMPORTRANGE(""https://docs.google.com/spreadsheets/d/1QqKyyYR6Q21VydFLVH3TRQUabQu_ym0Zz7PgGX0-kHA/edit?usp=sharing"",""แผน!HH47"")"),3345.6618)</f>
        <v>3345.6617999999999</v>
      </c>
      <c r="J560" s="193">
        <f t="shared" ref="J560:J561" si="247">J562+J564+J566</f>
        <v>3528.72</v>
      </c>
      <c r="K560" s="411">
        <f t="shared" ca="1" si="246"/>
        <v>105.47150940361037</v>
      </c>
      <c r="L560" s="163"/>
      <c r="M560" s="163"/>
      <c r="N560" s="163"/>
      <c r="O560" s="163"/>
      <c r="P560" s="163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</row>
    <row r="561" spans="1:26" ht="19.5">
      <c r="A561" s="608"/>
      <c r="B561" s="618"/>
      <c r="C561" s="618"/>
      <c r="D561" s="626"/>
      <c r="E561" s="626"/>
      <c r="F561" s="626"/>
      <c r="G561" s="762"/>
      <c r="H561" s="767" t="s">
        <v>34</v>
      </c>
      <c r="I561" s="193">
        <f ca="1">IFERROR(__xludf.DUMMYFUNCTION("IMPORTRANGE(""https://docs.google.com/spreadsheets/d/1QqKyyYR6Q21VydFLVH3TRQUabQu_ym0Zz7PgGX0-kHA/edit?usp=sharing"",""แผน!HG47"")"),1178)</f>
        <v>1178</v>
      </c>
      <c r="J561" s="193">
        <f t="shared" si="247"/>
        <v>1220</v>
      </c>
      <c r="K561" s="411">
        <f t="shared" ca="1" si="246"/>
        <v>103.56536502546689</v>
      </c>
      <c r="L561" s="163"/>
      <c r="M561" s="163"/>
      <c r="N561" s="163"/>
      <c r="O561" s="163"/>
      <c r="P561" s="163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</row>
    <row r="562" spans="1:26" ht="18.75">
      <c r="A562" s="608"/>
      <c r="B562" s="618"/>
      <c r="C562" s="618"/>
      <c r="D562" s="626" t="s">
        <v>237</v>
      </c>
      <c r="E562" s="626"/>
      <c r="F562" s="626"/>
      <c r="G562" s="762"/>
      <c r="H562" s="764" t="s">
        <v>46</v>
      </c>
      <c r="I562" s="184"/>
      <c r="J562" s="215">
        <v>3138.22</v>
      </c>
      <c r="K562" s="163"/>
      <c r="L562" s="163"/>
      <c r="M562" s="163"/>
      <c r="N562" s="163"/>
      <c r="O562" s="163"/>
      <c r="P562" s="163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</row>
    <row r="563" spans="1:26" ht="18.75">
      <c r="A563" s="608"/>
      <c r="B563" s="618"/>
      <c r="C563" s="618"/>
      <c r="D563" s="618"/>
      <c r="E563" s="626"/>
      <c r="F563" s="626"/>
      <c r="G563" s="762"/>
      <c r="H563" s="764" t="s">
        <v>34</v>
      </c>
      <c r="I563" s="184"/>
      <c r="J563" s="215">
        <v>1122</v>
      </c>
      <c r="K563" s="163"/>
      <c r="L563" s="163"/>
      <c r="M563" s="163"/>
      <c r="N563" s="163"/>
      <c r="O563" s="163"/>
      <c r="P563" s="163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</row>
    <row r="564" spans="1:26" ht="18.75">
      <c r="A564" s="608"/>
      <c r="B564" s="618"/>
      <c r="C564" s="618"/>
      <c r="D564" s="626" t="s">
        <v>238</v>
      </c>
      <c r="E564" s="626"/>
      <c r="F564" s="626"/>
      <c r="G564" s="762"/>
      <c r="H564" s="764" t="s">
        <v>46</v>
      </c>
      <c r="I564" s="184"/>
      <c r="J564" s="215">
        <v>304</v>
      </c>
      <c r="K564" s="163"/>
      <c r="L564" s="163"/>
      <c r="M564" s="163"/>
      <c r="N564" s="163"/>
      <c r="O564" s="163"/>
      <c r="P564" s="163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</row>
    <row r="565" spans="1:26" ht="18.75">
      <c r="A565" s="608"/>
      <c r="B565" s="618"/>
      <c r="C565" s="618"/>
      <c r="D565" s="626"/>
      <c r="E565" s="626"/>
      <c r="F565" s="626"/>
      <c r="G565" s="762"/>
      <c r="H565" s="764" t="s">
        <v>34</v>
      </c>
      <c r="I565" s="184"/>
      <c r="J565" s="215">
        <v>80</v>
      </c>
      <c r="K565" s="163"/>
      <c r="L565" s="163"/>
      <c r="M565" s="163"/>
      <c r="N565" s="163"/>
      <c r="O565" s="163"/>
      <c r="P565" s="163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</row>
    <row r="566" spans="1:26" ht="18.75">
      <c r="A566" s="608"/>
      <c r="B566" s="618"/>
      <c r="C566" s="618"/>
      <c r="D566" s="626" t="s">
        <v>239</v>
      </c>
      <c r="E566" s="626"/>
      <c r="F566" s="626"/>
      <c r="G566" s="762"/>
      <c r="H566" s="764" t="s">
        <v>46</v>
      </c>
      <c r="I566" s="184"/>
      <c r="J566" s="215">
        <v>86.5</v>
      </c>
      <c r="K566" s="163"/>
      <c r="L566" s="163"/>
      <c r="M566" s="163"/>
      <c r="N566" s="163"/>
      <c r="O566" s="163"/>
      <c r="P566" s="163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</row>
    <row r="567" spans="1:26" ht="18.75">
      <c r="A567" s="608"/>
      <c r="B567" s="618"/>
      <c r="C567" s="618"/>
      <c r="D567" s="626"/>
      <c r="E567" s="626"/>
      <c r="F567" s="626"/>
      <c r="G567" s="762"/>
      <c r="H567" s="764" t="s">
        <v>34</v>
      </c>
      <c r="I567" s="184"/>
      <c r="J567" s="215">
        <v>18</v>
      </c>
      <c r="K567" s="163"/>
      <c r="L567" s="163"/>
      <c r="M567" s="163"/>
      <c r="N567" s="163"/>
      <c r="O567" s="163"/>
      <c r="P567" s="163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</row>
    <row r="568" spans="1:26" ht="19.5">
      <c r="A568" s="608"/>
      <c r="B568" s="618"/>
      <c r="C568" s="625" t="s">
        <v>240</v>
      </c>
      <c r="D568" s="626"/>
      <c r="E568" s="626"/>
      <c r="F568" s="626"/>
      <c r="G568" s="762"/>
      <c r="H568" s="767" t="s">
        <v>46</v>
      </c>
      <c r="I568" s="193">
        <f ca="1">IFERROR(__xludf.DUMMYFUNCTION("IMPORTRANGE(""https://docs.google.com/spreadsheets/d/1QqKyyYR6Q21VydFLVH3TRQUabQu_ym0Zz7PgGX0-kHA/edit?usp=sharing"",""แผน!HH47"")"),3345.6618)</f>
        <v>3345.6617999999999</v>
      </c>
      <c r="J568" s="681">
        <f t="shared" ref="J568:J569" si="248">J570+J572+J574</f>
        <v>3345.5</v>
      </c>
      <c r="K568" s="411">
        <f t="shared" ref="K568:K569" ca="1" si="249">IF(I568&gt;0,J568*100/I568,0)</f>
        <v>99.995163886559013</v>
      </c>
      <c r="L568" s="163"/>
      <c r="M568" s="163"/>
      <c r="N568" s="163"/>
      <c r="O568" s="163"/>
      <c r="P568" s="163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</row>
    <row r="569" spans="1:26" ht="19.5">
      <c r="A569" s="608"/>
      <c r="B569" s="618"/>
      <c r="C569" s="618"/>
      <c r="D569" s="618"/>
      <c r="E569" s="626"/>
      <c r="F569" s="626"/>
      <c r="G569" s="762"/>
      <c r="H569" s="767" t="s">
        <v>34</v>
      </c>
      <c r="I569" s="193">
        <f ca="1">IFERROR(__xludf.DUMMYFUNCTION("IMPORTRANGE(""https://docs.google.com/spreadsheets/d/1QqKyyYR6Q21VydFLVH3TRQUabQu_ym0Zz7PgGX0-kHA/edit?usp=sharing"",""แผน!HG47"")"),1178)</f>
        <v>1178</v>
      </c>
      <c r="J569" s="681">
        <f t="shared" si="248"/>
        <v>1178</v>
      </c>
      <c r="K569" s="411">
        <f t="shared" ca="1" si="249"/>
        <v>100</v>
      </c>
      <c r="L569" s="163"/>
      <c r="M569" s="163"/>
      <c r="N569" s="163"/>
      <c r="O569" s="163"/>
      <c r="P569" s="163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</row>
    <row r="570" spans="1:26" ht="18.75">
      <c r="A570" s="608"/>
      <c r="B570" s="618"/>
      <c r="C570" s="618"/>
      <c r="D570" s="626" t="s">
        <v>241</v>
      </c>
      <c r="E570" s="618"/>
      <c r="F570" s="626"/>
      <c r="G570" s="762"/>
      <c r="H570" s="764" t="s">
        <v>46</v>
      </c>
      <c r="I570" s="184"/>
      <c r="J570" s="215">
        <v>3025.6</v>
      </c>
      <c r="K570" s="163"/>
      <c r="L570" s="163"/>
      <c r="M570" s="163"/>
      <c r="N570" s="163"/>
      <c r="O570" s="163"/>
      <c r="P570" s="163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</row>
    <row r="571" spans="1:26" ht="18.75">
      <c r="A571" s="608"/>
      <c r="B571" s="618"/>
      <c r="C571" s="618"/>
      <c r="D571" s="618"/>
      <c r="E571" s="626"/>
      <c r="F571" s="626"/>
      <c r="G571" s="762"/>
      <c r="H571" s="764" t="s">
        <v>34</v>
      </c>
      <c r="I571" s="184"/>
      <c r="J571" s="215">
        <v>1088</v>
      </c>
      <c r="K571" s="163"/>
      <c r="L571" s="163"/>
      <c r="M571" s="163"/>
      <c r="N571" s="163"/>
      <c r="O571" s="163"/>
      <c r="P571" s="163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</row>
    <row r="572" spans="1:26" ht="18.75">
      <c r="A572" s="608"/>
      <c r="B572" s="618"/>
      <c r="C572" s="618"/>
      <c r="D572" s="626" t="s">
        <v>242</v>
      </c>
      <c r="E572" s="626"/>
      <c r="F572" s="626"/>
      <c r="G572" s="762"/>
      <c r="H572" s="764" t="s">
        <v>46</v>
      </c>
      <c r="I572" s="184"/>
      <c r="J572" s="215">
        <v>233.4</v>
      </c>
      <c r="K572" s="163"/>
      <c r="L572" s="163"/>
      <c r="M572" s="163"/>
      <c r="N572" s="163"/>
      <c r="O572" s="163"/>
      <c r="P572" s="163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</row>
    <row r="573" spans="1:26" ht="18.75">
      <c r="A573" s="608"/>
      <c r="B573" s="618"/>
      <c r="C573" s="618"/>
      <c r="D573" s="626"/>
      <c r="E573" s="626"/>
      <c r="F573" s="626"/>
      <c r="G573" s="762"/>
      <c r="H573" s="764" t="s">
        <v>34</v>
      </c>
      <c r="I573" s="184"/>
      <c r="J573" s="215">
        <v>72</v>
      </c>
      <c r="K573" s="163"/>
      <c r="L573" s="163"/>
      <c r="M573" s="163"/>
      <c r="N573" s="163"/>
      <c r="O573" s="163"/>
      <c r="P573" s="163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</row>
    <row r="574" spans="1:26" ht="18.75">
      <c r="A574" s="608"/>
      <c r="B574" s="618"/>
      <c r="C574" s="618"/>
      <c r="D574" s="626" t="s">
        <v>243</v>
      </c>
      <c r="E574" s="626"/>
      <c r="F574" s="626"/>
      <c r="G574" s="762"/>
      <c r="H574" s="764" t="s">
        <v>46</v>
      </c>
      <c r="I574" s="184"/>
      <c r="J574" s="215">
        <v>86.5</v>
      </c>
      <c r="K574" s="163"/>
      <c r="L574" s="163"/>
      <c r="M574" s="163"/>
      <c r="N574" s="163"/>
      <c r="O574" s="163"/>
      <c r="P574" s="163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</row>
    <row r="575" spans="1:26" ht="18.75">
      <c r="A575" s="608"/>
      <c r="B575" s="618"/>
      <c r="C575" s="618"/>
      <c r="D575" s="618"/>
      <c r="E575" s="626"/>
      <c r="F575" s="626"/>
      <c r="G575" s="762"/>
      <c r="H575" s="764" t="s">
        <v>34</v>
      </c>
      <c r="I575" s="184"/>
      <c r="J575" s="215">
        <v>18</v>
      </c>
      <c r="K575" s="163"/>
      <c r="L575" s="163"/>
      <c r="M575" s="163"/>
      <c r="N575" s="163"/>
      <c r="O575" s="163"/>
      <c r="P575" s="163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</row>
    <row r="576" spans="1:26" ht="19.5">
      <c r="A576" s="608"/>
      <c r="B576" s="618"/>
      <c r="C576" s="625" t="s">
        <v>244</v>
      </c>
      <c r="D576" s="618"/>
      <c r="E576" s="618"/>
      <c r="F576" s="626"/>
      <c r="G576" s="762"/>
      <c r="H576" s="767" t="s">
        <v>46</v>
      </c>
      <c r="I576" s="193">
        <f ca="1">IFERROR(__xludf.DUMMYFUNCTION("IMPORTRANGE(""https://docs.google.com/spreadsheets/d/1QqKyyYR6Q21VydFLVH3TRQUabQu_ym0Zz7PgGX0-kHA/edit?usp=sharing"",""แผน!HH47"")"),3345.6618)</f>
        <v>3345.6617999999999</v>
      </c>
      <c r="J576" s="681">
        <f t="shared" ref="J576:J577" si="250">J578+J580+J582+J588+J590</f>
        <v>3345.6618000000003</v>
      </c>
      <c r="K576" s="411">
        <f t="shared" ref="K576:K577" ca="1" si="251">IF(I576&gt;0,J576*100/I576,0)</f>
        <v>100.00000000000001</v>
      </c>
      <c r="L576" s="163"/>
      <c r="M576" s="163"/>
      <c r="N576" s="163"/>
      <c r="O576" s="163"/>
      <c r="P576" s="163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</row>
    <row r="577" spans="1:26" ht="19.5">
      <c r="A577" s="608"/>
      <c r="B577" s="618"/>
      <c r="C577" s="618"/>
      <c r="D577" s="618"/>
      <c r="E577" s="626"/>
      <c r="F577" s="626"/>
      <c r="G577" s="762"/>
      <c r="H577" s="767" t="s">
        <v>34</v>
      </c>
      <c r="I577" s="193">
        <f ca="1">IFERROR(__xludf.DUMMYFUNCTION("IMPORTRANGE(""https://docs.google.com/spreadsheets/d/1QqKyyYR6Q21VydFLVH3TRQUabQu_ym0Zz7PgGX0-kHA/edit?usp=sharing"",""แผน!HG47"")"),1178)</f>
        <v>1178</v>
      </c>
      <c r="J577" s="681">
        <f t="shared" si="250"/>
        <v>1178</v>
      </c>
      <c r="K577" s="411">
        <f t="shared" ca="1" si="251"/>
        <v>100</v>
      </c>
      <c r="L577" s="163"/>
      <c r="M577" s="163"/>
      <c r="N577" s="163"/>
      <c r="O577" s="163"/>
      <c r="P577" s="163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</row>
    <row r="578" spans="1:26" ht="18.75">
      <c r="A578" s="608"/>
      <c r="B578" s="618"/>
      <c r="C578" s="618"/>
      <c r="D578" s="626" t="s">
        <v>245</v>
      </c>
      <c r="E578" s="626"/>
      <c r="F578" s="626"/>
      <c r="G578" s="762"/>
      <c r="H578" s="764" t="s">
        <v>46</v>
      </c>
      <c r="I578" s="184"/>
      <c r="J578" s="215">
        <v>3148.3065000000001</v>
      </c>
      <c r="K578" s="163"/>
      <c r="L578" s="163"/>
      <c r="M578" s="163"/>
      <c r="N578" s="163"/>
      <c r="O578" s="163"/>
      <c r="P578" s="163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</row>
    <row r="579" spans="1:26" ht="18.75">
      <c r="A579" s="608"/>
      <c r="B579" s="618"/>
      <c r="C579" s="618"/>
      <c r="D579" s="618"/>
      <c r="E579" s="626"/>
      <c r="F579" s="626"/>
      <c r="G579" s="762"/>
      <c r="H579" s="764" t="s">
        <v>34</v>
      </c>
      <c r="I579" s="184"/>
      <c r="J579" s="215">
        <v>1129</v>
      </c>
      <c r="K579" s="163"/>
      <c r="L579" s="163"/>
      <c r="M579" s="163"/>
      <c r="N579" s="163"/>
      <c r="O579" s="163"/>
      <c r="P579" s="163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</row>
    <row r="580" spans="1:26" ht="18.75">
      <c r="A580" s="608"/>
      <c r="B580" s="618"/>
      <c r="C580" s="618"/>
      <c r="D580" s="626" t="s">
        <v>246</v>
      </c>
      <c r="E580" s="626"/>
      <c r="F580" s="626"/>
      <c r="G580" s="762"/>
      <c r="H580" s="764" t="s">
        <v>46</v>
      </c>
      <c r="I580" s="184"/>
      <c r="J580" s="215">
        <v>12.695</v>
      </c>
      <c r="K580" s="163"/>
      <c r="L580" s="163"/>
      <c r="M580" s="163"/>
      <c r="N580" s="163"/>
      <c r="O580" s="163"/>
      <c r="P580" s="163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</row>
    <row r="581" spans="1:26" ht="18.75">
      <c r="A581" s="608"/>
      <c r="B581" s="618"/>
      <c r="C581" s="618"/>
      <c r="D581" s="618"/>
      <c r="E581" s="626"/>
      <c r="F581" s="626"/>
      <c r="G581" s="762"/>
      <c r="H581" s="764" t="s">
        <v>34</v>
      </c>
      <c r="I581" s="184"/>
      <c r="J581" s="215">
        <v>3</v>
      </c>
      <c r="K581" s="163"/>
      <c r="L581" s="163"/>
      <c r="M581" s="163"/>
      <c r="N581" s="163"/>
      <c r="O581" s="163"/>
      <c r="P581" s="163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</row>
    <row r="582" spans="1:26" ht="19.5">
      <c r="A582" s="608"/>
      <c r="B582" s="618"/>
      <c r="C582" s="618"/>
      <c r="D582" s="626" t="s">
        <v>247</v>
      </c>
      <c r="E582" s="626"/>
      <c r="F582" s="626"/>
      <c r="G582" s="762"/>
      <c r="H582" s="764" t="s">
        <v>46</v>
      </c>
      <c r="I582" s="184"/>
      <c r="J582" s="681">
        <f t="shared" ref="J582:J583" si="252">J584+J586</f>
        <v>86.577499999999986</v>
      </c>
      <c r="K582" s="411"/>
      <c r="L582" s="163"/>
      <c r="M582" s="163"/>
      <c r="N582" s="163"/>
      <c r="O582" s="163"/>
      <c r="P582" s="163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</row>
    <row r="583" spans="1:26" ht="19.5">
      <c r="A583" s="608"/>
      <c r="B583" s="618"/>
      <c r="C583" s="618"/>
      <c r="D583" s="618"/>
      <c r="E583" s="626"/>
      <c r="F583" s="626"/>
      <c r="G583" s="762"/>
      <c r="H583" s="764" t="s">
        <v>34</v>
      </c>
      <c r="I583" s="184"/>
      <c r="J583" s="681">
        <f t="shared" si="252"/>
        <v>18</v>
      </c>
      <c r="K583" s="411"/>
      <c r="L583" s="163"/>
      <c r="M583" s="163"/>
      <c r="N583" s="163"/>
      <c r="O583" s="163"/>
      <c r="P583" s="163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</row>
    <row r="584" spans="1:26" ht="18.75">
      <c r="A584" s="608"/>
      <c r="B584" s="618"/>
      <c r="C584" s="618"/>
      <c r="D584" s="618"/>
      <c r="E584" s="626" t="s">
        <v>248</v>
      </c>
      <c r="F584" s="626"/>
      <c r="G584" s="762"/>
      <c r="H584" s="764" t="s">
        <v>46</v>
      </c>
      <c r="I584" s="184"/>
      <c r="J584" s="215">
        <v>70.302499999999995</v>
      </c>
      <c r="K584" s="163"/>
      <c r="L584" s="163"/>
      <c r="M584" s="163"/>
      <c r="N584" s="163"/>
      <c r="O584" s="163"/>
      <c r="P584" s="163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</row>
    <row r="585" spans="1:26" ht="18.75">
      <c r="A585" s="608"/>
      <c r="B585" s="618"/>
      <c r="C585" s="618"/>
      <c r="D585" s="618"/>
      <c r="E585" s="626"/>
      <c r="F585" s="626"/>
      <c r="G585" s="762"/>
      <c r="H585" s="764" t="s">
        <v>34</v>
      </c>
      <c r="I585" s="184"/>
      <c r="J585" s="215">
        <v>16</v>
      </c>
      <c r="K585" s="163"/>
      <c r="L585" s="163"/>
      <c r="M585" s="163"/>
      <c r="N585" s="163"/>
      <c r="O585" s="163"/>
      <c r="P585" s="163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</row>
    <row r="586" spans="1:26" ht="18.75">
      <c r="A586" s="608"/>
      <c r="B586" s="618"/>
      <c r="C586" s="618"/>
      <c r="D586" s="618"/>
      <c r="E586" s="626" t="s">
        <v>249</v>
      </c>
      <c r="F586" s="626"/>
      <c r="G586" s="762"/>
      <c r="H586" s="764" t="s">
        <v>46</v>
      </c>
      <c r="I586" s="184"/>
      <c r="J586" s="215">
        <v>16.274999999999999</v>
      </c>
      <c r="K586" s="163"/>
      <c r="L586" s="163"/>
      <c r="M586" s="163"/>
      <c r="N586" s="163"/>
      <c r="O586" s="163"/>
      <c r="P586" s="163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</row>
    <row r="587" spans="1:26" ht="18.75">
      <c r="A587" s="608"/>
      <c r="B587" s="618"/>
      <c r="C587" s="618"/>
      <c r="D587" s="618"/>
      <c r="E587" s="618"/>
      <c r="F587" s="626"/>
      <c r="G587" s="762"/>
      <c r="H587" s="764" t="s">
        <v>34</v>
      </c>
      <c r="I587" s="184"/>
      <c r="J587" s="215">
        <v>2</v>
      </c>
      <c r="K587" s="163"/>
      <c r="L587" s="163"/>
      <c r="M587" s="163"/>
      <c r="N587" s="163"/>
      <c r="O587" s="163"/>
      <c r="P587" s="163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</row>
    <row r="588" spans="1:26" ht="18.75">
      <c r="A588" s="608"/>
      <c r="B588" s="618"/>
      <c r="C588" s="618"/>
      <c r="D588" s="626" t="s">
        <v>250</v>
      </c>
      <c r="E588" s="626"/>
      <c r="F588" s="626"/>
      <c r="G588" s="762"/>
      <c r="H588" s="764" t="s">
        <v>46</v>
      </c>
      <c r="I588" s="184"/>
      <c r="J588" s="215">
        <v>98.082800000000006</v>
      </c>
      <c r="K588" s="163"/>
      <c r="L588" s="163"/>
      <c r="M588" s="163"/>
      <c r="N588" s="163"/>
      <c r="O588" s="163"/>
      <c r="P588" s="163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</row>
    <row r="589" spans="1:26" ht="18.75">
      <c r="A589" s="608"/>
      <c r="B589" s="618"/>
      <c r="C589" s="618"/>
      <c r="D589" s="618"/>
      <c r="E589" s="618"/>
      <c r="F589" s="626"/>
      <c r="G589" s="762"/>
      <c r="H589" s="764" t="s">
        <v>34</v>
      </c>
      <c r="I589" s="184"/>
      <c r="J589" s="215">
        <v>28</v>
      </c>
      <c r="K589" s="163"/>
      <c r="L589" s="163"/>
      <c r="M589" s="163"/>
      <c r="N589" s="163"/>
      <c r="O589" s="163"/>
      <c r="P589" s="163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</row>
    <row r="590" spans="1:26" ht="18.75">
      <c r="A590" s="608"/>
      <c r="B590" s="618"/>
      <c r="C590" s="618"/>
      <c r="D590" s="626" t="s">
        <v>251</v>
      </c>
      <c r="E590" s="626"/>
      <c r="F590" s="626"/>
      <c r="G590" s="762"/>
      <c r="H590" s="76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</row>
    <row r="591" spans="1:26" ht="18.75">
      <c r="A591" s="696"/>
      <c r="B591" s="697"/>
      <c r="C591" s="697"/>
      <c r="D591" s="697"/>
      <c r="E591" s="578"/>
      <c r="F591" s="578"/>
      <c r="G591" s="698"/>
      <c r="H591" s="699" t="s">
        <v>34</v>
      </c>
      <c r="I591" s="700"/>
      <c r="J591" s="701">
        <v>0</v>
      </c>
      <c r="K591" s="702"/>
      <c r="L591" s="702"/>
      <c r="M591" s="702"/>
      <c r="N591" s="702"/>
      <c r="O591" s="702"/>
      <c r="P591" s="702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</row>
    <row r="592" spans="1:26" ht="19.5">
      <c r="A592" s="692"/>
      <c r="B592" s="693" t="s">
        <v>252</v>
      </c>
      <c r="C592" s="694"/>
      <c r="D592" s="694"/>
      <c r="E592" s="673"/>
      <c r="F592" s="673"/>
      <c r="G592" s="674"/>
      <c r="H592" s="695" t="s">
        <v>46</v>
      </c>
      <c r="I592" s="703">
        <f t="shared" ref="I592:J592" ca="1" si="253">I593</f>
        <v>5126.55</v>
      </c>
      <c r="J592" s="708">
        <f t="shared" si="253"/>
        <v>5126.5525000000007</v>
      </c>
      <c r="K592" s="677">
        <f t="shared" ref="K592:K594" ca="1" si="254">IF(I592&gt;0,J592*100/I592,0)</f>
        <v>100.00004876573915</v>
      </c>
      <c r="L592" s="678"/>
      <c r="M592" s="678"/>
      <c r="N592" s="678"/>
      <c r="O592" s="678"/>
      <c r="P592" s="6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</row>
    <row r="593" spans="1:26" ht="19.5">
      <c r="A593" s="608"/>
      <c r="B593" s="618"/>
      <c r="C593" s="625" t="s">
        <v>253</v>
      </c>
      <c r="D593" s="618"/>
      <c r="E593" s="618"/>
      <c r="F593" s="626"/>
      <c r="G593" s="762"/>
      <c r="H593" s="767" t="s">
        <v>46</v>
      </c>
      <c r="I593" s="704">
        <f ca="1">IFERROR(__xludf.DUMMYFUNCTION("IMPORTRANGE(""https://docs.google.com/spreadsheets/d/1QqKyyYR6Q21VydFLVH3TRQUabQu_ym0Zz7PgGX0-kHA/edit?usp=sharing"",""แผน!HJ47"")"),5126.55)</f>
        <v>5126.55</v>
      </c>
      <c r="J593" s="193">
        <f t="shared" ref="J593:J594" si="255">J595+J603+J609</f>
        <v>5126.5525000000007</v>
      </c>
      <c r="K593" s="411">
        <f t="shared" ca="1" si="254"/>
        <v>100.00004876573915</v>
      </c>
      <c r="L593" s="163"/>
      <c r="M593" s="163"/>
      <c r="N593" s="163"/>
      <c r="O593" s="163"/>
      <c r="P593" s="163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</row>
    <row r="594" spans="1:26" ht="19.5">
      <c r="A594" s="608"/>
      <c r="B594" s="618"/>
      <c r="C594" s="618"/>
      <c r="D594" s="618"/>
      <c r="E594" s="626"/>
      <c r="F594" s="626"/>
      <c r="G594" s="762"/>
      <c r="H594" s="767" t="s">
        <v>34</v>
      </c>
      <c r="I594" s="193">
        <f ca="1">IFERROR(__xludf.DUMMYFUNCTION("IMPORTRANGE(""https://docs.google.com/spreadsheets/d/1QqKyyYR6Q21VydFLVH3TRQUabQu_ym0Zz7PgGX0-kHA/edit?usp=sharing"",""แผน!HI47"")"),350)</f>
        <v>350</v>
      </c>
      <c r="J594" s="193">
        <f t="shared" si="255"/>
        <v>350</v>
      </c>
      <c r="K594" s="411">
        <f t="shared" ca="1" si="254"/>
        <v>100</v>
      </c>
      <c r="L594" s="163"/>
      <c r="M594" s="163"/>
      <c r="N594" s="163"/>
      <c r="O594" s="163"/>
      <c r="P594" s="163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</row>
    <row r="595" spans="1:26" ht="18.75">
      <c r="A595" s="608"/>
      <c r="B595" s="618"/>
      <c r="C595" s="618" t="s">
        <v>254</v>
      </c>
      <c r="D595" s="618"/>
      <c r="E595" s="618"/>
      <c r="F595" s="626"/>
      <c r="G595" s="762"/>
      <c r="H595" s="764" t="s">
        <v>46</v>
      </c>
      <c r="I595" s="184"/>
      <c r="J595" s="184">
        <f t="shared" ref="J595:J596" si="256">J597+J599</f>
        <v>4673.9225000000006</v>
      </c>
      <c r="K595" s="163"/>
      <c r="L595" s="163"/>
      <c r="M595" s="163"/>
      <c r="N595" s="163"/>
      <c r="O595" s="163"/>
      <c r="P595" s="163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</row>
    <row r="596" spans="1:26" ht="18.75">
      <c r="A596" s="608"/>
      <c r="B596" s="618"/>
      <c r="C596" s="618"/>
      <c r="D596" s="618"/>
      <c r="E596" s="626"/>
      <c r="F596" s="626"/>
      <c r="G596" s="762"/>
      <c r="H596" s="764" t="s">
        <v>34</v>
      </c>
      <c r="I596" s="184"/>
      <c r="J596" s="184">
        <f t="shared" si="256"/>
        <v>318</v>
      </c>
      <c r="K596" s="163"/>
      <c r="L596" s="163"/>
      <c r="M596" s="163"/>
      <c r="N596" s="163"/>
      <c r="O596" s="163"/>
      <c r="P596" s="163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</row>
    <row r="597" spans="1:26" ht="18.75">
      <c r="A597" s="608"/>
      <c r="B597" s="618"/>
      <c r="C597" s="618"/>
      <c r="D597" s="746" t="s">
        <v>255</v>
      </c>
      <c r="E597" s="626"/>
      <c r="F597" s="626"/>
      <c r="G597" s="762"/>
      <c r="H597" s="764" t="s">
        <v>46</v>
      </c>
      <c r="I597" s="184"/>
      <c r="J597" s="215">
        <v>1348.5174999999999</v>
      </c>
      <c r="K597" s="163"/>
      <c r="L597" s="163"/>
      <c r="M597" s="163"/>
      <c r="N597" s="163"/>
      <c r="O597" s="163"/>
      <c r="P597" s="163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</row>
    <row r="598" spans="1:26" ht="18.75">
      <c r="A598" s="608"/>
      <c r="B598" s="618"/>
      <c r="C598" s="618"/>
      <c r="D598" s="618"/>
      <c r="E598" s="626"/>
      <c r="F598" s="626"/>
      <c r="G598" s="762"/>
      <c r="H598" s="764" t="s">
        <v>34</v>
      </c>
      <c r="I598" s="270"/>
      <c r="J598" s="215">
        <v>109</v>
      </c>
      <c r="K598" s="163"/>
      <c r="L598" s="163"/>
      <c r="M598" s="163"/>
      <c r="N598" s="163"/>
      <c r="O598" s="163"/>
      <c r="P598" s="163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</row>
    <row r="599" spans="1:26" ht="18.75">
      <c r="A599" s="608"/>
      <c r="B599" s="618"/>
      <c r="C599" s="618"/>
      <c r="D599" s="746" t="s">
        <v>256</v>
      </c>
      <c r="E599" s="626"/>
      <c r="F599" s="626"/>
      <c r="G599" s="762"/>
      <c r="H599" s="764" t="s">
        <v>46</v>
      </c>
      <c r="I599" s="270"/>
      <c r="J599" s="215">
        <v>3325.4050000000002</v>
      </c>
      <c r="K599" s="163"/>
      <c r="L599" s="163"/>
      <c r="M599" s="163"/>
      <c r="N599" s="163"/>
      <c r="O599" s="163"/>
      <c r="P599" s="163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</row>
    <row r="600" spans="1:26" ht="18.75">
      <c r="A600" s="608"/>
      <c r="B600" s="618"/>
      <c r="C600" s="618"/>
      <c r="D600" s="618"/>
      <c r="E600" s="626"/>
      <c r="F600" s="626"/>
      <c r="G600" s="762"/>
      <c r="H600" s="764" t="s">
        <v>34</v>
      </c>
      <c r="I600" s="270"/>
      <c r="J600" s="215">
        <v>209</v>
      </c>
      <c r="K600" s="163"/>
      <c r="L600" s="163"/>
      <c r="M600" s="163"/>
      <c r="N600" s="163"/>
      <c r="O600" s="163"/>
      <c r="P600" s="163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</row>
    <row r="601" spans="1:26" ht="18.75">
      <c r="A601" s="608"/>
      <c r="B601" s="618"/>
      <c r="C601" s="618"/>
      <c r="D601" s="746" t="s">
        <v>257</v>
      </c>
      <c r="E601" s="626"/>
      <c r="F601" s="626"/>
      <c r="G601" s="762"/>
      <c r="H601" s="764" t="s">
        <v>46</v>
      </c>
      <c r="I601" s="270"/>
      <c r="J601" s="215">
        <v>2432.54</v>
      </c>
      <c r="K601" s="163"/>
      <c r="L601" s="163"/>
      <c r="M601" s="163"/>
      <c r="N601" s="163"/>
      <c r="O601" s="163"/>
      <c r="P601" s="163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</row>
    <row r="602" spans="1:26" ht="18.75">
      <c r="A602" s="608"/>
      <c r="B602" s="618"/>
      <c r="C602" s="618"/>
      <c r="D602" s="618"/>
      <c r="E602" s="626"/>
      <c r="F602" s="626"/>
      <c r="G602" s="762"/>
      <c r="H602" s="764" t="s">
        <v>34</v>
      </c>
      <c r="I602" s="270"/>
      <c r="J602" s="215">
        <v>141</v>
      </c>
      <c r="K602" s="163"/>
      <c r="L602" s="163"/>
      <c r="M602" s="163"/>
      <c r="N602" s="163"/>
      <c r="O602" s="163"/>
      <c r="P602" s="163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</row>
    <row r="603" spans="1:26" ht="18.75">
      <c r="A603" s="608"/>
      <c r="B603" s="618"/>
      <c r="C603" s="705" t="s">
        <v>258</v>
      </c>
      <c r="D603" s="618"/>
      <c r="E603" s="618"/>
      <c r="F603" s="626"/>
      <c r="G603" s="762"/>
      <c r="H603" s="764" t="s">
        <v>46</v>
      </c>
      <c r="I603" s="270"/>
      <c r="J603" s="270">
        <f t="shared" ref="J603:J604" si="257">J605+J607</f>
        <v>362.71000000000004</v>
      </c>
      <c r="K603" s="163"/>
      <c r="L603" s="163"/>
      <c r="M603" s="163"/>
      <c r="N603" s="163"/>
      <c r="O603" s="163"/>
      <c r="P603" s="163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</row>
    <row r="604" spans="1:26" ht="18.75">
      <c r="A604" s="608"/>
      <c r="B604" s="618"/>
      <c r="C604" s="618"/>
      <c r="D604" s="618"/>
      <c r="E604" s="626"/>
      <c r="F604" s="626"/>
      <c r="G604" s="762"/>
      <c r="H604" s="764" t="s">
        <v>34</v>
      </c>
      <c r="I604" s="270"/>
      <c r="J604" s="270">
        <f t="shared" si="257"/>
        <v>22</v>
      </c>
      <c r="K604" s="163"/>
      <c r="L604" s="163"/>
      <c r="M604" s="163"/>
      <c r="N604" s="163"/>
      <c r="O604" s="163"/>
      <c r="P604" s="163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</row>
    <row r="605" spans="1:26" ht="18.75">
      <c r="A605" s="608"/>
      <c r="B605" s="618"/>
      <c r="C605" s="618"/>
      <c r="D605" s="705" t="s">
        <v>259</v>
      </c>
      <c r="E605" s="626"/>
      <c r="F605" s="626"/>
      <c r="G605" s="762"/>
      <c r="H605" s="764" t="s">
        <v>46</v>
      </c>
      <c r="I605" s="270"/>
      <c r="J605" s="215">
        <v>3.97</v>
      </c>
      <c r="K605" s="163"/>
      <c r="L605" s="163"/>
      <c r="M605" s="163"/>
      <c r="N605" s="163"/>
      <c r="O605" s="163"/>
      <c r="P605" s="163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</row>
    <row r="606" spans="1:26" ht="18.75">
      <c r="A606" s="608"/>
      <c r="B606" s="618"/>
      <c r="C606" s="618"/>
      <c r="D606" s="618"/>
      <c r="E606" s="618"/>
      <c r="F606" s="626"/>
      <c r="G606" s="762"/>
      <c r="H606" s="764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</row>
    <row r="607" spans="1:26" ht="18.75">
      <c r="A607" s="608"/>
      <c r="B607" s="618"/>
      <c r="C607" s="618"/>
      <c r="D607" s="705" t="s">
        <v>260</v>
      </c>
      <c r="E607" s="618"/>
      <c r="F607" s="626"/>
      <c r="G607" s="762"/>
      <c r="H607" s="764" t="s">
        <v>46</v>
      </c>
      <c r="I607" s="270"/>
      <c r="J607" s="215">
        <v>358.74</v>
      </c>
      <c r="K607" s="163"/>
      <c r="L607" s="163"/>
      <c r="M607" s="163"/>
      <c r="N607" s="163"/>
      <c r="O607" s="163"/>
      <c r="P607" s="163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</row>
    <row r="608" spans="1:26" ht="18.75">
      <c r="A608" s="608"/>
      <c r="B608" s="618"/>
      <c r="C608" s="618"/>
      <c r="D608" s="618"/>
      <c r="E608" s="626"/>
      <c r="F608" s="626"/>
      <c r="G608" s="762"/>
      <c r="H608" s="764" t="s">
        <v>34</v>
      </c>
      <c r="I608" s="270"/>
      <c r="J608" s="215">
        <v>21</v>
      </c>
      <c r="K608" s="163"/>
      <c r="L608" s="163"/>
      <c r="M608" s="163"/>
      <c r="N608" s="163"/>
      <c r="O608" s="163"/>
      <c r="P608" s="163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</row>
    <row r="609" spans="1:26" ht="18.75">
      <c r="A609" s="608"/>
      <c r="B609" s="618"/>
      <c r="C609" s="618" t="s">
        <v>261</v>
      </c>
      <c r="D609" s="618"/>
      <c r="E609" s="618"/>
      <c r="F609" s="626"/>
      <c r="G609" s="762"/>
      <c r="H609" s="764" t="s">
        <v>46</v>
      </c>
      <c r="I609" s="270"/>
      <c r="J609" s="215">
        <v>89.92</v>
      </c>
      <c r="K609" s="163"/>
      <c r="L609" s="163"/>
      <c r="M609" s="163"/>
      <c r="N609" s="163"/>
      <c r="O609" s="163"/>
      <c r="P609" s="163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</row>
    <row r="610" spans="1:26" ht="18.75">
      <c r="A610" s="608"/>
      <c r="B610" s="618"/>
      <c r="C610" s="618"/>
      <c r="D610" s="618"/>
      <c r="E610" s="626"/>
      <c r="F610" s="626"/>
      <c r="G610" s="762"/>
      <c r="H610" s="764" t="s">
        <v>34</v>
      </c>
      <c r="I610" s="270"/>
      <c r="J610" s="215">
        <v>10</v>
      </c>
      <c r="K610" s="163"/>
      <c r="L610" s="163"/>
      <c r="M610" s="163"/>
      <c r="N610" s="163"/>
      <c r="O610" s="163"/>
      <c r="P610" s="163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</row>
    <row r="611" spans="1:26" ht="19.5">
      <c r="A611" s="692"/>
      <c r="B611" s="706" t="s">
        <v>262</v>
      </c>
      <c r="C611" s="694"/>
      <c r="D611" s="694"/>
      <c r="E611" s="673"/>
      <c r="F611" s="673"/>
      <c r="G611" s="674"/>
      <c r="H611" s="707" t="s">
        <v>46</v>
      </c>
      <c r="I611" s="708">
        <v>0</v>
      </c>
      <c r="J611" s="708">
        <f>J614+J616</f>
        <v>0</v>
      </c>
      <c r="K611" s="677">
        <f t="shared" ref="K611:K613" si="258">IF(I611&gt;0,J611*100/I611,0)</f>
        <v>0</v>
      </c>
      <c r="L611" s="678"/>
      <c r="M611" s="678"/>
      <c r="N611" s="678"/>
      <c r="O611" s="678"/>
      <c r="P611" s="6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</row>
    <row r="612" spans="1:26" ht="19.5" hidden="1">
      <c r="A612" s="709"/>
      <c r="B612" s="719"/>
      <c r="C612" s="711" t="s">
        <v>263</v>
      </c>
      <c r="D612" s="719"/>
      <c r="E612" s="719"/>
      <c r="F612" s="712"/>
      <c r="G612" s="713"/>
      <c r="H612" s="714" t="s">
        <v>46</v>
      </c>
      <c r="I612" s="716">
        <v>0</v>
      </c>
      <c r="J612" s="716">
        <f t="shared" ref="J612:J613" si="259">J614+J616</f>
        <v>0</v>
      </c>
      <c r="K612" s="717">
        <f t="shared" si="258"/>
        <v>0</v>
      </c>
      <c r="L612" s="718"/>
      <c r="M612" s="718"/>
      <c r="N612" s="718"/>
      <c r="O612" s="718"/>
      <c r="P612" s="718"/>
      <c r="Q612" s="604"/>
      <c r="R612" s="604"/>
      <c r="S612" s="604"/>
      <c r="T612" s="604"/>
      <c r="U612" s="604"/>
      <c r="V612" s="604"/>
      <c r="W612" s="604"/>
      <c r="X612" s="604"/>
      <c r="Y612" s="604"/>
      <c r="Z612" s="604"/>
    </row>
    <row r="613" spans="1:26" ht="19.5" hidden="1">
      <c r="A613" s="709"/>
      <c r="B613" s="719"/>
      <c r="C613" s="719" t="s">
        <v>264</v>
      </c>
      <c r="D613" s="719"/>
      <c r="E613" s="719"/>
      <c r="F613" s="712"/>
      <c r="G613" s="713"/>
      <c r="H613" s="714" t="s">
        <v>34</v>
      </c>
      <c r="I613" s="716">
        <v>0</v>
      </c>
      <c r="J613" s="716">
        <f t="shared" si="259"/>
        <v>0</v>
      </c>
      <c r="K613" s="717">
        <f t="shared" si="258"/>
        <v>0</v>
      </c>
      <c r="L613" s="718"/>
      <c r="M613" s="718"/>
      <c r="N613" s="718"/>
      <c r="O613" s="718"/>
      <c r="P613" s="718"/>
      <c r="Q613" s="604"/>
      <c r="R613" s="604"/>
      <c r="S613" s="604"/>
      <c r="T613" s="604"/>
      <c r="U613" s="604"/>
      <c r="V613" s="604"/>
      <c r="W613" s="604"/>
      <c r="X613" s="604"/>
      <c r="Y613" s="604"/>
      <c r="Z613" s="604"/>
    </row>
    <row r="614" spans="1:26" ht="18.75" hidden="1">
      <c r="A614" s="614"/>
      <c r="B614" s="616"/>
      <c r="C614" s="616"/>
      <c r="D614" s="720" t="s">
        <v>265</v>
      </c>
      <c r="E614" s="616"/>
      <c r="F614" s="720"/>
      <c r="G614" s="366"/>
      <c r="H614" s="370" t="s">
        <v>46</v>
      </c>
      <c r="I614" s="617"/>
      <c r="J614" s="617">
        <v>0</v>
      </c>
      <c r="K614" s="167"/>
      <c r="L614" s="167"/>
      <c r="M614" s="167"/>
      <c r="N614" s="167"/>
      <c r="O614" s="167"/>
      <c r="P614" s="167"/>
      <c r="Q614" s="604"/>
      <c r="R614" s="604"/>
      <c r="S614" s="604"/>
      <c r="T614" s="604"/>
      <c r="U614" s="604"/>
      <c r="V614" s="604"/>
      <c r="W614" s="604"/>
      <c r="X614" s="604"/>
      <c r="Y614" s="604"/>
      <c r="Z614" s="604"/>
    </row>
    <row r="615" spans="1:26" ht="18.75" hidden="1">
      <c r="A615" s="614"/>
      <c r="B615" s="616"/>
      <c r="C615" s="616"/>
      <c r="D615" s="616"/>
      <c r="E615" s="616"/>
      <c r="F615" s="720"/>
      <c r="G615" s="366"/>
      <c r="H615" s="370" t="s">
        <v>34</v>
      </c>
      <c r="I615" s="617"/>
      <c r="J615" s="617">
        <v>0</v>
      </c>
      <c r="K615" s="167"/>
      <c r="L615" s="167"/>
      <c r="M615" s="167"/>
      <c r="N615" s="167"/>
      <c r="O615" s="167"/>
      <c r="P615" s="167"/>
      <c r="Q615" s="604"/>
      <c r="R615" s="604"/>
      <c r="S615" s="604"/>
      <c r="T615" s="604"/>
      <c r="U615" s="604"/>
      <c r="V615" s="604"/>
      <c r="W615" s="604"/>
      <c r="X615" s="604"/>
      <c r="Y615" s="604"/>
      <c r="Z615" s="604"/>
    </row>
    <row r="616" spans="1:26" ht="18.75" hidden="1">
      <c r="A616" s="614"/>
      <c r="B616" s="616"/>
      <c r="C616" s="616"/>
      <c r="D616" s="721" t="s">
        <v>265</v>
      </c>
      <c r="E616" s="720"/>
      <c r="F616" s="720"/>
      <c r="G616" s="366"/>
      <c r="H616" s="370" t="s">
        <v>46</v>
      </c>
      <c r="I616" s="617"/>
      <c r="J616" s="617">
        <v>0</v>
      </c>
      <c r="K616" s="167"/>
      <c r="L616" s="167"/>
      <c r="M616" s="167"/>
      <c r="N616" s="167"/>
      <c r="O616" s="167"/>
      <c r="P616" s="167"/>
      <c r="Q616" s="604"/>
      <c r="R616" s="604"/>
      <c r="S616" s="604"/>
      <c r="T616" s="604"/>
      <c r="U616" s="604"/>
      <c r="V616" s="604"/>
      <c r="W616" s="604"/>
      <c r="X616" s="604"/>
      <c r="Y616" s="604"/>
      <c r="Z616" s="604"/>
    </row>
    <row r="617" spans="1:26" ht="18.75" hidden="1">
      <c r="A617" s="614"/>
      <c r="B617" s="616"/>
      <c r="C617" s="616"/>
      <c r="D617" s="616"/>
      <c r="E617" s="720"/>
      <c r="F617" s="720"/>
      <c r="G617" s="366"/>
      <c r="H617" s="370" t="s">
        <v>34</v>
      </c>
      <c r="I617" s="617"/>
      <c r="J617" s="617">
        <v>0</v>
      </c>
      <c r="K617" s="167"/>
      <c r="L617" s="167"/>
      <c r="M617" s="167"/>
      <c r="N617" s="167"/>
      <c r="O617" s="167"/>
      <c r="P617" s="167"/>
      <c r="Q617" s="604"/>
      <c r="R617" s="604"/>
      <c r="S617" s="604"/>
      <c r="T617" s="604"/>
      <c r="U617" s="604"/>
      <c r="V617" s="604"/>
      <c r="W617" s="604"/>
      <c r="X617" s="604"/>
      <c r="Y617" s="604"/>
      <c r="Z617" s="604"/>
    </row>
    <row r="618" spans="1:26" ht="18.75" hidden="1">
      <c r="A618" s="614"/>
      <c r="B618" s="616"/>
      <c r="C618" s="616"/>
      <c r="D618" s="721" t="s">
        <v>266</v>
      </c>
      <c r="E618" s="720"/>
      <c r="F618" s="720"/>
      <c r="G618" s="366"/>
      <c r="H618" s="370" t="s">
        <v>46</v>
      </c>
      <c r="I618" s="617"/>
      <c r="J618" s="617">
        <v>0</v>
      </c>
      <c r="K618" s="167"/>
      <c r="L618" s="167"/>
      <c r="M618" s="167"/>
      <c r="N618" s="167"/>
      <c r="O618" s="167"/>
      <c r="P618" s="167"/>
      <c r="Q618" s="604"/>
      <c r="R618" s="604"/>
      <c r="S618" s="604"/>
      <c r="T618" s="604"/>
      <c r="U618" s="604"/>
      <c r="V618" s="604"/>
      <c r="W618" s="604"/>
      <c r="X618" s="604"/>
      <c r="Y618" s="604"/>
      <c r="Z618" s="604"/>
    </row>
    <row r="619" spans="1:26" ht="18.75" hidden="1">
      <c r="A619" s="614"/>
      <c r="B619" s="616"/>
      <c r="C619" s="616"/>
      <c r="D619" s="616"/>
      <c r="E619" s="720"/>
      <c r="F619" s="720"/>
      <c r="G619" s="366"/>
      <c r="H619" s="370" t="s">
        <v>34</v>
      </c>
      <c r="I619" s="617"/>
      <c r="J619" s="617">
        <v>0</v>
      </c>
      <c r="K619" s="167"/>
      <c r="L619" s="167"/>
      <c r="M619" s="167"/>
      <c r="N619" s="167"/>
      <c r="O619" s="167"/>
      <c r="P619" s="167"/>
      <c r="Q619" s="604"/>
      <c r="R619" s="604"/>
      <c r="S619" s="604"/>
      <c r="T619" s="604"/>
      <c r="U619" s="604"/>
      <c r="V619" s="604"/>
      <c r="W619" s="604"/>
      <c r="X619" s="604"/>
      <c r="Y619" s="604"/>
      <c r="Z619" s="604"/>
    </row>
    <row r="620" spans="1:26" ht="19.5">
      <c r="A620" s="722"/>
      <c r="B620" s="731"/>
      <c r="C620" s="724" t="s">
        <v>267</v>
      </c>
      <c r="D620" s="731"/>
      <c r="E620" s="731"/>
      <c r="F620" s="725"/>
      <c r="G620" s="726"/>
      <c r="H620" s="727" t="s">
        <v>46</v>
      </c>
      <c r="I620" s="728">
        <f ca="1">IFERROR(__xludf.DUMMYFUNCTION("IMPORTRANGE(""https://docs.google.com/spreadsheets/d/1QqKyyYR6Q21VydFLVH3TRQUabQu_ym0Zz7PgGX0-kHA/edit?usp=sharing"",""แผน!HL47"")"),1)</f>
        <v>1</v>
      </c>
      <c r="J620" s="728">
        <f t="shared" ref="J620:J621" si="260">J622+J624+J626</f>
        <v>1</v>
      </c>
      <c r="K620" s="729">
        <f t="shared" ref="K620:K621" ca="1" si="261">IF(I620&gt;0,J620*100/I620,0)</f>
        <v>100</v>
      </c>
      <c r="L620" s="730"/>
      <c r="M620" s="730"/>
      <c r="N620" s="730"/>
      <c r="O620" s="730"/>
      <c r="P620" s="730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</row>
    <row r="621" spans="1:26" ht="19.5">
      <c r="A621" s="722"/>
      <c r="B621" s="731"/>
      <c r="C621" s="731" t="s">
        <v>268</v>
      </c>
      <c r="D621" s="731"/>
      <c r="E621" s="731"/>
      <c r="F621" s="725"/>
      <c r="G621" s="726"/>
      <c r="H621" s="727" t="s">
        <v>34</v>
      </c>
      <c r="I621" s="728">
        <f ca="1">IFERROR(__xludf.DUMMYFUNCTION("IMPORTRANGE(""https://docs.google.com/spreadsheets/d/1QqKyyYR6Q21VydFLVH3TRQUabQu_ym0Zz7PgGX0-kHA/edit?usp=sharing"",""แผน!HK47"")"),1)</f>
        <v>1</v>
      </c>
      <c r="J621" s="728">
        <f t="shared" si="260"/>
        <v>1</v>
      </c>
      <c r="K621" s="729">
        <f t="shared" ca="1" si="261"/>
        <v>100</v>
      </c>
      <c r="L621" s="730"/>
      <c r="M621" s="730"/>
      <c r="N621" s="730"/>
      <c r="O621" s="730"/>
      <c r="P621" s="730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</row>
    <row r="622" spans="1:26" ht="18.75">
      <c r="A622" s="608"/>
      <c r="B622" s="618"/>
      <c r="C622" s="618"/>
      <c r="D622" s="746" t="s">
        <v>269</v>
      </c>
      <c r="E622" s="626"/>
      <c r="F622" s="626"/>
      <c r="G622" s="762"/>
      <c r="H622" s="764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</row>
    <row r="623" spans="1:26" ht="18.75">
      <c r="A623" s="608"/>
      <c r="B623" s="618"/>
      <c r="C623" s="618"/>
      <c r="D623" s="618"/>
      <c r="E623" s="626"/>
      <c r="F623" s="626"/>
      <c r="G623" s="762"/>
      <c r="H623" s="764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</row>
    <row r="624" spans="1:26" ht="18.75">
      <c r="A624" s="608"/>
      <c r="B624" s="618"/>
      <c r="C624" s="618"/>
      <c r="D624" s="746" t="s">
        <v>265</v>
      </c>
      <c r="E624" s="626"/>
      <c r="F624" s="626"/>
      <c r="G624" s="762"/>
      <c r="H624" s="764" t="s">
        <v>46</v>
      </c>
      <c r="I624" s="270"/>
      <c r="J624" s="215">
        <v>1</v>
      </c>
      <c r="K624" s="163"/>
      <c r="L624" s="163"/>
      <c r="M624" s="163"/>
      <c r="N624" s="163"/>
      <c r="O624" s="163"/>
      <c r="P624" s="163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</row>
    <row r="625" spans="1:26" ht="18.75">
      <c r="A625" s="608"/>
      <c r="B625" s="618"/>
      <c r="C625" s="618"/>
      <c r="D625" s="618"/>
      <c r="E625" s="626"/>
      <c r="F625" s="626"/>
      <c r="G625" s="762"/>
      <c r="H625" s="764" t="s">
        <v>34</v>
      </c>
      <c r="I625" s="270"/>
      <c r="J625" s="215">
        <v>1</v>
      </c>
      <c r="K625" s="163"/>
      <c r="L625" s="163"/>
      <c r="M625" s="163"/>
      <c r="N625" s="163"/>
      <c r="O625" s="163"/>
      <c r="P625" s="163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</row>
    <row r="626" spans="1:26" ht="18.75">
      <c r="A626" s="608"/>
      <c r="B626" s="618"/>
      <c r="C626" s="618"/>
      <c r="D626" s="746" t="s">
        <v>270</v>
      </c>
      <c r="E626" s="626"/>
      <c r="F626" s="626"/>
      <c r="G626" s="762"/>
      <c r="H626" s="76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</row>
    <row r="627" spans="1:26" ht="18.75">
      <c r="A627" s="732"/>
      <c r="B627" s="733"/>
      <c r="C627" s="733"/>
      <c r="D627" s="733"/>
      <c r="E627" s="734"/>
      <c r="F627" s="734"/>
      <c r="G627" s="735"/>
      <c r="H627" s="422" t="s">
        <v>34</v>
      </c>
      <c r="I627" s="506"/>
      <c r="J627" s="424">
        <v>0</v>
      </c>
      <c r="K627" s="385"/>
      <c r="L627" s="385"/>
      <c r="M627" s="385"/>
      <c r="N627" s="385"/>
      <c r="O627" s="385"/>
      <c r="P627" s="385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</row>
    <row r="628" spans="1:26" ht="19.5">
      <c r="A628" s="736">
        <v>7</v>
      </c>
      <c r="B628" s="737" t="s">
        <v>271</v>
      </c>
      <c r="C628" s="738"/>
      <c r="D628" s="738"/>
      <c r="E628" s="738"/>
      <c r="F628" s="738"/>
      <c r="G628" s="739"/>
      <c r="H628" s="740" t="s">
        <v>35</v>
      </c>
      <c r="I628" s="741">
        <f t="shared" ref="I628:J628" ca="1" si="262">I651</f>
        <v>230</v>
      </c>
      <c r="J628" s="741">
        <f t="shared" ca="1" si="262"/>
        <v>213</v>
      </c>
      <c r="K628" s="742">
        <f ca="1">IF(I628&gt;0,J628*100/I628,0)</f>
        <v>92.608695652173907</v>
      </c>
      <c r="L628" s="743"/>
      <c r="M628" s="743"/>
      <c r="N628" s="743"/>
      <c r="O628" s="743"/>
      <c r="P628" s="743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</row>
    <row r="629" spans="1:26" ht="19.5">
      <c r="A629" s="597"/>
      <c r="B629" s="763"/>
      <c r="C629" s="763" t="s">
        <v>16</v>
      </c>
      <c r="D629" s="863" t="s">
        <v>17</v>
      </c>
      <c r="E629" s="857"/>
      <c r="F629" s="857"/>
      <c r="G629" s="189"/>
      <c r="H629" s="598" t="s">
        <v>12</v>
      </c>
      <c r="I629" s="270"/>
      <c r="J629" s="270"/>
      <c r="K629" s="498"/>
      <c r="L629" s="195">
        <f t="shared" ref="L629:N629" ca="1" si="263">L630+L631</f>
        <v>423310</v>
      </c>
      <c r="M629" s="195">
        <f t="shared" ca="1" si="263"/>
        <v>411823.08</v>
      </c>
      <c r="N629" s="195">
        <f t="shared" si="263"/>
        <v>411823.07999999996</v>
      </c>
      <c r="O629" s="195">
        <f t="shared" ref="O629:O634" ca="1" si="264">IF(L629&gt;0,N629*100/L629,0)</f>
        <v>97.2864047624672</v>
      </c>
      <c r="P629" s="195">
        <f t="shared" ref="P629:P634" ca="1" si="265">IF(M629&gt;0,N629*100/M629,0)</f>
        <v>99.999999999999972</v>
      </c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</row>
    <row r="630" spans="1:26" ht="18.75" hidden="1">
      <c r="A630" s="599"/>
      <c r="B630" s="759"/>
      <c r="C630" s="759"/>
      <c r="D630" s="720"/>
      <c r="E630" s="759" t="s">
        <v>185</v>
      </c>
      <c r="F630" s="759"/>
      <c r="G630" s="603"/>
      <c r="H630" s="165" t="s">
        <v>12</v>
      </c>
      <c r="I630" s="617"/>
      <c r="J630" s="617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4"/>
      <c r="R630" s="604"/>
      <c r="S630" s="604"/>
      <c r="T630" s="604"/>
      <c r="U630" s="604"/>
      <c r="V630" s="604"/>
      <c r="W630" s="604"/>
      <c r="X630" s="604"/>
      <c r="Y630" s="604"/>
      <c r="Z630" s="604"/>
    </row>
    <row r="631" spans="1:26" ht="18.75" hidden="1">
      <c r="A631" s="599"/>
      <c r="B631" s="607"/>
      <c r="C631" s="759"/>
      <c r="D631" s="720"/>
      <c r="E631" s="759" t="s">
        <v>186</v>
      </c>
      <c r="F631" s="759"/>
      <c r="G631" s="603"/>
      <c r="H631" s="165" t="s">
        <v>12</v>
      </c>
      <c r="I631" s="617"/>
      <c r="J631" s="617"/>
      <c r="K631" s="93"/>
      <c r="L631" s="93">
        <f t="shared" ca="1" si="266"/>
        <v>423310</v>
      </c>
      <c r="M631" s="93">
        <f t="shared" ca="1" si="266"/>
        <v>411823.08</v>
      </c>
      <c r="N631" s="93">
        <f t="shared" si="266"/>
        <v>411823.07999999996</v>
      </c>
      <c r="O631" s="93">
        <f t="shared" ca="1" si="264"/>
        <v>97.2864047624672</v>
      </c>
      <c r="P631" s="93">
        <f t="shared" ca="1" si="265"/>
        <v>99.999999999999972</v>
      </c>
      <c r="Q631" s="604"/>
      <c r="R631" s="604"/>
      <c r="S631" s="604"/>
      <c r="T631" s="604"/>
      <c r="U631" s="604"/>
      <c r="V631" s="604"/>
      <c r="W631" s="604"/>
      <c r="X631" s="604"/>
      <c r="Y631" s="604"/>
      <c r="Z631" s="604"/>
    </row>
    <row r="632" spans="1:26" ht="18.75">
      <c r="A632" s="597"/>
      <c r="B632" s="575"/>
      <c r="C632" s="763"/>
      <c r="D632" s="606" t="s">
        <v>20</v>
      </c>
      <c r="E632" s="763"/>
      <c r="F632" s="763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423310</v>
      </c>
      <c r="M632" s="498">
        <f t="shared" ca="1" si="267"/>
        <v>411823.08</v>
      </c>
      <c r="N632" s="498">
        <f t="shared" si="267"/>
        <v>411823.07999999996</v>
      </c>
      <c r="O632" s="498">
        <f t="shared" ca="1" si="264"/>
        <v>97.2864047624672</v>
      </c>
      <c r="P632" s="498">
        <f t="shared" ca="1" si="265"/>
        <v>99.999999999999972</v>
      </c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</row>
    <row r="633" spans="1:26" ht="18.75" hidden="1">
      <c r="A633" s="599"/>
      <c r="B633" s="607"/>
      <c r="C633" s="759"/>
      <c r="D633" s="720"/>
      <c r="E633" s="759" t="s">
        <v>185</v>
      </c>
      <c r="F633" s="759"/>
      <c r="G633" s="603"/>
      <c r="H633" s="165" t="s">
        <v>12</v>
      </c>
      <c r="I633" s="617"/>
      <c r="J633" s="617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4"/>
      <c r="R633" s="604"/>
      <c r="S633" s="604"/>
      <c r="T633" s="604"/>
      <c r="U633" s="604"/>
      <c r="V633" s="604"/>
      <c r="W633" s="604"/>
      <c r="X633" s="604"/>
      <c r="Y633" s="604"/>
      <c r="Z633" s="604"/>
    </row>
    <row r="634" spans="1:26" ht="18.75" hidden="1">
      <c r="A634" s="599"/>
      <c r="B634" s="607"/>
      <c r="C634" s="759"/>
      <c r="D634" s="720"/>
      <c r="E634" s="759" t="s">
        <v>186</v>
      </c>
      <c r="F634" s="759"/>
      <c r="G634" s="603"/>
      <c r="H634" s="165" t="s">
        <v>12</v>
      </c>
      <c r="I634" s="617"/>
      <c r="J634" s="617"/>
      <c r="K634" s="93"/>
      <c r="L634" s="93">
        <f ca="1">IFERROR(__xludf.DUMMYFUNCTION("IMPORTRANGE(""https://docs.google.com/spreadsheets/d/1QqKyyYR6Q21VydFLVH3TRQUabQu_ym0Zz7PgGX0-kHA/edit?usp=sharing"",""แผน!HN47"")"),423310)</f>
        <v>423310</v>
      </c>
      <c r="M634" s="93">
        <f ca="1">L634-11486.92</f>
        <v>411823.08</v>
      </c>
      <c r="N634" s="93">
        <f>N635+N636+N637+N638</f>
        <v>411823.07999999996</v>
      </c>
      <c r="O634" s="93">
        <f t="shared" ca="1" si="264"/>
        <v>97.2864047624672</v>
      </c>
      <c r="P634" s="93">
        <f t="shared" ca="1" si="265"/>
        <v>99.999999999999972</v>
      </c>
      <c r="Q634" s="604"/>
      <c r="R634" s="604"/>
      <c r="S634" s="604"/>
      <c r="T634" s="604"/>
      <c r="U634" s="604"/>
      <c r="V634" s="604"/>
      <c r="W634" s="604"/>
      <c r="X634" s="604"/>
      <c r="Y634" s="604"/>
      <c r="Z634" s="604"/>
    </row>
    <row r="635" spans="1:26" ht="18.75">
      <c r="A635" s="574"/>
      <c r="B635" s="575"/>
      <c r="C635" s="763"/>
      <c r="D635" s="763"/>
      <c r="E635" s="763"/>
      <c r="F635" s="763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40">
        <v>0</v>
      </c>
      <c r="O635" s="498"/>
      <c r="P635" s="49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</row>
    <row r="636" spans="1:26" ht="18.75">
      <c r="A636" s="574"/>
      <c r="B636" s="575"/>
      <c r="C636" s="763"/>
      <c r="D636" s="763"/>
      <c r="E636" s="763"/>
      <c r="F636" s="763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40">
        <v>0</v>
      </c>
      <c r="O636" s="498"/>
      <c r="P636" s="49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</row>
    <row r="637" spans="1:26" ht="18.75">
      <c r="A637" s="574"/>
      <c r="B637" s="575"/>
      <c r="C637" s="763"/>
      <c r="D637" s="763"/>
      <c r="E637" s="763"/>
      <c r="F637" s="763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40">
        <v>142124</v>
      </c>
      <c r="O637" s="498"/>
      <c r="P637" s="498"/>
      <c r="Q637" s="578"/>
      <c r="R637" s="578"/>
      <c r="S637" s="578"/>
      <c r="T637" s="578"/>
      <c r="U637" s="578"/>
      <c r="V637" s="578"/>
      <c r="W637" s="578"/>
      <c r="X637" s="578"/>
      <c r="Y637" s="578"/>
      <c r="Z637" s="578"/>
    </row>
    <row r="638" spans="1:26" ht="18.75">
      <c r="A638" s="574"/>
      <c r="B638" s="575"/>
      <c r="C638" s="763"/>
      <c r="D638" s="763"/>
      <c r="E638" s="763"/>
      <c r="F638" s="763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40">
        <v>269699.07999999996</v>
      </c>
      <c r="O638" s="498"/>
      <c r="P638" s="49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</row>
    <row r="639" spans="1:26" ht="18.75">
      <c r="A639" s="597"/>
      <c r="B639" s="575"/>
      <c r="C639" s="763"/>
      <c r="D639" s="606" t="s">
        <v>21</v>
      </c>
      <c r="E639" s="763"/>
      <c r="F639" s="763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</row>
    <row r="640" spans="1:26" ht="18.75" hidden="1">
      <c r="A640" s="599"/>
      <c r="B640" s="607"/>
      <c r="C640" s="759"/>
      <c r="D640" s="759"/>
      <c r="E640" s="759" t="s">
        <v>18</v>
      </c>
      <c r="F640" s="759"/>
      <c r="G640" s="603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4"/>
      <c r="R640" s="604"/>
      <c r="S640" s="604"/>
      <c r="T640" s="604"/>
      <c r="U640" s="604"/>
      <c r="V640" s="604"/>
      <c r="W640" s="604"/>
      <c r="X640" s="604"/>
      <c r="Y640" s="604"/>
      <c r="Z640" s="604"/>
    </row>
    <row r="641" spans="1:26" ht="18.75" hidden="1">
      <c r="A641" s="599"/>
      <c r="B641" s="607"/>
      <c r="C641" s="759"/>
      <c r="D641" s="759"/>
      <c r="E641" s="759" t="s">
        <v>19</v>
      </c>
      <c r="F641" s="759"/>
      <c r="G641" s="603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4"/>
      <c r="R641" s="604"/>
      <c r="S641" s="604"/>
      <c r="T641" s="604"/>
      <c r="U641" s="604"/>
      <c r="V641" s="604"/>
      <c r="W641" s="604"/>
      <c r="X641" s="604"/>
      <c r="Y641" s="604"/>
      <c r="Z641" s="604"/>
    </row>
    <row r="642" spans="1:26" ht="19.5">
      <c r="A642" s="608"/>
      <c r="B642" s="618"/>
      <c r="C642" s="763" t="s">
        <v>16</v>
      </c>
      <c r="D642" s="896" t="s">
        <v>38</v>
      </c>
      <c r="E642" s="761"/>
      <c r="F642" s="761"/>
      <c r="G642" s="613"/>
      <c r="H642" s="762"/>
      <c r="I642" s="184"/>
      <c r="J642" s="184"/>
      <c r="K642" s="163"/>
      <c r="L642" s="163"/>
      <c r="M642" s="163"/>
      <c r="N642" s="163"/>
      <c r="O642" s="163"/>
      <c r="P642" s="163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</row>
    <row r="643" spans="1:26" ht="18.75">
      <c r="A643" s="744"/>
      <c r="B643" s="575"/>
      <c r="C643" s="763"/>
      <c r="D643" s="626"/>
      <c r="E643" s="746" t="s">
        <v>272</v>
      </c>
      <c r="F643" s="626"/>
      <c r="G643" s="762"/>
      <c r="H643" s="764" t="s">
        <v>273</v>
      </c>
      <c r="I643" s="270">
        <f ca="1">IFERROR(__xludf.DUMMYFUNCTION("IMPORTRANGE(""https://docs.google.com/spreadsheets/d/1QqKyyYR6Q21VydFLVH3TRQUabQu_ym0Zz7PgGX0-kHA/edit?usp=sharing"",""แผน!HR47"")"),0)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</row>
    <row r="644" spans="1:26" ht="18.75">
      <c r="A644" s="744"/>
      <c r="B644" s="575"/>
      <c r="C644" s="763"/>
      <c r="D644" s="626"/>
      <c r="E644" s="746" t="s">
        <v>274</v>
      </c>
      <c r="F644" s="626"/>
      <c r="G644" s="762"/>
      <c r="H644" s="764" t="s">
        <v>275</v>
      </c>
      <c r="I644" s="270">
        <f ca="1">IFERROR(__xludf.DUMMYFUNCTION("IMPORTRANGE(""https://docs.google.com/spreadsheets/d/1QqKyyYR6Q21VydFLVH3TRQUabQu_ym0Zz7PgGX0-kHA/edit?usp=sharing"",""แผน!HR47"")"),0)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</row>
    <row r="645" spans="1:26" ht="18.75">
      <c r="A645" s="744"/>
      <c r="B645" s="575"/>
      <c r="C645" s="763"/>
      <c r="D645" s="626"/>
      <c r="E645" s="746" t="s">
        <v>276</v>
      </c>
      <c r="F645" s="626"/>
      <c r="G645" s="762"/>
      <c r="H645" s="76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IFERROR(__xludf.DUMMYFUNCTION("IMPORTRANGE(""https://docs.google.com/spreadsheets/d/1XWAQStnk-4SwqDmLtmXYiTMKHgktTP8We1SCoS47DrQ/edit?usp=sharing"",""จัดที่ดิน!AS47"")"),241)</f>
        <v>241</v>
      </c>
      <c r="K645" s="163">
        <f t="shared" si="271"/>
        <v>0</v>
      </c>
      <c r="L645" s="163"/>
      <c r="M645" s="163"/>
      <c r="N645" s="498"/>
      <c r="O645" s="163"/>
      <c r="P645" s="163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</row>
    <row r="646" spans="1:26" ht="18.75">
      <c r="A646" s="744"/>
      <c r="B646" s="575"/>
      <c r="C646" s="763"/>
      <c r="D646" s="626"/>
      <c r="E646" s="626"/>
      <c r="F646" s="626"/>
      <c r="G646" s="762"/>
      <c r="H646" s="76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IFERROR(__xludf.DUMMYFUNCTION("IMPORTRANGE(""https://docs.google.com/spreadsheets/d/1XWAQStnk-4SwqDmLtmXYiTMKHgktTP8We1SCoS47DrQ/edit?usp=sharing"",""จัดที่ดิน!AT47"")"),134.12)</f>
        <v>134.12</v>
      </c>
      <c r="K646" s="498">
        <f t="shared" si="271"/>
        <v>0</v>
      </c>
      <c r="L646" s="163"/>
      <c r="M646" s="163"/>
      <c r="N646" s="498"/>
      <c r="O646" s="163"/>
      <c r="P646" s="163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</row>
    <row r="647" spans="1:26" ht="18.75">
      <c r="A647" s="744"/>
      <c r="B647" s="575"/>
      <c r="C647" s="763"/>
      <c r="D647" s="626"/>
      <c r="E647" s="746" t="s">
        <v>162</v>
      </c>
      <c r="F647" s="626"/>
      <c r="G647" s="762"/>
      <c r="H647" s="764" t="s">
        <v>35</v>
      </c>
      <c r="I647" s="270">
        <f ca="1">IFERROR(__xludf.DUMMYFUNCTION("IMPORTRANGE(""https://docs.google.com/spreadsheets/d/1QqKyyYR6Q21VydFLVH3TRQUabQu_ym0Zz7PgGX0-kHA/edit?usp=sharing"",""แผน!HS47"")"),230)</f>
        <v>230</v>
      </c>
      <c r="J647" s="270">
        <f ca="1">IFERROR(__xludf.DUMMYFUNCTION("IMPORTRANGE(""https://docs.google.com/spreadsheets/d/1XWAQStnk-4SwqDmLtmXYiTMKHgktTP8We1SCoS47DrQ/edit?usp=sharing"",""จัดที่ดิน!AU47"")"),234)</f>
        <v>234</v>
      </c>
      <c r="K647" s="163">
        <f t="shared" ca="1" si="271"/>
        <v>101.73913043478261</v>
      </c>
      <c r="L647" s="163"/>
      <c r="M647" s="163"/>
      <c r="N647" s="163"/>
      <c r="O647" s="163"/>
      <c r="P647" s="163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</row>
    <row r="648" spans="1:26" ht="18.75">
      <c r="A648" s="744"/>
      <c r="B648" s="575"/>
      <c r="C648" s="763"/>
      <c r="D648" s="626"/>
      <c r="E648" s="626"/>
      <c r="F648" s="626"/>
      <c r="G648" s="762"/>
      <c r="H648" s="76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IFERROR(__xludf.DUMMYFUNCTION("IMPORTRANGE(""https://docs.google.com/spreadsheets/d/1XWAQStnk-4SwqDmLtmXYiTMKHgktTP8We1SCoS47DrQ/edit?usp=sharing"",""จัดที่ดิน!AV47"")"),104.53)</f>
        <v>104.53</v>
      </c>
      <c r="K648" s="498">
        <f t="shared" si="271"/>
        <v>0</v>
      </c>
      <c r="L648" s="163"/>
      <c r="M648" s="163"/>
      <c r="N648" s="163"/>
      <c r="O648" s="163"/>
      <c r="P648" s="163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</row>
    <row r="649" spans="1:26" ht="18.75">
      <c r="A649" s="744"/>
      <c r="B649" s="575"/>
      <c r="C649" s="763"/>
      <c r="D649" s="626"/>
      <c r="E649" s="746" t="s">
        <v>277</v>
      </c>
      <c r="F649" s="626"/>
      <c r="G649" s="762"/>
      <c r="H649" s="764" t="s">
        <v>35</v>
      </c>
      <c r="I649" s="270">
        <f ca="1">IFERROR(__xludf.DUMMYFUNCTION("IMPORTRANGE(""https://docs.google.com/spreadsheets/d/1QqKyyYR6Q21VydFLVH3TRQUabQu_ym0Zz7PgGX0-kHA/edit?usp=sharing"",""แผน!HS47"")"),230)</f>
        <v>230</v>
      </c>
      <c r="J649" s="270">
        <f ca="1">IFERROR(__xludf.DUMMYFUNCTION("IMPORTRANGE(""https://docs.google.com/spreadsheets/d/1XWAQStnk-4SwqDmLtmXYiTMKHgktTP8We1SCoS47DrQ/edit?usp=sharing"",""จัดที่ดิน!AW47"")"),226)</f>
        <v>226</v>
      </c>
      <c r="K649" s="163">
        <f t="shared" ca="1" si="271"/>
        <v>98.260869565217391</v>
      </c>
      <c r="L649" s="163"/>
      <c r="M649" s="163"/>
      <c r="N649" s="163"/>
      <c r="O649" s="163"/>
      <c r="P649" s="163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</row>
    <row r="650" spans="1:26" ht="18.75">
      <c r="A650" s="744"/>
      <c r="B650" s="575"/>
      <c r="C650" s="763"/>
      <c r="D650" s="626"/>
      <c r="E650" s="626"/>
      <c r="F650" s="626"/>
      <c r="G650" s="762"/>
      <c r="H650" s="76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IFERROR(__xludf.DUMMYFUNCTION("IMPORTRANGE(""https://docs.google.com/spreadsheets/d/1XWAQStnk-4SwqDmLtmXYiTMKHgktTP8We1SCoS47DrQ/edit?usp=sharing"",""จัดที่ดิน!AX47"")"),104.28)</f>
        <v>104.28</v>
      </c>
      <c r="K650" s="498">
        <f t="shared" si="271"/>
        <v>0</v>
      </c>
      <c r="L650" s="163"/>
      <c r="M650" s="163"/>
      <c r="N650" s="163"/>
      <c r="O650" s="163"/>
      <c r="P650" s="163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</row>
    <row r="651" spans="1:26" ht="18.75">
      <c r="A651" s="744"/>
      <c r="B651" s="575"/>
      <c r="C651" s="763"/>
      <c r="D651" s="626"/>
      <c r="E651" s="746" t="s">
        <v>278</v>
      </c>
      <c r="F651" s="626"/>
      <c r="G651" s="762"/>
      <c r="H651" s="764" t="s">
        <v>35</v>
      </c>
      <c r="I651" s="270">
        <f ca="1">IFERROR(__xludf.DUMMYFUNCTION("IMPORTRANGE(""https://docs.google.com/spreadsheets/d/1QqKyyYR6Q21VydFLVH3TRQUabQu_ym0Zz7PgGX0-kHA/edit?usp=sharing"",""แผน!HS47"")"),230)</f>
        <v>230</v>
      </c>
      <c r="J651" s="270">
        <f ca="1">IFERROR(__xludf.DUMMYFUNCTION("IMPORTRANGE(""https://docs.google.com/spreadsheets/d/1XWAQStnk-4SwqDmLtmXYiTMKHgktTP8We1SCoS47DrQ/edit?usp=sharing"",""จัดที่ดิน!AY47"")"),213)</f>
        <v>213</v>
      </c>
      <c r="K651" s="163">
        <f t="shared" ca="1" si="271"/>
        <v>92.608695652173907</v>
      </c>
      <c r="L651" s="163"/>
      <c r="M651" s="163"/>
      <c r="N651" s="163"/>
      <c r="O651" s="163"/>
      <c r="P651" s="163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</row>
    <row r="652" spans="1:26" ht="18.75">
      <c r="A652" s="74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8"/>
      <c r="C652" s="749"/>
      <c r="D652" s="734"/>
      <c r="E652" s="734"/>
      <c r="F652" s="734"/>
      <c r="G652" s="735"/>
      <c r="H652" s="505" t="s">
        <v>46</v>
      </c>
      <c r="I652" s="506">
        <v>0</v>
      </c>
      <c r="J652" s="506">
        <f ca="1">IFERROR(__xludf.DUMMYFUNCTION("IMPORTRANGE(""https://docs.google.com/spreadsheets/d/1XWAQStnk-4SwqDmLtmXYiTMKHgktTP8We1SCoS47DrQ/edit?usp=sharing"",""จัดที่ดิน!AZ47"")"),94.905)</f>
        <v>94.905000000000001</v>
      </c>
      <c r="K652" s="507">
        <f t="shared" si="271"/>
        <v>0</v>
      </c>
      <c r="L652" s="385"/>
      <c r="M652" s="385"/>
      <c r="N652" s="385"/>
      <c r="O652" s="385"/>
      <c r="P652" s="385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</row>
    <row r="653" spans="1:26" ht="19.5">
      <c r="A653" s="750">
        <v>8</v>
      </c>
      <c r="B653" s="737" t="s">
        <v>279</v>
      </c>
      <c r="C653" s="738"/>
      <c r="D653" s="738"/>
      <c r="E653" s="738"/>
      <c r="F653" s="738"/>
      <c r="G653" s="739"/>
      <c r="H653" s="739"/>
      <c r="I653" s="751"/>
      <c r="J653" s="751"/>
      <c r="K653" s="743"/>
      <c r="L653" s="743"/>
      <c r="M653" s="743"/>
      <c r="N653" s="743"/>
      <c r="O653" s="743"/>
      <c r="P653" s="743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</row>
    <row r="654" spans="1:26" ht="19.5">
      <c r="A654" s="673"/>
      <c r="B654" s="672" t="s">
        <v>280</v>
      </c>
      <c r="C654" s="673"/>
      <c r="D654" s="673"/>
      <c r="E654" s="673"/>
      <c r="F654" s="673"/>
      <c r="G654" s="674"/>
      <c r="H654" s="707" t="s">
        <v>46</v>
      </c>
      <c r="I654" s="708">
        <f t="shared" ref="I654:J654" ca="1" si="272">I669</f>
        <v>100</v>
      </c>
      <c r="J654" s="708">
        <f t="shared" si="272"/>
        <v>0</v>
      </c>
      <c r="K654" s="677">
        <f ca="1">IF(I654&gt;0,J654*100/I654,0)</f>
        <v>0</v>
      </c>
      <c r="L654" s="678"/>
      <c r="M654" s="678"/>
      <c r="N654" s="678"/>
      <c r="O654" s="678"/>
      <c r="P654" s="6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</row>
    <row r="655" spans="1:26" ht="19.5">
      <c r="A655" s="597"/>
      <c r="B655" s="763"/>
      <c r="C655" s="763" t="s">
        <v>16</v>
      </c>
      <c r="D655" s="863" t="s">
        <v>17</v>
      </c>
      <c r="E655" s="857"/>
      <c r="F655" s="857"/>
      <c r="G655" s="189"/>
      <c r="H655" s="598" t="s">
        <v>12</v>
      </c>
      <c r="I655" s="270"/>
      <c r="J655" s="270"/>
      <c r="K655" s="498"/>
      <c r="L655" s="195">
        <f t="shared" ref="L655:N655" ca="1" si="273">L656+L657</f>
        <v>12400</v>
      </c>
      <c r="M655" s="195">
        <f t="shared" ca="1" si="273"/>
        <v>6400</v>
      </c>
      <c r="N655" s="195">
        <f t="shared" si="273"/>
        <v>6400</v>
      </c>
      <c r="O655" s="195">
        <f t="shared" ref="O655:O660" ca="1" si="274">IF(L655&gt;0,N655*100/L655,0)</f>
        <v>51.612903225806448</v>
      </c>
      <c r="P655" s="195">
        <f t="shared" ref="P655:P660" ca="1" si="275">IF(M655&gt;0,N655*100/M655,0)</f>
        <v>100</v>
      </c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</row>
    <row r="656" spans="1:26" ht="18.75" hidden="1">
      <c r="A656" s="599"/>
      <c r="B656" s="759"/>
      <c r="C656" s="759"/>
      <c r="D656" s="720"/>
      <c r="E656" s="759" t="s">
        <v>185</v>
      </c>
      <c r="F656" s="759"/>
      <c r="G656" s="603"/>
      <c r="H656" s="165" t="s">
        <v>12</v>
      </c>
      <c r="I656" s="617"/>
      <c r="J656" s="617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4"/>
      <c r="R656" s="604"/>
      <c r="S656" s="604"/>
      <c r="T656" s="604"/>
      <c r="U656" s="604"/>
      <c r="V656" s="604"/>
      <c r="W656" s="604"/>
      <c r="X656" s="604"/>
      <c r="Y656" s="604"/>
      <c r="Z656" s="604"/>
    </row>
    <row r="657" spans="1:26" ht="18.75" hidden="1">
      <c r="A657" s="599"/>
      <c r="B657" s="607"/>
      <c r="C657" s="759"/>
      <c r="D657" s="720"/>
      <c r="E657" s="759" t="s">
        <v>186</v>
      </c>
      <c r="F657" s="759"/>
      <c r="G657" s="603"/>
      <c r="H657" s="165" t="s">
        <v>12</v>
      </c>
      <c r="I657" s="617"/>
      <c r="J657" s="617"/>
      <c r="K657" s="93"/>
      <c r="L657" s="93">
        <f t="shared" ca="1" si="276"/>
        <v>12400</v>
      </c>
      <c r="M657" s="93">
        <f t="shared" ca="1" si="276"/>
        <v>6400</v>
      </c>
      <c r="N657" s="93">
        <f t="shared" si="276"/>
        <v>6400</v>
      </c>
      <c r="O657" s="93">
        <f t="shared" ca="1" si="274"/>
        <v>51.612903225806448</v>
      </c>
      <c r="P657" s="93">
        <f t="shared" ca="1" si="275"/>
        <v>100</v>
      </c>
      <c r="Q657" s="604"/>
      <c r="R657" s="604"/>
      <c r="S657" s="604"/>
      <c r="T657" s="604"/>
      <c r="U657" s="604"/>
      <c r="V657" s="604"/>
      <c r="W657" s="604"/>
      <c r="X657" s="604"/>
      <c r="Y657" s="604"/>
      <c r="Z657" s="604"/>
    </row>
    <row r="658" spans="1:26" ht="18.75">
      <c r="A658" s="597"/>
      <c r="B658" s="575"/>
      <c r="C658" s="763"/>
      <c r="D658" s="606" t="s">
        <v>20</v>
      </c>
      <c r="E658" s="763"/>
      <c r="F658" s="763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12400</v>
      </c>
      <c r="M658" s="498">
        <f t="shared" ca="1" si="277"/>
        <v>6400</v>
      </c>
      <c r="N658" s="498">
        <f t="shared" si="277"/>
        <v>6400</v>
      </c>
      <c r="O658" s="498">
        <f t="shared" ca="1" si="274"/>
        <v>51.612903225806448</v>
      </c>
      <c r="P658" s="498">
        <f t="shared" ca="1" si="275"/>
        <v>100</v>
      </c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</row>
    <row r="659" spans="1:26" ht="18.75" hidden="1">
      <c r="A659" s="599"/>
      <c r="B659" s="607"/>
      <c r="C659" s="759"/>
      <c r="D659" s="720"/>
      <c r="E659" s="759" t="s">
        <v>185</v>
      </c>
      <c r="F659" s="759"/>
      <c r="G659" s="603"/>
      <c r="H659" s="165" t="s">
        <v>12</v>
      </c>
      <c r="I659" s="617"/>
      <c r="J659" s="617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4"/>
      <c r="R659" s="604"/>
      <c r="S659" s="604"/>
      <c r="T659" s="604"/>
      <c r="U659" s="604"/>
      <c r="V659" s="604"/>
      <c r="W659" s="604"/>
      <c r="X659" s="604"/>
      <c r="Y659" s="604"/>
      <c r="Z659" s="604"/>
    </row>
    <row r="660" spans="1:26" ht="18.75" hidden="1">
      <c r="A660" s="599"/>
      <c r="B660" s="607"/>
      <c r="C660" s="759"/>
      <c r="D660" s="720"/>
      <c r="E660" s="759" t="s">
        <v>186</v>
      </c>
      <c r="F660" s="759"/>
      <c r="G660" s="603"/>
      <c r="H660" s="165" t="s">
        <v>12</v>
      </c>
      <c r="I660" s="617"/>
      <c r="J660" s="617"/>
      <c r="K660" s="93"/>
      <c r="L660" s="93">
        <f ca="1">IFERROR(__xludf.DUMMYFUNCTION("IMPORTRANGE(""https://docs.google.com/spreadsheets/d/1QqKyyYR6Q21VydFLVH3TRQUabQu_ym0Zz7PgGX0-kHA/edit?usp=sharing"",""แผน!HV47"")"),12400)</f>
        <v>12400</v>
      </c>
      <c r="M660" s="93">
        <f ca="1">L660-6000</f>
        <v>6400</v>
      </c>
      <c r="N660" s="93">
        <f>N661+N662+N663+N664</f>
        <v>6400</v>
      </c>
      <c r="O660" s="93">
        <f t="shared" ca="1" si="274"/>
        <v>51.612903225806448</v>
      </c>
      <c r="P660" s="93">
        <f t="shared" ca="1" si="275"/>
        <v>100</v>
      </c>
      <c r="Q660" s="604"/>
      <c r="R660" s="604"/>
      <c r="S660" s="604"/>
      <c r="T660" s="604"/>
      <c r="U660" s="604"/>
      <c r="V660" s="604"/>
      <c r="W660" s="604"/>
      <c r="X660" s="604"/>
      <c r="Y660" s="604"/>
      <c r="Z660" s="604"/>
    </row>
    <row r="661" spans="1:26" ht="18.75">
      <c r="A661" s="574"/>
      <c r="B661" s="575"/>
      <c r="C661" s="763"/>
      <c r="D661" s="763"/>
      <c r="E661" s="763"/>
      <c r="F661" s="763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40">
        <v>0</v>
      </c>
      <c r="O661" s="498"/>
      <c r="P661" s="49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</row>
    <row r="662" spans="1:26" ht="18.75">
      <c r="A662" s="574"/>
      <c r="B662" s="575"/>
      <c r="C662" s="763"/>
      <c r="D662" s="763"/>
      <c r="E662" s="763"/>
      <c r="F662" s="763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40">
        <v>0</v>
      </c>
      <c r="O662" s="498"/>
      <c r="P662" s="49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</row>
    <row r="663" spans="1:26" ht="18.75">
      <c r="A663" s="574"/>
      <c r="B663" s="575"/>
      <c r="C663" s="575"/>
      <c r="D663" s="763"/>
      <c r="E663" s="763"/>
      <c r="F663" s="763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40">
        <v>0</v>
      </c>
      <c r="O663" s="498"/>
      <c r="P663" s="49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</row>
    <row r="664" spans="1:26" ht="18.75">
      <c r="A664" s="574"/>
      <c r="B664" s="575"/>
      <c r="C664" s="575"/>
      <c r="D664" s="575"/>
      <c r="E664" s="763"/>
      <c r="F664" s="763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40">
        <v>6400</v>
      </c>
      <c r="O664" s="498"/>
      <c r="P664" s="49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</row>
    <row r="665" spans="1:26" ht="18.75">
      <c r="A665" s="597"/>
      <c r="B665" s="575"/>
      <c r="C665" s="575"/>
      <c r="D665" s="606" t="s">
        <v>21</v>
      </c>
      <c r="E665" s="763"/>
      <c r="F665" s="763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</row>
    <row r="666" spans="1:26" ht="18.75" hidden="1">
      <c r="A666" s="599"/>
      <c r="B666" s="607"/>
      <c r="C666" s="607"/>
      <c r="D666" s="607"/>
      <c r="E666" s="759" t="s">
        <v>18</v>
      </c>
      <c r="F666" s="759"/>
      <c r="G666" s="603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4"/>
      <c r="R666" s="604"/>
      <c r="S666" s="604"/>
      <c r="T666" s="604"/>
      <c r="U666" s="604"/>
      <c r="V666" s="604"/>
      <c r="W666" s="604"/>
      <c r="X666" s="604"/>
      <c r="Y666" s="604"/>
      <c r="Z666" s="604"/>
    </row>
    <row r="667" spans="1:26" ht="18.75" hidden="1">
      <c r="A667" s="599"/>
      <c r="B667" s="607"/>
      <c r="C667" s="607"/>
      <c r="D667" s="607"/>
      <c r="E667" s="759" t="s">
        <v>19</v>
      </c>
      <c r="F667" s="759"/>
      <c r="G667" s="603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4"/>
      <c r="R667" s="604"/>
      <c r="S667" s="604"/>
      <c r="T667" s="604"/>
      <c r="U667" s="604"/>
      <c r="V667" s="604"/>
      <c r="W667" s="604"/>
      <c r="X667" s="604"/>
      <c r="Y667" s="604"/>
      <c r="Z667" s="604"/>
    </row>
    <row r="668" spans="1:26" ht="19.5">
      <c r="A668" s="608"/>
      <c r="B668" s="618"/>
      <c r="C668" s="575" t="s">
        <v>16</v>
      </c>
      <c r="D668" s="893" t="s">
        <v>38</v>
      </c>
      <c r="E668" s="761"/>
      <c r="F668" s="761"/>
      <c r="G668" s="613"/>
      <c r="H668" s="762"/>
      <c r="I668" s="184"/>
      <c r="J668" s="184"/>
      <c r="K668" s="163"/>
      <c r="L668" s="163"/>
      <c r="M668" s="163"/>
      <c r="N668" s="163"/>
      <c r="O668" s="163"/>
      <c r="P668" s="163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</row>
    <row r="669" spans="1:26" ht="19.5">
      <c r="A669" s="608"/>
      <c r="B669" s="618"/>
      <c r="C669" s="618"/>
      <c r="D669" s="618" t="s">
        <v>281</v>
      </c>
      <c r="E669" s="626"/>
      <c r="F669" s="626"/>
      <c r="G669" s="762"/>
      <c r="H669" s="767" t="s">
        <v>46</v>
      </c>
      <c r="I669" s="681">
        <f ca="1">IFERROR(__xludf.DUMMYFUNCTION("IMPORTRANGE(""https://docs.google.com/spreadsheets/d/1QqKyyYR6Q21VydFLVH3TRQUabQu_ym0Zz7PgGX0-kHA/edit?usp=sharing"",""แผน!IA47"")"),100)</f>
        <v>100</v>
      </c>
      <c r="J669" s="681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</row>
    <row r="670" spans="1:26" ht="18.75">
      <c r="A670" s="608"/>
      <c r="B670" s="618"/>
      <c r="C670" s="618"/>
      <c r="D670" s="618"/>
      <c r="E670" s="626" t="s">
        <v>282</v>
      </c>
      <c r="F670" s="626"/>
      <c r="G670" s="762"/>
      <c r="H670" s="764" t="s">
        <v>66</v>
      </c>
      <c r="I670" s="270">
        <f ca="1">IFERROR(__xludf.DUMMYFUNCTION("IMPORTRANGE(""https://docs.google.com/spreadsheets/d/1QqKyyYR6Q21VydFLVH3TRQUabQu_ym0Zz7PgGX0-kHA/edit?usp=sharing"",""แผน!HZ47"")"),4)</f>
        <v>4</v>
      </c>
      <c r="J670" s="215">
        <v>4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</row>
    <row r="671" spans="1:26" ht="18.75">
      <c r="A671" s="608"/>
      <c r="B671" s="618"/>
      <c r="C671" s="618"/>
      <c r="D671" s="618"/>
      <c r="E671" s="626" t="s">
        <v>283</v>
      </c>
      <c r="F671" s="626"/>
      <c r="G671" s="762"/>
      <c r="H671" s="764" t="s">
        <v>66</v>
      </c>
      <c r="I671" s="270">
        <f ca="1">IFERROR(__xludf.DUMMYFUNCTION("IMPORTRANGE(""https://docs.google.com/spreadsheets/d/1QqKyyYR6Q21VydFLVH3TRQUabQu_ym0Zz7PgGX0-kHA/edit?usp=sharing"",""แผน!HZ47"")"),4)</f>
        <v>4</v>
      </c>
      <c r="J671" s="215">
        <v>4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</row>
    <row r="672" spans="1:26" ht="18.75">
      <c r="A672" s="608"/>
      <c r="B672" s="618"/>
      <c r="C672" s="618"/>
      <c r="D672" s="618"/>
      <c r="E672" s="626" t="s">
        <v>284</v>
      </c>
      <c r="F672" s="626"/>
      <c r="G672" s="762"/>
      <c r="H672" s="764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</row>
    <row r="673" spans="1:26" ht="18.75">
      <c r="A673" s="608"/>
      <c r="B673" s="618"/>
      <c r="C673" s="618"/>
      <c r="D673" s="618"/>
      <c r="E673" s="626" t="s">
        <v>285</v>
      </c>
      <c r="F673" s="626"/>
      <c r="G673" s="762"/>
      <c r="H673" s="764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</row>
    <row r="674" spans="1:26" ht="18.75">
      <c r="A674" s="608"/>
      <c r="B674" s="618"/>
      <c r="C674" s="618"/>
      <c r="D674" s="618"/>
      <c r="E674" s="626" t="s">
        <v>286</v>
      </c>
      <c r="F674" s="626"/>
      <c r="G674" s="762"/>
      <c r="H674" s="764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</row>
    <row r="675" spans="1:26" ht="19.5">
      <c r="A675" s="608"/>
      <c r="B675" s="618"/>
      <c r="C675" s="618"/>
      <c r="D675" s="618"/>
      <c r="E675" s="626" t="s">
        <v>287</v>
      </c>
      <c r="F675" s="626"/>
      <c r="G675" s="762"/>
      <c r="H675" s="764" t="s">
        <v>46</v>
      </c>
      <c r="I675" s="270"/>
      <c r="J675" s="681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</row>
    <row r="676" spans="1:26" ht="18.75">
      <c r="A676" s="608"/>
      <c r="B676" s="618"/>
      <c r="C676" s="618"/>
      <c r="D676" s="618"/>
      <c r="E676" s="626"/>
      <c r="F676" s="626" t="s">
        <v>288</v>
      </c>
      <c r="G676" s="762"/>
      <c r="H676" s="764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</row>
    <row r="677" spans="1:26" ht="18.75">
      <c r="A677" s="608"/>
      <c r="B677" s="618"/>
      <c r="C677" s="618"/>
      <c r="D677" s="618"/>
      <c r="E677" s="626"/>
      <c r="F677" s="626" t="s">
        <v>289</v>
      </c>
      <c r="G677" s="762"/>
      <c r="H677" s="764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</row>
    <row r="678" spans="1:26" ht="19.5">
      <c r="A678" s="608"/>
      <c r="B678" s="618"/>
      <c r="C678" s="618"/>
      <c r="D678" s="618" t="s">
        <v>290</v>
      </c>
      <c r="E678" s="626"/>
      <c r="F678" s="626"/>
      <c r="G678" s="762"/>
      <c r="H678" s="764" t="s">
        <v>46</v>
      </c>
      <c r="I678" s="681">
        <f ca="1">IFERROR(__xludf.DUMMYFUNCTION("IMPORTRANGE(""https://docs.google.com/spreadsheets/d/1QqKyyYR6Q21VydFLVH3TRQUabQu_ym0Zz7PgGX0-kHA/edit?usp=sharing"",""แผน!IB47"")"),0)</f>
        <v>0</v>
      </c>
      <c r="J678" s="681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</row>
    <row r="679" spans="1:26" ht="18.75">
      <c r="A679" s="608"/>
      <c r="B679" s="618"/>
      <c r="C679" s="618"/>
      <c r="D679" s="618"/>
      <c r="E679" s="626" t="s">
        <v>291</v>
      </c>
      <c r="F679" s="626"/>
      <c r="G679" s="762"/>
      <c r="H679" s="764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</row>
    <row r="680" spans="1:26" ht="18.75">
      <c r="A680" s="608"/>
      <c r="B680" s="618"/>
      <c r="C680" s="618"/>
      <c r="D680" s="618"/>
      <c r="E680" s="626"/>
      <c r="F680" s="626" t="s">
        <v>288</v>
      </c>
      <c r="G680" s="762"/>
      <c r="H680" s="764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</row>
    <row r="681" spans="1:26" ht="18.75">
      <c r="A681" s="608"/>
      <c r="B681" s="618"/>
      <c r="C681" s="618"/>
      <c r="D681" s="618"/>
      <c r="E681" s="626"/>
      <c r="F681" s="626" t="s">
        <v>289</v>
      </c>
      <c r="G681" s="762"/>
      <c r="H681" s="764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</row>
    <row r="682" spans="1:26" ht="18.75">
      <c r="A682" s="608"/>
      <c r="B682" s="618"/>
      <c r="C682" s="618"/>
      <c r="D682" s="618"/>
      <c r="E682" s="626" t="s">
        <v>292</v>
      </c>
      <c r="F682" s="626"/>
      <c r="G682" s="762"/>
      <c r="H682" s="764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</row>
    <row r="683" spans="1:26" ht="18.75">
      <c r="A683" s="608"/>
      <c r="B683" s="618"/>
      <c r="C683" s="618"/>
      <c r="D683" s="618"/>
      <c r="E683" s="626"/>
      <c r="F683" s="626" t="s">
        <v>293</v>
      </c>
      <c r="G683" s="762"/>
      <c r="H683" s="764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</row>
    <row r="684" spans="1:26" ht="19.5">
      <c r="A684" s="753"/>
      <c r="B684" s="754" t="s">
        <v>294</v>
      </c>
      <c r="C684" s="753"/>
      <c r="D684" s="753"/>
      <c r="E684" s="753"/>
      <c r="F684" s="753"/>
      <c r="G684" s="755"/>
      <c r="H684" s="755"/>
      <c r="I684" s="756"/>
      <c r="J684" s="756"/>
      <c r="K684" s="757"/>
      <c r="L684" s="757"/>
      <c r="M684" s="757"/>
      <c r="N684" s="757"/>
      <c r="O684" s="757"/>
      <c r="P684" s="757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</row>
    <row r="685" spans="1:26" ht="19.5">
      <c r="A685" s="597"/>
      <c r="B685" s="763"/>
      <c r="C685" s="763" t="s">
        <v>16</v>
      </c>
      <c r="D685" s="863" t="s">
        <v>17</v>
      </c>
      <c r="E685" s="857"/>
      <c r="F685" s="857"/>
      <c r="G685" s="189"/>
      <c r="H685" s="598" t="s">
        <v>12</v>
      </c>
      <c r="I685" s="270"/>
      <c r="J685" s="270"/>
      <c r="K685" s="498"/>
      <c r="L685" s="195">
        <f t="shared" ref="L685:N685" ca="1" si="282">L686+L687</f>
        <v>6190</v>
      </c>
      <c r="M685" s="195">
        <f t="shared" ca="1" si="282"/>
        <v>6190</v>
      </c>
      <c r="N685" s="195">
        <f t="shared" si="282"/>
        <v>6190</v>
      </c>
      <c r="O685" s="195">
        <f t="shared" ref="O685:O688" ca="1" si="283">IF(L685&gt;0,N685*100/L685,0)</f>
        <v>100</v>
      </c>
      <c r="P685" s="195">
        <f t="shared" ref="P685:P688" ca="1" si="284">IF(M685&gt;0,N685*100/M685,0)</f>
        <v>100</v>
      </c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</row>
    <row r="686" spans="1:26" ht="18.75" hidden="1">
      <c r="A686" s="599"/>
      <c r="B686" s="759"/>
      <c r="C686" s="759"/>
      <c r="D686" s="720"/>
      <c r="E686" s="759" t="s">
        <v>185</v>
      </c>
      <c r="F686" s="759"/>
      <c r="G686" s="603"/>
      <c r="H686" s="165" t="s">
        <v>12</v>
      </c>
      <c r="I686" s="617"/>
      <c r="J686" s="617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4"/>
      <c r="R686" s="604"/>
      <c r="S686" s="604"/>
      <c r="T686" s="604"/>
      <c r="U686" s="604"/>
      <c r="V686" s="604"/>
      <c r="W686" s="604"/>
      <c r="X686" s="604"/>
      <c r="Y686" s="604"/>
      <c r="Z686" s="604"/>
    </row>
    <row r="687" spans="1:26" ht="18.75" hidden="1">
      <c r="A687" s="599"/>
      <c r="B687" s="607"/>
      <c r="C687" s="759"/>
      <c r="D687" s="720"/>
      <c r="E687" s="759" t="s">
        <v>186</v>
      </c>
      <c r="F687" s="759"/>
      <c r="G687" s="603"/>
      <c r="H687" s="165" t="s">
        <v>12</v>
      </c>
      <c r="I687" s="617"/>
      <c r="J687" s="617"/>
      <c r="K687" s="93"/>
      <c r="L687" s="93">
        <f t="shared" ca="1" si="285"/>
        <v>6190</v>
      </c>
      <c r="M687" s="93">
        <f t="shared" ca="1" si="285"/>
        <v>6190</v>
      </c>
      <c r="N687" s="93">
        <f t="shared" si="285"/>
        <v>6190</v>
      </c>
      <c r="O687" s="93">
        <f t="shared" ca="1" si="283"/>
        <v>100</v>
      </c>
      <c r="P687" s="93">
        <f t="shared" ca="1" si="284"/>
        <v>100</v>
      </c>
      <c r="Q687" s="604"/>
      <c r="R687" s="604"/>
      <c r="S687" s="604"/>
      <c r="T687" s="604"/>
      <c r="U687" s="604"/>
      <c r="V687" s="604"/>
      <c r="W687" s="604"/>
      <c r="X687" s="604"/>
      <c r="Y687" s="604"/>
      <c r="Z687" s="604"/>
    </row>
    <row r="688" spans="1:26" ht="18.75">
      <c r="A688" s="597"/>
      <c r="B688" s="575"/>
      <c r="C688" s="763"/>
      <c r="D688" s="606" t="s">
        <v>20</v>
      </c>
      <c r="E688" s="763"/>
      <c r="F688" s="763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6190</v>
      </c>
      <c r="M688" s="498">
        <f t="shared" ca="1" si="286"/>
        <v>6190</v>
      </c>
      <c r="N688" s="498">
        <f t="shared" si="286"/>
        <v>6190</v>
      </c>
      <c r="O688" s="498">
        <f t="shared" ca="1" si="283"/>
        <v>100</v>
      </c>
      <c r="P688" s="498">
        <f t="shared" ca="1" si="284"/>
        <v>100</v>
      </c>
      <c r="Q688" s="578"/>
      <c r="R688" s="578"/>
      <c r="S688" s="578"/>
      <c r="T688" s="578"/>
      <c r="U688" s="578"/>
      <c r="V688" s="578"/>
      <c r="W688" s="578"/>
      <c r="X688" s="578"/>
      <c r="Y688" s="578"/>
      <c r="Z688" s="578"/>
    </row>
    <row r="689" spans="1:26" ht="18.75" hidden="1">
      <c r="A689" s="599"/>
      <c r="B689" s="607"/>
      <c r="C689" s="759"/>
      <c r="D689" s="720"/>
      <c r="E689" s="759" t="s">
        <v>185</v>
      </c>
      <c r="F689" s="759"/>
      <c r="G689" s="603"/>
      <c r="H689" s="165" t="s">
        <v>12</v>
      </c>
      <c r="I689" s="617"/>
      <c r="J689" s="617"/>
      <c r="K689" s="93"/>
      <c r="L689" s="93">
        <v>0</v>
      </c>
      <c r="M689" s="93">
        <v>0</v>
      </c>
      <c r="N689" s="93">
        <v>0</v>
      </c>
      <c r="O689" s="93"/>
      <c r="P689" s="93"/>
      <c r="Q689" s="604"/>
      <c r="R689" s="604"/>
      <c r="S689" s="604"/>
      <c r="T689" s="604"/>
      <c r="U689" s="604"/>
      <c r="V689" s="604"/>
      <c r="W689" s="604"/>
      <c r="X689" s="604"/>
      <c r="Y689" s="604"/>
      <c r="Z689" s="604"/>
    </row>
    <row r="690" spans="1:26" ht="18.75" hidden="1">
      <c r="A690" s="599"/>
      <c r="B690" s="607"/>
      <c r="C690" s="759"/>
      <c r="D690" s="720"/>
      <c r="E690" s="759" t="s">
        <v>186</v>
      </c>
      <c r="F690" s="759"/>
      <c r="G690" s="603"/>
      <c r="H690" s="165" t="s">
        <v>12</v>
      </c>
      <c r="I690" s="617"/>
      <c r="J690" s="617"/>
      <c r="K690" s="93"/>
      <c r="L690" s="93">
        <f ca="1">IFERROR(__xludf.DUMMYFUNCTION("IMPORTRANGE(""https://docs.google.com/spreadsheets/d/1QqKyyYR6Q21VydFLVH3TRQUabQu_ym0Zz7PgGX0-kHA/edit?usp=sharing"",""แผน!HW47"")"),6190)</f>
        <v>6190</v>
      </c>
      <c r="M690" s="93">
        <f ca="1">L690</f>
        <v>6190</v>
      </c>
      <c r="N690" s="93">
        <f>N691+N692+N693+N694</f>
        <v>6190</v>
      </c>
      <c r="O690" s="93">
        <f ca="1">IF(L690&gt;0,N690*100/L690,0)</f>
        <v>100</v>
      </c>
      <c r="P690" s="93">
        <f ca="1">IF(M690&gt;0,N690*100/M690,0)</f>
        <v>100</v>
      </c>
      <c r="Q690" s="604"/>
      <c r="R690" s="604"/>
      <c r="S690" s="604"/>
      <c r="T690" s="604"/>
      <c r="U690" s="604"/>
      <c r="V690" s="604"/>
      <c r="W690" s="604"/>
      <c r="X690" s="604"/>
      <c r="Y690" s="604"/>
      <c r="Z690" s="604"/>
    </row>
    <row r="691" spans="1:26" ht="18.75">
      <c r="A691" s="574"/>
      <c r="B691" s="575"/>
      <c r="C691" s="763"/>
      <c r="D691" s="763"/>
      <c r="E691" s="763"/>
      <c r="F691" s="763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40">
        <v>0</v>
      </c>
      <c r="O691" s="498"/>
      <c r="P691" s="49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</row>
    <row r="692" spans="1:26" ht="18.75">
      <c r="A692" s="574"/>
      <c r="B692" s="575"/>
      <c r="C692" s="763"/>
      <c r="D692" s="763"/>
      <c r="E692" s="763"/>
      <c r="F692" s="763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40">
        <v>0</v>
      </c>
      <c r="O692" s="498"/>
      <c r="P692" s="49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</row>
    <row r="693" spans="1:26" ht="18.75">
      <c r="A693" s="574"/>
      <c r="B693" s="575"/>
      <c r="C693" s="763"/>
      <c r="D693" s="763"/>
      <c r="E693" s="763"/>
      <c r="F693" s="763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40">
        <v>0</v>
      </c>
      <c r="O693" s="498"/>
      <c r="P693" s="49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</row>
    <row r="694" spans="1:26" ht="18.75">
      <c r="A694" s="574"/>
      <c r="B694" s="575"/>
      <c r="C694" s="763"/>
      <c r="D694" s="763"/>
      <c r="E694" s="763"/>
      <c r="F694" s="763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40">
        <v>6190</v>
      </c>
      <c r="O694" s="498"/>
      <c r="P694" s="49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</row>
    <row r="695" spans="1:26" ht="18.75">
      <c r="A695" s="597"/>
      <c r="B695" s="575"/>
      <c r="C695" s="763"/>
      <c r="D695" s="606" t="s">
        <v>21</v>
      </c>
      <c r="E695" s="763"/>
      <c r="F695" s="763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</row>
    <row r="696" spans="1:26" ht="18.75" hidden="1">
      <c r="A696" s="599"/>
      <c r="B696" s="607"/>
      <c r="C696" s="759"/>
      <c r="D696" s="759"/>
      <c r="E696" s="759" t="s">
        <v>18</v>
      </c>
      <c r="F696" s="759"/>
      <c r="G696" s="603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4"/>
      <c r="R696" s="604"/>
      <c r="S696" s="604"/>
      <c r="T696" s="604"/>
      <c r="U696" s="604"/>
      <c r="V696" s="604"/>
      <c r="W696" s="604"/>
      <c r="X696" s="604"/>
      <c r="Y696" s="604"/>
      <c r="Z696" s="604"/>
    </row>
    <row r="697" spans="1:26" ht="18.75" hidden="1">
      <c r="A697" s="599"/>
      <c r="B697" s="607"/>
      <c r="C697" s="759"/>
      <c r="D697" s="759"/>
      <c r="E697" s="759" t="s">
        <v>19</v>
      </c>
      <c r="F697" s="759"/>
      <c r="G697" s="603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4"/>
      <c r="R697" s="604"/>
      <c r="S697" s="604"/>
      <c r="T697" s="604"/>
      <c r="U697" s="604"/>
      <c r="V697" s="604"/>
      <c r="W697" s="604"/>
      <c r="X697" s="604"/>
      <c r="Y697" s="604"/>
      <c r="Z697" s="604"/>
    </row>
    <row r="698" spans="1:26" ht="19.5">
      <c r="A698" s="608"/>
      <c r="B698" s="618"/>
      <c r="C698" s="763" t="s">
        <v>16</v>
      </c>
      <c r="D698" s="898" t="s">
        <v>38</v>
      </c>
      <c r="E698" s="761"/>
      <c r="F698" s="761"/>
      <c r="G698" s="613"/>
      <c r="H698" s="762"/>
      <c r="I698" s="184"/>
      <c r="J698" s="184"/>
      <c r="K698" s="163"/>
      <c r="L698" s="163"/>
      <c r="M698" s="163"/>
      <c r="N698" s="163"/>
      <c r="O698" s="163"/>
      <c r="P698" s="163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</row>
    <row r="699" spans="1:26" ht="18.75">
      <c r="A699" s="744"/>
      <c r="B699" s="763"/>
      <c r="C699" s="763"/>
      <c r="D699" s="763" t="s">
        <v>295</v>
      </c>
      <c r="E699" s="763"/>
      <c r="F699" s="763"/>
      <c r="G699" s="189"/>
      <c r="H699" s="764" t="s">
        <v>46</v>
      </c>
      <c r="I699" s="765">
        <f ca="1">IFERROR(__xludf.DUMMYFUNCTION("IMPORTRANGE(""https://docs.google.com/spreadsheets/d/1QqKyyYR6Q21VydFLVH3TRQUabQu_ym0Zz7PgGX0-kHA/edit?usp=sharing"",""แผน!IC47"")"),0)</f>
        <v>0</v>
      </c>
      <c r="J699" s="270">
        <f ca="1">IFERROR(__xludf.DUMMYFUNCTION("IMPORTRANGE(""https://docs.google.com/spreadsheets/d/1XWAQStnk-4SwqDmLtmXYiTMKHgktTP8We1SCoS47DrQ/edit?usp=sharing"",""จัดที่ดิน!BB47"")"),0)</f>
        <v>0</v>
      </c>
      <c r="K699" s="498">
        <f t="shared" ref="K699:K701" ca="1" si="290">IF(I699&gt;0,J699*100/I699,0)</f>
        <v>0</v>
      </c>
      <c r="L699" s="498"/>
      <c r="M699" s="189"/>
      <c r="N699" s="766"/>
      <c r="O699" s="498"/>
      <c r="P699" s="49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</row>
    <row r="700" spans="1:26" ht="18.75">
      <c r="A700" s="744"/>
      <c r="B700" s="763"/>
      <c r="C700" s="763"/>
      <c r="D700" s="763" t="s">
        <v>296</v>
      </c>
      <c r="E700" s="763"/>
      <c r="F700" s="763"/>
      <c r="G700" s="189"/>
      <c r="H700" s="764" t="s">
        <v>35</v>
      </c>
      <c r="I700" s="765">
        <f ca="1">IFERROR(__xludf.DUMMYFUNCTION("IMPORTRANGE(""https://docs.google.com/spreadsheets/d/1QqKyyYR6Q21VydFLVH3TRQUabQu_ym0Zz7PgGX0-kHA/edit?usp=sharing"",""แผน!ID47"")"),0)</f>
        <v>0</v>
      </c>
      <c r="J700" s="270">
        <f ca="1">IFERROR(__xludf.DUMMYFUNCTION("IMPORTRANGE(""https://docs.google.com/spreadsheets/d/1XWAQStnk-4SwqDmLtmXYiTMKHgktTP8We1SCoS47DrQ/edit?usp=sharing"",""จัดที่ดิน!BD47"")"),0)</f>
        <v>0</v>
      </c>
      <c r="K700" s="498">
        <f t="shared" ca="1" si="290"/>
        <v>0</v>
      </c>
      <c r="L700" s="498"/>
      <c r="M700" s="189"/>
      <c r="N700" s="766"/>
      <c r="O700" s="498"/>
      <c r="P700" s="49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</row>
    <row r="701" spans="1:26" ht="19.5">
      <c r="A701" s="744"/>
      <c r="B701" s="763"/>
      <c r="C701" s="763"/>
      <c r="D701" s="763" t="s">
        <v>297</v>
      </c>
      <c r="E701" s="763"/>
      <c r="F701" s="763"/>
      <c r="G701" s="189"/>
      <c r="H701" s="767" t="s">
        <v>46</v>
      </c>
      <c r="I701" s="768">
        <f ca="1">IFERROR(__xludf.DUMMYFUNCTION("IMPORTRANGE(""https://docs.google.com/spreadsheets/d/1QqKyyYR6Q21VydFLVH3TRQUabQu_ym0Zz7PgGX0-kHA/edit?usp=sharing"",""แผน!IE47"")"),20)</f>
        <v>20</v>
      </c>
      <c r="J701" s="681">
        <f>J704+J707</f>
        <v>376.40999999999997</v>
      </c>
      <c r="K701" s="195">
        <f t="shared" ca="1" si="290"/>
        <v>1882.05</v>
      </c>
      <c r="L701" s="498"/>
      <c r="M701" s="189"/>
      <c r="N701" s="766"/>
      <c r="O701" s="498"/>
      <c r="P701" s="49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</row>
    <row r="702" spans="1:26" ht="18.75">
      <c r="A702" s="744"/>
      <c r="B702" s="763"/>
      <c r="C702" s="763"/>
      <c r="D702" s="763"/>
      <c r="E702" s="763" t="s">
        <v>298</v>
      </c>
      <c r="F702" s="763"/>
      <c r="G702" s="189"/>
      <c r="H702" s="764" t="s">
        <v>35</v>
      </c>
      <c r="I702" s="765"/>
      <c r="J702" s="215">
        <v>2</v>
      </c>
      <c r="K702" s="498"/>
      <c r="L702" s="498"/>
      <c r="M702" s="189"/>
      <c r="N702" s="766"/>
      <c r="O702" s="498"/>
      <c r="P702" s="49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</row>
    <row r="703" spans="1:26" ht="18.75">
      <c r="A703" s="744"/>
      <c r="B703" s="763"/>
      <c r="C703" s="763"/>
      <c r="D703" s="763"/>
      <c r="E703" s="763"/>
      <c r="F703" s="763"/>
      <c r="G703" s="189"/>
      <c r="H703" s="764" t="s">
        <v>34</v>
      </c>
      <c r="I703" s="765"/>
      <c r="J703" s="215">
        <v>3</v>
      </c>
      <c r="K703" s="498"/>
      <c r="L703" s="498"/>
      <c r="M703" s="189"/>
      <c r="N703" s="766"/>
      <c r="O703" s="498"/>
      <c r="P703" s="49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</row>
    <row r="704" spans="1:26" ht="18.75">
      <c r="A704" s="744"/>
      <c r="B704" s="763"/>
      <c r="C704" s="763"/>
      <c r="D704" s="763"/>
      <c r="E704" s="763"/>
      <c r="F704" s="763"/>
      <c r="G704" s="189"/>
      <c r="H704" s="764" t="s">
        <v>46</v>
      </c>
      <c r="I704" s="765">
        <f ca="1">IFERROR(__xludf.DUMMYFUNCTION("IMPORTRANGE(""https://docs.google.com/spreadsheets/d/1QqKyyYR6Q21VydFLVH3TRQUabQu_ym0Zz7PgGX0-kHA/edit?usp=sharing"",""แผน!IF47"")"),20)</f>
        <v>20</v>
      </c>
      <c r="J704" s="215">
        <v>48.95</v>
      </c>
      <c r="K704" s="498"/>
      <c r="L704" s="498"/>
      <c r="M704" s="189"/>
      <c r="N704" s="766"/>
      <c r="O704" s="498"/>
      <c r="P704" s="49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</row>
    <row r="705" spans="1:26" ht="18.75">
      <c r="A705" s="744"/>
      <c r="B705" s="763"/>
      <c r="C705" s="763"/>
      <c r="D705" s="763"/>
      <c r="E705" s="763" t="s">
        <v>299</v>
      </c>
      <c r="F705" s="763"/>
      <c r="G705" s="189"/>
      <c r="H705" s="764" t="s">
        <v>35</v>
      </c>
      <c r="I705" s="765"/>
      <c r="J705" s="215">
        <v>23</v>
      </c>
      <c r="K705" s="498"/>
      <c r="L705" s="498"/>
      <c r="M705" s="189"/>
      <c r="N705" s="766"/>
      <c r="O705" s="498"/>
      <c r="P705" s="49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</row>
    <row r="706" spans="1:26" ht="18.75">
      <c r="A706" s="744"/>
      <c r="B706" s="763"/>
      <c r="C706" s="763"/>
      <c r="D706" s="763"/>
      <c r="E706" s="763"/>
      <c r="F706" s="763"/>
      <c r="G706" s="189"/>
      <c r="H706" s="764" t="s">
        <v>34</v>
      </c>
      <c r="I706" s="765"/>
      <c r="J706" s="215">
        <v>28</v>
      </c>
      <c r="K706" s="498"/>
      <c r="L706" s="498"/>
      <c r="M706" s="189"/>
      <c r="N706" s="766"/>
      <c r="O706" s="498"/>
      <c r="P706" s="49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</row>
    <row r="707" spans="1:26" ht="18.75">
      <c r="A707" s="744"/>
      <c r="B707" s="763"/>
      <c r="C707" s="763"/>
      <c r="D707" s="763"/>
      <c r="E707" s="763"/>
      <c r="F707" s="763"/>
      <c r="G707" s="189"/>
      <c r="H707" s="764" t="s">
        <v>46</v>
      </c>
      <c r="I707" s="765">
        <f ca="1">IFERROR(__xludf.DUMMYFUNCTION("IMPORTRANGE(""https://docs.google.com/spreadsheets/d/1QqKyyYR6Q21VydFLVH3TRQUabQu_ym0Zz7PgGX0-kHA/edit?usp=sharing"",""แผน!IG47"")"),0)</f>
        <v>0</v>
      </c>
      <c r="J707" s="215">
        <v>327.45999999999998</v>
      </c>
      <c r="K707" s="498"/>
      <c r="L707" s="498"/>
      <c r="M707" s="189"/>
      <c r="N707" s="766"/>
      <c r="O707" s="498"/>
      <c r="P707" s="49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</row>
    <row r="708" spans="1:26" ht="19.5">
      <c r="A708" s="744"/>
      <c r="B708" s="763"/>
      <c r="C708" s="763"/>
      <c r="D708" s="769" t="s">
        <v>300</v>
      </c>
      <c r="E708" s="763"/>
      <c r="F708" s="763"/>
      <c r="G708" s="189"/>
      <c r="H708" s="767" t="s">
        <v>46</v>
      </c>
      <c r="I708" s="768">
        <f ca="1">IFERROR(__xludf.DUMMYFUNCTION("IMPORTRANGE(""https://docs.google.com/spreadsheets/d/1QqKyyYR6Q21VydFLVH3TRQUabQu_ym0Zz7PgGX0-kHA/edit?usp=sharing"",""แผน!IH47"")"),0)</f>
        <v>0</v>
      </c>
      <c r="J708" s="681">
        <f>J714+J717</f>
        <v>0</v>
      </c>
      <c r="K708" s="195">
        <f ca="1">IF(I708&gt;0,J708*100/I708,0)</f>
        <v>0</v>
      </c>
      <c r="L708" s="498"/>
      <c r="M708" s="189"/>
      <c r="N708" s="766"/>
      <c r="O708" s="498"/>
      <c r="P708" s="49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</row>
    <row r="709" spans="1:26" ht="18.75">
      <c r="A709" s="744"/>
      <c r="B709" s="763"/>
      <c r="C709" s="763"/>
      <c r="D709" s="763"/>
      <c r="E709" s="763" t="s">
        <v>301</v>
      </c>
      <c r="F709" s="763"/>
      <c r="G709" s="189"/>
      <c r="H709" s="764" t="s">
        <v>34</v>
      </c>
      <c r="I709" s="765"/>
      <c r="J709" s="215">
        <v>0</v>
      </c>
      <c r="K709" s="498"/>
      <c r="L709" s="766"/>
      <c r="M709" s="189"/>
      <c r="N709" s="766"/>
      <c r="O709" s="498"/>
      <c r="P709" s="49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</row>
    <row r="710" spans="1:26" ht="18.75">
      <c r="A710" s="744"/>
      <c r="B710" s="763"/>
      <c r="C710" s="763"/>
      <c r="D710" s="763"/>
      <c r="E710" s="763"/>
      <c r="F710" s="763"/>
      <c r="G710" s="189"/>
      <c r="H710" s="764" t="s">
        <v>46</v>
      </c>
      <c r="I710" s="765"/>
      <c r="J710" s="215">
        <v>0</v>
      </c>
      <c r="K710" s="498"/>
      <c r="L710" s="766"/>
      <c r="M710" s="189"/>
      <c r="N710" s="766"/>
      <c r="O710" s="498"/>
      <c r="P710" s="49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</row>
    <row r="711" spans="1:26" ht="18.75">
      <c r="A711" s="744"/>
      <c r="B711" s="763"/>
      <c r="C711" s="763"/>
      <c r="D711" s="763"/>
      <c r="E711" s="763" t="s">
        <v>302</v>
      </c>
      <c r="F711" s="763"/>
      <c r="G711" s="189"/>
      <c r="H711" s="762"/>
      <c r="I711" s="765"/>
      <c r="J711" s="270"/>
      <c r="K711" s="498"/>
      <c r="L711" s="766"/>
      <c r="M711" s="189"/>
      <c r="N711" s="766"/>
      <c r="O711" s="498"/>
      <c r="P711" s="49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</row>
    <row r="712" spans="1:26" ht="18.75">
      <c r="A712" s="744"/>
      <c r="B712" s="763"/>
      <c r="C712" s="763"/>
      <c r="D712" s="763"/>
      <c r="E712" s="763"/>
      <c r="F712" s="763" t="s">
        <v>303</v>
      </c>
      <c r="G712" s="189"/>
      <c r="H712" s="764" t="s">
        <v>35</v>
      </c>
      <c r="I712" s="765"/>
      <c r="J712" s="215">
        <v>0</v>
      </c>
      <c r="K712" s="498"/>
      <c r="L712" s="766"/>
      <c r="M712" s="189"/>
      <c r="N712" s="766"/>
      <c r="O712" s="498"/>
      <c r="P712" s="49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</row>
    <row r="713" spans="1:26" ht="18.75">
      <c r="A713" s="744"/>
      <c r="B713" s="763"/>
      <c r="C713" s="763"/>
      <c r="D713" s="763"/>
      <c r="E713" s="763"/>
      <c r="F713" s="763"/>
      <c r="G713" s="189"/>
      <c r="H713" s="764" t="s">
        <v>34</v>
      </c>
      <c r="I713" s="765"/>
      <c r="J713" s="215">
        <v>0</v>
      </c>
      <c r="K713" s="498"/>
      <c r="L713" s="766"/>
      <c r="M713" s="189"/>
      <c r="N713" s="766"/>
      <c r="O713" s="498"/>
      <c r="P713" s="49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</row>
    <row r="714" spans="1:26" ht="18.75">
      <c r="A714" s="744"/>
      <c r="B714" s="763"/>
      <c r="C714" s="763"/>
      <c r="D714" s="763"/>
      <c r="E714" s="763"/>
      <c r="F714" s="763"/>
      <c r="G714" s="189"/>
      <c r="H714" s="764" t="s">
        <v>46</v>
      </c>
      <c r="I714" s="765"/>
      <c r="J714" s="215">
        <v>0</v>
      </c>
      <c r="K714" s="498"/>
      <c r="L714" s="766"/>
      <c r="M714" s="189"/>
      <c r="N714" s="766"/>
      <c r="O714" s="498"/>
      <c r="P714" s="49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</row>
    <row r="715" spans="1:26" ht="18.75">
      <c r="A715" s="744"/>
      <c r="B715" s="763"/>
      <c r="C715" s="763"/>
      <c r="D715" s="763"/>
      <c r="E715" s="763"/>
      <c r="F715" s="763" t="s">
        <v>304</v>
      </c>
      <c r="G715" s="189"/>
      <c r="H715" s="764" t="s">
        <v>35</v>
      </c>
      <c r="I715" s="765"/>
      <c r="J715" s="215">
        <v>0</v>
      </c>
      <c r="K715" s="498"/>
      <c r="L715" s="766"/>
      <c r="M715" s="189"/>
      <c r="N715" s="766"/>
      <c r="O715" s="498"/>
      <c r="P715" s="49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</row>
    <row r="716" spans="1:26" ht="18.75">
      <c r="A716" s="744"/>
      <c r="B716" s="763"/>
      <c r="C716" s="763"/>
      <c r="D716" s="763"/>
      <c r="E716" s="763"/>
      <c r="F716" s="763"/>
      <c r="G716" s="189"/>
      <c r="H716" s="764" t="s">
        <v>34</v>
      </c>
      <c r="I716" s="765"/>
      <c r="J716" s="215">
        <v>0</v>
      </c>
      <c r="K716" s="498"/>
      <c r="L716" s="766"/>
      <c r="M716" s="189"/>
      <c r="N716" s="766"/>
      <c r="O716" s="498"/>
      <c r="P716" s="49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</row>
    <row r="717" spans="1:26" ht="18.75">
      <c r="A717" s="744"/>
      <c r="B717" s="763"/>
      <c r="C717" s="763"/>
      <c r="D717" s="763"/>
      <c r="E717" s="763"/>
      <c r="F717" s="763"/>
      <c r="G717" s="189"/>
      <c r="H717" s="764" t="s">
        <v>46</v>
      </c>
      <c r="I717" s="765"/>
      <c r="J717" s="215">
        <v>0</v>
      </c>
      <c r="K717" s="498"/>
      <c r="L717" s="766"/>
      <c r="M717" s="189"/>
      <c r="N717" s="766"/>
      <c r="O717" s="498"/>
      <c r="P717" s="49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</row>
    <row r="718" spans="1:26" ht="18.75">
      <c r="A718" s="744"/>
      <c r="B718" s="763"/>
      <c r="C718" s="763"/>
      <c r="D718" s="763" t="s">
        <v>305</v>
      </c>
      <c r="E718" s="763"/>
      <c r="F718" s="763"/>
      <c r="G718" s="189"/>
      <c r="H718" s="764" t="s">
        <v>35</v>
      </c>
      <c r="I718" s="765"/>
      <c r="J718" s="270">
        <f ca="1">IFERROR(__xludf.DUMMYFUNCTION("IMPORTRANGE(""https://docs.google.com/spreadsheets/d/1XWAQStnk-4SwqDmLtmXYiTMKHgktTP8We1SCoS47DrQ/edit?usp=sharing"",""จัดที่ดิน!BF47"")"),18)</f>
        <v>18</v>
      </c>
      <c r="K718" s="498"/>
      <c r="L718" s="498"/>
      <c r="M718" s="189"/>
      <c r="N718" s="766"/>
      <c r="O718" s="498"/>
      <c r="P718" s="49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</row>
    <row r="719" spans="1:26" ht="18.75">
      <c r="A719" s="744"/>
      <c r="B719" s="763"/>
      <c r="C719" s="763"/>
      <c r="D719" s="763"/>
      <c r="E719" s="763"/>
      <c r="F719" s="763"/>
      <c r="G719" s="189"/>
      <c r="H719" s="764" t="s">
        <v>34</v>
      </c>
      <c r="I719" s="765"/>
      <c r="J719" s="270">
        <f ca="1">IFERROR(__xludf.DUMMYFUNCTION("IMPORTRANGE(""https://docs.google.com/spreadsheets/d/1XWAQStnk-4SwqDmLtmXYiTMKHgktTP8We1SCoS47DrQ/edit?usp=sharing"",""จัดที่ดิน!BG47"")"),19)</f>
        <v>19</v>
      </c>
      <c r="K719" s="498"/>
      <c r="L719" s="766"/>
      <c r="M719" s="189"/>
      <c r="N719" s="766"/>
      <c r="O719" s="498"/>
      <c r="P719" s="49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</row>
    <row r="720" spans="1:26" ht="18.75">
      <c r="A720" s="744"/>
      <c r="B720" s="763"/>
      <c r="C720" s="763"/>
      <c r="D720" s="763"/>
      <c r="E720" s="763"/>
      <c r="F720" s="763"/>
      <c r="G720" s="189"/>
      <c r="H720" s="764" t="s">
        <v>46</v>
      </c>
      <c r="I720" s="765">
        <f ca="1">IFERROR(__xludf.DUMMYFUNCTION("IMPORTRANGE(""https://docs.google.com/spreadsheets/d/1QqKyyYR6Q21VydFLVH3TRQUabQu_ym0Zz7PgGX0-kHA/edit?usp=sharing"",""แผน!II47"")"),77)</f>
        <v>77</v>
      </c>
      <c r="J720" s="270">
        <f ca="1">IFERROR(__xludf.DUMMYFUNCTION("IMPORTRANGE(""https://docs.google.com/spreadsheets/d/1XWAQStnk-4SwqDmLtmXYiTMKHgktTP8We1SCoS47DrQ/edit?usp=sharing"",""จัดที่ดิน!BH47"")"),120.6)</f>
        <v>120.6</v>
      </c>
      <c r="K720" s="498">
        <f t="shared" ref="K720:K723" ca="1" si="291">IF(I720&gt;0,J720*100/I720,0)</f>
        <v>156.62337662337663</v>
      </c>
      <c r="L720" s="766"/>
      <c r="M720" s="189"/>
      <c r="N720" s="766"/>
      <c r="O720" s="498"/>
      <c r="P720" s="49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</row>
    <row r="721" spans="1:26" ht="19.5">
      <c r="A721" s="744"/>
      <c r="B721" s="763"/>
      <c r="C721" s="763"/>
      <c r="D721" s="763" t="s">
        <v>306</v>
      </c>
      <c r="E721" s="763"/>
      <c r="F721" s="763"/>
      <c r="G721" s="189"/>
      <c r="H721" s="767" t="s">
        <v>35</v>
      </c>
      <c r="I721" s="768">
        <f ca="1">IFERROR(__xludf.DUMMYFUNCTION("IMPORTRANGE(""https://docs.google.com/spreadsheets/d/1QqKyyYR6Q21VydFLVH3TRQUabQu_ym0Zz7PgGX0-kHA/edit?usp=sharing"",""แผน!IJ47"")"),4)</f>
        <v>4</v>
      </c>
      <c r="J721" s="681">
        <f ca="1">J723+J726</f>
        <v>0</v>
      </c>
      <c r="K721" s="195">
        <f t="shared" ca="1" si="291"/>
        <v>0</v>
      </c>
      <c r="L721" s="766"/>
      <c r="M721" s="189"/>
      <c r="N721" s="766"/>
      <c r="O721" s="498"/>
      <c r="P721" s="49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</row>
    <row r="722" spans="1:26" ht="19.5">
      <c r="A722" s="744"/>
      <c r="B722" s="763"/>
      <c r="C722" s="763"/>
      <c r="D722" s="763"/>
      <c r="E722" s="763"/>
      <c r="F722" s="763"/>
      <c r="G722" s="189"/>
      <c r="H722" s="767" t="s">
        <v>46</v>
      </c>
      <c r="I722" s="768">
        <f ca="1">IFERROR(__xludf.DUMMYFUNCTION("IMPORTRANGE(""https://docs.google.com/spreadsheets/d/1QqKyyYR6Q21VydFLVH3TRQUabQu_ym0Zz7PgGX0-kHA/edit?usp=sharing"",""แผน!IK47"")"),40)</f>
        <v>40</v>
      </c>
      <c r="J722" s="681">
        <f ca="1">J725+J728</f>
        <v>0</v>
      </c>
      <c r="K722" s="195">
        <f t="shared" ca="1" si="291"/>
        <v>0</v>
      </c>
      <c r="L722" s="498"/>
      <c r="M722" s="189"/>
      <c r="N722" s="766"/>
      <c r="O722" s="498"/>
      <c r="P722" s="49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</row>
    <row r="723" spans="1:26" ht="18.75">
      <c r="A723" s="744"/>
      <c r="B723" s="763"/>
      <c r="C723" s="763"/>
      <c r="D723" s="763"/>
      <c r="E723" s="763" t="s">
        <v>307</v>
      </c>
      <c r="F723" s="763"/>
      <c r="G723" s="189"/>
      <c r="H723" s="764" t="s">
        <v>35</v>
      </c>
      <c r="I723" s="765">
        <f ca="1">IFERROR(__xludf.DUMMYFUNCTION("IMPORTRANGE(""https://docs.google.com/spreadsheets/d/1QqKyyYR6Q21VydFLVH3TRQUabQu_ym0Zz7PgGX0-kHA/edit?usp=sharing"",""แผน!IL47"")"),2)</f>
        <v>2</v>
      </c>
      <c r="J723" s="270">
        <f ca="1">IFERROR(__xludf.DUMMYFUNCTION("IMPORTRANGE(""https://docs.google.com/spreadsheets/d/1XWAQStnk-4SwqDmLtmXYiTMKHgktTP8We1SCoS47DrQ/edit?usp=sharing"",""จัดที่ดิน!BM47"")"),0)</f>
        <v>0</v>
      </c>
      <c r="K723" s="498">
        <f t="shared" ca="1" si="291"/>
        <v>0</v>
      </c>
      <c r="L723" s="498"/>
      <c r="M723" s="189"/>
      <c r="N723" s="766"/>
      <c r="O723" s="498"/>
      <c r="P723" s="49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</row>
    <row r="724" spans="1:26" ht="18.75">
      <c r="A724" s="744"/>
      <c r="B724" s="763"/>
      <c r="C724" s="763"/>
      <c r="D724" s="763"/>
      <c r="E724" s="763"/>
      <c r="F724" s="763"/>
      <c r="G724" s="189"/>
      <c r="H724" s="764" t="s">
        <v>34</v>
      </c>
      <c r="I724" s="765"/>
      <c r="J724" s="270">
        <f ca="1">IFERROR(__xludf.DUMMYFUNCTION("IMPORTRANGE(""https://docs.google.com/spreadsheets/d/1XWAQStnk-4SwqDmLtmXYiTMKHgktTP8We1SCoS47DrQ/edit?usp=sharing"",""จัดที่ดิน!BN47"")"),0)</f>
        <v>0</v>
      </c>
      <c r="K724" s="498"/>
      <c r="L724" s="766"/>
      <c r="M724" s="189"/>
      <c r="N724" s="766"/>
      <c r="O724" s="498"/>
      <c r="P724" s="49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</row>
    <row r="725" spans="1:26" ht="18.75">
      <c r="A725" s="744"/>
      <c r="B725" s="763"/>
      <c r="C725" s="763"/>
      <c r="D725" s="763"/>
      <c r="E725" s="763"/>
      <c r="F725" s="763"/>
      <c r="G725" s="189"/>
      <c r="H725" s="764" t="s">
        <v>46</v>
      </c>
      <c r="I725" s="765">
        <f ca="1">IFERROR(__xludf.DUMMYFUNCTION("IMPORTRANGE(""https://docs.google.com/spreadsheets/d/1QqKyyYR6Q21VydFLVH3TRQUabQu_ym0Zz7PgGX0-kHA/edit?usp=sharing"",""แผน!IM47"")"),20)</f>
        <v>20</v>
      </c>
      <c r="J725" s="270">
        <f ca="1">IFERROR(__xludf.DUMMYFUNCTION("IMPORTRANGE(""https://docs.google.com/spreadsheets/d/1XWAQStnk-4SwqDmLtmXYiTMKHgktTP8We1SCoS47DrQ/edit?usp=sharing"",""จัดที่ดิน!BO47"")"),0)</f>
        <v>0</v>
      </c>
      <c r="K725" s="498">
        <f t="shared" ref="K725:K726" ca="1" si="292">IF(I725&gt;0,J725*100/I725,0)</f>
        <v>0</v>
      </c>
      <c r="L725" s="766"/>
      <c r="M725" s="189"/>
      <c r="N725" s="766"/>
      <c r="O725" s="498"/>
      <c r="P725" s="49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</row>
    <row r="726" spans="1:26" ht="18.75">
      <c r="A726" s="744"/>
      <c r="B726" s="763"/>
      <c r="C726" s="763"/>
      <c r="D726" s="763"/>
      <c r="E726" s="763" t="s">
        <v>308</v>
      </c>
      <c r="F726" s="763"/>
      <c r="G726" s="189"/>
      <c r="H726" s="764" t="s">
        <v>35</v>
      </c>
      <c r="I726" s="765">
        <f ca="1">IFERROR(__xludf.DUMMYFUNCTION("IMPORTRANGE(""https://docs.google.com/spreadsheets/d/1QqKyyYR6Q21VydFLVH3TRQUabQu_ym0Zz7PgGX0-kHA/edit?usp=sharing"",""แผน!IN47"")"),2)</f>
        <v>2</v>
      </c>
      <c r="J726" s="270">
        <f ca="1">IFERROR(__xludf.DUMMYFUNCTION("IMPORTRANGE(""https://docs.google.com/spreadsheets/d/1XWAQStnk-4SwqDmLtmXYiTMKHgktTP8We1SCoS47DrQ/edit?usp=sharing"",""จัดที่ดิน!BR47"")"),0)</f>
        <v>0</v>
      </c>
      <c r="K726" s="498">
        <f t="shared" ca="1" si="292"/>
        <v>0</v>
      </c>
      <c r="L726" s="498"/>
      <c r="M726" s="189"/>
      <c r="N726" s="766"/>
      <c r="O726" s="498"/>
      <c r="P726" s="49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</row>
    <row r="727" spans="1:26" ht="18.75">
      <c r="A727" s="744"/>
      <c r="B727" s="763"/>
      <c r="C727" s="763"/>
      <c r="D727" s="763"/>
      <c r="E727" s="763"/>
      <c r="F727" s="763"/>
      <c r="G727" s="189"/>
      <c r="H727" s="764" t="s">
        <v>34</v>
      </c>
      <c r="I727" s="765"/>
      <c r="J727" s="270">
        <f ca="1">IFERROR(__xludf.DUMMYFUNCTION("IMPORTRANGE(""https://docs.google.com/spreadsheets/d/1XWAQStnk-4SwqDmLtmXYiTMKHgktTP8We1SCoS47DrQ/edit?usp=sharing"",""จัดที่ดิน!BS47"")"),0)</f>
        <v>0</v>
      </c>
      <c r="K727" s="498"/>
      <c r="L727" s="766"/>
      <c r="M727" s="189"/>
      <c r="N727" s="766"/>
      <c r="O727" s="498"/>
      <c r="P727" s="49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</row>
    <row r="728" spans="1:26" ht="18.75">
      <c r="A728" s="744"/>
      <c r="B728" s="763"/>
      <c r="C728" s="763"/>
      <c r="D728" s="763"/>
      <c r="E728" s="763"/>
      <c r="F728" s="763"/>
      <c r="G728" s="189"/>
      <c r="H728" s="764" t="s">
        <v>46</v>
      </c>
      <c r="I728" s="765">
        <f ca="1">IFERROR(__xludf.DUMMYFUNCTION("IMPORTRANGE(""https://docs.google.com/spreadsheets/d/1QqKyyYR6Q21VydFLVH3TRQUabQu_ym0Zz7PgGX0-kHA/edit?usp=sharing"",""แผน!IO47"")"),20)</f>
        <v>20</v>
      </c>
      <c r="J728" s="270">
        <f ca="1">IFERROR(__xludf.DUMMYFUNCTION("IMPORTRANGE(""https://docs.google.com/spreadsheets/d/1XWAQStnk-4SwqDmLtmXYiTMKHgktTP8We1SCoS47DrQ/edit?usp=sharing"",""จัดที่ดิน!BT47"")"),0)</f>
        <v>0</v>
      </c>
      <c r="K728" s="498">
        <f t="shared" ref="K728:K729" ca="1" si="293">IF(I728&gt;0,J728*100/I728,0)</f>
        <v>0</v>
      </c>
      <c r="L728" s="766"/>
      <c r="M728" s="189"/>
      <c r="N728" s="766"/>
      <c r="O728" s="498"/>
      <c r="P728" s="49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</row>
    <row r="729" spans="1:26" ht="19.5">
      <c r="A729" s="744"/>
      <c r="B729" s="763"/>
      <c r="C729" s="763"/>
      <c r="D729" s="763" t="s">
        <v>309</v>
      </c>
      <c r="E729" s="763"/>
      <c r="F729" s="763"/>
      <c r="G729" s="189"/>
      <c r="H729" s="767" t="s">
        <v>46</v>
      </c>
      <c r="I729" s="768">
        <f ca="1">IFERROR(__xludf.DUMMYFUNCTION("IMPORTRANGE(""https://docs.google.com/spreadsheets/d/1QqKyyYR6Q21VydFLVH3TRQUabQu_ym0Zz7PgGX0-kHA/edit?usp=sharing"",""แผน!IP47"")"),0)</f>
        <v>0</v>
      </c>
      <c r="J729" s="681">
        <f>J732+J735</f>
        <v>0</v>
      </c>
      <c r="K729" s="195">
        <f t="shared" ca="1" si="293"/>
        <v>0</v>
      </c>
      <c r="L729" s="498"/>
      <c r="M729" s="189"/>
      <c r="N729" s="766"/>
      <c r="O729" s="498"/>
      <c r="P729" s="49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</row>
    <row r="730" spans="1:26" ht="18.75">
      <c r="A730" s="744"/>
      <c r="B730" s="763"/>
      <c r="C730" s="763"/>
      <c r="D730" s="763"/>
      <c r="E730" s="763" t="s">
        <v>310</v>
      </c>
      <c r="F730" s="763"/>
      <c r="G730" s="189"/>
      <c r="H730" s="764" t="s">
        <v>35</v>
      </c>
      <c r="I730" s="765"/>
      <c r="J730" s="215">
        <v>0</v>
      </c>
      <c r="K730" s="498"/>
      <c r="L730" s="766"/>
      <c r="M730" s="498"/>
      <c r="N730" s="766"/>
      <c r="O730" s="498"/>
      <c r="P730" s="49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</row>
    <row r="731" spans="1:26" ht="18.75">
      <c r="A731" s="744"/>
      <c r="B731" s="763"/>
      <c r="C731" s="763"/>
      <c r="D731" s="763"/>
      <c r="E731" s="763"/>
      <c r="F731" s="763"/>
      <c r="G731" s="189"/>
      <c r="H731" s="764" t="s">
        <v>34</v>
      </c>
      <c r="I731" s="765"/>
      <c r="J731" s="215">
        <v>0</v>
      </c>
      <c r="K731" s="498"/>
      <c r="L731" s="766"/>
      <c r="M731" s="498"/>
      <c r="N731" s="766"/>
      <c r="O731" s="498"/>
      <c r="P731" s="49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</row>
    <row r="732" spans="1:26" ht="18.75">
      <c r="A732" s="744"/>
      <c r="B732" s="763"/>
      <c r="C732" s="763"/>
      <c r="D732" s="763"/>
      <c r="E732" s="763"/>
      <c r="F732" s="763"/>
      <c r="G732" s="189"/>
      <c r="H732" s="764" t="s">
        <v>46</v>
      </c>
      <c r="I732" s="765"/>
      <c r="J732" s="215">
        <v>0</v>
      </c>
      <c r="K732" s="498"/>
      <c r="L732" s="766"/>
      <c r="M732" s="498"/>
      <c r="N732" s="766"/>
      <c r="O732" s="498"/>
      <c r="P732" s="49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</row>
    <row r="733" spans="1:26" ht="18.75">
      <c r="A733" s="744"/>
      <c r="B733" s="763"/>
      <c r="C733" s="763"/>
      <c r="D733" s="763"/>
      <c r="E733" s="763" t="s">
        <v>311</v>
      </c>
      <c r="F733" s="763"/>
      <c r="G733" s="189"/>
      <c r="H733" s="764" t="s">
        <v>35</v>
      </c>
      <c r="I733" s="765"/>
      <c r="J733" s="215">
        <v>0</v>
      </c>
      <c r="K733" s="498"/>
      <c r="L733" s="766"/>
      <c r="M733" s="498"/>
      <c r="N733" s="766"/>
      <c r="O733" s="498"/>
      <c r="P733" s="49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</row>
    <row r="734" spans="1:26" ht="18.75">
      <c r="A734" s="744"/>
      <c r="B734" s="763"/>
      <c r="C734" s="763"/>
      <c r="D734" s="763"/>
      <c r="E734" s="763"/>
      <c r="F734" s="763"/>
      <c r="G734" s="189"/>
      <c r="H734" s="764" t="s">
        <v>34</v>
      </c>
      <c r="I734" s="765"/>
      <c r="J734" s="215">
        <v>0</v>
      </c>
      <c r="K734" s="498"/>
      <c r="L734" s="766"/>
      <c r="M734" s="498"/>
      <c r="N734" s="766"/>
      <c r="O734" s="498"/>
      <c r="P734" s="49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</row>
    <row r="735" spans="1:26" ht="19.5">
      <c r="A735" s="770"/>
      <c r="B735" s="771" t="s">
        <v>312</v>
      </c>
      <c r="C735" s="734"/>
      <c r="D735" s="734"/>
      <c r="E735" s="734"/>
      <c r="F735" s="734"/>
      <c r="G735" s="735"/>
      <c r="H735" s="422" t="s">
        <v>46</v>
      </c>
      <c r="I735" s="772"/>
      <c r="J735" s="424">
        <v>0</v>
      </c>
      <c r="K735" s="507"/>
      <c r="L735" s="773"/>
      <c r="M735" s="507"/>
      <c r="N735" s="773"/>
      <c r="O735" s="507"/>
      <c r="P735" s="507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</row>
    <row r="736" spans="1:26" ht="19.5" hidden="1">
      <c r="A736" s="774">
        <v>9</v>
      </c>
      <c r="B736" s="775" t="s">
        <v>313</v>
      </c>
      <c r="C736" s="776"/>
      <c r="D736" s="776"/>
      <c r="E736" s="776"/>
      <c r="F736" s="776"/>
      <c r="G736" s="777"/>
      <c r="H736" s="778" t="s">
        <v>46</v>
      </c>
      <c r="I736" s="779"/>
      <c r="J736" s="779">
        <f>J751</f>
        <v>0</v>
      </c>
      <c r="K736" s="780">
        <f>IF(I736&gt;0,J736*100/I736,0)</f>
        <v>0</v>
      </c>
      <c r="L736" s="781"/>
      <c r="M736" s="781"/>
      <c r="N736" s="781"/>
      <c r="O736" s="781"/>
      <c r="P736" s="781"/>
      <c r="Q736" s="604"/>
      <c r="R736" s="604"/>
      <c r="S736" s="604"/>
      <c r="T736" s="604"/>
      <c r="U736" s="604"/>
      <c r="V736" s="604"/>
      <c r="W736" s="604"/>
      <c r="X736" s="604"/>
      <c r="Y736" s="604"/>
      <c r="Z736" s="604"/>
    </row>
    <row r="737" spans="1:26" ht="19.5" hidden="1">
      <c r="A737" s="599"/>
      <c r="B737" s="759"/>
      <c r="C737" s="759" t="s">
        <v>16</v>
      </c>
      <c r="D737" s="864" t="s">
        <v>17</v>
      </c>
      <c r="E737" s="857"/>
      <c r="F737" s="857"/>
      <c r="G737" s="603"/>
      <c r="H737" s="646" t="s">
        <v>12</v>
      </c>
      <c r="I737" s="617"/>
      <c r="J737" s="617"/>
      <c r="K737" s="93"/>
      <c r="L737" s="647">
        <f t="shared" ref="L737:N737" si="294">L738+L739</f>
        <v>0</v>
      </c>
      <c r="M737" s="647">
        <f t="shared" si="294"/>
        <v>0</v>
      </c>
      <c r="N737" s="647">
        <f t="shared" si="294"/>
        <v>0</v>
      </c>
      <c r="O737" s="647">
        <f t="shared" ref="O737:O742" si="295">IF(L737&gt;0,N737*100/L737,0)</f>
        <v>0</v>
      </c>
      <c r="P737" s="647">
        <f t="shared" ref="P737:P742" si="296">IF(M737&gt;0,N737*100/M737,0)</f>
        <v>0</v>
      </c>
      <c r="Q737" s="604"/>
      <c r="R737" s="604"/>
      <c r="S737" s="604"/>
      <c r="T737" s="604"/>
      <c r="U737" s="604"/>
      <c r="V737" s="604"/>
      <c r="W737" s="604"/>
      <c r="X737" s="604"/>
      <c r="Y737" s="604"/>
      <c r="Z737" s="604"/>
    </row>
    <row r="738" spans="1:26" ht="18.75" hidden="1">
      <c r="A738" s="599"/>
      <c r="B738" s="759"/>
      <c r="C738" s="759"/>
      <c r="D738" s="720"/>
      <c r="E738" s="759" t="s">
        <v>185</v>
      </c>
      <c r="F738" s="759"/>
      <c r="G738" s="603"/>
      <c r="H738" s="165" t="s">
        <v>12</v>
      </c>
      <c r="I738" s="617"/>
      <c r="J738" s="617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4"/>
      <c r="R738" s="604"/>
      <c r="S738" s="604"/>
      <c r="T738" s="604"/>
      <c r="U738" s="604"/>
      <c r="V738" s="604"/>
      <c r="W738" s="604"/>
      <c r="X738" s="604"/>
      <c r="Y738" s="604"/>
      <c r="Z738" s="604"/>
    </row>
    <row r="739" spans="1:26" ht="18.75" hidden="1">
      <c r="A739" s="599"/>
      <c r="B739" s="607"/>
      <c r="C739" s="759"/>
      <c r="D739" s="720"/>
      <c r="E739" s="759" t="s">
        <v>186</v>
      </c>
      <c r="F739" s="759"/>
      <c r="G739" s="603"/>
      <c r="H739" s="165" t="s">
        <v>12</v>
      </c>
      <c r="I739" s="617"/>
      <c r="J739" s="617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4"/>
      <c r="R739" s="604"/>
      <c r="S739" s="604"/>
      <c r="T739" s="604"/>
      <c r="U739" s="604"/>
      <c r="V739" s="604"/>
      <c r="W739" s="604"/>
      <c r="X739" s="604"/>
      <c r="Y739" s="604"/>
      <c r="Z739" s="604"/>
    </row>
    <row r="740" spans="1:26" ht="19.5" hidden="1">
      <c r="A740" s="599"/>
      <c r="B740" s="607"/>
      <c r="C740" s="759"/>
      <c r="D740" s="645" t="s">
        <v>20</v>
      </c>
      <c r="E740" s="759"/>
      <c r="F740" s="759"/>
      <c r="G740" s="603"/>
      <c r="H740" s="646" t="s">
        <v>12</v>
      </c>
      <c r="I740" s="166"/>
      <c r="J740" s="166"/>
      <c r="K740" s="167"/>
      <c r="L740" s="647">
        <f t="shared" ref="L740:N740" si="298">L741+L742</f>
        <v>0</v>
      </c>
      <c r="M740" s="647">
        <f t="shared" si="298"/>
        <v>0</v>
      </c>
      <c r="N740" s="647">
        <f t="shared" si="298"/>
        <v>0</v>
      </c>
      <c r="O740" s="647">
        <f t="shared" si="295"/>
        <v>0</v>
      </c>
      <c r="P740" s="647">
        <f t="shared" si="296"/>
        <v>0</v>
      </c>
      <c r="Q740" s="604"/>
      <c r="R740" s="604"/>
      <c r="S740" s="604"/>
      <c r="T740" s="604"/>
      <c r="U740" s="604"/>
      <c r="V740" s="604"/>
      <c r="W740" s="604"/>
      <c r="X740" s="604"/>
      <c r="Y740" s="604"/>
      <c r="Z740" s="604"/>
    </row>
    <row r="741" spans="1:26" ht="18.75" hidden="1">
      <c r="A741" s="599"/>
      <c r="B741" s="607"/>
      <c r="C741" s="759"/>
      <c r="D741" s="720"/>
      <c r="E741" s="759" t="s">
        <v>185</v>
      </c>
      <c r="F741" s="759"/>
      <c r="G741" s="603"/>
      <c r="H741" s="165" t="s">
        <v>12</v>
      </c>
      <c r="I741" s="617"/>
      <c r="J741" s="617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4"/>
      <c r="R741" s="604"/>
      <c r="S741" s="604"/>
      <c r="T741" s="604"/>
      <c r="U741" s="604"/>
      <c r="V741" s="604"/>
      <c r="W741" s="604"/>
      <c r="X741" s="604"/>
      <c r="Y741" s="604"/>
      <c r="Z741" s="604"/>
    </row>
    <row r="742" spans="1:26" ht="18.75" hidden="1">
      <c r="A742" s="599"/>
      <c r="B742" s="607"/>
      <c r="C742" s="759"/>
      <c r="D742" s="720"/>
      <c r="E742" s="759" t="s">
        <v>186</v>
      </c>
      <c r="F742" s="759"/>
      <c r="G742" s="603"/>
      <c r="H742" s="165" t="s">
        <v>12</v>
      </c>
      <c r="I742" s="617"/>
      <c r="J742" s="617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4"/>
      <c r="R742" s="604"/>
      <c r="S742" s="604"/>
      <c r="T742" s="604"/>
      <c r="U742" s="604"/>
      <c r="V742" s="604"/>
      <c r="W742" s="604"/>
      <c r="X742" s="604"/>
      <c r="Y742" s="604"/>
      <c r="Z742" s="604"/>
    </row>
    <row r="743" spans="1:26" ht="18.75" hidden="1">
      <c r="A743" s="649"/>
      <c r="B743" s="607"/>
      <c r="C743" s="759"/>
      <c r="D743" s="759"/>
      <c r="E743" s="759"/>
      <c r="F743" s="759" t="s">
        <v>187</v>
      </c>
      <c r="G743" s="603"/>
      <c r="H743" s="165" t="s">
        <v>12</v>
      </c>
      <c r="I743" s="617"/>
      <c r="J743" s="617"/>
      <c r="K743" s="93"/>
      <c r="L743" s="93"/>
      <c r="M743" s="93"/>
      <c r="N743" s="93"/>
      <c r="O743" s="93"/>
      <c r="P743" s="93"/>
      <c r="Q743" s="604"/>
      <c r="R743" s="604"/>
      <c r="S743" s="604"/>
      <c r="T743" s="604"/>
      <c r="U743" s="604"/>
      <c r="V743" s="604"/>
      <c r="W743" s="604"/>
      <c r="X743" s="604"/>
      <c r="Y743" s="604"/>
      <c r="Z743" s="604"/>
    </row>
    <row r="744" spans="1:26" ht="18.75" hidden="1">
      <c r="A744" s="649"/>
      <c r="B744" s="607"/>
      <c r="C744" s="759"/>
      <c r="D744" s="759"/>
      <c r="E744" s="759"/>
      <c r="F744" s="759" t="s">
        <v>188</v>
      </c>
      <c r="G744" s="603"/>
      <c r="H744" s="165" t="s">
        <v>12</v>
      </c>
      <c r="I744" s="617"/>
      <c r="J744" s="617"/>
      <c r="K744" s="93"/>
      <c r="L744" s="93"/>
      <c r="M744" s="93"/>
      <c r="N744" s="93"/>
      <c r="O744" s="93"/>
      <c r="P744" s="93"/>
      <c r="Q744" s="604"/>
      <c r="R744" s="604"/>
      <c r="S744" s="604"/>
      <c r="T744" s="604"/>
      <c r="U744" s="604"/>
      <c r="V744" s="604"/>
      <c r="W744" s="604"/>
      <c r="X744" s="604"/>
      <c r="Y744" s="604"/>
      <c r="Z744" s="604"/>
    </row>
    <row r="745" spans="1:26" ht="18.75" hidden="1">
      <c r="A745" s="649"/>
      <c r="B745" s="607"/>
      <c r="C745" s="759"/>
      <c r="D745" s="759"/>
      <c r="E745" s="759"/>
      <c r="F745" s="759" t="s">
        <v>189</v>
      </c>
      <c r="G745" s="603"/>
      <c r="H745" s="165" t="s">
        <v>12</v>
      </c>
      <c r="I745" s="617"/>
      <c r="J745" s="617"/>
      <c r="K745" s="93"/>
      <c r="L745" s="93"/>
      <c r="M745" s="93"/>
      <c r="N745" s="93"/>
      <c r="O745" s="93"/>
      <c r="P745" s="93"/>
      <c r="Q745" s="604"/>
      <c r="R745" s="604"/>
      <c r="S745" s="604"/>
      <c r="T745" s="604"/>
      <c r="U745" s="604"/>
      <c r="V745" s="604"/>
      <c r="W745" s="604"/>
      <c r="X745" s="604"/>
      <c r="Y745" s="604"/>
      <c r="Z745" s="604"/>
    </row>
    <row r="746" spans="1:26" ht="18.75" hidden="1">
      <c r="A746" s="649"/>
      <c r="B746" s="607"/>
      <c r="C746" s="759"/>
      <c r="D746" s="759"/>
      <c r="E746" s="759"/>
      <c r="F746" s="759" t="s">
        <v>190</v>
      </c>
      <c r="G746" s="603"/>
      <c r="H746" s="165" t="s">
        <v>12</v>
      </c>
      <c r="I746" s="617"/>
      <c r="J746" s="617"/>
      <c r="K746" s="93"/>
      <c r="L746" s="93"/>
      <c r="M746" s="93"/>
      <c r="N746" s="93"/>
      <c r="O746" s="93"/>
      <c r="P746" s="93"/>
      <c r="Q746" s="604"/>
      <c r="R746" s="604"/>
      <c r="S746" s="604"/>
      <c r="T746" s="604"/>
      <c r="U746" s="604"/>
      <c r="V746" s="604"/>
      <c r="W746" s="604"/>
      <c r="X746" s="604"/>
      <c r="Y746" s="604"/>
      <c r="Z746" s="604"/>
    </row>
    <row r="747" spans="1:26" ht="19.5" hidden="1">
      <c r="A747" s="599"/>
      <c r="B747" s="607"/>
      <c r="C747" s="759"/>
      <c r="D747" s="645" t="s">
        <v>21</v>
      </c>
      <c r="E747" s="759"/>
      <c r="F747" s="759"/>
      <c r="G747" s="603"/>
      <c r="H747" s="783" t="s">
        <v>12</v>
      </c>
      <c r="I747" s="166"/>
      <c r="J747" s="166"/>
      <c r="K747" s="167"/>
      <c r="L747" s="647">
        <f t="shared" ref="L747:N747" si="299">L748+L749</f>
        <v>0</v>
      </c>
      <c r="M747" s="647">
        <f t="shared" si="299"/>
        <v>0</v>
      </c>
      <c r="N747" s="647">
        <f t="shared" si="299"/>
        <v>0</v>
      </c>
      <c r="O747" s="647">
        <f t="shared" ref="O747:O749" si="300">IF(L747&gt;0,N747*100/L747,0)</f>
        <v>0</v>
      </c>
      <c r="P747" s="647">
        <f t="shared" ref="P747:P749" si="301">IF(M747&gt;0,N747*100/M747,0)</f>
        <v>0</v>
      </c>
      <c r="Q747" s="604"/>
      <c r="R747" s="604"/>
      <c r="S747" s="604"/>
      <c r="T747" s="604"/>
      <c r="U747" s="604"/>
      <c r="V747" s="604"/>
      <c r="W747" s="604"/>
      <c r="X747" s="604"/>
      <c r="Y747" s="604"/>
      <c r="Z747" s="604"/>
    </row>
    <row r="748" spans="1:26" ht="18.75" hidden="1">
      <c r="A748" s="599"/>
      <c r="B748" s="607"/>
      <c r="C748" s="759"/>
      <c r="D748" s="759"/>
      <c r="E748" s="759" t="s">
        <v>18</v>
      </c>
      <c r="F748" s="759"/>
      <c r="G748" s="603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4"/>
      <c r="R748" s="604"/>
      <c r="S748" s="604"/>
      <c r="T748" s="604"/>
      <c r="U748" s="604"/>
      <c r="V748" s="604"/>
      <c r="W748" s="604"/>
      <c r="X748" s="604"/>
      <c r="Y748" s="604"/>
      <c r="Z748" s="604"/>
    </row>
    <row r="749" spans="1:26" ht="18.75" hidden="1">
      <c r="A749" s="599"/>
      <c r="B749" s="607"/>
      <c r="C749" s="759"/>
      <c r="D749" s="759"/>
      <c r="E749" s="759" t="s">
        <v>19</v>
      </c>
      <c r="F749" s="759"/>
      <c r="G749" s="603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4"/>
      <c r="R749" s="604"/>
      <c r="S749" s="604"/>
      <c r="T749" s="604"/>
      <c r="U749" s="604"/>
      <c r="V749" s="604"/>
      <c r="W749" s="604"/>
      <c r="X749" s="604"/>
      <c r="Y749" s="604"/>
      <c r="Z749" s="604"/>
    </row>
    <row r="750" spans="1:26" ht="19.5" hidden="1">
      <c r="A750" s="614"/>
      <c r="B750" s="616"/>
      <c r="C750" s="759" t="s">
        <v>16</v>
      </c>
      <c r="D750" s="899" t="s">
        <v>38</v>
      </c>
      <c r="E750" s="651"/>
      <c r="F750" s="651"/>
      <c r="G750" s="652"/>
      <c r="H750" s="366"/>
      <c r="I750" s="166"/>
      <c r="J750" s="166"/>
      <c r="K750" s="167"/>
      <c r="L750" s="167"/>
      <c r="M750" s="167"/>
      <c r="N750" s="167"/>
      <c r="O750" s="167"/>
      <c r="P750" s="167"/>
      <c r="Q750" s="604"/>
      <c r="R750" s="604"/>
      <c r="S750" s="604"/>
      <c r="T750" s="604"/>
      <c r="U750" s="604"/>
      <c r="V750" s="604"/>
      <c r="W750" s="604"/>
      <c r="X750" s="604"/>
      <c r="Y750" s="604"/>
      <c r="Z750" s="604"/>
    </row>
    <row r="751" spans="1:26" ht="18.75" hidden="1">
      <c r="A751" s="649"/>
      <c r="B751" s="607"/>
      <c r="C751" s="759"/>
      <c r="D751" s="759"/>
      <c r="E751" s="759" t="s">
        <v>314</v>
      </c>
      <c r="F751" s="759"/>
      <c r="G751" s="603"/>
      <c r="H751" s="165" t="s">
        <v>46</v>
      </c>
      <c r="I751" s="617"/>
      <c r="J751" s="617"/>
      <c r="K751" s="93"/>
      <c r="L751" s="93"/>
      <c r="M751" s="93"/>
      <c r="N751" s="93"/>
      <c r="O751" s="93"/>
      <c r="P751" s="93"/>
      <c r="Q751" s="604"/>
      <c r="R751" s="604"/>
      <c r="S751" s="604"/>
      <c r="T751" s="604"/>
      <c r="U751" s="604"/>
      <c r="V751" s="604"/>
      <c r="W751" s="604"/>
      <c r="X751" s="604"/>
      <c r="Y751" s="604"/>
      <c r="Z751" s="604"/>
    </row>
    <row r="752" spans="1:26" ht="18.75" hidden="1">
      <c r="A752" s="649"/>
      <c r="B752" s="607"/>
      <c r="C752" s="759"/>
      <c r="D752" s="759"/>
      <c r="E752" s="759"/>
      <c r="F752" s="759"/>
      <c r="G752" s="603"/>
      <c r="H752" s="165" t="s">
        <v>315</v>
      </c>
      <c r="I752" s="617"/>
      <c r="J752" s="617"/>
      <c r="K752" s="93"/>
      <c r="L752" s="93"/>
      <c r="M752" s="93"/>
      <c r="N752" s="93"/>
      <c r="O752" s="93"/>
      <c r="P752" s="93"/>
      <c r="Q752" s="604"/>
      <c r="R752" s="604"/>
      <c r="S752" s="604"/>
      <c r="T752" s="604"/>
      <c r="U752" s="604"/>
      <c r="V752" s="604"/>
      <c r="W752" s="604"/>
      <c r="X752" s="604"/>
      <c r="Y752" s="604"/>
      <c r="Z752" s="604"/>
    </row>
    <row r="753" spans="1:26" ht="19.5" hidden="1">
      <c r="A753" s="785">
        <v>10</v>
      </c>
      <c r="B753" s="786" t="s">
        <v>316</v>
      </c>
      <c r="C753" s="787"/>
      <c r="D753" s="787"/>
      <c r="E753" s="787"/>
      <c r="F753" s="787"/>
      <c r="G753" s="788"/>
      <c r="H753" s="789" t="s">
        <v>46</v>
      </c>
      <c r="I753" s="790"/>
      <c r="J753" s="790">
        <f>J768</f>
        <v>0</v>
      </c>
      <c r="K753" s="791">
        <f>IF(I753&gt;0,J753*100/I753,0)</f>
        <v>0</v>
      </c>
      <c r="L753" s="792"/>
      <c r="M753" s="792"/>
      <c r="N753" s="792"/>
      <c r="O753" s="792"/>
      <c r="P753" s="792"/>
      <c r="Q753" s="604"/>
      <c r="R753" s="604"/>
      <c r="S753" s="604"/>
      <c r="T753" s="604"/>
      <c r="U753" s="604"/>
      <c r="V753" s="604"/>
      <c r="W753" s="604"/>
      <c r="X753" s="604"/>
      <c r="Y753" s="604"/>
      <c r="Z753" s="604"/>
    </row>
    <row r="754" spans="1:26" ht="19.5" hidden="1">
      <c r="A754" s="599"/>
      <c r="B754" s="759"/>
      <c r="C754" s="759" t="s">
        <v>16</v>
      </c>
      <c r="D754" s="864" t="s">
        <v>17</v>
      </c>
      <c r="E754" s="857"/>
      <c r="F754" s="857"/>
      <c r="G754" s="603"/>
      <c r="H754" s="646" t="s">
        <v>12</v>
      </c>
      <c r="I754" s="617"/>
      <c r="J754" s="617"/>
      <c r="K754" s="93"/>
      <c r="L754" s="647">
        <f t="shared" ref="L754:N754" si="302">L755+L756</f>
        <v>0</v>
      </c>
      <c r="M754" s="647">
        <f t="shared" si="302"/>
        <v>0</v>
      </c>
      <c r="N754" s="647">
        <f t="shared" si="302"/>
        <v>0</v>
      </c>
      <c r="O754" s="647">
        <f t="shared" ref="O754:O759" si="303">IF(L754&gt;0,N754*100/L754,0)</f>
        <v>0</v>
      </c>
      <c r="P754" s="647">
        <f t="shared" ref="P754:P759" si="304">IF(M754&gt;0,N754*100/M754,0)</f>
        <v>0</v>
      </c>
      <c r="Q754" s="604"/>
      <c r="R754" s="604"/>
      <c r="S754" s="604"/>
      <c r="T754" s="604"/>
      <c r="U754" s="604"/>
      <c r="V754" s="604"/>
      <c r="W754" s="604"/>
      <c r="X754" s="604"/>
      <c r="Y754" s="604"/>
      <c r="Z754" s="604"/>
    </row>
    <row r="755" spans="1:26" ht="18.75" hidden="1">
      <c r="A755" s="599"/>
      <c r="B755" s="759"/>
      <c r="C755" s="759"/>
      <c r="D755" s="720"/>
      <c r="E755" s="759" t="s">
        <v>185</v>
      </c>
      <c r="F755" s="759"/>
      <c r="G755" s="603"/>
      <c r="H755" s="165" t="s">
        <v>12</v>
      </c>
      <c r="I755" s="617"/>
      <c r="J755" s="617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4"/>
      <c r="R755" s="604"/>
      <c r="S755" s="604"/>
      <c r="T755" s="604"/>
      <c r="U755" s="604"/>
      <c r="V755" s="604"/>
      <c r="W755" s="604"/>
      <c r="X755" s="604"/>
      <c r="Y755" s="604"/>
      <c r="Z755" s="604"/>
    </row>
    <row r="756" spans="1:26" ht="18.75" hidden="1">
      <c r="A756" s="599"/>
      <c r="B756" s="607"/>
      <c r="C756" s="759"/>
      <c r="D756" s="720"/>
      <c r="E756" s="759" t="s">
        <v>186</v>
      </c>
      <c r="F756" s="759"/>
      <c r="G756" s="603"/>
      <c r="H756" s="165" t="s">
        <v>12</v>
      </c>
      <c r="I756" s="617"/>
      <c r="J756" s="617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4"/>
      <c r="R756" s="604"/>
      <c r="S756" s="604"/>
      <c r="T756" s="604"/>
      <c r="U756" s="604"/>
      <c r="V756" s="604"/>
      <c r="W756" s="604"/>
      <c r="X756" s="604"/>
      <c r="Y756" s="604"/>
      <c r="Z756" s="604"/>
    </row>
    <row r="757" spans="1:26" ht="19.5" hidden="1">
      <c r="A757" s="599"/>
      <c r="B757" s="607"/>
      <c r="C757" s="759"/>
      <c r="D757" s="645" t="s">
        <v>20</v>
      </c>
      <c r="E757" s="759"/>
      <c r="F757" s="759"/>
      <c r="G757" s="603"/>
      <c r="H757" s="646" t="s">
        <v>12</v>
      </c>
      <c r="I757" s="166"/>
      <c r="J757" s="166"/>
      <c r="K757" s="167"/>
      <c r="L757" s="647">
        <f t="shared" ref="L757:N757" si="306">L758+L759</f>
        <v>0</v>
      </c>
      <c r="M757" s="647">
        <f t="shared" si="306"/>
        <v>0</v>
      </c>
      <c r="N757" s="647">
        <f t="shared" si="306"/>
        <v>0</v>
      </c>
      <c r="O757" s="647">
        <f t="shared" si="303"/>
        <v>0</v>
      </c>
      <c r="P757" s="647">
        <f t="shared" si="304"/>
        <v>0</v>
      </c>
      <c r="Q757" s="604"/>
      <c r="R757" s="604"/>
      <c r="S757" s="604"/>
      <c r="T757" s="604"/>
      <c r="U757" s="604"/>
      <c r="V757" s="604"/>
      <c r="W757" s="604"/>
      <c r="X757" s="604"/>
      <c r="Y757" s="604"/>
      <c r="Z757" s="604"/>
    </row>
    <row r="758" spans="1:26" ht="18.75" hidden="1">
      <c r="A758" s="599"/>
      <c r="B758" s="607"/>
      <c r="C758" s="759"/>
      <c r="D758" s="720"/>
      <c r="E758" s="759" t="s">
        <v>185</v>
      </c>
      <c r="F758" s="759"/>
      <c r="G758" s="603"/>
      <c r="H758" s="165" t="s">
        <v>12</v>
      </c>
      <c r="I758" s="617"/>
      <c r="J758" s="617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4"/>
      <c r="R758" s="604"/>
      <c r="S758" s="604"/>
      <c r="T758" s="604"/>
      <c r="U758" s="604"/>
      <c r="V758" s="604"/>
      <c r="W758" s="604"/>
      <c r="X758" s="604"/>
      <c r="Y758" s="604"/>
      <c r="Z758" s="604"/>
    </row>
    <row r="759" spans="1:26" ht="18.75" hidden="1">
      <c r="A759" s="599"/>
      <c r="B759" s="607"/>
      <c r="C759" s="759"/>
      <c r="D759" s="720"/>
      <c r="E759" s="759" t="s">
        <v>186</v>
      </c>
      <c r="F759" s="759"/>
      <c r="G759" s="603"/>
      <c r="H759" s="165" t="s">
        <v>12</v>
      </c>
      <c r="I759" s="617"/>
      <c r="J759" s="617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4"/>
      <c r="R759" s="604"/>
      <c r="S759" s="604"/>
      <c r="T759" s="604"/>
      <c r="U759" s="604"/>
      <c r="V759" s="604"/>
      <c r="W759" s="604"/>
      <c r="X759" s="604"/>
      <c r="Y759" s="604"/>
      <c r="Z759" s="604"/>
    </row>
    <row r="760" spans="1:26" ht="18.75" hidden="1">
      <c r="A760" s="649"/>
      <c r="B760" s="607"/>
      <c r="C760" s="759"/>
      <c r="D760" s="759"/>
      <c r="E760" s="759"/>
      <c r="F760" s="759" t="s">
        <v>187</v>
      </c>
      <c r="G760" s="603"/>
      <c r="H760" s="165" t="s">
        <v>12</v>
      </c>
      <c r="I760" s="617"/>
      <c r="J760" s="617"/>
      <c r="K760" s="93"/>
      <c r="L760" s="93"/>
      <c r="M760" s="93"/>
      <c r="N760" s="93"/>
      <c r="O760" s="93"/>
      <c r="P760" s="93"/>
      <c r="Q760" s="604"/>
      <c r="R760" s="604"/>
      <c r="S760" s="604"/>
      <c r="T760" s="604"/>
      <c r="U760" s="604"/>
      <c r="V760" s="604"/>
      <c r="W760" s="604"/>
      <c r="X760" s="604"/>
      <c r="Y760" s="604"/>
      <c r="Z760" s="604"/>
    </row>
    <row r="761" spans="1:26" ht="18.75" hidden="1">
      <c r="A761" s="649"/>
      <c r="B761" s="607"/>
      <c r="C761" s="759"/>
      <c r="D761" s="759"/>
      <c r="E761" s="759"/>
      <c r="F761" s="759" t="s">
        <v>188</v>
      </c>
      <c r="G761" s="603"/>
      <c r="H761" s="165" t="s">
        <v>12</v>
      </c>
      <c r="I761" s="617"/>
      <c r="J761" s="617"/>
      <c r="K761" s="93"/>
      <c r="L761" s="93"/>
      <c r="M761" s="93"/>
      <c r="N761" s="93"/>
      <c r="O761" s="93"/>
      <c r="P761" s="93"/>
      <c r="Q761" s="604"/>
      <c r="R761" s="604"/>
      <c r="S761" s="604"/>
      <c r="T761" s="604"/>
      <c r="U761" s="604"/>
      <c r="V761" s="604"/>
      <c r="W761" s="604"/>
      <c r="X761" s="604"/>
      <c r="Y761" s="604"/>
      <c r="Z761" s="604"/>
    </row>
    <row r="762" spans="1:26" ht="18.75" hidden="1">
      <c r="A762" s="649"/>
      <c r="B762" s="607"/>
      <c r="C762" s="759"/>
      <c r="D762" s="759"/>
      <c r="E762" s="759"/>
      <c r="F762" s="759" t="s">
        <v>189</v>
      </c>
      <c r="G762" s="603"/>
      <c r="H762" s="165" t="s">
        <v>12</v>
      </c>
      <c r="I762" s="617"/>
      <c r="J762" s="617"/>
      <c r="K762" s="93"/>
      <c r="L762" s="93"/>
      <c r="M762" s="93"/>
      <c r="N762" s="93"/>
      <c r="O762" s="93"/>
      <c r="P762" s="93"/>
      <c r="Q762" s="604"/>
      <c r="R762" s="604"/>
      <c r="S762" s="604"/>
      <c r="T762" s="604"/>
      <c r="U762" s="604"/>
      <c r="V762" s="604"/>
      <c r="W762" s="604"/>
      <c r="X762" s="604"/>
      <c r="Y762" s="604"/>
      <c r="Z762" s="604"/>
    </row>
    <row r="763" spans="1:26" ht="18.75" hidden="1">
      <c r="A763" s="649"/>
      <c r="B763" s="607"/>
      <c r="C763" s="759"/>
      <c r="D763" s="759"/>
      <c r="E763" s="759"/>
      <c r="F763" s="759" t="s">
        <v>190</v>
      </c>
      <c r="G763" s="603"/>
      <c r="H763" s="165" t="s">
        <v>12</v>
      </c>
      <c r="I763" s="617"/>
      <c r="J763" s="617"/>
      <c r="K763" s="93"/>
      <c r="L763" s="93"/>
      <c r="M763" s="93"/>
      <c r="N763" s="93"/>
      <c r="O763" s="93"/>
      <c r="P763" s="93"/>
      <c r="Q763" s="604"/>
      <c r="R763" s="604"/>
      <c r="S763" s="604"/>
      <c r="T763" s="604"/>
      <c r="U763" s="604"/>
      <c r="V763" s="604"/>
      <c r="W763" s="604"/>
      <c r="X763" s="604"/>
      <c r="Y763" s="604"/>
      <c r="Z763" s="604"/>
    </row>
    <row r="764" spans="1:26" ht="19.5" hidden="1">
      <c r="A764" s="599"/>
      <c r="B764" s="607"/>
      <c r="C764" s="759"/>
      <c r="D764" s="645" t="s">
        <v>21</v>
      </c>
      <c r="E764" s="759"/>
      <c r="F764" s="759"/>
      <c r="G764" s="603"/>
      <c r="H764" s="783" t="s">
        <v>12</v>
      </c>
      <c r="I764" s="166"/>
      <c r="J764" s="166"/>
      <c r="K764" s="167"/>
      <c r="L764" s="647">
        <f t="shared" ref="L764:N764" si="307">L765+L766</f>
        <v>0</v>
      </c>
      <c r="M764" s="647">
        <f t="shared" si="307"/>
        <v>0</v>
      </c>
      <c r="N764" s="647">
        <f t="shared" si="307"/>
        <v>0</v>
      </c>
      <c r="O764" s="647">
        <f t="shared" ref="O764:O766" si="308">IF(L764&gt;0,N764*100/L764,0)</f>
        <v>0</v>
      </c>
      <c r="P764" s="647">
        <f t="shared" ref="P764:P766" si="309">IF(M764&gt;0,N764*100/M764,0)</f>
        <v>0</v>
      </c>
      <c r="Q764" s="604"/>
      <c r="R764" s="604"/>
      <c r="S764" s="604"/>
      <c r="T764" s="604"/>
      <c r="U764" s="604"/>
      <c r="V764" s="604"/>
      <c r="W764" s="604"/>
      <c r="X764" s="604"/>
      <c r="Y764" s="604"/>
      <c r="Z764" s="604"/>
    </row>
    <row r="765" spans="1:26" ht="18.75" hidden="1">
      <c r="A765" s="599"/>
      <c r="B765" s="607"/>
      <c r="C765" s="759"/>
      <c r="D765" s="759"/>
      <c r="E765" s="759" t="s">
        <v>18</v>
      </c>
      <c r="F765" s="759"/>
      <c r="G765" s="603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4"/>
      <c r="R765" s="604"/>
      <c r="S765" s="604"/>
      <c r="T765" s="604"/>
      <c r="U765" s="604"/>
      <c r="V765" s="604"/>
      <c r="W765" s="604"/>
      <c r="X765" s="604"/>
      <c r="Y765" s="604"/>
      <c r="Z765" s="604"/>
    </row>
    <row r="766" spans="1:26" ht="18.75" hidden="1">
      <c r="A766" s="599"/>
      <c r="B766" s="607"/>
      <c r="C766" s="759"/>
      <c r="D766" s="759"/>
      <c r="E766" s="759" t="s">
        <v>19</v>
      </c>
      <c r="F766" s="759"/>
      <c r="G766" s="603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4"/>
      <c r="R766" s="604"/>
      <c r="S766" s="604"/>
      <c r="T766" s="604"/>
      <c r="U766" s="604"/>
      <c r="V766" s="604"/>
      <c r="W766" s="604"/>
      <c r="X766" s="604"/>
      <c r="Y766" s="604"/>
      <c r="Z766" s="604"/>
    </row>
    <row r="767" spans="1:26" ht="19.5" hidden="1">
      <c r="A767" s="614"/>
      <c r="B767" s="616"/>
      <c r="C767" s="759" t="s">
        <v>16</v>
      </c>
      <c r="D767" s="899" t="s">
        <v>38</v>
      </c>
      <c r="E767" s="651"/>
      <c r="F767" s="651"/>
      <c r="G767" s="652"/>
      <c r="H767" s="366"/>
      <c r="I767" s="166"/>
      <c r="J767" s="166"/>
      <c r="K767" s="167"/>
      <c r="L767" s="167"/>
      <c r="M767" s="167"/>
      <c r="N767" s="167"/>
      <c r="O767" s="167"/>
      <c r="P767" s="167"/>
      <c r="Q767" s="604"/>
      <c r="R767" s="604"/>
      <c r="S767" s="604"/>
      <c r="T767" s="604"/>
      <c r="U767" s="604"/>
      <c r="V767" s="604"/>
      <c r="W767" s="604"/>
      <c r="X767" s="604"/>
      <c r="Y767" s="604"/>
      <c r="Z767" s="604"/>
    </row>
    <row r="768" spans="1:26" ht="18.75" hidden="1">
      <c r="A768" s="649"/>
      <c r="B768" s="607"/>
      <c r="C768" s="759"/>
      <c r="D768" s="759"/>
      <c r="E768" s="759" t="s">
        <v>317</v>
      </c>
      <c r="F768" s="759"/>
      <c r="G768" s="603"/>
      <c r="H768" s="165" t="s">
        <v>46</v>
      </c>
      <c r="I768" s="617"/>
      <c r="J768" s="617"/>
      <c r="K768" s="93"/>
      <c r="L768" s="93"/>
      <c r="M768" s="93"/>
      <c r="N768" s="93"/>
      <c r="O768" s="93"/>
      <c r="P768" s="93"/>
      <c r="Q768" s="604"/>
      <c r="R768" s="604"/>
      <c r="S768" s="604"/>
      <c r="T768" s="604"/>
      <c r="U768" s="604"/>
      <c r="V768" s="604"/>
      <c r="W768" s="604"/>
      <c r="X768" s="604"/>
      <c r="Y768" s="604"/>
      <c r="Z768" s="604"/>
    </row>
    <row r="769" spans="1:26" ht="19.5" hidden="1">
      <c r="A769" s="793">
        <v>11</v>
      </c>
      <c r="B769" s="794" t="s">
        <v>318</v>
      </c>
      <c r="C769" s="795"/>
      <c r="D769" s="795"/>
      <c r="E769" s="795"/>
      <c r="F769" s="795"/>
      <c r="G769" s="796"/>
      <c r="H769" s="797" t="s">
        <v>46</v>
      </c>
      <c r="I769" s="798"/>
      <c r="J769" s="798">
        <f>J784</f>
        <v>0</v>
      </c>
      <c r="K769" s="799">
        <f>IF(I769&gt;0,J769*100/I769,0)</f>
        <v>0</v>
      </c>
      <c r="L769" s="800"/>
      <c r="M769" s="800"/>
      <c r="N769" s="800"/>
      <c r="O769" s="800"/>
      <c r="P769" s="800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</row>
    <row r="770" spans="1:26" ht="19.5" hidden="1">
      <c r="A770" s="599"/>
      <c r="B770" s="759"/>
      <c r="C770" s="759" t="s">
        <v>16</v>
      </c>
      <c r="D770" s="864" t="s">
        <v>17</v>
      </c>
      <c r="E770" s="857"/>
      <c r="F770" s="857"/>
      <c r="G770" s="603"/>
      <c r="H770" s="646" t="s">
        <v>12</v>
      </c>
      <c r="I770" s="617"/>
      <c r="J770" s="617"/>
      <c r="K770" s="93"/>
      <c r="L770" s="647">
        <f t="shared" ref="L770:N770" si="310">L771+L772</f>
        <v>0</v>
      </c>
      <c r="M770" s="647">
        <f t="shared" si="310"/>
        <v>0</v>
      </c>
      <c r="N770" s="647">
        <f t="shared" si="310"/>
        <v>0</v>
      </c>
      <c r="O770" s="647">
        <f t="shared" ref="O770:O775" si="311">IF(L770&gt;0,N770*100/L770,0)</f>
        <v>0</v>
      </c>
      <c r="P770" s="647">
        <f t="shared" ref="P770:P775" si="312">IF(M770&gt;0,N770*100/M770,0)</f>
        <v>0</v>
      </c>
      <c r="Q770" s="604"/>
      <c r="R770" s="604"/>
      <c r="S770" s="604"/>
      <c r="T770" s="604"/>
      <c r="U770" s="604"/>
      <c r="V770" s="604"/>
      <c r="W770" s="604"/>
      <c r="X770" s="604"/>
      <c r="Y770" s="604"/>
      <c r="Z770" s="604"/>
    </row>
    <row r="771" spans="1:26" ht="18.75" hidden="1">
      <c r="A771" s="599"/>
      <c r="B771" s="759"/>
      <c r="C771" s="759"/>
      <c r="D771" s="720"/>
      <c r="E771" s="759" t="s">
        <v>185</v>
      </c>
      <c r="F771" s="759"/>
      <c r="G771" s="603"/>
      <c r="H771" s="165" t="s">
        <v>12</v>
      </c>
      <c r="I771" s="617"/>
      <c r="J771" s="617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4"/>
      <c r="R771" s="604"/>
      <c r="S771" s="604"/>
      <c r="T771" s="604"/>
      <c r="U771" s="604"/>
      <c r="V771" s="604"/>
      <c r="W771" s="604"/>
      <c r="X771" s="604"/>
      <c r="Y771" s="604"/>
      <c r="Z771" s="604"/>
    </row>
    <row r="772" spans="1:26" ht="18.75" hidden="1">
      <c r="A772" s="599"/>
      <c r="B772" s="607"/>
      <c r="C772" s="759"/>
      <c r="D772" s="720"/>
      <c r="E772" s="759" t="s">
        <v>186</v>
      </c>
      <c r="F772" s="759"/>
      <c r="G772" s="603"/>
      <c r="H772" s="165" t="s">
        <v>12</v>
      </c>
      <c r="I772" s="617"/>
      <c r="J772" s="617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4"/>
      <c r="R772" s="604"/>
      <c r="S772" s="604"/>
      <c r="T772" s="604"/>
      <c r="U772" s="604"/>
      <c r="V772" s="604"/>
      <c r="W772" s="604"/>
      <c r="X772" s="604"/>
      <c r="Y772" s="604"/>
      <c r="Z772" s="604"/>
    </row>
    <row r="773" spans="1:26" ht="19.5" hidden="1">
      <c r="A773" s="599"/>
      <c r="B773" s="607"/>
      <c r="C773" s="759"/>
      <c r="D773" s="645" t="s">
        <v>20</v>
      </c>
      <c r="E773" s="759"/>
      <c r="F773" s="759"/>
      <c r="G773" s="603"/>
      <c r="H773" s="646" t="s">
        <v>12</v>
      </c>
      <c r="I773" s="166"/>
      <c r="J773" s="166"/>
      <c r="K773" s="167"/>
      <c r="L773" s="647">
        <f t="shared" ref="L773:N773" si="314">L774+L775</f>
        <v>0</v>
      </c>
      <c r="M773" s="647">
        <f t="shared" si="314"/>
        <v>0</v>
      </c>
      <c r="N773" s="647">
        <f t="shared" si="314"/>
        <v>0</v>
      </c>
      <c r="O773" s="647">
        <f t="shared" si="311"/>
        <v>0</v>
      </c>
      <c r="P773" s="647">
        <f t="shared" si="312"/>
        <v>0</v>
      </c>
      <c r="Q773" s="604"/>
      <c r="R773" s="604"/>
      <c r="S773" s="604"/>
      <c r="T773" s="604"/>
      <c r="U773" s="604"/>
      <c r="V773" s="604"/>
      <c r="W773" s="604"/>
      <c r="X773" s="604"/>
      <c r="Y773" s="604"/>
      <c r="Z773" s="604"/>
    </row>
    <row r="774" spans="1:26" ht="18.75" hidden="1">
      <c r="A774" s="599"/>
      <c r="B774" s="607"/>
      <c r="C774" s="759"/>
      <c r="D774" s="720"/>
      <c r="E774" s="759" t="s">
        <v>185</v>
      </c>
      <c r="F774" s="759"/>
      <c r="G774" s="603"/>
      <c r="H774" s="165" t="s">
        <v>12</v>
      </c>
      <c r="I774" s="617"/>
      <c r="J774" s="617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4"/>
      <c r="R774" s="604"/>
      <c r="S774" s="604"/>
      <c r="T774" s="604"/>
      <c r="U774" s="604"/>
      <c r="V774" s="604"/>
      <c r="W774" s="604"/>
      <c r="X774" s="604"/>
      <c r="Y774" s="604"/>
      <c r="Z774" s="604"/>
    </row>
    <row r="775" spans="1:26" ht="18.75" hidden="1">
      <c r="A775" s="599"/>
      <c r="B775" s="607"/>
      <c r="C775" s="759"/>
      <c r="D775" s="720"/>
      <c r="E775" s="759" t="s">
        <v>186</v>
      </c>
      <c r="F775" s="759"/>
      <c r="G775" s="603"/>
      <c r="H775" s="165" t="s">
        <v>12</v>
      </c>
      <c r="I775" s="617"/>
      <c r="J775" s="617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4"/>
      <c r="R775" s="604"/>
      <c r="S775" s="604"/>
      <c r="T775" s="604"/>
      <c r="U775" s="604"/>
      <c r="V775" s="604"/>
      <c r="W775" s="604"/>
      <c r="X775" s="604"/>
      <c r="Y775" s="604"/>
      <c r="Z775" s="604"/>
    </row>
    <row r="776" spans="1:26" ht="18.75" hidden="1">
      <c r="A776" s="649"/>
      <c r="B776" s="607"/>
      <c r="C776" s="759"/>
      <c r="D776" s="759"/>
      <c r="E776" s="759"/>
      <c r="F776" s="759" t="s">
        <v>187</v>
      </c>
      <c r="G776" s="603"/>
      <c r="H776" s="165" t="s">
        <v>12</v>
      </c>
      <c r="I776" s="617"/>
      <c r="J776" s="617"/>
      <c r="K776" s="93"/>
      <c r="L776" s="93"/>
      <c r="M776" s="93"/>
      <c r="N776" s="93"/>
      <c r="O776" s="93"/>
      <c r="P776" s="93"/>
      <c r="Q776" s="604"/>
      <c r="R776" s="604"/>
      <c r="S776" s="604"/>
      <c r="T776" s="604"/>
      <c r="U776" s="604"/>
      <c r="V776" s="604"/>
      <c r="W776" s="604"/>
      <c r="X776" s="604"/>
      <c r="Y776" s="604"/>
      <c r="Z776" s="604"/>
    </row>
    <row r="777" spans="1:26" ht="18.75" hidden="1">
      <c r="A777" s="649"/>
      <c r="B777" s="607"/>
      <c r="C777" s="759"/>
      <c r="D777" s="759"/>
      <c r="E777" s="759"/>
      <c r="F777" s="759" t="s">
        <v>188</v>
      </c>
      <c r="G777" s="603"/>
      <c r="H777" s="165" t="s">
        <v>12</v>
      </c>
      <c r="I777" s="617"/>
      <c r="J777" s="617"/>
      <c r="K777" s="93"/>
      <c r="L777" s="93"/>
      <c r="M777" s="93"/>
      <c r="N777" s="93"/>
      <c r="O777" s="93"/>
      <c r="P777" s="93"/>
      <c r="Q777" s="604"/>
      <c r="R777" s="604"/>
      <c r="S777" s="604"/>
      <c r="T777" s="604"/>
      <c r="U777" s="604"/>
      <c r="V777" s="604"/>
      <c r="W777" s="604"/>
      <c r="X777" s="604"/>
      <c r="Y777" s="604"/>
      <c r="Z777" s="604"/>
    </row>
    <row r="778" spans="1:26" ht="18.75" hidden="1">
      <c r="A778" s="649"/>
      <c r="B778" s="607"/>
      <c r="C778" s="759"/>
      <c r="D778" s="759"/>
      <c r="E778" s="759"/>
      <c r="F778" s="759" t="s">
        <v>189</v>
      </c>
      <c r="G778" s="603"/>
      <c r="H778" s="165" t="s">
        <v>12</v>
      </c>
      <c r="I778" s="617"/>
      <c r="J778" s="617"/>
      <c r="K778" s="93"/>
      <c r="L778" s="93"/>
      <c r="M778" s="93"/>
      <c r="N778" s="93"/>
      <c r="O778" s="93"/>
      <c r="P778" s="93"/>
      <c r="Q778" s="604"/>
      <c r="R778" s="604"/>
      <c r="S778" s="604"/>
      <c r="T778" s="604"/>
      <c r="U778" s="604"/>
      <c r="V778" s="604"/>
      <c r="W778" s="604"/>
      <c r="X778" s="604"/>
      <c r="Y778" s="604"/>
      <c r="Z778" s="604"/>
    </row>
    <row r="779" spans="1:26" ht="18.75" hidden="1">
      <c r="A779" s="649"/>
      <c r="B779" s="607"/>
      <c r="C779" s="759"/>
      <c r="D779" s="759"/>
      <c r="E779" s="759"/>
      <c r="F779" s="759" t="s">
        <v>190</v>
      </c>
      <c r="G779" s="603"/>
      <c r="H779" s="165" t="s">
        <v>12</v>
      </c>
      <c r="I779" s="617"/>
      <c r="J779" s="617"/>
      <c r="K779" s="93"/>
      <c r="L779" s="93"/>
      <c r="M779" s="93"/>
      <c r="N779" s="93"/>
      <c r="O779" s="93"/>
      <c r="P779" s="93"/>
      <c r="Q779" s="604"/>
      <c r="R779" s="604"/>
      <c r="S779" s="604"/>
      <c r="T779" s="604"/>
      <c r="U779" s="604"/>
      <c r="V779" s="604"/>
      <c r="W779" s="604"/>
      <c r="X779" s="604"/>
      <c r="Y779" s="604"/>
      <c r="Z779" s="604"/>
    </row>
    <row r="780" spans="1:26" ht="19.5" hidden="1">
      <c r="A780" s="599"/>
      <c r="B780" s="607"/>
      <c r="C780" s="759"/>
      <c r="D780" s="645" t="s">
        <v>21</v>
      </c>
      <c r="E780" s="759"/>
      <c r="F780" s="759"/>
      <c r="G780" s="603"/>
      <c r="H780" s="783" t="s">
        <v>12</v>
      </c>
      <c r="I780" s="166"/>
      <c r="J780" s="166"/>
      <c r="K780" s="167"/>
      <c r="L780" s="647">
        <f t="shared" ref="L780:N780" si="315">L781+L782</f>
        <v>0</v>
      </c>
      <c r="M780" s="647">
        <f t="shared" si="315"/>
        <v>0</v>
      </c>
      <c r="N780" s="647">
        <f t="shared" si="315"/>
        <v>0</v>
      </c>
      <c r="O780" s="647">
        <f t="shared" ref="O780:O782" si="316">IF(L780&gt;0,N780*100/L780,0)</f>
        <v>0</v>
      </c>
      <c r="P780" s="647">
        <f t="shared" ref="P780:P782" si="317">IF(M780&gt;0,N780*100/M780,0)</f>
        <v>0</v>
      </c>
      <c r="Q780" s="604"/>
      <c r="R780" s="604"/>
      <c r="S780" s="604"/>
      <c r="T780" s="604"/>
      <c r="U780" s="604"/>
      <c r="V780" s="604"/>
      <c r="W780" s="604"/>
      <c r="X780" s="604"/>
      <c r="Y780" s="604"/>
      <c r="Z780" s="604"/>
    </row>
    <row r="781" spans="1:26" ht="18.75" hidden="1">
      <c r="A781" s="599"/>
      <c r="B781" s="607"/>
      <c r="C781" s="759"/>
      <c r="D781" s="759"/>
      <c r="E781" s="759" t="s">
        <v>18</v>
      </c>
      <c r="F781" s="759"/>
      <c r="G781" s="603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4"/>
      <c r="R781" s="604"/>
      <c r="S781" s="604"/>
      <c r="T781" s="604"/>
      <c r="U781" s="604"/>
      <c r="V781" s="604"/>
      <c r="W781" s="604"/>
      <c r="X781" s="604"/>
      <c r="Y781" s="604"/>
      <c r="Z781" s="604"/>
    </row>
    <row r="782" spans="1:26" ht="18.75" hidden="1">
      <c r="A782" s="599"/>
      <c r="B782" s="607"/>
      <c r="C782" s="759"/>
      <c r="D782" s="759"/>
      <c r="E782" s="759" t="s">
        <v>19</v>
      </c>
      <c r="F782" s="759"/>
      <c r="G782" s="603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4"/>
      <c r="R782" s="604"/>
      <c r="S782" s="604"/>
      <c r="T782" s="604"/>
      <c r="U782" s="604"/>
      <c r="V782" s="604"/>
      <c r="W782" s="604"/>
      <c r="X782" s="604"/>
      <c r="Y782" s="604"/>
      <c r="Z782" s="604"/>
    </row>
    <row r="783" spans="1:26" ht="19.5" hidden="1">
      <c r="A783" s="614"/>
      <c r="B783" s="616"/>
      <c r="C783" s="759" t="s">
        <v>16</v>
      </c>
      <c r="D783" s="899" t="s">
        <v>38</v>
      </c>
      <c r="E783" s="651"/>
      <c r="F783" s="651"/>
      <c r="G783" s="652"/>
      <c r="H783" s="801"/>
      <c r="I783" s="166"/>
      <c r="J783" s="166"/>
      <c r="K783" s="167"/>
      <c r="L783" s="167"/>
      <c r="M783" s="167"/>
      <c r="N783" s="167"/>
      <c r="O783" s="167"/>
      <c r="P783" s="167"/>
      <c r="Q783" s="604"/>
      <c r="R783" s="604"/>
      <c r="S783" s="604"/>
      <c r="T783" s="604"/>
      <c r="U783" s="604"/>
      <c r="V783" s="604"/>
      <c r="W783" s="604"/>
      <c r="X783" s="604"/>
      <c r="Y783" s="604"/>
      <c r="Z783" s="604"/>
    </row>
    <row r="784" spans="1:26" ht="18.75" hidden="1">
      <c r="A784" s="649"/>
      <c r="B784" s="607"/>
      <c r="C784" s="759"/>
      <c r="D784" s="759"/>
      <c r="E784" s="759" t="s">
        <v>319</v>
      </c>
      <c r="F784" s="759"/>
      <c r="G784" s="603"/>
      <c r="H784" s="165" t="s">
        <v>46</v>
      </c>
      <c r="I784" s="617"/>
      <c r="J784" s="617"/>
      <c r="K784" s="93"/>
      <c r="L784" s="93"/>
      <c r="M784" s="93"/>
      <c r="N784" s="93"/>
      <c r="O784" s="93"/>
      <c r="P784" s="93"/>
      <c r="Q784" s="604"/>
      <c r="R784" s="604"/>
      <c r="S784" s="604"/>
      <c r="T784" s="604"/>
      <c r="U784" s="604"/>
      <c r="V784" s="604"/>
      <c r="W784" s="604"/>
      <c r="X784" s="604"/>
      <c r="Y784" s="604"/>
      <c r="Z784" s="604"/>
    </row>
    <row r="785" spans="1:26" ht="19.5" hidden="1">
      <c r="A785" s="802">
        <v>12</v>
      </c>
      <c r="B785" s="803" t="s">
        <v>320</v>
      </c>
      <c r="C785" s="804"/>
      <c r="D785" s="804"/>
      <c r="E785" s="804"/>
      <c r="F785" s="804"/>
      <c r="G785" s="805"/>
      <c r="H785" s="900" t="s">
        <v>46</v>
      </c>
      <c r="I785" s="901">
        <f t="shared" ref="I785:J785" ca="1" si="318">I800</f>
        <v>0</v>
      </c>
      <c r="J785" s="902">
        <f t="shared" ca="1" si="318"/>
        <v>0</v>
      </c>
      <c r="K785" s="903">
        <f ca="1">IF(I785&gt;0,J785*100/I785,0)</f>
        <v>0</v>
      </c>
      <c r="L785" s="809"/>
      <c r="M785" s="809"/>
      <c r="N785" s="809"/>
      <c r="O785" s="809"/>
      <c r="P785" s="809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</row>
    <row r="786" spans="1:26" ht="19.5" hidden="1">
      <c r="A786" s="597"/>
      <c r="B786" s="575"/>
      <c r="C786" s="763" t="s">
        <v>16</v>
      </c>
      <c r="D786" s="863" t="s">
        <v>17</v>
      </c>
      <c r="E786" s="857"/>
      <c r="F786" s="857"/>
      <c r="G786" s="189"/>
      <c r="H786" s="598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</row>
    <row r="787" spans="1:26" ht="18.75" hidden="1">
      <c r="A787" s="599"/>
      <c r="B787" s="607"/>
      <c r="C787" s="759"/>
      <c r="D787" s="720"/>
      <c r="E787" s="759" t="s">
        <v>185</v>
      </c>
      <c r="F787" s="759"/>
      <c r="G787" s="603"/>
      <c r="H787" s="165" t="s">
        <v>12</v>
      </c>
      <c r="I787" s="617"/>
      <c r="J787" s="617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4"/>
      <c r="R787" s="604"/>
      <c r="S787" s="604"/>
      <c r="T787" s="604"/>
      <c r="U787" s="604"/>
      <c r="V787" s="604"/>
      <c r="W787" s="604"/>
      <c r="X787" s="604"/>
      <c r="Y787" s="604"/>
      <c r="Z787" s="604"/>
    </row>
    <row r="788" spans="1:26" ht="18.75" hidden="1">
      <c r="A788" s="599"/>
      <c r="B788" s="607"/>
      <c r="C788" s="607"/>
      <c r="D788" s="616"/>
      <c r="E788" s="759" t="s">
        <v>186</v>
      </c>
      <c r="F788" s="759"/>
      <c r="G788" s="603"/>
      <c r="H788" s="165" t="s">
        <v>12</v>
      </c>
      <c r="I788" s="617"/>
      <c r="J788" s="617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4"/>
      <c r="R788" s="604"/>
      <c r="S788" s="604"/>
      <c r="T788" s="604"/>
      <c r="U788" s="604"/>
      <c r="V788" s="604"/>
      <c r="W788" s="604"/>
      <c r="X788" s="604"/>
      <c r="Y788" s="604"/>
      <c r="Z788" s="604"/>
    </row>
    <row r="789" spans="1:26" ht="18.75" hidden="1">
      <c r="A789" s="597"/>
      <c r="B789" s="575"/>
      <c r="C789" s="575"/>
      <c r="D789" s="606" t="s">
        <v>20</v>
      </c>
      <c r="E789" s="763"/>
      <c r="F789" s="763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</row>
    <row r="790" spans="1:26" ht="18.75" hidden="1">
      <c r="A790" s="599"/>
      <c r="B790" s="607"/>
      <c r="C790" s="607"/>
      <c r="D790" s="616"/>
      <c r="E790" s="759" t="s">
        <v>185</v>
      </c>
      <c r="F790" s="759"/>
      <c r="G790" s="603"/>
      <c r="H790" s="165" t="s">
        <v>12</v>
      </c>
      <c r="I790" s="617"/>
      <c r="J790" s="617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4"/>
      <c r="R790" s="604"/>
      <c r="S790" s="604"/>
      <c r="T790" s="604"/>
      <c r="U790" s="604"/>
      <c r="V790" s="604"/>
      <c r="W790" s="604"/>
      <c r="X790" s="604"/>
      <c r="Y790" s="604"/>
      <c r="Z790" s="604"/>
    </row>
    <row r="791" spans="1:26" ht="18.75" hidden="1">
      <c r="A791" s="599"/>
      <c r="B791" s="607"/>
      <c r="C791" s="607"/>
      <c r="D791" s="616"/>
      <c r="E791" s="759" t="s">
        <v>186</v>
      </c>
      <c r="F791" s="759"/>
      <c r="G791" s="603"/>
      <c r="H791" s="165" t="s">
        <v>12</v>
      </c>
      <c r="I791" s="617"/>
      <c r="J791" s="617"/>
      <c r="K791" s="93"/>
      <c r="L791" s="93">
        <f ca="1">IFERROR(__xludf.DUMMYFUNCTION("IMPORTRANGE(""https://docs.google.com/spreadsheets/d/1QqKyyYR6Q21VydFLVH3TRQUabQu_ym0Zz7PgGX0-kHA/edit?usp=sharing"",""แผน!JJ47"")"),0)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4"/>
      <c r="R791" s="604"/>
      <c r="S791" s="604"/>
      <c r="T791" s="604"/>
      <c r="U791" s="604"/>
      <c r="V791" s="604"/>
      <c r="W791" s="604"/>
      <c r="X791" s="604"/>
      <c r="Y791" s="604"/>
      <c r="Z791" s="604"/>
    </row>
    <row r="792" spans="1:26" ht="18.75" hidden="1">
      <c r="A792" s="574"/>
      <c r="B792" s="575"/>
      <c r="C792" s="763"/>
      <c r="D792" s="763"/>
      <c r="E792" s="763"/>
      <c r="F792" s="763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40">
        <v>0</v>
      </c>
      <c r="O792" s="498"/>
      <c r="P792" s="49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</row>
    <row r="793" spans="1:26" ht="18.75" hidden="1">
      <c r="A793" s="574"/>
      <c r="B793" s="575"/>
      <c r="C793" s="763"/>
      <c r="D793" s="763"/>
      <c r="E793" s="763"/>
      <c r="F793" s="763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40">
        <v>0</v>
      </c>
      <c r="O793" s="498"/>
      <c r="P793" s="49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</row>
    <row r="794" spans="1:26" ht="18.75" hidden="1">
      <c r="A794" s="574"/>
      <c r="B794" s="575"/>
      <c r="C794" s="763"/>
      <c r="D794" s="763"/>
      <c r="E794" s="763"/>
      <c r="F794" s="763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40">
        <v>0</v>
      </c>
      <c r="O794" s="498"/>
      <c r="P794" s="49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</row>
    <row r="795" spans="1:26" ht="18.75" hidden="1">
      <c r="A795" s="574"/>
      <c r="B795" s="575"/>
      <c r="C795" s="763"/>
      <c r="D795" s="763"/>
      <c r="E795" s="763"/>
      <c r="F795" s="763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40">
        <v>0</v>
      </c>
      <c r="O795" s="498"/>
      <c r="P795" s="49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</row>
    <row r="796" spans="1:26" ht="18.75" hidden="1">
      <c r="A796" s="597"/>
      <c r="B796" s="575"/>
      <c r="C796" s="763"/>
      <c r="D796" s="606" t="s">
        <v>21</v>
      </c>
      <c r="E796" s="763"/>
      <c r="F796" s="763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</row>
    <row r="797" spans="1:26" ht="18.75" hidden="1">
      <c r="A797" s="599"/>
      <c r="B797" s="607"/>
      <c r="C797" s="759"/>
      <c r="D797" s="759"/>
      <c r="E797" s="759" t="s">
        <v>18</v>
      </c>
      <c r="F797" s="759"/>
      <c r="G797" s="603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4"/>
      <c r="R797" s="604"/>
      <c r="S797" s="604"/>
      <c r="T797" s="604"/>
      <c r="U797" s="604"/>
      <c r="V797" s="604"/>
      <c r="W797" s="604"/>
      <c r="X797" s="604"/>
      <c r="Y797" s="604"/>
      <c r="Z797" s="604"/>
    </row>
    <row r="798" spans="1:26" ht="18.75" hidden="1">
      <c r="A798" s="599"/>
      <c r="B798" s="607"/>
      <c r="C798" s="759"/>
      <c r="D798" s="759"/>
      <c r="E798" s="759" t="s">
        <v>19</v>
      </c>
      <c r="F798" s="759"/>
      <c r="G798" s="603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4"/>
      <c r="R798" s="604"/>
      <c r="S798" s="604"/>
      <c r="T798" s="604"/>
      <c r="U798" s="604"/>
      <c r="V798" s="604"/>
      <c r="W798" s="604"/>
      <c r="X798" s="604"/>
      <c r="Y798" s="604"/>
      <c r="Z798" s="604"/>
    </row>
    <row r="799" spans="1:26" ht="19.5" hidden="1">
      <c r="A799" s="608"/>
      <c r="B799" s="618"/>
      <c r="C799" s="763" t="s">
        <v>16</v>
      </c>
      <c r="D799" s="898" t="s">
        <v>38</v>
      </c>
      <c r="E799" s="761"/>
      <c r="F799" s="761"/>
      <c r="G799" s="613"/>
      <c r="H799" s="904"/>
      <c r="I799" s="184"/>
      <c r="J799" s="184"/>
      <c r="K799" s="163"/>
      <c r="L799" s="163"/>
      <c r="M799" s="163"/>
      <c r="N799" s="163"/>
      <c r="O799" s="163"/>
      <c r="P799" s="163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</row>
    <row r="800" spans="1:26" ht="18.75" hidden="1">
      <c r="A800" s="608"/>
      <c r="B800" s="618"/>
      <c r="C800" s="618"/>
      <c r="D800" s="618"/>
      <c r="E800" s="626"/>
      <c r="F800" s="626" t="s">
        <v>321</v>
      </c>
      <c r="G800" s="762"/>
      <c r="H800" s="185" t="s">
        <v>46</v>
      </c>
      <c r="I800" s="184">
        <f ca="1">IFERROR(__xludf.DUMMYFUNCTION("IMPORTRANGE(""https://docs.google.com/spreadsheets/d/1QqKyyYR6Q21VydFLVH3TRQUabQu_ym0Zz7PgGX0-kHA/edit?usp=sharing"",""แผน!JN47"")"),0)</f>
        <v>0</v>
      </c>
      <c r="J800" s="184">
        <f ca="1">IFERROR(__xludf.DUMMYFUNCTION("IMPORTRANGE(""https://docs.google.com/spreadsheets/d/1MaWodYyGHDf7siQLGxnXhG4mBNTNIuy296niS2xXulU/edit?usp=sharing"",""RTK!H47"")"),0)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</row>
    <row r="801" spans="1:26" ht="18.75" hidden="1">
      <c r="A801" s="608"/>
      <c r="B801" s="618"/>
      <c r="C801" s="618"/>
      <c r="D801" s="618"/>
      <c r="E801" s="626"/>
      <c r="F801" s="626"/>
      <c r="G801" s="762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IFERROR(__xludf.DUMMYFUNCTION("IMPORTRANGE(""https://docs.google.com/spreadsheets/d/1MaWodYyGHDf7siQLGxnXhG4mBNTNIuy296niS2xXulU/edit?usp=sharing"",""RTK!I47"")"),0)</f>
        <v>0</v>
      </c>
      <c r="K801" s="498"/>
      <c r="L801" s="498"/>
      <c r="M801" s="498"/>
      <c r="N801" s="498"/>
      <c r="O801" s="163"/>
      <c r="P801" s="163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</row>
    <row r="802" spans="1:26" ht="18.75" hidden="1">
      <c r="A802" s="614"/>
      <c r="B802" s="616"/>
      <c r="C802" s="616"/>
      <c r="D802" s="616"/>
      <c r="E802" s="720"/>
      <c r="F802" s="720" t="s">
        <v>322</v>
      </c>
      <c r="G802" s="366"/>
      <c r="H802" s="653" t="s">
        <v>46</v>
      </c>
      <c r="I802" s="166"/>
      <c r="J802" s="617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4"/>
      <c r="R802" s="604"/>
      <c r="S802" s="604"/>
      <c r="T802" s="604"/>
      <c r="U802" s="604"/>
      <c r="V802" s="604"/>
      <c r="W802" s="604"/>
      <c r="X802" s="604"/>
      <c r="Y802" s="604"/>
      <c r="Z802" s="604"/>
    </row>
    <row r="803" spans="1:26" ht="18.75" hidden="1">
      <c r="A803" s="614"/>
      <c r="B803" s="616"/>
      <c r="C803" s="616"/>
      <c r="D803" s="616"/>
      <c r="E803" s="720"/>
      <c r="F803" s="720"/>
      <c r="G803" s="366"/>
      <c r="H803" s="653" t="s">
        <v>34</v>
      </c>
      <c r="I803" s="166"/>
      <c r="J803" s="617">
        <v>0</v>
      </c>
      <c r="K803" s="167"/>
      <c r="L803" s="167"/>
      <c r="M803" s="167"/>
      <c r="N803" s="167"/>
      <c r="O803" s="167"/>
      <c r="P803" s="167"/>
      <c r="Q803" s="604"/>
      <c r="R803" s="604"/>
      <c r="S803" s="604"/>
      <c r="T803" s="604"/>
      <c r="U803" s="604"/>
      <c r="V803" s="604"/>
      <c r="W803" s="604"/>
      <c r="X803" s="604"/>
      <c r="Y803" s="604"/>
      <c r="Z803" s="604"/>
    </row>
    <row r="804" spans="1:26" ht="19.5" hidden="1">
      <c r="A804" s="793">
        <v>13</v>
      </c>
      <c r="B804" s="794" t="s">
        <v>323</v>
      </c>
      <c r="C804" s="795"/>
      <c r="D804" s="825"/>
      <c r="E804" s="795"/>
      <c r="F804" s="795"/>
      <c r="G804" s="796"/>
      <c r="H804" s="797" t="s">
        <v>46</v>
      </c>
      <c r="I804" s="798"/>
      <c r="J804" s="798">
        <f>J819</f>
        <v>0</v>
      </c>
      <c r="K804" s="799">
        <f>IF(I804&gt;0,J804*100/I804,0)</f>
        <v>0</v>
      </c>
      <c r="L804" s="800"/>
      <c r="M804" s="800"/>
      <c r="N804" s="800"/>
      <c r="O804" s="800"/>
      <c r="P804" s="800"/>
      <c r="Q804" s="604"/>
      <c r="R804" s="604"/>
      <c r="S804" s="604"/>
      <c r="T804" s="604"/>
      <c r="U804" s="604"/>
      <c r="V804" s="604"/>
      <c r="W804" s="604"/>
      <c r="X804" s="604"/>
      <c r="Y804" s="604"/>
      <c r="Z804" s="604"/>
    </row>
    <row r="805" spans="1:26" ht="19.5" hidden="1">
      <c r="A805" s="599"/>
      <c r="B805" s="759"/>
      <c r="C805" s="759" t="s">
        <v>16</v>
      </c>
      <c r="D805" s="864" t="s">
        <v>17</v>
      </c>
      <c r="E805" s="857"/>
      <c r="F805" s="857"/>
      <c r="G805" s="603"/>
      <c r="H805" s="646" t="s">
        <v>12</v>
      </c>
      <c r="I805" s="617"/>
      <c r="J805" s="617"/>
      <c r="K805" s="93"/>
      <c r="L805" s="647">
        <f t="shared" ref="L805:N805" si="327">L806+L807</f>
        <v>0</v>
      </c>
      <c r="M805" s="647">
        <f t="shared" si="327"/>
        <v>0</v>
      </c>
      <c r="N805" s="647">
        <f t="shared" si="327"/>
        <v>0</v>
      </c>
      <c r="O805" s="647">
        <f t="shared" ref="O805:O810" si="328">IF(L805&gt;0,N805*100/L805,0)</f>
        <v>0</v>
      </c>
      <c r="P805" s="647">
        <f t="shared" ref="P805:P810" si="329">IF(M805&gt;0,N805*100/M805,0)</f>
        <v>0</v>
      </c>
      <c r="Q805" s="604"/>
      <c r="R805" s="604"/>
      <c r="S805" s="604"/>
      <c r="T805" s="604"/>
      <c r="U805" s="604"/>
      <c r="V805" s="604"/>
      <c r="W805" s="604"/>
      <c r="X805" s="604"/>
      <c r="Y805" s="604"/>
      <c r="Z805" s="604"/>
    </row>
    <row r="806" spans="1:26" ht="18.75" hidden="1">
      <c r="A806" s="599"/>
      <c r="B806" s="759"/>
      <c r="C806" s="759"/>
      <c r="D806" s="616"/>
      <c r="E806" s="759" t="s">
        <v>185</v>
      </c>
      <c r="F806" s="759"/>
      <c r="G806" s="603"/>
      <c r="H806" s="165" t="s">
        <v>12</v>
      </c>
      <c r="I806" s="617"/>
      <c r="J806" s="617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4"/>
      <c r="R806" s="604"/>
      <c r="S806" s="604"/>
      <c r="T806" s="604"/>
      <c r="U806" s="604"/>
      <c r="V806" s="604"/>
      <c r="W806" s="604"/>
      <c r="X806" s="604"/>
      <c r="Y806" s="604"/>
      <c r="Z806" s="604"/>
    </row>
    <row r="807" spans="1:26" ht="18.75" hidden="1">
      <c r="A807" s="599"/>
      <c r="B807" s="759"/>
      <c r="C807" s="759"/>
      <c r="D807" s="616"/>
      <c r="E807" s="759" t="s">
        <v>186</v>
      </c>
      <c r="F807" s="759"/>
      <c r="G807" s="603"/>
      <c r="H807" s="165" t="s">
        <v>12</v>
      </c>
      <c r="I807" s="617"/>
      <c r="J807" s="617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4"/>
      <c r="R807" s="604"/>
      <c r="S807" s="604"/>
      <c r="T807" s="604"/>
      <c r="U807" s="604"/>
      <c r="V807" s="604"/>
      <c r="W807" s="604"/>
      <c r="X807" s="604"/>
      <c r="Y807" s="604"/>
      <c r="Z807" s="604"/>
    </row>
    <row r="808" spans="1:26" ht="19.5" hidden="1">
      <c r="A808" s="599"/>
      <c r="B808" s="607"/>
      <c r="C808" s="759"/>
      <c r="D808" s="905" t="s">
        <v>20</v>
      </c>
      <c r="E808" s="857"/>
      <c r="F808" s="857"/>
      <c r="G808" s="603"/>
      <c r="H808" s="646" t="s">
        <v>12</v>
      </c>
      <c r="I808" s="166"/>
      <c r="J808" s="166"/>
      <c r="K808" s="167"/>
      <c r="L808" s="647">
        <f t="shared" ref="L808:N808" si="331">L809+L810</f>
        <v>0</v>
      </c>
      <c r="M808" s="647">
        <f t="shared" si="331"/>
        <v>0</v>
      </c>
      <c r="N808" s="647">
        <f t="shared" si="331"/>
        <v>0</v>
      </c>
      <c r="O808" s="647">
        <f t="shared" si="328"/>
        <v>0</v>
      </c>
      <c r="P808" s="647">
        <f t="shared" si="329"/>
        <v>0</v>
      </c>
      <c r="Q808" s="604"/>
      <c r="R808" s="604"/>
      <c r="S808" s="604"/>
      <c r="T808" s="604"/>
      <c r="U808" s="604"/>
      <c r="V808" s="604"/>
      <c r="W808" s="604"/>
      <c r="X808" s="604"/>
      <c r="Y808" s="604"/>
      <c r="Z808" s="604"/>
    </row>
    <row r="809" spans="1:26" ht="18.75" hidden="1">
      <c r="A809" s="599"/>
      <c r="B809" s="759"/>
      <c r="C809" s="759"/>
      <c r="D809" s="616"/>
      <c r="E809" s="759" t="s">
        <v>185</v>
      </c>
      <c r="F809" s="759"/>
      <c r="G809" s="603"/>
      <c r="H809" s="165" t="s">
        <v>12</v>
      </c>
      <c r="I809" s="617"/>
      <c r="J809" s="617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4"/>
      <c r="R809" s="604"/>
      <c r="S809" s="604"/>
      <c r="T809" s="604"/>
      <c r="U809" s="604"/>
      <c r="V809" s="604"/>
      <c r="W809" s="604"/>
      <c r="X809" s="604"/>
      <c r="Y809" s="604"/>
      <c r="Z809" s="604"/>
    </row>
    <row r="810" spans="1:26" ht="18.75" hidden="1">
      <c r="A810" s="599"/>
      <c r="B810" s="759"/>
      <c r="C810" s="759"/>
      <c r="D810" s="616"/>
      <c r="E810" s="759" t="s">
        <v>186</v>
      </c>
      <c r="F810" s="759"/>
      <c r="G810" s="603"/>
      <c r="H810" s="165" t="s">
        <v>12</v>
      </c>
      <c r="I810" s="617"/>
      <c r="J810" s="617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4"/>
      <c r="R810" s="604"/>
      <c r="S810" s="604"/>
      <c r="T810" s="604"/>
      <c r="U810" s="604"/>
      <c r="V810" s="604"/>
      <c r="W810" s="604"/>
      <c r="X810" s="604"/>
      <c r="Y810" s="604"/>
      <c r="Z810" s="604"/>
    </row>
    <row r="811" spans="1:26" ht="18.75" hidden="1">
      <c r="A811" s="649"/>
      <c r="B811" s="607"/>
      <c r="C811" s="759"/>
      <c r="D811" s="607"/>
      <c r="E811" s="759"/>
      <c r="F811" s="759" t="s">
        <v>187</v>
      </c>
      <c r="G811" s="603"/>
      <c r="H811" s="165" t="s">
        <v>12</v>
      </c>
      <c r="I811" s="617"/>
      <c r="J811" s="617"/>
      <c r="K811" s="93"/>
      <c r="L811" s="93"/>
      <c r="M811" s="93"/>
      <c r="N811" s="93"/>
      <c r="O811" s="93"/>
      <c r="P811" s="93"/>
      <c r="Q811" s="604"/>
      <c r="R811" s="604"/>
      <c r="S811" s="604"/>
      <c r="T811" s="604"/>
      <c r="U811" s="604"/>
      <c r="V811" s="604"/>
      <c r="W811" s="604"/>
      <c r="X811" s="604"/>
      <c r="Y811" s="604"/>
      <c r="Z811" s="604"/>
    </row>
    <row r="812" spans="1:26" ht="18.75" hidden="1">
      <c r="A812" s="649"/>
      <c r="B812" s="607"/>
      <c r="C812" s="759"/>
      <c r="D812" s="607"/>
      <c r="E812" s="759"/>
      <c r="F812" s="759" t="s">
        <v>188</v>
      </c>
      <c r="G812" s="603"/>
      <c r="H812" s="165" t="s">
        <v>12</v>
      </c>
      <c r="I812" s="617"/>
      <c r="J812" s="617"/>
      <c r="K812" s="93"/>
      <c r="L812" s="93"/>
      <c r="M812" s="93"/>
      <c r="N812" s="93"/>
      <c r="O812" s="93"/>
      <c r="P812" s="93"/>
      <c r="Q812" s="604"/>
      <c r="R812" s="604"/>
      <c r="S812" s="604"/>
      <c r="T812" s="604"/>
      <c r="U812" s="604"/>
      <c r="V812" s="604"/>
      <c r="W812" s="604"/>
      <c r="X812" s="604"/>
      <c r="Y812" s="604"/>
      <c r="Z812" s="604"/>
    </row>
    <row r="813" spans="1:26" ht="18.75" hidden="1">
      <c r="A813" s="649"/>
      <c r="B813" s="607"/>
      <c r="C813" s="759"/>
      <c r="D813" s="607"/>
      <c r="E813" s="759"/>
      <c r="F813" s="759" t="s">
        <v>189</v>
      </c>
      <c r="G813" s="603"/>
      <c r="H813" s="165" t="s">
        <v>12</v>
      </c>
      <c r="I813" s="617"/>
      <c r="J813" s="617"/>
      <c r="K813" s="93"/>
      <c r="L813" s="93"/>
      <c r="M813" s="93"/>
      <c r="N813" s="93"/>
      <c r="O813" s="93"/>
      <c r="P813" s="93"/>
      <c r="Q813" s="604"/>
      <c r="R813" s="604"/>
      <c r="S813" s="604"/>
      <c r="T813" s="604"/>
      <c r="U813" s="604"/>
      <c r="V813" s="604"/>
      <c r="W813" s="604"/>
      <c r="X813" s="604"/>
      <c r="Y813" s="604"/>
      <c r="Z813" s="604"/>
    </row>
    <row r="814" spans="1:26" ht="18.75" hidden="1">
      <c r="A814" s="649"/>
      <c r="B814" s="607"/>
      <c r="C814" s="759"/>
      <c r="D814" s="607"/>
      <c r="E814" s="759"/>
      <c r="F814" s="759" t="s">
        <v>190</v>
      </c>
      <c r="G814" s="603"/>
      <c r="H814" s="165" t="s">
        <v>12</v>
      </c>
      <c r="I814" s="617"/>
      <c r="J814" s="617"/>
      <c r="K814" s="93"/>
      <c r="L814" s="93"/>
      <c r="M814" s="93"/>
      <c r="N814" s="93"/>
      <c r="O814" s="93"/>
      <c r="P814" s="93"/>
      <c r="Q814" s="604"/>
      <c r="R814" s="604"/>
      <c r="S814" s="604"/>
      <c r="T814" s="604"/>
      <c r="U814" s="604"/>
      <c r="V814" s="604"/>
      <c r="W814" s="604"/>
      <c r="X814" s="604"/>
      <c r="Y814" s="604"/>
      <c r="Z814" s="604"/>
    </row>
    <row r="815" spans="1:26" ht="19.5" hidden="1">
      <c r="A815" s="599"/>
      <c r="B815" s="607"/>
      <c r="C815" s="759"/>
      <c r="D815" s="905" t="s">
        <v>21</v>
      </c>
      <c r="E815" s="857"/>
      <c r="F815" s="857"/>
      <c r="G815" s="603"/>
      <c r="H815" s="783" t="s">
        <v>12</v>
      </c>
      <c r="I815" s="166"/>
      <c r="J815" s="166"/>
      <c r="K815" s="167"/>
      <c r="L815" s="647">
        <f t="shared" ref="L815:N815" si="332">L816+L817</f>
        <v>0</v>
      </c>
      <c r="M815" s="647">
        <f t="shared" si="332"/>
        <v>0</v>
      </c>
      <c r="N815" s="647">
        <f t="shared" si="332"/>
        <v>0</v>
      </c>
      <c r="O815" s="647">
        <f t="shared" ref="O815:O817" si="333">IF(L815&gt;0,N815*100/L815,0)</f>
        <v>0</v>
      </c>
      <c r="P815" s="647">
        <f t="shared" ref="P815:P817" si="334">IF(M815&gt;0,N815*100/M815,0)</f>
        <v>0</v>
      </c>
      <c r="Q815" s="604"/>
      <c r="R815" s="604"/>
      <c r="S815" s="604"/>
      <c r="T815" s="604"/>
      <c r="U815" s="604"/>
      <c r="V815" s="604"/>
      <c r="W815" s="604"/>
      <c r="X815" s="604"/>
      <c r="Y815" s="604"/>
      <c r="Z815" s="604"/>
    </row>
    <row r="816" spans="1:26" ht="18.75" hidden="1">
      <c r="A816" s="599"/>
      <c r="B816" s="607"/>
      <c r="C816" s="759"/>
      <c r="D816" s="607"/>
      <c r="E816" s="759" t="s">
        <v>18</v>
      </c>
      <c r="F816" s="759"/>
      <c r="G816" s="603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4"/>
      <c r="R816" s="604"/>
      <c r="S816" s="604"/>
      <c r="T816" s="604"/>
      <c r="U816" s="604"/>
      <c r="V816" s="604"/>
      <c r="W816" s="604"/>
      <c r="X816" s="604"/>
      <c r="Y816" s="604"/>
      <c r="Z816" s="604"/>
    </row>
    <row r="817" spans="1:26" ht="18.75" hidden="1">
      <c r="A817" s="599"/>
      <c r="B817" s="607"/>
      <c r="C817" s="759"/>
      <c r="D817" s="607"/>
      <c r="E817" s="759" t="s">
        <v>19</v>
      </c>
      <c r="F817" s="759"/>
      <c r="G817" s="603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4"/>
      <c r="R817" s="604"/>
      <c r="S817" s="604"/>
      <c r="T817" s="604"/>
      <c r="U817" s="604"/>
      <c r="V817" s="604"/>
      <c r="W817" s="604"/>
      <c r="X817" s="604"/>
      <c r="Y817" s="604"/>
      <c r="Z817" s="604"/>
    </row>
    <row r="818" spans="1:26" ht="19.5" hidden="1">
      <c r="A818" s="614"/>
      <c r="B818" s="616"/>
      <c r="C818" s="759" t="s">
        <v>16</v>
      </c>
      <c r="D818" s="906" t="s">
        <v>38</v>
      </c>
      <c r="E818" s="651"/>
      <c r="F818" s="651"/>
      <c r="G818" s="652"/>
      <c r="H818" s="366"/>
      <c r="I818" s="166"/>
      <c r="J818" s="166"/>
      <c r="K818" s="167"/>
      <c r="L818" s="167"/>
      <c r="M818" s="167"/>
      <c r="N818" s="167"/>
      <c r="O818" s="167"/>
      <c r="P818" s="167"/>
      <c r="Q818" s="604"/>
      <c r="R818" s="604"/>
      <c r="S818" s="604"/>
      <c r="T818" s="604"/>
      <c r="U818" s="604"/>
      <c r="V818" s="604"/>
      <c r="W818" s="604"/>
      <c r="X818" s="604"/>
      <c r="Y818" s="604"/>
      <c r="Z818" s="604"/>
    </row>
    <row r="819" spans="1:26" ht="19.5" hidden="1" thickBot="1">
      <c r="A819" s="827"/>
      <c r="B819" s="828"/>
      <c r="C819" s="830"/>
      <c r="D819" s="828"/>
      <c r="E819" s="830" t="s">
        <v>324</v>
      </c>
      <c r="F819" s="830"/>
      <c r="G819" s="831"/>
      <c r="H819" s="832" t="s">
        <v>46</v>
      </c>
      <c r="I819" s="833"/>
      <c r="J819" s="833"/>
      <c r="K819" s="834"/>
      <c r="L819" s="834"/>
      <c r="M819" s="834"/>
      <c r="N819" s="834"/>
      <c r="O819" s="834"/>
      <c r="P819" s="834"/>
      <c r="Q819" s="604"/>
      <c r="R819" s="604"/>
      <c r="S819" s="604"/>
      <c r="T819" s="604"/>
      <c r="U819" s="604"/>
      <c r="V819" s="604"/>
      <c r="W819" s="604"/>
      <c r="X819" s="604"/>
      <c r="Y819" s="604"/>
      <c r="Z819" s="604"/>
    </row>
    <row r="820" spans="1:26" ht="19.5">
      <c r="A820" s="907" t="s">
        <v>337</v>
      </c>
      <c r="B820" s="908"/>
      <c r="C820" s="908"/>
      <c r="D820" s="909"/>
      <c r="E820" s="908"/>
      <c r="F820" s="908"/>
      <c r="G820" s="910"/>
      <c r="H820" s="91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912"/>
      <c r="J820" s="912"/>
      <c r="K820" s="913"/>
      <c r="L820" s="913"/>
      <c r="M820" s="913"/>
      <c r="N820" s="913"/>
      <c r="O820" s="913"/>
      <c r="P820" s="913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</row>
    <row r="821" spans="1:26" ht="18.75">
      <c r="A821" s="744"/>
      <c r="B821" s="763" t="s">
        <v>326</v>
      </c>
      <c r="C821" s="763"/>
      <c r="D821" s="575"/>
      <c r="E821" s="763"/>
      <c r="F821" s="763"/>
      <c r="G821" s="189"/>
      <c r="H821" s="623" t="s">
        <v>12</v>
      </c>
      <c r="I821" s="270">
        <f ca="1">IFERROR(__xludf.DUMMYFUNCTION("IMPORTRANGE(""https://docs.google.com/spreadsheets/d/19vJNZY_5yjcGF2XGBMNZRCAIB0Kwfpjp8YEOfu-bneM/edit?usp=sharing"",""งานกองทุน!D47"")"),3724049.39)</f>
        <v>3724049.39</v>
      </c>
      <c r="J821" s="270">
        <f ca="1">IFERROR(__xludf.DUMMYFUNCTION("IMPORTRANGE(""https://docs.google.com/spreadsheets/d/19vJNZY_5yjcGF2XGBMNZRCAIB0Kwfpjp8YEOfu-bneM/edit?usp=sharing"",""งานกองทุน!F47"")"),3748441.7)</f>
        <v>3748441.7</v>
      </c>
      <c r="K821" s="498">
        <f t="shared" ref="K821:K828" ca="1" si="335">IF(I821&gt;0,J821*100/I821,0)</f>
        <v>100.65499426687249</v>
      </c>
      <c r="L821" s="498"/>
      <c r="M821" s="498"/>
      <c r="N821" s="498"/>
      <c r="O821" s="498"/>
      <c r="P821" s="49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</row>
    <row r="822" spans="1:26" ht="18.75">
      <c r="A822" s="744"/>
      <c r="B822" s="763"/>
      <c r="C822" s="763"/>
      <c r="D822" s="575"/>
      <c r="E822" s="763"/>
      <c r="F822" s="763"/>
      <c r="G822" s="189"/>
      <c r="H822" s="623" t="s">
        <v>35</v>
      </c>
      <c r="I822" s="270">
        <f ca="1">IFERROR(__xludf.DUMMYFUNCTION("IMPORTRANGE(""https://docs.google.com/spreadsheets/d/19vJNZY_5yjcGF2XGBMNZRCAIB0Kwfpjp8YEOfu-bneM/edit?usp=sharing"",""งานกองทุน!C47"")"),342)</f>
        <v>342</v>
      </c>
      <c r="J822" s="270">
        <f ca="1">IFERROR(__xludf.DUMMYFUNCTION("IMPORTRANGE(""https://docs.google.com/spreadsheets/d/19vJNZY_5yjcGF2XGBMNZRCAIB0Kwfpjp8YEOfu-bneM/edit?usp=sharing"",""งานกองทุน!E47"")"),346)</f>
        <v>346</v>
      </c>
      <c r="K822" s="498">
        <f t="shared" ca="1" si="335"/>
        <v>101.16959064327486</v>
      </c>
      <c r="L822" s="498"/>
      <c r="M822" s="498"/>
      <c r="N822" s="498"/>
      <c r="O822" s="498"/>
      <c r="P822" s="49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</row>
    <row r="823" spans="1:26" ht="18.75">
      <c r="A823" s="744"/>
      <c r="B823" s="763" t="s">
        <v>327</v>
      </c>
      <c r="C823" s="763"/>
      <c r="D823" s="575"/>
      <c r="E823" s="763"/>
      <c r="F823" s="763"/>
      <c r="G823" s="189"/>
      <c r="H823" s="623" t="s">
        <v>12</v>
      </c>
      <c r="I823" s="270">
        <f ca="1">IFERROR(__xludf.DUMMYFUNCTION("IMPORTRANGE(""https://docs.google.com/spreadsheets/d/19vJNZY_5yjcGF2XGBMNZRCAIB0Kwfpjp8YEOfu-bneM/edit?usp=sharing"",""งานกองทุน!I47"")"),550265.84)</f>
        <v>550265.84</v>
      </c>
      <c r="J823" s="270">
        <f ca="1">IFERROR(__xludf.DUMMYFUNCTION("IMPORTRANGE(""https://docs.google.com/spreadsheets/d/19vJNZY_5yjcGF2XGBMNZRCAIB0Kwfpjp8YEOfu-bneM/edit?usp=sharing"",""งานกองทุน!K47"")"),550720.26)</f>
        <v>550720.26</v>
      </c>
      <c r="K823" s="498">
        <f t="shared" ca="1" si="335"/>
        <v>100.08258190259458</v>
      </c>
      <c r="L823" s="498"/>
      <c r="M823" s="498"/>
      <c r="N823" s="498"/>
      <c r="O823" s="498"/>
      <c r="P823" s="49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</row>
    <row r="824" spans="1:26" ht="18.75">
      <c r="A824" s="744"/>
      <c r="B824" s="763"/>
      <c r="C824" s="763"/>
      <c r="D824" s="575"/>
      <c r="E824" s="763"/>
      <c r="F824" s="763"/>
      <c r="G824" s="189"/>
      <c r="H824" s="623" t="s">
        <v>35</v>
      </c>
      <c r="I824" s="270">
        <f ca="1">IFERROR(__xludf.DUMMYFUNCTION("IMPORTRANGE(""https://docs.google.com/spreadsheets/d/19vJNZY_5yjcGF2XGBMNZRCAIB0Kwfpjp8YEOfu-bneM/edit?usp=sharing"",""งานกองทุน!H47"")"),38)</f>
        <v>38</v>
      </c>
      <c r="J824" s="270">
        <f ca="1">IFERROR(__xludf.DUMMYFUNCTION("IMPORTRANGE(""https://docs.google.com/spreadsheets/d/19vJNZY_5yjcGF2XGBMNZRCAIB0Kwfpjp8YEOfu-bneM/edit?usp=sharing"",""งานกองทุน!J47"")"),43)</f>
        <v>43</v>
      </c>
      <c r="K824" s="498">
        <f t="shared" ca="1" si="335"/>
        <v>113.15789473684211</v>
      </c>
      <c r="L824" s="498"/>
      <c r="M824" s="498"/>
      <c r="N824" s="498"/>
      <c r="O824" s="498"/>
      <c r="P824" s="49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</row>
    <row r="825" spans="1:26" ht="18.75">
      <c r="A825" s="744"/>
      <c r="B825" s="763" t="s">
        <v>328</v>
      </c>
      <c r="C825" s="763"/>
      <c r="D825" s="575"/>
      <c r="E825" s="763"/>
      <c r="F825" s="763"/>
      <c r="G825" s="189"/>
      <c r="H825" s="623" t="s">
        <v>12</v>
      </c>
      <c r="I825" s="270">
        <f ca="1">IFERROR(__xludf.DUMMYFUNCTION("IMPORTRANGE(""https://docs.google.com/spreadsheets/d/19vJNZY_5yjcGF2XGBMNZRCAIB0Kwfpjp8YEOfu-bneM/edit?usp=sharing"",""งานกองทุน!N47"")"),637959.02)</f>
        <v>637959.02</v>
      </c>
      <c r="J825" s="270">
        <f ca="1">IFERROR(__xludf.DUMMYFUNCTION("IMPORTRANGE(""https://docs.google.com/spreadsheets/d/19vJNZY_5yjcGF2XGBMNZRCAIB0Kwfpjp8YEOfu-bneM/edit?usp=sharing"",""งานกองทุน!P47"")"),631397.57)</f>
        <v>631397.56999999995</v>
      </c>
      <c r="K825" s="498">
        <f t="shared" ca="1" si="335"/>
        <v>98.971493498124673</v>
      </c>
      <c r="L825" s="498"/>
      <c r="M825" s="498"/>
      <c r="N825" s="498"/>
      <c r="O825" s="498"/>
      <c r="P825" s="49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</row>
    <row r="826" spans="1:26" ht="18.75">
      <c r="A826" s="744"/>
      <c r="B826" s="763"/>
      <c r="C826" s="763"/>
      <c r="D826" s="575"/>
      <c r="E826" s="763"/>
      <c r="F826" s="763"/>
      <c r="G826" s="189"/>
      <c r="H826" s="623" t="s">
        <v>35</v>
      </c>
      <c r="I826" s="270">
        <f ca="1">IFERROR(__xludf.DUMMYFUNCTION("IMPORTRANGE(""https://docs.google.com/spreadsheets/d/19vJNZY_5yjcGF2XGBMNZRCAIB0Kwfpjp8YEOfu-bneM/edit?usp=sharing"",""งานกองทุน!M47"")"),74)</f>
        <v>74</v>
      </c>
      <c r="J826" s="270">
        <f ca="1">IFERROR(__xludf.DUMMYFUNCTION("IMPORTRANGE(""https://docs.google.com/spreadsheets/d/19vJNZY_5yjcGF2XGBMNZRCAIB0Kwfpjp8YEOfu-bneM/edit?usp=sharing"",""งานกองทุน!O47"")"),116)</f>
        <v>116</v>
      </c>
      <c r="K826" s="498">
        <f t="shared" ca="1" si="335"/>
        <v>156.75675675675674</v>
      </c>
      <c r="L826" s="498"/>
      <c r="M826" s="498"/>
      <c r="N826" s="498"/>
      <c r="O826" s="498"/>
      <c r="P826" s="49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</row>
    <row r="827" spans="1:26" ht="18.75">
      <c r="A827" s="744"/>
      <c r="B827" s="763" t="s">
        <v>329</v>
      </c>
      <c r="C827" s="763"/>
      <c r="D827" s="575"/>
      <c r="E827" s="763"/>
      <c r="F827" s="763"/>
      <c r="G827" s="189"/>
      <c r="H827" s="623" t="s">
        <v>12</v>
      </c>
      <c r="I827" s="270">
        <f ca="1">IFERROR(__xludf.DUMMYFUNCTION("IMPORTRANGE(""https://docs.google.com/spreadsheets/d/19vJNZY_5yjcGF2XGBMNZRCAIB0Kwfpjp8YEOfu-bneM/edit?usp=sharing"",""งานกองทุน!S47"")"),4200000)</f>
        <v>4200000</v>
      </c>
      <c r="J827" s="270">
        <f ca="1">IFERROR(__xludf.DUMMYFUNCTION("IMPORTRANGE(""https://docs.google.com/spreadsheets/d/19vJNZY_5yjcGF2XGBMNZRCAIB0Kwfpjp8YEOfu-bneM/edit?usp=sharing"",""งานกองทุน!U47"")"),4520000)</f>
        <v>4520000</v>
      </c>
      <c r="K827" s="498">
        <f t="shared" ca="1" si="335"/>
        <v>107.61904761904762</v>
      </c>
      <c r="L827" s="498"/>
      <c r="M827" s="498"/>
      <c r="N827" s="498"/>
      <c r="O827" s="498"/>
      <c r="P827" s="49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</row>
    <row r="828" spans="1:26" ht="18.75">
      <c r="A828" s="841"/>
      <c r="B828" s="749"/>
      <c r="C828" s="749"/>
      <c r="D828" s="748"/>
      <c r="E828" s="749"/>
      <c r="F828" s="749"/>
      <c r="G828" s="842"/>
      <c r="H828" s="843" t="s">
        <v>35</v>
      </c>
      <c r="I828" s="506">
        <f ca="1">IFERROR(__xludf.DUMMYFUNCTION("IMPORTRANGE(""https://docs.google.com/spreadsheets/d/19vJNZY_5yjcGF2XGBMNZRCAIB0Kwfpjp8YEOfu-bneM/edit?usp=sharing"",""งานกองทุน!R47"")"),115)</f>
        <v>115</v>
      </c>
      <c r="J828" s="506">
        <f ca="1">IFERROR(__xludf.DUMMYFUNCTION("IMPORTRANGE(""https://docs.google.com/spreadsheets/d/19vJNZY_5yjcGF2XGBMNZRCAIB0Kwfpjp8YEOfu-bneM/edit?usp=sharing"",""งานกองทุน!T47"")"),113)</f>
        <v>113</v>
      </c>
      <c r="K828" s="507">
        <f t="shared" ca="1" si="335"/>
        <v>98.260869565217391</v>
      </c>
      <c r="L828" s="507"/>
      <c r="M828" s="507"/>
      <c r="N828" s="507"/>
      <c r="O828" s="507"/>
      <c r="P828" s="507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C5CF0-62A4-4D84-AE99-FB3BFBEE3CC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358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364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8404122</v>
      </c>
      <c r="M8" s="22">
        <f t="shared" ca="1" si="0"/>
        <v>7968344.5500000007</v>
      </c>
      <c r="N8" s="22">
        <f t="shared" ca="1" si="0"/>
        <v>7968344.5500000007</v>
      </c>
      <c r="O8" s="22">
        <f t="shared" ref="O8:O16" ca="1" si="1">IF(L8&gt;0,N8*100/L8,0)</f>
        <v>94.814717706382666</v>
      </c>
      <c r="P8" s="22">
        <f t="shared" ref="P8:P16" ca="1" si="2">IF(M8&gt;0,N8*100/M8,0)</f>
        <v>100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8404122</v>
      </c>
      <c r="M10" s="30">
        <f t="shared" ca="1" si="3"/>
        <v>7968344.5500000007</v>
      </c>
      <c r="N10" s="30">
        <f t="shared" ca="1" si="3"/>
        <v>7968344.5500000007</v>
      </c>
      <c r="O10" s="30">
        <f t="shared" ca="1" si="1"/>
        <v>94.814717706382666</v>
      </c>
      <c r="P10" s="30">
        <f t="shared" ca="1" si="2"/>
        <v>100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3" t="s">
        <v>12</v>
      </c>
      <c r="I11" s="270"/>
      <c r="J11" s="270"/>
      <c r="K11" s="498"/>
      <c r="L11" s="498">
        <f t="shared" ref="L11:N11" ca="1" si="4">L12+L13</f>
        <v>6483622</v>
      </c>
      <c r="M11" s="498">
        <f t="shared" ca="1" si="4"/>
        <v>6225359.5500000007</v>
      </c>
      <c r="N11" s="498">
        <f t="shared" ca="1" si="4"/>
        <v>6225359.5500000007</v>
      </c>
      <c r="O11" s="498">
        <f t="shared" ca="1" si="1"/>
        <v>96.016694835078312</v>
      </c>
      <c r="P11" s="498">
        <f t="shared" ca="1" si="2"/>
        <v>100.00000000000001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7"/>
      <c r="J12" s="617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7"/>
      <c r="J13" s="617"/>
      <c r="K13" s="93"/>
      <c r="L13" s="93">
        <f t="shared" ca="1" si="5"/>
        <v>6483622</v>
      </c>
      <c r="M13" s="93">
        <f t="shared" ca="1" si="5"/>
        <v>6225359.5500000007</v>
      </c>
      <c r="N13" s="93">
        <f t="shared" ca="1" si="5"/>
        <v>6225359.5500000007</v>
      </c>
      <c r="O13" s="93">
        <f t="shared" ca="1" si="1"/>
        <v>96.016694835078312</v>
      </c>
      <c r="P13" s="93">
        <f t="shared" ca="1" si="2"/>
        <v>100.00000000000001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3" t="s">
        <v>12</v>
      </c>
      <c r="I14" s="270"/>
      <c r="J14" s="270"/>
      <c r="K14" s="498"/>
      <c r="L14" s="498">
        <f t="shared" ref="L14:N14" ca="1" si="6">L15+L16</f>
        <v>1920500</v>
      </c>
      <c r="M14" s="498">
        <f t="shared" ca="1" si="6"/>
        <v>1742985</v>
      </c>
      <c r="N14" s="498">
        <f t="shared" ca="1" si="6"/>
        <v>1742985</v>
      </c>
      <c r="O14" s="498">
        <f t="shared" ca="1" si="1"/>
        <v>90.756834157771408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7"/>
      <c r="J15" s="617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1920500</v>
      </c>
      <c r="M16" s="52">
        <f t="shared" ca="1" si="7"/>
        <v>1742985</v>
      </c>
      <c r="N16" s="52">
        <f t="shared" ca="1" si="7"/>
        <v>1742985</v>
      </c>
      <c r="O16" s="52">
        <f t="shared" ca="1" si="1"/>
        <v>90.756834157771408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5574212</v>
      </c>
      <c r="M18" s="22">
        <f t="shared" ca="1" si="8"/>
        <v>5609051.0199999996</v>
      </c>
      <c r="N18" s="22">
        <f t="shared" ca="1" si="8"/>
        <v>5609051.0199999996</v>
      </c>
      <c r="O18" s="22">
        <f t="shared" ref="O18:O26" ca="1" si="9">IF(L18&gt;0,N18*100/L18,0)</f>
        <v>100.62500349825231</v>
      </c>
      <c r="P18" s="22">
        <f t="shared" ref="P18:P26" ca="1" si="10">IF(M18&gt;0,N18*100/M18,0)</f>
        <v>100.00000000000001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5574212</v>
      </c>
      <c r="M20" s="30">
        <f t="shared" ca="1" si="11"/>
        <v>5609051.0199999996</v>
      </c>
      <c r="N20" s="30">
        <f t="shared" ca="1" si="11"/>
        <v>5609051.0199999996</v>
      </c>
      <c r="O20" s="30">
        <f t="shared" ca="1" si="9"/>
        <v>100.62500349825231</v>
      </c>
      <c r="P20" s="30">
        <f t="shared" ca="1" si="10"/>
        <v>100.00000000000001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3" t="s">
        <v>12</v>
      </c>
      <c r="I21" s="270"/>
      <c r="J21" s="270"/>
      <c r="K21" s="498"/>
      <c r="L21" s="498">
        <f t="shared" ref="L21:N21" ca="1" si="12">L22+L23</f>
        <v>3653712</v>
      </c>
      <c r="M21" s="498">
        <f t="shared" ca="1" si="12"/>
        <v>3866066.02</v>
      </c>
      <c r="N21" s="498">
        <f t="shared" ca="1" si="12"/>
        <v>3866066.02</v>
      </c>
      <c r="O21" s="498">
        <f t="shared" ca="1" si="9"/>
        <v>105.81200762402729</v>
      </c>
      <c r="P21" s="498">
        <f t="shared" ca="1" si="10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7"/>
      <c r="J22" s="617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7"/>
      <c r="J23" s="617"/>
      <c r="K23" s="93"/>
      <c r="L23" s="93">
        <f t="shared" ca="1" si="13"/>
        <v>3653712</v>
      </c>
      <c r="M23" s="93">
        <f t="shared" ca="1" si="13"/>
        <v>3866066.02</v>
      </c>
      <c r="N23" s="93">
        <f t="shared" ca="1" si="13"/>
        <v>3866066.02</v>
      </c>
      <c r="O23" s="93">
        <f t="shared" ca="1" si="9"/>
        <v>105.81200762402729</v>
      </c>
      <c r="P23" s="93">
        <f t="shared" ca="1" si="10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3" t="s">
        <v>12</v>
      </c>
      <c r="I24" s="270"/>
      <c r="J24" s="270"/>
      <c r="K24" s="498"/>
      <c r="L24" s="498">
        <f t="shared" ref="L24:N24" ca="1" si="14">L25+L26</f>
        <v>1920500</v>
      </c>
      <c r="M24" s="498">
        <f t="shared" ca="1" si="14"/>
        <v>1742985</v>
      </c>
      <c r="N24" s="498">
        <f t="shared" ca="1" si="14"/>
        <v>1742985</v>
      </c>
      <c r="O24" s="498">
        <f t="shared" ca="1" si="9"/>
        <v>90.756834157771408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7"/>
      <c r="J25" s="617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1920500</v>
      </c>
      <c r="M26" s="52">
        <f t="shared" ca="1" si="15"/>
        <v>1742985</v>
      </c>
      <c r="N26" s="52">
        <f t="shared" ca="1" si="15"/>
        <v>1742985</v>
      </c>
      <c r="O26" s="52">
        <f t="shared" ca="1" si="9"/>
        <v>90.756834157771408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2829910</v>
      </c>
      <c r="M28" s="22">
        <f t="shared" ca="1" si="16"/>
        <v>2359293.5300000003</v>
      </c>
      <c r="N28" s="22">
        <f t="shared" si="16"/>
        <v>2359293.5300000003</v>
      </c>
      <c r="O28" s="22">
        <f t="shared" ref="O28:O37" ca="1" si="17">IF(L28&gt;0,N28*100/L28,0)</f>
        <v>83.369913884187142</v>
      </c>
      <c r="P28" s="22">
        <f t="shared" ref="P28:P37" ca="1" si="18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2829910</v>
      </c>
      <c r="M30" s="30">
        <f t="shared" ca="1" si="19"/>
        <v>2359293.5300000003</v>
      </c>
      <c r="N30" s="30">
        <f t="shared" si="19"/>
        <v>2359293.5300000003</v>
      </c>
      <c r="O30" s="30">
        <f t="shared" ca="1" si="17"/>
        <v>83.369913884187142</v>
      </c>
      <c r="P30" s="30">
        <f t="shared" ca="1" si="18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3" t="s">
        <v>12</v>
      </c>
      <c r="I31" s="270"/>
      <c r="J31" s="270"/>
      <c r="K31" s="498"/>
      <c r="L31" s="498">
        <f t="shared" ref="L31:N31" ca="1" si="20">L32+L33</f>
        <v>2829910</v>
      </c>
      <c r="M31" s="498">
        <f t="shared" ca="1" si="20"/>
        <v>2359293.5300000003</v>
      </c>
      <c r="N31" s="498">
        <f t="shared" si="20"/>
        <v>2359293.5300000003</v>
      </c>
      <c r="O31" s="498">
        <f t="shared" ca="1" si="17"/>
        <v>83.369913884187142</v>
      </c>
      <c r="P31" s="498">
        <f t="shared" ca="1" si="18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7"/>
      <c r="J32" s="617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7"/>
      <c r="J33" s="617"/>
      <c r="K33" s="93"/>
      <c r="L33" s="93">
        <f t="shared" ca="1" si="21"/>
        <v>2829910</v>
      </c>
      <c r="M33" s="93">
        <f t="shared" ca="1" si="21"/>
        <v>2359293.5300000003</v>
      </c>
      <c r="N33" s="93">
        <f t="shared" si="21"/>
        <v>2359293.5300000003</v>
      </c>
      <c r="O33" s="93">
        <f t="shared" ca="1" si="17"/>
        <v>83.369913884187142</v>
      </c>
      <c r="P33" s="93">
        <f t="shared" ca="1" si="18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3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7"/>
      <c r="J35" s="617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7" t="s">
        <v>24</v>
      </c>
      <c r="B37" s="868"/>
      <c r="C37" s="868"/>
      <c r="D37" s="868"/>
      <c r="E37" s="868"/>
      <c r="F37" s="868"/>
      <c r="G37" s="869"/>
      <c r="H37" s="870"/>
      <c r="I37" s="871"/>
      <c r="J37" s="871"/>
      <c r="K37" s="872"/>
      <c r="L37" s="873">
        <f t="shared" ref="L37:N37" ca="1" si="24">L41+L53+L66+L88+L119+L132+L149+L165+L181+L261+L277+L298+L315+L328+L345+L389+L402</f>
        <v>5574212</v>
      </c>
      <c r="M37" s="873">
        <f t="shared" ca="1" si="24"/>
        <v>5609051.0199999996</v>
      </c>
      <c r="N37" s="873">
        <f t="shared" ca="1" si="24"/>
        <v>5609051.0199999996</v>
      </c>
      <c r="O37" s="873">
        <f t="shared" ca="1" si="17"/>
        <v>100.62500349825231</v>
      </c>
      <c r="P37" s="873">
        <f t="shared" ca="1" si="18"/>
        <v>100.00000000000001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720442</v>
      </c>
      <c r="M41" s="85">
        <f t="shared" ca="1" si="25"/>
        <v>794281.94</v>
      </c>
      <c r="N41" s="85">
        <f t="shared" ca="1" si="25"/>
        <v>794281.94</v>
      </c>
      <c r="O41" s="85">
        <f t="shared" ref="O41:O49" ca="1" si="26">IF(L41&gt;0,N41*100/L41,0)</f>
        <v>110.24925531826295</v>
      </c>
      <c r="P41" s="85">
        <f t="shared" ref="P41:P49" ca="1" si="27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720442</v>
      </c>
      <c r="M43" s="92">
        <f t="shared" ca="1" si="28"/>
        <v>794281.94</v>
      </c>
      <c r="N43" s="92">
        <f t="shared" ca="1" si="28"/>
        <v>794281.94</v>
      </c>
      <c r="O43" s="92">
        <f t="shared" ca="1" si="26"/>
        <v>110.24925531826295</v>
      </c>
      <c r="P43" s="92">
        <f t="shared" ca="1" si="27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3" t="s">
        <v>12</v>
      </c>
      <c r="I44" s="270"/>
      <c r="J44" s="270"/>
      <c r="K44" s="498"/>
      <c r="L44" s="498">
        <f t="shared" ref="L44:N44" ca="1" si="29">L45+L46</f>
        <v>720442</v>
      </c>
      <c r="M44" s="498">
        <f t="shared" ca="1" si="29"/>
        <v>794281.94</v>
      </c>
      <c r="N44" s="498">
        <f t="shared" ca="1" si="29"/>
        <v>794281.94</v>
      </c>
      <c r="O44" s="498">
        <f t="shared" ca="1" si="26"/>
        <v>110.24925531826295</v>
      </c>
      <c r="P44" s="498">
        <f t="shared" ca="1" si="27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7"/>
      <c r="J45" s="617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7"/>
      <c r="J46" s="617"/>
      <c r="K46" s="93"/>
      <c r="L46" s="93">
        <f ca="1">IFERROR(__xludf.DUMMYFUNCTION("IMPORTRANGE(""https://docs.google.com/spreadsheets/d/1MeEWN-I1oV_STSDYn1IFDPWt_1FKiwhDph83XaGc0o0/edit?usp=sharing"",""งบพรบ!M48"")"),720442)</f>
        <v>720442</v>
      </c>
      <c r="M46" s="93">
        <f ca="1">IFERROR(__xludf.DUMMYFUNCTION("IMPORTRANGE(""https://docs.google.com/spreadsheets/d/1MeEWN-I1oV_STSDYn1IFDPWt_1FKiwhDph83XaGc0o0/edit?usp=sharing"",""งบพรบ!R48"")"),794281.94)</f>
        <v>794281.94</v>
      </c>
      <c r="N46" s="93">
        <f ca="1">IFERROR(__xludf.DUMMYFUNCTION("IMPORTRANGE(""https://docs.google.com/spreadsheets/d/1MeEWN-I1oV_STSDYn1IFDPWt_1FKiwhDph83XaGc0o0/edit?usp=sharing"",""งบพรบ!T48"")"),794281.94)</f>
        <v>794281.94</v>
      </c>
      <c r="O46" s="93">
        <f t="shared" ca="1" si="26"/>
        <v>110.24925531826295</v>
      </c>
      <c r="P46" s="93">
        <f t="shared" ca="1" si="27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3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7"/>
      <c r="J48" s="617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IFERROR(__xludf.DUMMYFUNCTION("IMPORTRANGE(""https://docs.google.com/spreadsheets/d/1MeEWN-I1oV_STSDYn1IFDPWt_1FKiwhDph83XaGc0o0/edit?usp=sharing"",""งบพรบ!P48"")"),0)</f>
        <v>0</v>
      </c>
      <c r="M49" s="52">
        <f ca="1">IFERROR(__xludf.DUMMYFUNCTION("IMPORTRANGE(""https://docs.google.com/spreadsheets/d/1MeEWN-I1oV_STSDYn1IFDPWt_1FKiwhDph83XaGc0o0/edit?usp=sharing"",""งบพรบ!S48"")"),0)</f>
        <v>0</v>
      </c>
      <c r="N49" s="52">
        <f ca="1">IFERROR(__xludf.DUMMYFUNCTION("IMPORTRANGE(""https://docs.google.com/spreadsheets/d/1MeEWN-I1oV_STSDYn1IFDPWt_1FKiwhDph83XaGc0o0/edit?usp=sharing"",""งบพรบ!U48"")"),0)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2260500</v>
      </c>
      <c r="M53" s="116">
        <f t="shared" ca="1" si="31"/>
        <v>2110714.08</v>
      </c>
      <c r="N53" s="116">
        <f t="shared" ca="1" si="31"/>
        <v>2110714.08</v>
      </c>
      <c r="O53" s="116">
        <f t="shared" ref="O53:O61" ca="1" si="32">IF(L53&gt;0,N53*100/L53,0)</f>
        <v>93.373770404777702</v>
      </c>
      <c r="P53" s="116">
        <f t="shared" ref="P53:P61" ca="1" si="33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2260500</v>
      </c>
      <c r="M55" s="123">
        <f t="shared" ca="1" si="34"/>
        <v>2110714.08</v>
      </c>
      <c r="N55" s="123">
        <f t="shared" ca="1" si="34"/>
        <v>2110714.08</v>
      </c>
      <c r="O55" s="123">
        <f t="shared" ca="1" si="32"/>
        <v>93.373770404777702</v>
      </c>
      <c r="P55" s="123">
        <f t="shared" ca="1" si="33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3" t="s">
        <v>12</v>
      </c>
      <c r="I56" s="270"/>
      <c r="J56" s="270"/>
      <c r="K56" s="498"/>
      <c r="L56" s="498">
        <f t="shared" ref="L56:N56" ca="1" si="35">L57+L58</f>
        <v>652000</v>
      </c>
      <c r="M56" s="498">
        <f t="shared" ca="1" si="35"/>
        <v>679714.08</v>
      </c>
      <c r="N56" s="498">
        <f t="shared" ca="1" si="35"/>
        <v>679714.08</v>
      </c>
      <c r="O56" s="498">
        <f t="shared" ca="1" si="32"/>
        <v>104.25062576687117</v>
      </c>
      <c r="P56" s="498">
        <f t="shared" ca="1" si="33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7"/>
      <c r="J57" s="617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7"/>
      <c r="J58" s="617"/>
      <c r="K58" s="93"/>
      <c r="L58" s="93">
        <f ca="1">IFERROR(__xludf.DUMMYFUNCTION("IMPORTRANGE(""https://docs.google.com/spreadsheets/d/1MeEWN-I1oV_STSDYn1IFDPWt_1FKiwhDph83XaGc0o0/edit?usp=sharing"",""งบพรบ!W48"")"),652000)</f>
        <v>652000</v>
      </c>
      <c r="M58" s="93">
        <f ca="1">IFERROR(__xludf.DUMMYFUNCTION("IMPORTRANGE(""https://docs.google.com/spreadsheets/d/1MeEWN-I1oV_STSDYn1IFDPWt_1FKiwhDph83XaGc0o0/edit?usp=sharing"",""งบพรบ!AB48"")"),679714.08)</f>
        <v>679714.08</v>
      </c>
      <c r="N58" s="93">
        <f ca="1">IFERROR(__xludf.DUMMYFUNCTION("IMPORTRANGE(""https://docs.google.com/spreadsheets/d/1MeEWN-I1oV_STSDYn1IFDPWt_1FKiwhDph83XaGc0o0/edit?usp=sharing"",""งบพรบ!AD48"")"),679714.08)</f>
        <v>679714.08</v>
      </c>
      <c r="O58" s="93">
        <f t="shared" ca="1" si="32"/>
        <v>104.25062576687117</v>
      </c>
      <c r="P58" s="93">
        <f t="shared" ca="1" si="33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3" t="s">
        <v>12</v>
      </c>
      <c r="I59" s="270"/>
      <c r="J59" s="270"/>
      <c r="K59" s="498"/>
      <c r="L59" s="498">
        <f t="shared" ref="L59:N59" ca="1" si="36">L60+L61</f>
        <v>1608500</v>
      </c>
      <c r="M59" s="498">
        <f t="shared" ca="1" si="36"/>
        <v>1431000</v>
      </c>
      <c r="N59" s="498">
        <f t="shared" ca="1" si="36"/>
        <v>1431000</v>
      </c>
      <c r="O59" s="498">
        <f t="shared" ca="1" si="32"/>
        <v>88.964874106310234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7"/>
      <c r="J60" s="617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IFERROR(__xludf.DUMMYFUNCTION("IMPORTRANGE(""https://docs.google.com/spreadsheets/d/1MeEWN-I1oV_STSDYn1IFDPWt_1FKiwhDph83XaGc0o0/edit?usp=sharing"",""งบพรบ!Z48"")"),1608500)</f>
        <v>1608500</v>
      </c>
      <c r="M61" s="52">
        <f ca="1">IFERROR(__xludf.DUMMYFUNCTION("IMPORTRANGE(""https://docs.google.com/spreadsheets/d/1MeEWN-I1oV_STSDYn1IFDPWt_1FKiwhDph83XaGc0o0/edit?usp=sharing"",""งบพรบ!AC48"")"),1431000)</f>
        <v>1431000</v>
      </c>
      <c r="N61" s="52">
        <f ca="1">IFERROR(__xludf.DUMMYFUNCTION("IMPORTRANGE(""https://docs.google.com/spreadsheets/d/1MeEWN-I1oV_STSDYn1IFDPWt_1FKiwhDph83XaGc0o0/edit?usp=sharing"",""งบพรบ!AE48"")"),1431000)</f>
        <v>1431000</v>
      </c>
      <c r="O61" s="52">
        <f t="shared" ca="1" si="32"/>
        <v>88.964874106310234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384000</v>
      </c>
      <c r="M66" s="155">
        <f t="shared" ca="1" si="39"/>
        <v>403620</v>
      </c>
      <c r="N66" s="155">
        <f t="shared" ca="1" si="39"/>
        <v>403620</v>
      </c>
      <c r="O66" s="155">
        <f t="shared" ref="O66:O74" ca="1" si="40">IF(L66&gt;0,N66*100/L66,0)</f>
        <v>105.109375</v>
      </c>
      <c r="P66" s="155">
        <f t="shared" ref="P66:P74" ca="1" si="41">IF(M66&gt;0,N66*100/M66,0)</f>
        <v>100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7"/>
      <c r="J67" s="617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7"/>
      <c r="J68" s="617"/>
      <c r="K68" s="93"/>
      <c r="L68" s="93">
        <f t="shared" ca="1" si="42"/>
        <v>384000</v>
      </c>
      <c r="M68" s="93">
        <f t="shared" ca="1" si="42"/>
        <v>403620</v>
      </c>
      <c r="N68" s="93">
        <f t="shared" ca="1" si="42"/>
        <v>403620</v>
      </c>
      <c r="O68" s="93">
        <f t="shared" ca="1" si="40"/>
        <v>105.109375</v>
      </c>
      <c r="P68" s="93">
        <f t="shared" ca="1" si="41"/>
        <v>100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384000</v>
      </c>
      <c r="M69" s="498">
        <f t="shared" ca="1" si="43"/>
        <v>403620</v>
      </c>
      <c r="N69" s="498">
        <f t="shared" ca="1" si="43"/>
        <v>403620</v>
      </c>
      <c r="O69" s="498">
        <f t="shared" ca="1" si="40"/>
        <v>105.109375</v>
      </c>
      <c r="P69" s="498">
        <f t="shared" ca="1" si="41"/>
        <v>100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IFERROR(__xludf.DUMMYFUNCTION("IMPORTRANGE(""https://docs.google.com/spreadsheets/d/1MeEWN-I1oV_STSDYn1IFDPWt_1FKiwhDph83XaGc0o0/edit?usp=sharing"",""งบพรบ!AG48"")"),384000)</f>
        <v>384000</v>
      </c>
      <c r="M71" s="93">
        <f ca="1">IFERROR(__xludf.DUMMYFUNCTION("IMPORTRANGE(""https://docs.google.com/spreadsheets/d/1MeEWN-I1oV_STSDYn1IFDPWt_1FKiwhDph83XaGc0o0/edit?usp=sharing"",""งบพรบ!AL48"")"),403620)</f>
        <v>403620</v>
      </c>
      <c r="N71" s="93">
        <f ca="1">IFERROR(__xludf.DUMMYFUNCTION("IMPORTRANGE(""https://docs.google.com/spreadsheets/d/1MeEWN-I1oV_STSDYn1IFDPWt_1FKiwhDph83XaGc0o0/edit?usp=sharing"",""งบพรบ!AN48"")"),403620)</f>
        <v>403620</v>
      </c>
      <c r="O71" s="93">
        <f t="shared" ca="1" si="40"/>
        <v>105.109375</v>
      </c>
      <c r="P71" s="93">
        <f t="shared" ca="1" si="41"/>
        <v>100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IFERROR(__xludf.DUMMYFUNCTION("IMPORTRANGE(""https://docs.google.com/spreadsheets/d/1MeEWN-I1oV_STSDYn1IFDPWt_1FKiwhDph83XaGc0o0/edit?usp=sharing"",""งบพรบ!AJ48"")"),0)</f>
        <v>0</v>
      </c>
      <c r="M74" s="93">
        <f ca="1">IFERROR(__xludf.DUMMYFUNCTION("IMPORTRANGE(""https://docs.google.com/spreadsheets/d/1MeEWN-I1oV_STSDYn1IFDPWt_1FKiwhDph83XaGc0o0/edit?usp=sharing"",""งบพรบ!AM48"")"),0)</f>
        <v>0</v>
      </c>
      <c r="N74" s="93">
        <f ca="1">IFERROR(__xludf.DUMMYFUNCTION("IMPORTRANGE(""https://docs.google.com/spreadsheets/d/1MeEWN-I1oV_STSDYn1IFDPWt_1FKiwhDph83XaGc0o0/edit?usp=sharing"",""งบพรบ!AO48"")"),0)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7" t="s">
        <v>38</v>
      </c>
      <c r="E75" s="173"/>
      <c r="F75" s="173"/>
      <c r="G75" s="174"/>
      <c r="H75" s="76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4" t="s">
        <v>34</v>
      </c>
      <c r="I78" s="184">
        <f ca="1">IFERROR(__xludf.DUMMYFUNCTION("IMPORTRANGE(""https://docs.google.com/spreadsheets/d/1QqKyyYR6Q21VydFLVH3TRQUabQu_ym0Zz7PgGX0-kHA/edit?usp=sharing"",""แผน!H48"")"),0)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4" t="s">
        <v>35</v>
      </c>
      <c r="I79" s="184">
        <f ca="1">IFERROR(__xludf.DUMMYFUNCTION("IMPORTRANGE(""https://docs.google.com/spreadsheets/d/1QqKyyYR6Q21VydFLVH3TRQUabQu_ym0Zz7PgGX0-kHA/edit?usp=sharing"",""แผน!I48"")"),0)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4" t="s">
        <v>34</v>
      </c>
      <c r="I80" s="184">
        <f ca="1">IFERROR(__xludf.DUMMYFUNCTION("IMPORTRANGE(""https://docs.google.com/spreadsheets/d/1QqKyyYR6Q21VydFLVH3TRQUabQu_ym0Zz7PgGX0-kHA/edit?usp=sharing"",""แผน!F48"")"),1)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4" t="s">
        <v>35</v>
      </c>
      <c r="I81" s="184">
        <f ca="1">IFERROR(__xludf.DUMMYFUNCTION("IMPORTRANGE(""https://docs.google.com/spreadsheets/d/1QqKyyYR6Q21VydFLVH3TRQUabQu_ym0Zz7PgGX0-kHA/edit?usp=sharing"",""แผน!G48"")"),30)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4" t="s">
        <v>34</v>
      </c>
      <c r="I82" s="184">
        <f ca="1">IFERROR(__xludf.DUMMYFUNCTION("IMPORTRANGE(""https://docs.google.com/spreadsheets/d/1QqKyyYR6Q21VydFLVH3TRQUabQu_ym0Zz7PgGX0-kHA/edit?usp=sharing"",""แผน!D48"")"),0)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4" t="s">
        <v>35</v>
      </c>
      <c r="I83" s="184">
        <f ca="1">IFERROR(__xludf.DUMMYFUNCTION("IMPORTRANGE(""https://docs.google.com/spreadsheets/d/1QqKyyYR6Q21VydFLVH3TRQUabQu_ym0Zz7PgGX0-kHA/edit?usp=sharing"",""แผน!E48"")"),0)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IFERROR(__xludf.DUMMYFUNCTION("IMPORTRANGE(""https://docs.google.com/spreadsheets/d/1QqKyyYR6Q21VydFLVH3TRQUabQu_ym0Zz7PgGX0-kHA/edit?usp=sharing"",""แผน!J48"")"),1)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86040</v>
      </c>
      <c r="M88" s="155">
        <f t="shared" ca="1" si="49"/>
        <v>86040</v>
      </c>
      <c r="N88" s="155">
        <f t="shared" ca="1" si="49"/>
        <v>86040</v>
      </c>
      <c r="O88" s="155">
        <f t="shared" ref="O88:O96" ca="1" si="50">IF(L88&gt;0,N88*100/L88,0)</f>
        <v>100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7"/>
      <c r="J89" s="617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7"/>
      <c r="J90" s="617"/>
      <c r="K90" s="93"/>
      <c r="L90" s="93">
        <f t="shared" ca="1" si="52"/>
        <v>86040</v>
      </c>
      <c r="M90" s="93">
        <f t="shared" ca="1" si="52"/>
        <v>86040</v>
      </c>
      <c r="N90" s="93">
        <f t="shared" ca="1" si="52"/>
        <v>86040</v>
      </c>
      <c r="O90" s="93">
        <f t="shared" ca="1" si="50"/>
        <v>100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86040</v>
      </c>
      <c r="M91" s="498">
        <f t="shared" ca="1" si="53"/>
        <v>86040</v>
      </c>
      <c r="N91" s="498">
        <f t="shared" ca="1" si="53"/>
        <v>86040</v>
      </c>
      <c r="O91" s="498">
        <f t="shared" ca="1" si="50"/>
        <v>100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IFERROR(__xludf.DUMMYFUNCTION("IMPORTRANGE(""https://docs.google.com/spreadsheets/d/1MeEWN-I1oV_STSDYn1IFDPWt_1FKiwhDph83XaGc0o0/edit?usp=sharing"",""งบพรบ!AQ48"")"),86040)</f>
        <v>86040</v>
      </c>
      <c r="M93" s="93">
        <f ca="1">IFERROR(__xludf.DUMMYFUNCTION("IMPORTRANGE(""https://docs.google.com/spreadsheets/d/1MeEWN-I1oV_STSDYn1IFDPWt_1FKiwhDph83XaGc0o0/edit?usp=sharing"",""งบพรบ!AV48"")"),86040)</f>
        <v>86040</v>
      </c>
      <c r="N93" s="93">
        <f ca="1">IFERROR(__xludf.DUMMYFUNCTION("IMPORTRANGE(""https://docs.google.com/spreadsheets/d/1MeEWN-I1oV_STSDYn1IFDPWt_1FKiwhDph83XaGc0o0/edit?usp=sharing"",""งบพรบ!AX48"")"),86040)</f>
        <v>86040</v>
      </c>
      <c r="O93" s="93">
        <f t="shared" ca="1" si="50"/>
        <v>100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IFERROR(__xludf.DUMMYFUNCTION("IMPORTRANGE(""https://docs.google.com/spreadsheets/d/1MeEWN-I1oV_STSDYn1IFDPWt_1FKiwhDph83XaGc0o0/edit?usp=sharing"",""งบพรบ!AT48"")"),0)</f>
        <v>0</v>
      </c>
      <c r="M96" s="93">
        <f ca="1">IFERROR(__xludf.DUMMYFUNCTION("IMPORTRANGE(""https://docs.google.com/spreadsheets/d/1MeEWN-I1oV_STSDYn1IFDPWt_1FKiwhDph83XaGc0o0/edit?usp=sharing"",""งบพรบ!AW48"")"),0)</f>
        <v>0</v>
      </c>
      <c r="N96" s="93">
        <f ca="1">IFERROR(__xludf.DUMMYFUNCTION("IMPORTRANGE(""https://docs.google.com/spreadsheets/d/1MeEWN-I1oV_STSDYn1IFDPWt_1FKiwhDph83XaGc0o0/edit?usp=sharing"",""งบพรบ!AY48"")"),0)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7" t="s">
        <v>38</v>
      </c>
      <c r="E97" s="173"/>
      <c r="F97" s="173"/>
      <c r="G97" s="174"/>
      <c r="H97" s="762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3" t="s">
        <v>46</v>
      </c>
      <c r="I98" s="270">
        <f ca="1">IFERROR(__xludf.DUMMYFUNCTION("IMPORTRANGE(""https://docs.google.com/spreadsheets/d/1QqKyyYR6Q21VydFLVH3TRQUabQu_ym0Zz7PgGX0-kHA/edit?usp=sharing"",""แผน!K48"")"),30)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3" t="s">
        <v>35</v>
      </c>
      <c r="I99" s="270">
        <f ca="1">IFERROR(__xludf.DUMMYFUNCTION("IMPORTRANGE(""https://docs.google.com/spreadsheets/d/1QqKyyYR6Q21VydFLVH3TRQUabQu_ym0Zz7PgGX0-kHA/edit?usp=sharing"",""แผน!L48"")"),10)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3" t="s">
        <v>49</v>
      </c>
      <c r="I100" s="270">
        <f ca="1">IFERROR(__xludf.DUMMYFUNCTION("IMPORTRANGE(""https://docs.google.com/spreadsheets/d/1QqKyyYR6Q21VydFLVH3TRQUabQu_ym0Zz7PgGX0-kHA/edit?usp=sharing"",""แผน!M48"")"),2)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3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6" t="s">
        <v>47</v>
      </c>
      <c r="F102" s="178"/>
      <c r="G102" s="179"/>
      <c r="H102" s="623" t="s">
        <v>46</v>
      </c>
      <c r="I102" s="270">
        <f ca="1">IFERROR(__xludf.DUMMYFUNCTION("IMPORTRANGE(""https://docs.google.com/spreadsheets/d/1QqKyyYR6Q21VydFLVH3TRQUabQu_ym0Zz7PgGX0-kHA/edit?usp=sharing"",""แผน!N48"")"),30)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3" t="s">
        <v>35</v>
      </c>
      <c r="I103" s="270">
        <f ca="1">IFERROR(__xludf.DUMMYFUNCTION("IMPORTRANGE(""https://docs.google.com/spreadsheets/d/1QqKyyYR6Q21VydFLVH3TRQUabQu_ym0Zz7PgGX0-kHA/edit?usp=sharing"",""แผน!O48"")"),10)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3" t="s">
        <v>35</v>
      </c>
      <c r="I104" s="270">
        <f ca="1">IFERROR(__xludf.DUMMYFUNCTION("IMPORTRANGE(""https://docs.google.com/spreadsheets/d/1QqKyyYR6Q21VydFLVH3TRQUabQu_ym0Zz7PgGX0-kHA/edit?usp=sharing"",""แผน!O48"")"),10)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3" t="s">
        <v>49</v>
      </c>
      <c r="I106" s="270">
        <f ca="1">IFERROR(__xludf.DUMMYFUNCTION("IMPORTRANGE(""https://docs.google.com/spreadsheets/d/1QqKyyYR6Q21VydFLVH3TRQUabQu_ym0Zz7PgGX0-kHA/edit?usp=sharing"",""แผน!P48"")"),1)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3" t="s">
        <v>49</v>
      </c>
      <c r="I107" s="270">
        <f ca="1">IFERROR(__xludf.DUMMYFUNCTION("IMPORTRANGE(""https://docs.google.com/spreadsheets/d/1QqKyyYR6Q21VydFLVH3TRQUabQu_ym0Zz7PgGX0-kHA/edit?usp=sharing"",""แผน!P48"")"),1)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3" t="s">
        <v>49</v>
      </c>
      <c r="I109" s="270">
        <f ca="1">IFERROR(__xludf.DUMMYFUNCTION("IMPORTRANGE(""https://docs.google.com/spreadsheets/d/1QqKyyYR6Q21VydFLVH3TRQUabQu_ym0Zz7PgGX0-kHA/edit?usp=sharing"",""แผน!Q48"")"),1)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3" t="s">
        <v>49</v>
      </c>
      <c r="I110" s="270">
        <f ca="1">IFERROR(__xludf.DUMMYFUNCTION("IMPORTRANGE(""https://docs.google.com/spreadsheets/d/1QqKyyYR6Q21VydFLVH3TRQUabQu_ym0Zz7PgGX0-kHA/edit?usp=sharing"",""แผน!Q48"")"),1)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7" t="s">
        <v>35</v>
      </c>
      <c r="I111" s="193">
        <f ca="1">IFERROR(__xludf.DUMMYFUNCTION("IMPORTRANGE(""https://docs.google.com/spreadsheets/d/1QqKyyYR6Q21VydFLVH3TRQUabQu_ym0Zz7PgGX0-kHA/edit?usp=sharing"",""แผน!R48"")"),10)</f>
        <v>10</v>
      </c>
      <c r="J111" s="681">
        <f>J114</f>
        <v>10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1">
        <f t="shared" si="59"/>
        <v>2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2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IFERROR(__xludf.DUMMYFUNCTION("IMPORTRANGE(""https://docs.google.com/spreadsheets/d/1QqKyyYR6Q21VydFLVH3TRQUabQu_ym0Zz7PgGX0-kHA/edit?usp=sharing"",""แผน!R48"")"),10)</f>
        <v>10</v>
      </c>
      <c r="J113" s="215">
        <v>10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IFERROR(__xludf.DUMMYFUNCTION("IMPORTRANGE(""https://docs.google.com/spreadsheets/d/1QqKyyYR6Q21VydFLVH3TRQUabQu_ym0Zz7PgGX0-kHA/edit?usp=sharing"",""แผน!R48"")"),10)</f>
        <v>10</v>
      </c>
      <c r="J114" s="215">
        <v>10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IFERROR(__xludf.DUMMYFUNCTION("IMPORTRANGE(""https://docs.google.com/spreadsheets/d/1QqKyyYR6Q21VydFLVH3TRQUabQu_ym0Zz7PgGX0-kHA/edit?usp=sharing"",""แผน!S48"")"),1)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IFERROR(__xludf.DUMMYFUNCTION("IMPORTRANGE(""https://docs.google.com/spreadsheets/d/1QqKyyYR6Q21VydFLVH3TRQUabQu_ym0Zz7PgGX0-kHA/edit?usp=sharing"",""แผน!T48"")"),1)</f>
        <v>1</v>
      </c>
      <c r="J116" s="215">
        <v>1</v>
      </c>
      <c r="K116" s="498">
        <f t="shared" ca="1" si="58"/>
        <v>100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252000</v>
      </c>
      <c r="M119" s="155">
        <f t="shared" ca="1" si="60"/>
        <v>251985</v>
      </c>
      <c r="N119" s="155">
        <f t="shared" ca="1" si="60"/>
        <v>251985</v>
      </c>
      <c r="O119" s="155">
        <f t="shared" ref="O119:O127" ca="1" si="61">IF(L119&gt;0,N119*100/L119,0)</f>
        <v>99.99404761904762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7"/>
      <c r="J120" s="617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7"/>
      <c r="J121" s="617"/>
      <c r="K121" s="93"/>
      <c r="L121" s="93">
        <f t="shared" ca="1" si="63"/>
        <v>252000</v>
      </c>
      <c r="M121" s="93">
        <f t="shared" ca="1" si="63"/>
        <v>251985</v>
      </c>
      <c r="N121" s="93">
        <f t="shared" ca="1" si="63"/>
        <v>251985</v>
      </c>
      <c r="O121" s="93">
        <f t="shared" ca="1" si="61"/>
        <v>99.99404761904762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IFERROR(__xludf.DUMMYFUNCTION("IMPORTRANGE(""https://docs.google.com/spreadsheets/d/1MeEWN-I1oV_STSDYn1IFDPWt_1FKiwhDph83XaGc0o0/edit?usp=sharing"",""งบพรบ!BA48"")"),0)</f>
        <v>0</v>
      </c>
      <c r="M124" s="93">
        <f ca="1">IFERROR(__xludf.DUMMYFUNCTION("IMPORTRANGE(""https://docs.google.com/spreadsheets/d/1MeEWN-I1oV_STSDYn1IFDPWt_1FKiwhDph83XaGc0o0/edit?usp=sharing"",""งบพรบ!BF48"")"),0)</f>
        <v>0</v>
      </c>
      <c r="N124" s="93">
        <f ca="1">IFERROR(__xludf.DUMMYFUNCTION("IMPORTRANGE(""https://docs.google.com/spreadsheets/d/1MeEWN-I1oV_STSDYn1IFDPWt_1FKiwhDph83XaGc0o0/edit?usp=sharing"",""งบพรบ!BH48"")"),0)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252000</v>
      </c>
      <c r="M125" s="498">
        <f t="shared" ca="1" si="65"/>
        <v>251985</v>
      </c>
      <c r="N125" s="498">
        <f t="shared" ca="1" si="65"/>
        <v>251985</v>
      </c>
      <c r="O125" s="498">
        <f t="shared" ca="1" si="61"/>
        <v>99.99404761904762</v>
      </c>
      <c r="P125" s="498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IFERROR(__xludf.DUMMYFUNCTION("IMPORTRANGE(""https://docs.google.com/spreadsheets/d/1MeEWN-I1oV_STSDYn1IFDPWt_1FKiwhDph83XaGc0o0/edit?usp=sharing"",""งบพรบ!BD48"")"),252000)</f>
        <v>252000</v>
      </c>
      <c r="M127" s="93">
        <f ca="1">IFERROR(__xludf.DUMMYFUNCTION("IMPORTRANGE(""https://docs.google.com/spreadsheets/d/1MeEWN-I1oV_STSDYn1IFDPWt_1FKiwhDph83XaGc0o0/edit?usp=sharing"",""งบพรบ!BG48"")"),251985)</f>
        <v>251985</v>
      </c>
      <c r="N127" s="93">
        <f ca="1">IFERROR(__xludf.DUMMYFUNCTION("IMPORTRANGE(""https://docs.google.com/spreadsheets/d/1MeEWN-I1oV_STSDYn1IFDPWt_1FKiwhDph83XaGc0o0/edit?usp=sharing"",""งบพรบ!BI48"")"),251985)</f>
        <v>251985</v>
      </c>
      <c r="O127" s="93">
        <f t="shared" ca="1" si="61"/>
        <v>99.99404761904762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7"/>
      <c r="J133" s="617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7"/>
      <c r="J134" s="617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IFERROR(__xludf.DUMMYFUNCTION("IMPORTRANGE(""https://docs.google.com/spreadsheets/d/1MeEWN-I1oV_STSDYn1IFDPWt_1FKiwhDph83XaGc0o0/edit?usp=sharing"",""งบพรบ!BK48"")"),0)</f>
        <v>0</v>
      </c>
      <c r="M137" s="93">
        <f ca="1">IFERROR(__xludf.DUMMYFUNCTION("IMPORTRANGE(""https://docs.google.com/spreadsheets/d/1MeEWN-I1oV_STSDYn1IFDPWt_1FKiwhDph83XaGc0o0/edit?usp=sharing"",""งบพรบ!BP48"")"),0)</f>
        <v>0</v>
      </c>
      <c r="N137" s="93">
        <f ca="1">IFERROR(__xludf.DUMMYFUNCTION("IMPORTRANGE(""https://docs.google.com/spreadsheets/d/1MeEWN-I1oV_STSDYn1IFDPWt_1FKiwhDph83XaGc0o0/edit?usp=sharing"",""งบพรบ!BR48"")"),0)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IFERROR(__xludf.DUMMYFUNCTION("IMPORTRANGE(""https://docs.google.com/spreadsheets/d/1MeEWN-I1oV_STSDYn1IFDPWt_1FKiwhDph83XaGc0o0/edit?usp=sharing"",""งบพรบ!BN48"")"),0)</f>
        <v>0</v>
      </c>
      <c r="M140" s="93">
        <f ca="1">IFERROR(__xludf.DUMMYFUNCTION("IMPORTRANGE(""https://docs.google.com/spreadsheets/d/1MeEWN-I1oV_STSDYn1IFDPWt_1FKiwhDph83XaGc0o0/edit?usp=sharing"",""งบพรบ!BQ48"")"),0)</f>
        <v>0</v>
      </c>
      <c r="N140" s="93">
        <f ca="1">IFERROR(__xludf.DUMMYFUNCTION("IMPORTRANGE(""https://docs.google.com/spreadsheets/d/1MeEWN-I1oV_STSDYn1IFDPWt_1FKiwhDph83XaGc0o0/edit?usp=sharing"",""งบพรบ!BS48"")"),0)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IFERROR(__xludf.DUMMYFUNCTION("IMPORTRANGE(""https://docs.google.com/spreadsheets/d/1QqKyyYR6Q21VydFLVH3TRQUabQu_ym0Zz7PgGX0-kHA/edit?usp=sharing"",""แผน!U48"")"),0)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IFERROR(__xludf.DUMMYFUNCTION("IMPORTRANGE(""https://docs.google.com/spreadsheets/d/1QqKyyYR6Q21VydFLVH3TRQUabQu_ym0Zz7PgGX0-kHA/edit?usp=sharing"",""แผน!V48"")"),0)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IFERROR(__xludf.DUMMYFUNCTION("IMPORTRANGE(""https://docs.google.com/spreadsheets/d/1QqKyyYR6Q21VydFLVH3TRQUabQu_ym0Zz7PgGX0-kHA/edit?usp=sharing"",""แผน!W48"")"),0)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7"/>
      <c r="J150" s="617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7"/>
      <c r="J151" s="617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IFERROR(__xludf.DUMMYFUNCTION("IMPORTRANGE(""https://docs.google.com/spreadsheets/d/1MeEWN-I1oV_STSDYn1IFDPWt_1FKiwhDph83XaGc0o0/edit?usp=sharing"",""งบพรบ!BU48"")"),0)</f>
        <v>0</v>
      </c>
      <c r="M154" s="93">
        <f ca="1">IFERROR(__xludf.DUMMYFUNCTION("IMPORTRANGE(""https://docs.google.com/spreadsheets/d/1MeEWN-I1oV_STSDYn1IFDPWt_1FKiwhDph83XaGc0o0/edit?usp=sharing"",""งบพรบ!BZ48"")"),0)</f>
        <v>0</v>
      </c>
      <c r="N154" s="93">
        <f ca="1">IFERROR(__xludf.DUMMYFUNCTION("IMPORTRANGE(""https://docs.google.com/spreadsheets/d/1MeEWN-I1oV_STSDYn1IFDPWt_1FKiwhDph83XaGc0o0/edit?usp=sharing"",""งบพรบ!CB48"")"),0)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IFERROR(__xludf.DUMMYFUNCTION("IMPORTRANGE(""https://docs.google.com/spreadsheets/d/1MeEWN-I1oV_STSDYn1IFDPWt_1FKiwhDph83XaGc0o0/edit?usp=sharing"",""งบพรบ!BX48"")"),0)</f>
        <v>0</v>
      </c>
      <c r="M157" s="93">
        <f ca="1">IFERROR(__xludf.DUMMYFUNCTION("IMPORTRANGE(""https://docs.google.com/spreadsheets/d/1MeEWN-I1oV_STSDYn1IFDPWt_1FKiwhDph83XaGc0o0/edit?usp=sharing"",""งบพรบ!CA48"")"),0)</f>
        <v>0</v>
      </c>
      <c r="N157" s="93">
        <f ca="1">IFERROR(__xludf.DUMMYFUNCTION("IMPORTRANGE(""https://docs.google.com/spreadsheets/d/1MeEWN-I1oV_STSDYn1IFDPWt_1FKiwhDph83XaGc0o0/edit?usp=sharing"",""งบพรบ!CC48"")"),0)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IFERROR(__xludf.DUMMYFUNCTION("IMPORTRANGE(""https://docs.google.com/spreadsheets/d/1QqKyyYR6Q21VydFLVH3TRQUabQu_ym0Zz7PgGX0-kHA/edit?usp=sharing"",""แผน!X48"")"),0)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7"/>
      <c r="J160" s="617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35860</v>
      </c>
      <c r="N165" s="155">
        <f t="shared" ca="1" si="84"/>
        <v>35860</v>
      </c>
      <c r="O165" s="155">
        <f t="shared" ref="O165:O173" ca="1" si="85">IF(L165&gt;0,N165*100/L165,0)</f>
        <v>155.50737207285343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7"/>
      <c r="J166" s="617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7"/>
      <c r="J167" s="617"/>
      <c r="K167" s="93"/>
      <c r="L167" s="93">
        <f t="shared" ca="1" si="87"/>
        <v>23060</v>
      </c>
      <c r="M167" s="93">
        <f t="shared" ca="1" si="87"/>
        <v>35860</v>
      </c>
      <c r="N167" s="93">
        <f t="shared" ca="1" si="87"/>
        <v>35860</v>
      </c>
      <c r="O167" s="93">
        <f t="shared" ca="1" si="85"/>
        <v>155.50737207285343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23060</v>
      </c>
      <c r="M168" s="498">
        <f t="shared" ca="1" si="88"/>
        <v>35860</v>
      </c>
      <c r="N168" s="498">
        <f t="shared" ca="1" si="88"/>
        <v>35860</v>
      </c>
      <c r="O168" s="498">
        <f t="shared" ca="1" si="85"/>
        <v>155.50737207285343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IFERROR(__xludf.DUMMYFUNCTION("IMPORTRANGE(""https://docs.google.com/spreadsheets/d/1MeEWN-I1oV_STSDYn1IFDPWt_1FKiwhDph83XaGc0o0/edit?usp=sharing"",""งบพรบ!CE48"")"),23060)</f>
        <v>23060</v>
      </c>
      <c r="M170" s="93">
        <f ca="1">IFERROR(__xludf.DUMMYFUNCTION("IMPORTRANGE(""https://docs.google.com/spreadsheets/d/1MeEWN-I1oV_STSDYn1IFDPWt_1FKiwhDph83XaGc0o0/edit?usp=sharing"",""งบพรบ!CJ48"")"),35860)</f>
        <v>35860</v>
      </c>
      <c r="N170" s="93">
        <f ca="1">IFERROR(__xludf.DUMMYFUNCTION("IMPORTRANGE(""https://docs.google.com/spreadsheets/d/1MeEWN-I1oV_STSDYn1IFDPWt_1FKiwhDph83XaGc0o0/edit?usp=sharing"",""งบพรบ!CL48"")"),35860)</f>
        <v>35860</v>
      </c>
      <c r="O170" s="93">
        <f t="shared" ca="1" si="85"/>
        <v>155.50737207285343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IFERROR(__xludf.DUMMYFUNCTION("IMPORTRANGE(""https://docs.google.com/spreadsheets/d/1MeEWN-I1oV_STSDYn1IFDPWt_1FKiwhDph83XaGc0o0/edit?usp=sharing"",""งบพรบ!CH48"")"),0)</f>
        <v>0</v>
      </c>
      <c r="M173" s="93">
        <f ca="1">IFERROR(__xludf.DUMMYFUNCTION("IMPORTRANGE(""https://docs.google.com/spreadsheets/d/1MeEWN-I1oV_STSDYn1IFDPWt_1FKiwhDph83XaGc0o0/edit?usp=sharing"",""งบพรบ!CK48"")"),0)</f>
        <v>0</v>
      </c>
      <c r="N173" s="93">
        <f ca="1">IFERROR(__xludf.DUMMYFUNCTION("IMPORTRANGE(""https://docs.google.com/spreadsheets/d/1MeEWN-I1oV_STSDYn1IFDPWt_1FKiwhDph83XaGc0o0/edit?usp=sharing"",""งบพรบ!CM48"")"),0)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7" t="s">
        <v>38</v>
      </c>
      <c r="E175" s="173"/>
      <c r="F175" s="173"/>
      <c r="G175" s="174"/>
      <c r="H175" s="76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6" t="s">
        <v>85</v>
      </c>
      <c r="E176" s="178"/>
      <c r="F176" s="178"/>
      <c r="G176" s="179"/>
      <c r="H176" s="623" t="s">
        <v>35</v>
      </c>
      <c r="I176" s="270">
        <f ca="1">IFERROR(__xludf.DUMMYFUNCTION("IMPORTRANGE(""https://docs.google.com/spreadsheets/d/1QqKyyYR6Q21VydFLVH3TRQUabQu_ym0Zz7PgGX0-kHA/edit?usp=sharing"",""แผน!Y48"")"),12)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413500</v>
      </c>
      <c r="M181" s="155">
        <f t="shared" ca="1" si="92"/>
        <v>413500</v>
      </c>
      <c r="N181" s="155">
        <f t="shared" ca="1" si="92"/>
        <v>413500</v>
      </c>
      <c r="O181" s="155">
        <f t="shared" ref="O181:O189" ca="1" si="93">IF(L181&gt;0,N181*100/L181,0)</f>
        <v>100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7"/>
      <c r="J182" s="617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7"/>
      <c r="J183" s="617"/>
      <c r="K183" s="93"/>
      <c r="L183" s="93">
        <f t="shared" ca="1" si="95"/>
        <v>413500</v>
      </c>
      <c r="M183" s="93">
        <f t="shared" ca="1" si="95"/>
        <v>413500</v>
      </c>
      <c r="N183" s="93">
        <f t="shared" ca="1" si="95"/>
        <v>413500</v>
      </c>
      <c r="O183" s="93">
        <f t="shared" ca="1" si="93"/>
        <v>100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413500</v>
      </c>
      <c r="M184" s="498">
        <f t="shared" ca="1" si="96"/>
        <v>413500</v>
      </c>
      <c r="N184" s="498">
        <f t="shared" ca="1" si="96"/>
        <v>413500</v>
      </c>
      <c r="O184" s="498">
        <f t="shared" ca="1" si="93"/>
        <v>100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IFERROR(__xludf.DUMMYFUNCTION("IMPORTRANGE(""https://docs.google.com/spreadsheets/d/1MeEWN-I1oV_STSDYn1IFDPWt_1FKiwhDph83XaGc0o0/edit?usp=sharing"",""งบพรบ!CO48"")"),413500)</f>
        <v>413500</v>
      </c>
      <c r="M186" s="93">
        <f ca="1">IFERROR(__xludf.DUMMYFUNCTION("IMPORTRANGE(""https://docs.google.com/spreadsheets/d/1MeEWN-I1oV_STSDYn1IFDPWt_1FKiwhDph83XaGc0o0/edit?usp=sharing"",""งบพรบ!CT48"")"),413500)</f>
        <v>413500</v>
      </c>
      <c r="N186" s="93">
        <f ca="1">IFERROR(__xludf.DUMMYFUNCTION("IMPORTRANGE(""https://docs.google.com/spreadsheets/d/1MeEWN-I1oV_STSDYn1IFDPWt_1FKiwhDph83XaGc0o0/edit?usp=sharing"",""งบพรบ!CV48"")"),413500)</f>
        <v>413500</v>
      </c>
      <c r="O186" s="93">
        <f t="shared" ca="1" si="93"/>
        <v>100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IFERROR(__xludf.DUMMYFUNCTION("IMPORTRANGE(""https://docs.google.com/spreadsheets/d/1MeEWN-I1oV_STSDYn1IFDPWt_1FKiwhDph83XaGc0o0/edit?usp=sharing"",""งบพรบ!CR48"")"),0)</f>
        <v>0</v>
      </c>
      <c r="M189" s="93">
        <f ca="1">IFERROR(__xludf.DUMMYFUNCTION("IMPORTRANGE(""https://docs.google.com/spreadsheets/d/1MeEWN-I1oV_STSDYn1IFDPWt_1FKiwhDph83XaGc0o0/edit?usp=sharing"",""งบพรบ!CU48"")"),0)</f>
        <v>0</v>
      </c>
      <c r="N189" s="93">
        <f ca="1">IFERROR(__xludf.DUMMYFUNCTION("IMPORTRANGE(""https://docs.google.com/spreadsheets/d/1MeEWN-I1oV_STSDYn1IFDPWt_1FKiwhDph83XaGc0o0/edit?usp=sharing"",""งบพรบ!CW48"")"),0)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8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IFERROR(__xludf.DUMMYFUNCTION("IMPORTRANGE(""https://docs.google.com/spreadsheets/d/1QqKyyYR6Q21VydFLVH3TRQUabQu_ym0Zz7PgGX0-kHA/edit?usp=sharing"",""แผน!Z48"")"),6000)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7" t="s">
        <v>38</v>
      </c>
      <c r="E192" s="173"/>
      <c r="F192" s="173"/>
      <c r="G192" s="174"/>
      <c r="H192" s="762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4" t="s">
        <v>90</v>
      </c>
      <c r="I193" s="270">
        <f ca="1">IFERROR(__xludf.DUMMYFUNCTION("IMPORTRANGE(""https://docs.google.com/spreadsheets/d/1QqKyyYR6Q21VydFLVH3TRQUabQu_ym0Zz7PgGX0-kHA/edit?usp=sharing"",""แผน!AC48"")"),4)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74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74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8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IFERROR(__xludf.DUMMYFUNCTION("IMPORTRANGE(""https://docs.google.com/spreadsheets/d/1QqKyyYR6Q21VydFLVH3TRQUabQu_ym0Zz7PgGX0-kHA/edit?usp=sharing"",""แผน!AE48"")"),3000)</f>
        <v>3000</v>
      </c>
      <c r="M199" s="498"/>
      <c r="N199" s="840">
        <v>3000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3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IFERROR(__xludf.DUMMYFUNCTION("IMPORTRANGE(""https://docs.google.com/spreadsheets/d/1QqKyyYR6Q21VydFLVH3TRQUabQu_ym0Zz7PgGX0-kHA/edit?usp=sharing"",""แผน!AF48"")"),24000)</f>
        <v>24000</v>
      </c>
      <c r="M200" s="498"/>
      <c r="N200" s="840">
        <v>24000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3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IFERROR(__xludf.DUMMYFUNCTION("IMPORTRANGE(""https://docs.google.com/spreadsheets/d/1QqKyyYR6Q21VydFLVH3TRQUabQu_ym0Zz7PgGX0-kHA/edit?usp=sharing"",""แผน!AG48"")"),12000)</f>
        <v>12000</v>
      </c>
      <c r="M201" s="498"/>
      <c r="N201" s="840">
        <v>12000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3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IFERROR(__xludf.DUMMYFUNCTION("IMPORTRANGE(""https://docs.google.com/spreadsheets/d/1QqKyyYR6Q21VydFLVH3TRQUabQu_ym0Zz7PgGX0-kHA/edit?usp=sharing"",""แผน!AH48"")"),0)</f>
        <v>0</v>
      </c>
      <c r="M202" s="498"/>
      <c r="N202" s="840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7" t="s">
        <v>38</v>
      </c>
      <c r="E203" s="173"/>
      <c r="F203" s="173"/>
      <c r="G203" s="174"/>
      <c r="H203" s="76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2" t="s">
        <v>96</v>
      </c>
      <c r="I204" s="270">
        <f ca="1">IFERROR(__xludf.DUMMYFUNCTION("IMPORTRANGE(""https://docs.google.com/spreadsheets/d/1QqKyyYR6Q21VydFLVH3TRQUabQu_ym0Zz7PgGX0-kHA/edit?usp=sharing"",""แผน!AI48"")"),3)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2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2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8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42000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IFERROR(__xludf.DUMMYFUNCTION("IMPORTRANGE(""https://docs.google.com/spreadsheets/d/1QqKyyYR6Q21VydFLVH3TRQUabQu_ym0Zz7PgGX0-kHA/edit?usp=sharing"",""แผน!AK48"")"),3000)</f>
        <v>3000</v>
      </c>
      <c r="M210" s="498"/>
      <c r="N210" s="840">
        <v>3000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IFERROR(__xludf.DUMMYFUNCTION("IMPORTRANGE(""https://docs.google.com/spreadsheets/d/1QqKyyYR6Q21VydFLVH3TRQUabQu_ym0Zz7PgGX0-kHA/edit?usp=sharing"",""แผน!AL48"")"),15000)</f>
        <v>15000</v>
      </c>
      <c r="M211" s="498"/>
      <c r="N211" s="840">
        <v>15000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IFERROR(__xludf.DUMMYFUNCTION("IMPORTRANGE(""https://docs.google.com/spreadsheets/d/1QqKyyYR6Q21VydFLVH3TRQUabQu_ym0Zz7PgGX0-kHA/edit?usp=sharing"",""แผน!AM48"")"),24000)</f>
        <v>24000</v>
      </c>
      <c r="M212" s="498"/>
      <c r="N212" s="840">
        <v>24000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7" t="s">
        <v>38</v>
      </c>
      <c r="E213" s="173"/>
      <c r="F213" s="173"/>
      <c r="G213" s="174"/>
      <c r="H213" s="762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2" t="s">
        <v>96</v>
      </c>
      <c r="I214" s="270">
        <f ca="1">IFERROR(__xludf.DUMMYFUNCTION("IMPORTRANGE(""https://docs.google.com/spreadsheets/d/1QqKyyYR6Q21VydFLVH3TRQUabQu_ym0Zz7PgGX0-kHA/edit?usp=sharing"",""แผน!AN48"")"),3)</f>
        <v>3</v>
      </c>
      <c r="J214" s="215">
        <v>3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2" t="s">
        <v>96</v>
      </c>
      <c r="I215" s="270">
        <f ca="1">IFERROR(__xludf.DUMMYFUNCTION("IMPORTRANGE(""https://docs.google.com/spreadsheets/d/1QqKyyYR6Q21VydFLVH3TRQUabQu_ym0Zz7PgGX0-kHA/edit?usp=sharing"",""แผน!AN48"")"),3)</f>
        <v>3</v>
      </c>
      <c r="J215" s="215">
        <v>3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10000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8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16500</v>
      </c>
      <c r="M217" s="155"/>
      <c r="N217" s="155">
        <f>N218+N219+N220</f>
        <v>16500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IFERROR(__xludf.DUMMYFUNCTION("IMPORTRANGE(""https://docs.google.com/spreadsheets/d/1QqKyyYR6Q21VydFLVH3TRQUabQu_ym0Zz7PgGX0-kHA/edit?usp=sharing"",""แผน!AP48"")"),3000)</f>
        <v>3000</v>
      </c>
      <c r="M218" s="498"/>
      <c r="N218" s="840">
        <v>3000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IFERROR(__xludf.DUMMYFUNCTION("IMPORTRANGE(""https://docs.google.com/spreadsheets/d/1QqKyyYR6Q21VydFLVH3TRQUabQu_ym0Zz7PgGX0-kHA/edit?usp=sharing"",""แผน!AQ48"")"),3500)</f>
        <v>3500</v>
      </c>
      <c r="M219" s="498"/>
      <c r="N219" s="840">
        <v>3500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IFERROR(__xludf.DUMMYFUNCTION("IMPORTRANGE(""https://docs.google.com/spreadsheets/d/1QqKyyYR6Q21VydFLVH3TRQUabQu_ym0Zz7PgGX0-kHA/edit?usp=sharing"",""แผน!AR48"")"),10000)</f>
        <v>10000</v>
      </c>
      <c r="M220" s="498"/>
      <c r="N220" s="840">
        <v>10000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7" t="s">
        <v>38</v>
      </c>
      <c r="E221" s="173"/>
      <c r="F221" s="173"/>
      <c r="G221" s="174"/>
      <c r="H221" s="76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4" t="s">
        <v>109</v>
      </c>
      <c r="I223" s="270">
        <f ca="1">IFERROR(__xludf.DUMMYFUNCTION("IMPORTRANGE(""https://docs.google.com/spreadsheets/d/1QqKyyYR6Q21VydFLVH3TRQUabQu_ym0Zz7PgGX0-kHA/edit?usp=sharing"",""แผน!AT48"")"),10000)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4" t="s">
        <v>109</v>
      </c>
      <c r="I224" s="270">
        <f ca="1">IFERROR(__xludf.DUMMYFUNCTION("IMPORTRANGE(""https://docs.google.com/spreadsheets/d/1QqKyyYR6Q21VydFLVH3TRQUabQu_ym0Zz7PgGX0-kHA/edit?usp=sharing"",""แผน!AT48"")"),10000)</f>
        <v>10000</v>
      </c>
      <c r="J224" s="215">
        <v>10000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4" t="s">
        <v>35</v>
      </c>
      <c r="I225" s="270">
        <f ca="1">IFERROR(__xludf.DUMMYFUNCTION("IMPORTRANGE(""https://docs.google.com/spreadsheets/d/1QqKyyYR6Q21VydFLVH3TRQUabQu_ym0Zz7PgGX0-kHA/edit?usp=sharing"",""แผน!AS48"")"),10)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8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2"/>
      <c r="P227" s="8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7"/>
      <c r="J229" s="617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7"/>
      <c r="J230" s="617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7"/>
      <c r="J231" s="617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7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7">
        <f t="shared" ref="I233:J233" ca="1" si="108">I244+I255</f>
        <v>0</v>
      </c>
      <c r="J233" s="617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7"/>
      <c r="J234" s="617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7">
        <f t="shared" ref="I235:J236" si="109">I246+I257</f>
        <v>0</v>
      </c>
      <c r="J235" s="617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7">
        <f t="shared" si="109"/>
        <v>0</v>
      </c>
      <c r="J236" s="617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IFERROR(__xludf.DUMMYFUNCTION("IMPORTRANGE(""https://docs.google.com/spreadsheets/d/1QqKyyYR6Q21VydFLVH3TRQUabQu_ym0Zz7PgGX0-kHA/edit?usp=sharing"",""แผน!AV48"")"),0)</f>
        <v>0</v>
      </c>
      <c r="M239" s="322"/>
      <c r="N239" s="88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IFERROR(__xludf.DUMMYFUNCTION("IMPORTRANGE(""https://docs.google.com/spreadsheets/d/1QqKyyYR6Q21VydFLVH3TRQUabQu_ym0Zz7PgGX0-kHA/edit?usp=sharing"",""แผน!AW48"")"),0)</f>
        <v>0</v>
      </c>
      <c r="M240" s="322"/>
      <c r="N240" s="88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IFERROR(__xludf.DUMMYFUNCTION("IMPORTRANGE(""https://docs.google.com/spreadsheets/d/1QqKyyYR6Q21VydFLVH3TRQUabQu_ym0Zz7PgGX0-kHA/edit?usp=sharing"",""แผน!AX48"")"),0)</f>
        <v>0</v>
      </c>
      <c r="M241" s="322"/>
      <c r="N241" s="88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IFERROR(__xludf.DUMMYFUNCTION("IMPORTRANGE(""https://docs.google.com/spreadsheets/d/1QqKyyYR6Q21VydFLVH3TRQUabQu_ym0Zz7PgGX0-kHA/edit?usp=sharing"",""แผน!AY48"")"),0)</f>
        <v>0</v>
      </c>
      <c r="M242" s="322"/>
      <c r="N242" s="88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7" t="s">
        <v>38</v>
      </c>
      <c r="E243" s="173"/>
      <c r="F243" s="173"/>
      <c r="G243" s="174"/>
      <c r="H243" s="762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4" t="s">
        <v>35</v>
      </c>
      <c r="I244" s="270">
        <f ca="1">IFERROR(__xludf.DUMMYFUNCTION("IMPORTRANGE(""https://docs.google.com/spreadsheets/d/1QqKyyYR6Q21VydFLVH3TRQUabQu_ym0Zz7PgGX0-kHA/edit?usp=sharing"",""แผน!BE48"")"),0)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4" t="s">
        <v>43</v>
      </c>
      <c r="E245" s="178"/>
      <c r="F245" s="178"/>
      <c r="G245" s="179"/>
      <c r="H245" s="764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4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4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8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IFERROR(__xludf.DUMMYFUNCTION("IMPORTRANGE(""https://docs.google.com/spreadsheets/d/1QqKyyYR6Q21VydFLVH3TRQUabQu_ym0Zz7PgGX0-kHA/edit?usp=sharing"",""แผน!AZ48"")"),0)</f>
        <v>0</v>
      </c>
      <c r="M250" s="322"/>
      <c r="N250" s="88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IFERROR(__xludf.DUMMYFUNCTION("IMPORTRANGE(""https://docs.google.com/spreadsheets/d/1QqKyyYR6Q21VydFLVH3TRQUabQu_ym0Zz7PgGX0-kHA/edit?usp=sharing"",""แผน!BA48"")"),0)</f>
        <v>0</v>
      </c>
      <c r="M251" s="322"/>
      <c r="N251" s="88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IFERROR(__xludf.DUMMYFUNCTION("IMPORTRANGE(""https://docs.google.com/spreadsheets/d/1QqKyyYR6Q21VydFLVH3TRQUabQu_ym0Zz7PgGX0-kHA/edit?usp=sharing"",""แผน!BB48"")"),0)</f>
        <v>0</v>
      </c>
      <c r="M252" s="322"/>
      <c r="N252" s="88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IFERROR(__xludf.DUMMYFUNCTION("IMPORTRANGE(""https://docs.google.com/spreadsheets/d/1QqKyyYR6Q21VydFLVH3TRQUabQu_ym0Zz7PgGX0-kHA/edit?usp=sharing"",""แผน!BC48"")"),0)</f>
        <v>0</v>
      </c>
      <c r="M253" s="322"/>
      <c r="N253" s="88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7" t="s">
        <v>38</v>
      </c>
      <c r="E254" s="173"/>
      <c r="F254" s="173"/>
      <c r="G254" s="174"/>
      <c r="H254" s="762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4" t="s">
        <v>35</v>
      </c>
      <c r="I255" s="270">
        <f ca="1">IFERROR(__xludf.DUMMYFUNCTION("IMPORTRANGE(""https://docs.google.com/spreadsheets/d/1QqKyyYR6Q21VydFLVH3TRQUabQu_ym0Zz7PgGX0-kHA/edit?usp=sharing"",""แผน!BF48"")"),0)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4" t="s">
        <v>43</v>
      </c>
      <c r="E256" s="178"/>
      <c r="F256" s="178"/>
      <c r="G256" s="179"/>
      <c r="H256" s="764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4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4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26900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7"/>
      <c r="J262" s="617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7"/>
      <c r="J263" s="617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26900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26900</v>
      </c>
      <c r="N264" s="498">
        <f t="shared" ca="1" si="120"/>
        <v>26900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IFERROR(__xludf.DUMMYFUNCTION("IMPORTRANGE(""https://docs.google.com/spreadsheets/d/1MeEWN-I1oV_STSDYn1IFDPWt_1FKiwhDph83XaGc0o0/edit?usp=sharing"",""งบพรบ!CY48"")"),26900)</f>
        <v>26900</v>
      </c>
      <c r="M266" s="93">
        <f ca="1">IFERROR(__xludf.DUMMYFUNCTION("IMPORTRANGE(""https://docs.google.com/spreadsheets/d/1MeEWN-I1oV_STSDYn1IFDPWt_1FKiwhDph83XaGc0o0/edit?usp=sharing"",""งบพรบ!DD48"")"),26900)</f>
        <v>26900</v>
      </c>
      <c r="N266" s="93">
        <f ca="1">IFERROR(__xludf.DUMMYFUNCTION("IMPORTRANGE(""https://docs.google.com/spreadsheets/d/1MeEWN-I1oV_STSDYn1IFDPWt_1FKiwhDph83XaGc0o0/edit?usp=sharing"",""งบพรบ!DF48"")"),26900)</f>
        <v>26900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IFERROR(__xludf.DUMMYFUNCTION("IMPORTRANGE(""https://docs.google.com/spreadsheets/d/1MeEWN-I1oV_STSDYn1IFDPWt_1FKiwhDph83XaGc0o0/edit?usp=sharing"",""งบพรบ!DB48"")"),0)</f>
        <v>0</v>
      </c>
      <c r="M269" s="93">
        <f ca="1">IFERROR(__xludf.DUMMYFUNCTION("IMPORTRANGE(""https://docs.google.com/spreadsheets/d/1MeEWN-I1oV_STSDYn1IFDPWt_1FKiwhDph83XaGc0o0/edit?usp=sharing"",""งบพรบ!DE48"")"),0)</f>
        <v>0</v>
      </c>
      <c r="N269" s="93">
        <f ca="1">IFERROR(__xludf.DUMMYFUNCTION("IMPORTRANGE(""https://docs.google.com/spreadsheets/d/1MeEWN-I1oV_STSDYn1IFDPWt_1FKiwhDph83XaGc0o0/edit?usp=sharing"",""งบพรบ!DG48"")"),0)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7" t="s">
        <v>38</v>
      </c>
      <c r="E270" s="173"/>
      <c r="F270" s="173"/>
      <c r="G270" s="174"/>
      <c r="H270" s="76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6">
        <v>0</v>
      </c>
      <c r="J272" s="506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30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300</v>
      </c>
      <c r="J276" s="406">
        <f t="shared" si="124"/>
        <v>300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111710</v>
      </c>
      <c r="N277" s="155">
        <f t="shared" ca="1" si="125"/>
        <v>111710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7"/>
      <c r="J278" s="617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7"/>
      <c r="J279" s="617"/>
      <c r="K279" s="93"/>
      <c r="L279" s="93">
        <f t="shared" ca="1" si="128"/>
        <v>111710</v>
      </c>
      <c r="M279" s="93">
        <f t="shared" ca="1" si="128"/>
        <v>111710</v>
      </c>
      <c r="N279" s="93">
        <f t="shared" ca="1" si="128"/>
        <v>111710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111710</v>
      </c>
      <c r="M280" s="498">
        <f t="shared" ca="1" si="129"/>
        <v>111710</v>
      </c>
      <c r="N280" s="498">
        <f t="shared" ca="1" si="129"/>
        <v>111710</v>
      </c>
      <c r="O280" s="498">
        <f t="shared" ca="1" si="126"/>
        <v>100</v>
      </c>
      <c r="P280" s="49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IFERROR(__xludf.DUMMYFUNCTION("IMPORTRANGE(""https://docs.google.com/spreadsheets/d/1MeEWN-I1oV_STSDYn1IFDPWt_1FKiwhDph83XaGc0o0/edit?usp=sharing"",""งบพรบ!DI48"")"),111710)</f>
        <v>111710</v>
      </c>
      <c r="M282" s="93">
        <f ca="1">IFERROR(__xludf.DUMMYFUNCTION("IMPORTRANGE(""https://docs.google.com/spreadsheets/d/1MeEWN-I1oV_STSDYn1IFDPWt_1FKiwhDph83XaGc0o0/edit?usp=sharing"",""งบพรบ!DN48"")"),111710)</f>
        <v>111710</v>
      </c>
      <c r="N282" s="93">
        <f ca="1">IFERROR(__xludf.DUMMYFUNCTION("IMPORTRANGE(""https://docs.google.com/spreadsheets/d/1MeEWN-I1oV_STSDYn1IFDPWt_1FKiwhDph83XaGc0o0/edit?usp=sharing"",""งบพรบ!DP48"")"),111710)</f>
        <v>111710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IFERROR(__xludf.DUMMYFUNCTION("IMPORTRANGE(""https://docs.google.com/spreadsheets/d/1MeEWN-I1oV_STSDYn1IFDPWt_1FKiwhDph83XaGc0o0/edit?usp=sharing"",""งบพรบ!DL48"")"),0)</f>
        <v>0</v>
      </c>
      <c r="M285" s="93">
        <f ca="1">IFERROR(__xludf.DUMMYFUNCTION("IMPORTRANGE(""https://docs.google.com/spreadsheets/d/1MeEWN-I1oV_STSDYn1IFDPWt_1FKiwhDph83XaGc0o0/edit?usp=sharing"",""งบพรบ!DO48"")"),0)</f>
        <v>0</v>
      </c>
      <c r="N285" s="93">
        <f ca="1">IFERROR(__xludf.DUMMYFUNCTION("IMPORTRANGE(""https://docs.google.com/spreadsheets/d/1MeEWN-I1oV_STSDYn1IFDPWt_1FKiwhDph83XaGc0o0/edit?usp=sharing"",""งบพรบ!DQ48"")"),0)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7" t="s">
        <v>38</v>
      </c>
      <c r="E286" s="173"/>
      <c r="F286" s="173"/>
      <c r="G286" s="174"/>
      <c r="H286" s="76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6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IFERROR(__xludf.DUMMYFUNCTION("IMPORTRANGE(""https://docs.google.com/spreadsheets/d/1QqKyyYR6Q21VydFLVH3TRQUabQu_ym0Zz7PgGX0-kHA/edit?usp=sharing"",""แผน!EC48"")"),300)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6" t="s">
        <v>130</v>
      </c>
      <c r="E288" s="171"/>
      <c r="F288" s="178"/>
      <c r="G288" s="179"/>
      <c r="H288" s="180" t="s">
        <v>35</v>
      </c>
      <c r="I288" s="681">
        <f ca="1">IFERROR(__xludf.DUMMYFUNCTION("IMPORTRANGE(""https://docs.google.com/spreadsheets/d/1QqKyyYR6Q21VydFLVH3TRQUabQu_ym0Zz7PgGX0-kHA/edit?usp=sharing"",""แผน!EB48"")"),30)</f>
        <v>30</v>
      </c>
      <c r="J288" s="681">
        <f ca="1">IF(AND(J291&gt;=I288,J294&gt;=I288),J294,0)</f>
        <v>30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6" t="s">
        <v>132</v>
      </c>
      <c r="F290" s="178"/>
      <c r="G290" s="179"/>
      <c r="H290" s="764" t="s">
        <v>35</v>
      </c>
      <c r="I290" s="184">
        <f ca="1">IFERROR(__xludf.DUMMYFUNCTION("IMPORTRANGE(""https://docs.google.com/spreadsheets/d/1QqKyyYR6Q21VydFLVH3TRQUabQu_ym0Zz7PgGX0-kHA/edit?usp=sharing"",""แผน!EB48"")"),30)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6" t="s">
        <v>133</v>
      </c>
      <c r="F291" s="178"/>
      <c r="G291" s="179"/>
      <c r="H291" s="764" t="s">
        <v>35</v>
      </c>
      <c r="I291" s="184">
        <f ca="1">IFERROR(__xludf.DUMMYFUNCTION("IMPORTRANGE(""https://docs.google.com/spreadsheets/d/1QqKyyYR6Q21VydFLVH3TRQUabQu_ym0Zz7PgGX0-kHA/edit?usp=sharing"",""แผน!EB48"")"),30)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6" t="s">
        <v>132</v>
      </c>
      <c r="F293" s="178"/>
      <c r="G293" s="179"/>
      <c r="H293" s="764" t="s">
        <v>35</v>
      </c>
      <c r="I293" s="184">
        <f ca="1">IFERROR(__xludf.DUMMYFUNCTION("IMPORTRANGE(""https://docs.google.com/spreadsheets/d/1QqKyyYR6Q21VydFLVH3TRQUabQu_ym0Zz7PgGX0-kHA/edit?usp=sharing"",""แผน!EB48"")"),30)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4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IFERROR(__xludf.DUMMYFUNCTION("IMPORTRANGE(""https://docs.google.com/spreadsheets/d/1QqKyyYR6Q21VydFLVH3TRQUabQu_ym0Zz7PgGX0-kHA/edit?usp=sharing"",""แผน!EB48"")"),30)</f>
        <v>30</v>
      </c>
      <c r="J294" s="424">
        <v>30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7"/>
      <c r="J299" s="617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7"/>
      <c r="J300" s="617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IFERROR(__xludf.DUMMYFUNCTION("IMPORTRANGE(""https://docs.google.com/spreadsheets/d/1MeEWN-I1oV_STSDYn1IFDPWt_1FKiwhDph83XaGc0o0/edit?usp=sharing"",""งบพรบ!DS48"")"),0)</f>
        <v>0</v>
      </c>
      <c r="M303" s="93">
        <f ca="1">IFERROR(__xludf.DUMMYFUNCTION("IMPORTRANGE(""https://docs.google.com/spreadsheets/d/1MeEWN-I1oV_STSDYn1IFDPWt_1FKiwhDph83XaGc0o0/edit?usp=sharing"",""งบพรบ!DX48"")"),0)</f>
        <v>0</v>
      </c>
      <c r="N303" s="93">
        <f ca="1">IFERROR(__xludf.DUMMYFUNCTION("IMPORTRANGE(""https://docs.google.com/spreadsheets/d/1MeEWN-I1oV_STSDYn1IFDPWt_1FKiwhDph83XaGc0o0/edit?usp=sharing"",""งบพรบ!DZ48"")"),0)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IFERROR(__xludf.DUMMYFUNCTION("IMPORTRANGE(""https://docs.google.com/spreadsheets/d/1MeEWN-I1oV_STSDYn1IFDPWt_1FKiwhDph83XaGc0o0/edit?usp=sharing"",""งบพรบ!DV48"")"),0)</f>
        <v>0</v>
      </c>
      <c r="M306" s="93">
        <f ca="1">IFERROR(__xludf.DUMMYFUNCTION("IMPORTRANGE(""https://docs.google.com/spreadsheets/d/1MeEWN-I1oV_STSDYn1IFDPWt_1FKiwhDph83XaGc0o0/edit?usp=sharing"",""งบพรบ!DY48"")"),0)</f>
        <v>0</v>
      </c>
      <c r="N306" s="93">
        <f ca="1">IFERROR(__xludf.DUMMYFUNCTION("IMPORTRANGE(""https://docs.google.com/spreadsheets/d/1MeEWN-I1oV_STSDYn1IFDPWt_1FKiwhDph83XaGc0o0/edit?usp=sharing"",""งบพรบ!EA48"")"),0)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7" t="s">
        <v>38</v>
      </c>
      <c r="E307" s="173"/>
      <c r="F307" s="173"/>
      <c r="G307" s="174"/>
      <c r="H307" s="762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4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4" t="s">
        <v>35</v>
      </c>
      <c r="I309" s="270">
        <f ca="1">IFERROR(__xludf.DUMMYFUNCTION("IMPORTRANGE(""https://docs.google.com/spreadsheets/d/1QqKyyYR6Q21VydFLVH3TRQUabQu_ym0Zz7PgGX0-kHA/edit?usp=sharing"",""แผน!ED48"")"),0)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4" t="s">
        <v>35</v>
      </c>
      <c r="I310" s="270">
        <f ca="1">IFERROR(__xludf.DUMMYFUNCTION("IMPORTRANGE(""https://docs.google.com/spreadsheets/d/1QqKyyYR6Q21VydFLVH3TRQUabQu_ym0Zz7PgGX0-kHA/edit?usp=sharing"",""แผน!ED48"")"),0)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4" t="s">
        <v>35</v>
      </c>
      <c r="I311" s="270">
        <f ca="1">IFERROR(__xludf.DUMMYFUNCTION("IMPORTRANGE(""https://docs.google.com/spreadsheets/d/1QqKyyYR6Q21VydFLVH3TRQUabQu_ym0Zz7PgGX0-kHA/edit?usp=sharing"",""แผน!ED48"")"),0)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4" t="s">
        <v>35</v>
      </c>
      <c r="I312" s="270">
        <f ca="1">IFERROR(__xludf.DUMMYFUNCTION("IMPORTRANGE(""https://docs.google.com/spreadsheets/d/1QqKyyYR6Q21VydFLVH3TRQUabQu_ym0Zz7PgGX0-kHA/edit?usp=sharing"",""แผน!EE48"")"),0)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7"/>
      <c r="J316" s="617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7"/>
      <c r="J317" s="617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IFERROR(__xludf.DUMMYFUNCTION("IMPORTRANGE(""https://docs.google.com/spreadsheets/d/1MeEWN-I1oV_STSDYn1IFDPWt_1FKiwhDph83XaGc0o0/edit?usp=sharing"",""งบพรบ!EC48"")"),0)</f>
        <v>0</v>
      </c>
      <c r="M320" s="93">
        <f ca="1">IFERROR(__xludf.DUMMYFUNCTION("IMPORTRANGE(""https://docs.google.com/spreadsheets/d/1MeEWN-I1oV_STSDYn1IFDPWt_1FKiwhDph83XaGc0o0/edit?usp=sharing"",""งบพรบ!EH48"")"),0)</f>
        <v>0</v>
      </c>
      <c r="N320" s="93">
        <f ca="1">IFERROR(__xludf.DUMMYFUNCTION("IMPORTRANGE(""https://docs.google.com/spreadsheets/d/1MeEWN-I1oV_STSDYn1IFDPWt_1FKiwhDph83XaGc0o0/edit?usp=sharing"",""งบพรบ!EJ48"")"),0)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IFERROR(__xludf.DUMMYFUNCTION("IMPORTRANGE(""https://docs.google.com/spreadsheets/d/1MeEWN-I1oV_STSDYn1IFDPWt_1FKiwhDph83XaGc0o0/edit?usp=sharing"",""งบพรบ!EF48"")"),0)</f>
        <v>0</v>
      </c>
      <c r="M323" s="93">
        <f ca="1">IFERROR(__xludf.DUMMYFUNCTION("IMPORTRANGE(""https://docs.google.com/spreadsheets/d/1MeEWN-I1oV_STSDYn1IFDPWt_1FKiwhDph83XaGc0o0/edit?usp=sharing"",""งบพรบ!EI48"")"),0)</f>
        <v>0</v>
      </c>
      <c r="N323" s="93">
        <f ca="1">IFERROR(__xludf.DUMMYFUNCTION("IMPORTRANGE(""https://docs.google.com/spreadsheets/d/1MeEWN-I1oV_STSDYn1IFDPWt_1FKiwhDph83XaGc0o0/edit?usp=sharing"",""งบพรบ!EK48"")"),0)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7" t="s">
        <v>38</v>
      </c>
      <c r="E324" s="173"/>
      <c r="F324" s="173"/>
      <c r="G324" s="174"/>
      <c r="H324" s="762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3" t="s">
        <v>146</v>
      </c>
      <c r="I325" s="270">
        <f ca="1">IFERROR(__xludf.DUMMYFUNCTION("IMPORTRANGE(""https://docs.google.com/spreadsheets/d/1QqKyyYR6Q21VydFLVH3TRQUabQu_ym0Zz7PgGX0-kHA/edit?usp=sharing"",""แผน!EF48"")"),0)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IFERROR(__xludf.DUMMYFUNCTION("IMPORTRANGE(""https://docs.google.com/spreadsheets/d/1QqKyyYR6Q21VydFLVH3TRQUabQu_ym0Zz7PgGX0-kHA/edit?usp=sharing"",""แผน!EG48"")"),4600)</f>
        <v>4600</v>
      </c>
      <c r="J327" s="444">
        <f ca="1">J338+J341+J342+J343</f>
        <v>7548</v>
      </c>
      <c r="K327" s="445">
        <f ca="1">IF(I327&gt;0,J327*100/I327,0)</f>
        <v>164.08695652173913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175000</v>
      </c>
      <c r="M328" s="155">
        <f t="shared" ca="1" si="149"/>
        <v>177500</v>
      </c>
      <c r="N328" s="155">
        <f t="shared" ca="1" si="149"/>
        <v>177500</v>
      </c>
      <c r="O328" s="155">
        <f t="shared" ref="O328:O336" ca="1" si="150">IF(L328&gt;0,N328*100/L328,0)</f>
        <v>101.42857142857143</v>
      </c>
      <c r="P328" s="155">
        <f t="shared" ref="P328:P336" ca="1" si="151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7"/>
      <c r="J329" s="617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7"/>
      <c r="J330" s="617"/>
      <c r="K330" s="93"/>
      <c r="L330" s="93">
        <f t="shared" ca="1" si="152"/>
        <v>175000</v>
      </c>
      <c r="M330" s="93">
        <f t="shared" ca="1" si="152"/>
        <v>177500</v>
      </c>
      <c r="N330" s="93">
        <f t="shared" ca="1" si="152"/>
        <v>177500</v>
      </c>
      <c r="O330" s="93">
        <f t="shared" ca="1" si="150"/>
        <v>101.42857142857143</v>
      </c>
      <c r="P330" s="93">
        <f t="shared" ca="1" si="151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175000</v>
      </c>
      <c r="M331" s="498">
        <f t="shared" ca="1" si="153"/>
        <v>177500</v>
      </c>
      <c r="N331" s="498">
        <f t="shared" ca="1" si="153"/>
        <v>177500</v>
      </c>
      <c r="O331" s="498">
        <f t="shared" ca="1" si="150"/>
        <v>101.42857142857143</v>
      </c>
      <c r="P331" s="498">
        <f t="shared" ca="1" si="151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IFERROR(__xludf.DUMMYFUNCTION("IMPORTRANGE(""https://docs.google.com/spreadsheets/d/1MeEWN-I1oV_STSDYn1IFDPWt_1FKiwhDph83XaGc0o0/edit?usp=sharing"",""งบพรบ!EM48"")"),175000)</f>
        <v>175000</v>
      </c>
      <c r="M333" s="93">
        <f ca="1">IFERROR(__xludf.DUMMYFUNCTION("IMPORTRANGE(""https://docs.google.com/spreadsheets/d/1MeEWN-I1oV_STSDYn1IFDPWt_1FKiwhDph83XaGc0o0/edit?usp=sharing"",""งบพรบ!ER48"")"),177500)</f>
        <v>177500</v>
      </c>
      <c r="N333" s="93">
        <f ca="1">IFERROR(__xludf.DUMMYFUNCTION("IMPORTRANGE(""https://docs.google.com/spreadsheets/d/1MeEWN-I1oV_STSDYn1IFDPWt_1FKiwhDph83XaGc0o0/edit?usp=sharing"",""งบพรบ!ET48"")"),177500)</f>
        <v>177500</v>
      </c>
      <c r="O333" s="93">
        <f t="shared" ca="1" si="150"/>
        <v>101.42857142857143</v>
      </c>
      <c r="P333" s="93">
        <f t="shared" ca="1" si="151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IFERROR(__xludf.DUMMYFUNCTION("IMPORTRANGE(""https://docs.google.com/spreadsheets/d/1MeEWN-I1oV_STSDYn1IFDPWt_1FKiwhDph83XaGc0o0/edit?usp=sharing"",""งบพรบ!EP48"")"),0)</f>
        <v>0</v>
      </c>
      <c r="M336" s="93">
        <f ca="1">IFERROR(__xludf.DUMMYFUNCTION("IMPORTRANGE(""https://docs.google.com/spreadsheets/d/1MeEWN-I1oV_STSDYn1IFDPWt_1FKiwhDph83XaGc0o0/edit?usp=sharing"",""งบพรบ!ES48"")"),0)</f>
        <v>0</v>
      </c>
      <c r="N336" s="93">
        <f ca="1">IFERROR(__xludf.DUMMYFUNCTION("IMPORTRANGE(""https://docs.google.com/spreadsheets/d/1MeEWN-I1oV_STSDYn1IFDPWt_1FKiwhDph83XaGc0o0/edit?usp=sharing"",""งบพรบ!EU48"")"),0)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86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62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IFERROR(__xludf.DUMMYFUNCTION("IMPORTRANGE(""https://docs.google.com/spreadsheets/d/1QqKyyYR6Q21VydFLVH3TRQUabQu_ym0Zz7PgGX0-kHA/edit?usp=sharing"",""แผน!EG48"")"),4600)</f>
        <v>4600</v>
      </c>
      <c r="J338" s="270">
        <f ca="1">IFERROR(__xludf.DUMMYFUNCTION("IMPORTRANGE(""https://docs.google.com/spreadsheets/d/1kVcqe37tkHyjCSG3S0O1AXqVkqjo8mSIZil3BcpIysc/edit?usp=sharing"",""ศูนย์!D48"")"),7126)</f>
        <v>7126</v>
      </c>
      <c r="K338" s="498">
        <f ca="1">IF(I338&gt;0,J338*100/I338,0)</f>
        <v>154.91304347826087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IFERROR(__xludf.DUMMYFUNCTION("IMPORTRANGE(""https://docs.google.com/spreadsheets/d/1QqKyyYR6Q21VydFLVH3TRQUabQu_ym0Zz7PgGX0-kHA/edit?usp=sharing"",""แผน!EH48"")"),6)</f>
        <v>6</v>
      </c>
      <c r="J340" s="270">
        <f ca="1">IFERROR(__xludf.DUMMYFUNCTION("IMPORTRANGE(""https://docs.google.com/spreadsheets/d/1kVcqe37tkHyjCSG3S0O1AXqVkqjo8mSIZil3BcpIysc/edit?usp=sharing"",""ศูนย์!E48"")"),6)</f>
        <v>6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IFERROR(__xludf.DUMMYFUNCTION("IMPORTRANGE(""https://docs.google.com/spreadsheets/d/1kVcqe37tkHyjCSG3S0O1AXqVkqjo8mSIZil3BcpIysc/edit?usp=sharing"",""ศูนย์!F48"")"),422)</f>
        <v>422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IFERROR(__xludf.DUMMYFUNCTION("IMPORTRANGE(""https://docs.google.com/spreadsheets/d/1kVcqe37tkHyjCSG3S0O1AXqVkqjo8mSIZil3BcpIysc/edit?usp=sharing"",""ศูนย์!G48"")"),0)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IFERROR(__xludf.DUMMYFUNCTION("IMPORTRANGE(""https://docs.google.com/spreadsheets/d/1kVcqe37tkHyjCSG3S0O1AXqVkqjo8mSIZil3BcpIysc/edit?usp=sharing"",""ศูนย์!H48"")"),0)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1121060</v>
      </c>
      <c r="M345" s="155">
        <f t="shared" ca="1" si="155"/>
        <v>1196940</v>
      </c>
      <c r="N345" s="155">
        <f t="shared" ca="1" si="155"/>
        <v>1196940</v>
      </c>
      <c r="O345" s="155">
        <f t="shared" ref="O345:O353" ca="1" si="156">IF(L345&gt;0,N345*100/L345,0)</f>
        <v>106.76859400924126</v>
      </c>
      <c r="P345" s="155">
        <f t="shared" ref="P345:P353" ca="1" si="157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7"/>
      <c r="J346" s="617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7"/>
      <c r="J347" s="617"/>
      <c r="K347" s="93"/>
      <c r="L347" s="93">
        <f t="shared" ca="1" si="158"/>
        <v>1121060</v>
      </c>
      <c r="M347" s="93">
        <f t="shared" ca="1" si="158"/>
        <v>1196940</v>
      </c>
      <c r="N347" s="93">
        <f t="shared" ca="1" si="158"/>
        <v>1196940</v>
      </c>
      <c r="O347" s="93">
        <f t="shared" ca="1" si="156"/>
        <v>106.76859400924126</v>
      </c>
      <c r="P347" s="93">
        <f t="shared" ca="1" si="157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1061060</v>
      </c>
      <c r="M348" s="498">
        <f t="shared" ca="1" si="159"/>
        <v>1136940</v>
      </c>
      <c r="N348" s="498">
        <f t="shared" ca="1" si="159"/>
        <v>1136940</v>
      </c>
      <c r="O348" s="498">
        <f t="shared" ca="1" si="156"/>
        <v>107.15133922681092</v>
      </c>
      <c r="P348" s="498">
        <f t="shared" ca="1" si="157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IFERROR(__xludf.DUMMYFUNCTION("IMPORTRANGE(""https://docs.google.com/spreadsheets/d/1MeEWN-I1oV_STSDYn1IFDPWt_1FKiwhDph83XaGc0o0/edit?usp=sharing"",""งบพรบ!EW48"")"),1061060)</f>
        <v>1061060</v>
      </c>
      <c r="M350" s="93">
        <f ca="1">IFERROR(__xludf.DUMMYFUNCTION("IMPORTRANGE(""https://docs.google.com/spreadsheets/d/1MeEWN-I1oV_STSDYn1IFDPWt_1FKiwhDph83XaGc0o0/edit?usp=sharing"",""งบพรบ!FB48"")"),1136940)</f>
        <v>1136940</v>
      </c>
      <c r="N350" s="93">
        <f ca="1">IFERROR(__xludf.DUMMYFUNCTION("IMPORTRANGE(""https://docs.google.com/spreadsheets/d/1MeEWN-I1oV_STSDYn1IFDPWt_1FKiwhDph83XaGc0o0/edit?usp=sharing"",""งบพรบ!FD48"")"),1136940)</f>
        <v>1136940</v>
      </c>
      <c r="O350" s="93">
        <f t="shared" ca="1" si="156"/>
        <v>107.15133922681092</v>
      </c>
      <c r="P350" s="93">
        <f t="shared" ca="1" si="157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60000</v>
      </c>
      <c r="M351" s="498">
        <f t="shared" ca="1" si="160"/>
        <v>60000</v>
      </c>
      <c r="N351" s="498">
        <f t="shared" ca="1" si="160"/>
        <v>60000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IFERROR(__xludf.DUMMYFUNCTION("IMPORTRANGE(""https://docs.google.com/spreadsheets/d/1MeEWN-I1oV_STSDYn1IFDPWt_1FKiwhDph83XaGc0o0/edit?usp=sharing"",""งบพรบ!EZ48"")"),60000)</f>
        <v>60000</v>
      </c>
      <c r="M353" s="93">
        <f ca="1">IFERROR(__xludf.DUMMYFUNCTION("IMPORTRANGE(""https://docs.google.com/spreadsheets/d/1MeEWN-I1oV_STSDYn1IFDPWt_1FKiwhDph83XaGc0o0/edit?usp=sharing"",""งบพรบ!FC48"")"),60000)</f>
        <v>60000</v>
      </c>
      <c r="N353" s="93">
        <f ca="1">IFERROR(__xludf.DUMMYFUNCTION("IMPORTRANGE(""https://docs.google.com/spreadsheets/d/1MeEWN-I1oV_STSDYn1IFDPWt_1FKiwhDph83XaGc0o0/edit?usp=sharing"",""งบพรบ!FE48"")"),60000)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8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IFERROR(__xludf.DUMMYFUNCTION("IMPORTRANGE(""https://docs.google.com/spreadsheets/d/1QqKyyYR6Q21VydFLVH3TRQUabQu_ym0Zz7PgGX0-kHA/edit?usp=sharing"",""แผน!EP48"")"),440)</f>
        <v>440</v>
      </c>
      <c r="J355" s="465">
        <f ca="1">J362</f>
        <v>476</v>
      </c>
      <c r="K355" s="466">
        <f ca="1">IF(I355&gt;0,J355*100/I355,0)</f>
        <v>108.18181818181819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77" t="s">
        <v>38</v>
      </c>
      <c r="E357" s="173"/>
      <c r="F357" s="173"/>
      <c r="G357" s="174"/>
      <c r="H357" s="762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IFERROR(__xludf.DUMMYFUNCTION("IMPORTRANGE(""https://docs.google.com/spreadsheets/d/1XWAQStnk-4SwqDmLtmXYiTMKHgktTP8We1SCoS47DrQ/edit?usp=sharing"",""จัดที่ดิน!W48"")"),509)</f>
        <v>509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IFERROR(__xludf.DUMMYFUNCTION("IMPORTRANGE(""https://docs.google.com/spreadsheets/d/1QqKyyYR6Q21VydFLVH3TRQUabQu_ym0Zz7PgGX0-kHA/edit?usp=sharing"",""แผน!EO48"")"),4500)</f>
        <v>4500</v>
      </c>
      <c r="J359" s="270">
        <f ca="1">IFERROR(__xludf.DUMMYFUNCTION("IMPORTRANGE(""https://docs.google.com/spreadsheets/d/1XWAQStnk-4SwqDmLtmXYiTMKHgktTP8We1SCoS47DrQ/edit?usp=sharing"",""จัดที่ดิน!X48"")"),5196.3)</f>
        <v>5196.3</v>
      </c>
      <c r="K359" s="498">
        <f t="shared" ca="1" si="161"/>
        <v>115.47333333333333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4" t="s">
        <v>35</v>
      </c>
      <c r="I360" s="270">
        <f ca="1">IFERROR(__xludf.DUMMYFUNCTION("IMPORTRANGE(""https://docs.google.com/spreadsheets/d/1QqKyyYR6Q21VydFLVH3TRQUabQu_ym0Zz7PgGX0-kHA/edit?usp=sharing"",""แผน!EP48"")"),440)</f>
        <v>440</v>
      </c>
      <c r="J360" s="270">
        <f ca="1">IFERROR(__xludf.DUMMYFUNCTION("IMPORTRANGE(""https://docs.google.com/spreadsheets/d/1XWAQStnk-4SwqDmLtmXYiTMKHgktTP8We1SCoS47DrQ/edit?usp=sharing"",""จัดที่ดิน!Y48"")"),477)</f>
        <v>477</v>
      </c>
      <c r="K360" s="498">
        <f t="shared" ca="1" si="161"/>
        <v>108.40909090909091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IFERROR(__xludf.DUMMYFUNCTION("IMPORTRANGE(""https://docs.google.com/spreadsheets/d/1XWAQStnk-4SwqDmLtmXYiTMKHgktTP8We1SCoS47DrQ/edit?usp=sharing"",""จัดที่ดิน!Z48"")"),5094.31)</f>
        <v>5094.3100000000004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4" t="s">
        <v>35</v>
      </c>
      <c r="I362" s="270">
        <f ca="1">IFERROR(__xludf.DUMMYFUNCTION("IMPORTRANGE(""https://docs.google.com/spreadsheets/d/1QqKyyYR6Q21VydFLVH3TRQUabQu_ym0Zz7PgGX0-kHA/edit?usp=sharing"",""แผน!EP48"")"),440)</f>
        <v>440</v>
      </c>
      <c r="J362" s="270">
        <f ca="1">IFERROR(__xludf.DUMMYFUNCTION("IMPORTRANGE(""https://docs.google.com/spreadsheets/d/1XWAQStnk-4SwqDmLtmXYiTMKHgktTP8We1SCoS47DrQ/edit?usp=sharing"",""จัดที่ดิน!AA48"")"),476)</f>
        <v>476</v>
      </c>
      <c r="K362" s="498">
        <f t="shared" ca="1" si="161"/>
        <v>108.18181818181819</v>
      </c>
      <c r="L362" s="163"/>
      <c r="M362" s="163"/>
      <c r="N362" s="163"/>
      <c r="O362" s="163"/>
      <c r="P362" s="163"/>
    </row>
    <row r="363" spans="1:26" ht="18.75" hidden="1">
      <c r="A363" s="499" t="s">
        <v>169</v>
      </c>
      <c r="B363" s="178"/>
      <c r="C363" s="171"/>
      <c r="D363" s="178"/>
      <c r="E363" s="447"/>
      <c r="F363" s="178"/>
      <c r="G363" s="179"/>
      <c r="H363" s="76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IFERROR(__xludf.DUMMYFUNCTION("IMPORTRANGE(""https://docs.google.com/spreadsheets/d/1XWAQStnk-4SwqDmLtmXYiTMKHgktTP8We1SCoS47DrQ/edit?usp=sharing"",""จัดที่ดิน!AB48"")"),5084.84)</f>
        <v>5084.84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t="shared" ref="I364:J364" ca="1" si="162">I365+I374</f>
        <v>560</v>
      </c>
      <c r="J364" s="479">
        <f t="shared" ca="1" si="162"/>
        <v>617</v>
      </c>
      <c r="K364" s="480">
        <f t="shared" ca="1" si="161"/>
        <v>110.17857142857143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IFERROR(__xludf.DUMMYFUNCTION("IMPORTRANGE(""https://docs.google.com/spreadsheets/d/1QqKyyYR6Q21VydFLVH3TRQUabQu_ym0Zz7PgGX0-kHA/edit?usp=sharing"",""แผน!EJ48"")"),40)</f>
        <v>40</v>
      </c>
      <c r="J365" s="491">
        <f ca="1">J372</f>
        <v>44</v>
      </c>
      <c r="K365" s="492">
        <f t="shared" ca="1" si="161"/>
        <v>110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77" t="s">
        <v>38</v>
      </c>
      <c r="E367" s="173"/>
      <c r="F367" s="173"/>
      <c r="G367" s="174"/>
      <c r="H367" s="762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IFERROR(__xludf.DUMMYFUNCTION("IMPORTRANGE(""https://docs.google.com/spreadsheets/d/1XWAQStnk-4SwqDmLtmXYiTMKHgktTP8We1SCoS47DrQ/edit?usp=sharing"",""จัดที่ดิน!E48"")"),76)</f>
        <v>76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IFERROR(__xludf.DUMMYFUNCTION("IMPORTRANGE(""https://docs.google.com/spreadsheets/d/1QqKyyYR6Q21VydFLVH3TRQUabQu_ym0Zz7PgGX0-kHA/edit?usp=sharing"",""แผน!EI48"")"),500)</f>
        <v>500</v>
      </c>
      <c r="J369" s="270">
        <f ca="1">IFERROR(__xludf.DUMMYFUNCTION("IMPORTRANGE(""https://docs.google.com/spreadsheets/d/1XWAQStnk-4SwqDmLtmXYiTMKHgktTP8We1SCoS47DrQ/edit?usp=sharing"",""จัดที่ดิน!F48"")"),564.78)</f>
        <v>564.78</v>
      </c>
      <c r="K369" s="498">
        <f t="shared" ca="1" si="163"/>
        <v>112.956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4" t="s">
        <v>35</v>
      </c>
      <c r="I370" s="270">
        <f ca="1">IFERROR(__xludf.DUMMYFUNCTION("IMPORTRANGE(""https://docs.google.com/spreadsheets/d/1QqKyyYR6Q21VydFLVH3TRQUabQu_ym0Zz7PgGX0-kHA/edit?usp=sharing"",""แผน!EJ48"")"),40)</f>
        <v>40</v>
      </c>
      <c r="J370" s="270">
        <f ca="1">IFERROR(__xludf.DUMMYFUNCTION("IMPORTRANGE(""https://docs.google.com/spreadsheets/d/1XWAQStnk-4SwqDmLtmXYiTMKHgktTP8We1SCoS47DrQ/edit?usp=sharing"",""จัดที่ดิน!G48"")"),44)</f>
        <v>44</v>
      </c>
      <c r="K370" s="498">
        <f t="shared" ca="1" si="163"/>
        <v>110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IFERROR(__xludf.DUMMYFUNCTION("IMPORTRANGE(""https://docs.google.com/spreadsheets/d/1XWAQStnk-4SwqDmLtmXYiTMKHgktTP8We1SCoS47DrQ/edit?usp=sharing"",""จัดที่ดิน!H48"")"),462.79)</f>
        <v>462.79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4" t="s">
        <v>35</v>
      </c>
      <c r="I372" s="270">
        <f ca="1">IFERROR(__xludf.DUMMYFUNCTION("IMPORTRANGE(""https://docs.google.com/spreadsheets/d/1QqKyyYR6Q21VydFLVH3TRQUabQu_ym0Zz7PgGX0-kHA/edit?usp=sharing"",""แผน!EJ48"")"),40)</f>
        <v>40</v>
      </c>
      <c r="J372" s="270">
        <f ca="1">IFERROR(__xludf.DUMMYFUNCTION("IMPORTRANGE(""https://docs.google.com/spreadsheets/d/1XWAQStnk-4SwqDmLtmXYiTMKHgktTP8We1SCoS47DrQ/edit?usp=sharing"",""จัดที่ดิน!I48"")"),44)</f>
        <v>44</v>
      </c>
      <c r="K372" s="498">
        <f t="shared" ca="1" si="163"/>
        <v>110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8"/>
      <c r="C373" s="171"/>
      <c r="D373" s="178"/>
      <c r="E373" s="447"/>
      <c r="F373" s="178"/>
      <c r="G373" s="179"/>
      <c r="H373" s="76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IFERROR(__xludf.DUMMYFUNCTION("IMPORTRANGE(""https://docs.google.com/spreadsheets/d/1XWAQStnk-4SwqDmLtmXYiTMKHgktTP8We1SCoS47DrQ/edit?usp=sharing"",""จัดที่ดิน!J48"")"),462.79)</f>
        <v>462.79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IFERROR(__xludf.DUMMYFUNCTION("IMPORTRANGE(""https://docs.google.com/spreadsheets/d/1QqKyyYR6Q21VydFLVH3TRQUabQu_ym0Zz7PgGX0-kHA/edit?usp=sharing"",""แผน!EU48"")"),520)</f>
        <v>520</v>
      </c>
      <c r="J374" s="491">
        <f ca="1">J381</f>
        <v>573</v>
      </c>
      <c r="K374" s="492">
        <f t="shared" ca="1" si="163"/>
        <v>110.19230769230769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77" t="s">
        <v>38</v>
      </c>
      <c r="E376" s="173"/>
      <c r="F376" s="173"/>
      <c r="G376" s="174"/>
      <c r="H376" s="762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IFERROR(__xludf.DUMMYFUNCTION("IMPORTRANGE(""https://docs.google.com/spreadsheets/d/1XWAQStnk-4SwqDmLtmXYiTMKHgktTP8We1SCoS47DrQ/edit?usp=sharing"",""จัดที่ดิน!AH48"")"),433)</f>
        <v>433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IFERROR(__xludf.DUMMYFUNCTION("IMPORTRANGE(""https://docs.google.com/spreadsheets/d/1QqKyyYR6Q21VydFLVH3TRQUabQu_ym0Zz7PgGX0-kHA/edit?usp=sharing"",""แผน!ET48"")"),4000)</f>
        <v>4000</v>
      </c>
      <c r="J378" s="270">
        <f ca="1">IFERROR(__xludf.DUMMYFUNCTION("IMPORTRANGE(""https://docs.google.com/spreadsheets/d/1XWAQStnk-4SwqDmLtmXYiTMKHgktTP8We1SCoS47DrQ/edit?usp=sharing"",""จัดที่ดิน!AI48"")"),4631.52)</f>
        <v>4631.5200000000004</v>
      </c>
      <c r="K378" s="498">
        <f t="shared" ca="1" si="164"/>
        <v>115.78800000000001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4" t="s">
        <v>35</v>
      </c>
      <c r="I379" s="270">
        <f ca="1">IFERROR(__xludf.DUMMYFUNCTION("IMPORTRANGE(""https://docs.google.com/spreadsheets/d/1QqKyyYR6Q21VydFLVH3TRQUabQu_ym0Zz7PgGX0-kHA/edit?usp=sharing"",""แผน!EU48"")"),520)</f>
        <v>520</v>
      </c>
      <c r="J379" s="270">
        <f ca="1">IFERROR(__xludf.DUMMYFUNCTION("IMPORTRANGE(""https://docs.google.com/spreadsheets/d/1XWAQStnk-4SwqDmLtmXYiTMKHgktTP8We1SCoS47DrQ/edit?usp=sharing"",""จัดที่ดิน!AJ48"")"),574)</f>
        <v>574</v>
      </c>
      <c r="K379" s="498">
        <f t="shared" ca="1" si="164"/>
        <v>110.38461538461539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IFERROR(__xludf.DUMMYFUNCTION("IMPORTRANGE(""https://docs.google.com/spreadsheets/d/1XWAQStnk-4SwqDmLtmXYiTMKHgktTP8We1SCoS47DrQ/edit?usp=sharing"",""จัดที่ดิน!AK48"")"),6827.41)</f>
        <v>6827.41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4" t="s">
        <v>35</v>
      </c>
      <c r="I381" s="270">
        <f ca="1">IFERROR(__xludf.DUMMYFUNCTION("IMPORTRANGE(""https://docs.google.com/spreadsheets/d/1QqKyyYR6Q21VydFLVH3TRQUabQu_ym0Zz7PgGX0-kHA/edit?usp=sharing"",""แผน!EU48"")"),520)</f>
        <v>520</v>
      </c>
      <c r="J381" s="270">
        <f ca="1">IFERROR(__xludf.DUMMYFUNCTION("IMPORTRANGE(""https://docs.google.com/spreadsheets/d/1XWAQStnk-4SwqDmLtmXYiTMKHgktTP8We1SCoS47DrQ/edit?usp=sharing"",""จัดที่ดิน!AL48"")"),573)</f>
        <v>573</v>
      </c>
      <c r="K381" s="498">
        <f t="shared" ca="1" si="164"/>
        <v>110.19230769230769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8"/>
      <c r="C382" s="171"/>
      <c r="D382" s="178"/>
      <c r="E382" s="447"/>
      <c r="F382" s="178"/>
      <c r="G382" s="179"/>
      <c r="H382" s="76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IFERROR(__xludf.DUMMYFUNCTION("IMPORTRANGE(""https://docs.google.com/spreadsheets/d/1XWAQStnk-4SwqDmLtmXYiTMKHgktTP8We1SCoS47DrQ/edit?usp=sharing"",""จัดที่ดิน!AM48"")"),6817.94)</f>
        <v>6817.94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500"/>
      <c r="B383" s="501"/>
      <c r="C383" s="291"/>
      <c r="D383" s="889" t="s">
        <v>170</v>
      </c>
      <c r="E383" s="291"/>
      <c r="F383" s="291"/>
      <c r="G383" s="503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86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62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4" t="s">
        <v>171</v>
      </c>
      <c r="F385" s="381"/>
      <c r="G385" s="382"/>
      <c r="H385" s="505" t="s">
        <v>35</v>
      </c>
      <c r="I385" s="506">
        <f ca="1">IFERROR(__xludf.DUMMYFUNCTION("IMPORTRANGE(""https://docs.google.com/spreadsheets/d/1QqKyyYR6Q21VydFLVH3TRQUabQu_ym0Zz7PgGX0-kHA/edit?usp=sharing"",""แผน!EW48"")"),30)</f>
        <v>30</v>
      </c>
      <c r="J385" s="506">
        <f ca="1">IFERROR(__xludf.DUMMYFUNCTION("IMPORTRANGE(""https://docs.google.com/spreadsheets/d/1XWAQStnk-4SwqDmLtmXYiTMKHgktTP8We1SCoS47DrQ/edit?usp=sharing"",""จัดที่ดิน!AP48"")"),46)</f>
        <v>46</v>
      </c>
      <c r="K385" s="507">
        <f ca="1">IF(I385&gt;0,J385*100/I385,0)</f>
        <v>153.33333333333334</v>
      </c>
      <c r="L385" s="385"/>
      <c r="M385" s="385"/>
      <c r="N385" s="385"/>
      <c r="O385" s="385"/>
      <c r="P385" s="385"/>
    </row>
    <row r="386" spans="1:26" ht="19.5" hidden="1">
      <c r="A386" s="508" t="s">
        <v>172</v>
      </c>
      <c r="B386" s="509"/>
      <c r="C386" s="509"/>
      <c r="D386" s="509"/>
      <c r="E386" s="510"/>
      <c r="F386" s="510"/>
      <c r="G386" s="511"/>
      <c r="H386" s="512"/>
      <c r="I386" s="513"/>
      <c r="J386" s="513"/>
      <c r="K386" s="514"/>
      <c r="L386" s="514"/>
      <c r="M386" s="514"/>
      <c r="N386" s="514"/>
      <c r="O386" s="514"/>
      <c r="P386" s="514"/>
    </row>
    <row r="387" spans="1:26" ht="19.5" hidden="1">
      <c r="A387" s="515" t="s">
        <v>173</v>
      </c>
      <c r="B387" s="516"/>
      <c r="C387" s="516"/>
      <c r="D387" s="517"/>
      <c r="E387" s="516"/>
      <c r="F387" s="516"/>
      <c r="G387" s="516"/>
      <c r="H387" s="518"/>
      <c r="I387" s="519"/>
      <c r="J387" s="519"/>
      <c r="K387" s="520"/>
      <c r="L387" s="520"/>
      <c r="M387" s="520"/>
      <c r="N387" s="520"/>
      <c r="O387" s="520"/>
      <c r="P387" s="520"/>
    </row>
    <row r="388" spans="1:26" ht="19.5" hidden="1">
      <c r="A388" s="521"/>
      <c r="B388" s="522" t="s">
        <v>174</v>
      </c>
      <c r="C388" s="523"/>
      <c r="D388" s="524"/>
      <c r="E388" s="524"/>
      <c r="F388" s="524"/>
      <c r="G388" s="525"/>
      <c r="H388" s="526" t="s">
        <v>66</v>
      </c>
      <c r="I388" s="527">
        <f t="shared" ref="I388:J388" si="165">I400</f>
        <v>0</v>
      </c>
      <c r="J388" s="527">
        <f t="shared" si="165"/>
        <v>0</v>
      </c>
      <c r="K388" s="528">
        <f>IF(I388&gt;0,J388*100/I388,0)</f>
        <v>0</v>
      </c>
      <c r="L388" s="529"/>
      <c r="M388" s="529"/>
      <c r="N388" s="529"/>
      <c r="O388" s="529"/>
      <c r="P388" s="529"/>
    </row>
    <row r="389" spans="1:26" ht="19.5" hidden="1">
      <c r="A389" s="147"/>
      <c r="B389" s="148"/>
      <c r="C389" s="149" t="s">
        <v>16</v>
      </c>
      <c r="D389" s="87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7"/>
      <c r="J390" s="617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7"/>
      <c r="J391" s="617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IFERROR(__xludf.DUMMYFUNCTION("IMPORTRANGE(""https://docs.google.com/spreadsheets/d/1MeEWN-I1oV_STSDYn1IFDPWt_1FKiwhDph83XaGc0o0/edit?usp=sharing"",""งบพรบ!FG48"")"),0)</f>
        <v>0</v>
      </c>
      <c r="M394" s="93">
        <f ca="1">IFERROR(__xludf.DUMMYFUNCTION("IMPORTRANGE(""https://docs.google.com/spreadsheets/d/1MeEWN-I1oV_STSDYn1IFDPWt_1FKiwhDph83XaGc0o0/edit?usp=sharing"",""งบพรบ!FL48"")"),0)</f>
        <v>0</v>
      </c>
      <c r="N394" s="93">
        <f ca="1">IFERROR(__xludf.DUMMYFUNCTION("IMPORTRANGE(""https://docs.google.com/spreadsheets/d/1MeEWN-I1oV_STSDYn1IFDPWt_1FKiwhDph83XaGc0o0/edit?usp=sharing"",""งบพรบ!FN48"")"),0)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IFERROR(__xludf.DUMMYFUNCTION("IMPORTRANGE(""https://docs.google.com/spreadsheets/d/1MeEWN-I1oV_STSDYn1IFDPWt_1FKiwhDph83XaGc0o0/edit?usp=sharing"",""งบพรบ!FJ48"")"),0)</f>
        <v>0</v>
      </c>
      <c r="M397" s="93">
        <f ca="1">IFERROR(__xludf.DUMMYFUNCTION("IMPORTRANGE(""https://docs.google.com/spreadsheets/d/1MeEWN-I1oV_STSDYn1IFDPWt_1FKiwhDph83XaGc0o0/edit?usp=sharing"",""งบพรบ!FM48"")"),0)</f>
        <v>0</v>
      </c>
      <c r="N397" s="93">
        <f ca="1">IFERROR(__xludf.DUMMYFUNCTION("IMPORTRANGE(""https://docs.google.com/spreadsheets/d/1MeEWN-I1oV_STSDYn1IFDPWt_1FKiwhDph83XaGc0o0/edit?usp=sharing"",""งบพรบ!FO48"")"),0)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7" t="s">
        <v>38</v>
      </c>
      <c r="E398" s="173"/>
      <c r="F398" s="173"/>
      <c r="G398" s="174"/>
      <c r="H398" s="762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30"/>
      <c r="B399" s="148"/>
      <c r="C399" s="531"/>
      <c r="D399" s="532" t="s">
        <v>175</v>
      </c>
      <c r="E399" s="415"/>
      <c r="F399" s="148"/>
      <c r="G399" s="151"/>
      <c r="H399" s="533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4"/>
      <c r="M399" s="534"/>
      <c r="N399" s="534"/>
      <c r="O399" s="534"/>
      <c r="P399" s="534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1"/>
      <c r="B401" s="522" t="s">
        <v>177</v>
      </c>
      <c r="C401" s="523"/>
      <c r="D401" s="524"/>
      <c r="E401" s="524"/>
      <c r="F401" s="524"/>
      <c r="G401" s="525"/>
      <c r="H401" s="526" t="s">
        <v>66</v>
      </c>
      <c r="I401" s="527">
        <f t="shared" ref="I401:J401" si="173">I412</f>
        <v>0</v>
      </c>
      <c r="J401" s="527">
        <f t="shared" si="173"/>
        <v>0</v>
      </c>
      <c r="K401" s="528">
        <f t="shared" si="172"/>
        <v>0</v>
      </c>
      <c r="L401" s="529"/>
      <c r="M401" s="529"/>
      <c r="N401" s="529"/>
      <c r="O401" s="529"/>
      <c r="P401" s="529"/>
    </row>
    <row r="402" spans="1:26" ht="19.5" hidden="1">
      <c r="A402" s="147"/>
      <c r="B402" s="148"/>
      <c r="C402" s="149" t="s">
        <v>16</v>
      </c>
      <c r="D402" s="87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7"/>
      <c r="J403" s="617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7"/>
      <c r="J404" s="617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IFERROR(__xludf.DUMMYFUNCTION("IMPORTRANGE(""https://docs.google.com/spreadsheets/d/1MeEWN-I1oV_STSDYn1IFDPWt_1FKiwhDph83XaGc0o0/edit?usp=sharing"",""งบพรบ!FQ48"")"),0)</f>
        <v>0</v>
      </c>
      <c r="M407" s="93">
        <f ca="1">IFERROR(__xludf.DUMMYFUNCTION("IMPORTRANGE(""https://docs.google.com/spreadsheets/d/1MeEWN-I1oV_STSDYn1IFDPWt_1FKiwhDph83XaGc0o0/edit?usp=sharing"",""งบพรบ!FV48"")"),0)</f>
        <v>0</v>
      </c>
      <c r="N407" s="93">
        <f ca="1">IFERROR(__xludf.DUMMYFUNCTION("IMPORTRANGE(""https://docs.google.com/spreadsheets/d/1MeEWN-I1oV_STSDYn1IFDPWt_1FKiwhDph83XaGc0o0/edit?usp=sharing"",""งบพรบ!FX48"")"),0)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IFERROR(__xludf.DUMMYFUNCTION("IMPORTRANGE(""https://docs.google.com/spreadsheets/d/1MeEWN-I1oV_STSDYn1IFDPWt_1FKiwhDph83XaGc0o0/edit?usp=sharing"",""งบพรบ!FT48"")"),0)</f>
        <v>0</v>
      </c>
      <c r="M410" s="93">
        <f ca="1">IFERROR(__xludf.DUMMYFUNCTION("IMPORTRANGE(""https://docs.google.com/spreadsheets/d/1MeEWN-I1oV_STSDYn1IFDPWt_1FKiwhDph83XaGc0o0/edit?usp=sharing"",""งบพรบ!FW48"")"),0)</f>
        <v>0</v>
      </c>
      <c r="N410" s="93">
        <f ca="1">IFERROR(__xludf.DUMMYFUNCTION("IMPORTRANGE(""https://docs.google.com/spreadsheets/d/1MeEWN-I1oV_STSDYn1IFDPWt_1FKiwhDph83XaGc0o0/edit?usp=sharing"",""งบพรบ!FY48"")"),0)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90" t="s">
        <v>38</v>
      </c>
      <c r="E411" s="536"/>
      <c r="F411" s="536"/>
      <c r="G411" s="537"/>
      <c r="H411" s="762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8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9"/>
      <c r="B413" s="540"/>
      <c r="C413" s="540"/>
      <c r="D413" s="541" t="s">
        <v>179</v>
      </c>
      <c r="E413" s="540"/>
      <c r="F413" s="540"/>
      <c r="G413" s="542"/>
      <c r="H413" s="543" t="s">
        <v>180</v>
      </c>
      <c r="I413" s="544">
        <v>0</v>
      </c>
      <c r="J413" s="545">
        <v>0</v>
      </c>
      <c r="K413" s="546">
        <f t="shared" si="180"/>
        <v>0</v>
      </c>
      <c r="L413" s="547"/>
      <c r="M413" s="547"/>
      <c r="N413" s="547"/>
      <c r="O413" s="547"/>
      <c r="P413" s="547"/>
    </row>
    <row r="414" spans="1:26" ht="19.5">
      <c r="A414" s="548" t="s">
        <v>181</v>
      </c>
      <c r="B414" s="549"/>
      <c r="C414" s="549"/>
      <c r="D414" s="549"/>
      <c r="E414" s="549"/>
      <c r="F414" s="549"/>
      <c r="G414" s="550"/>
      <c r="H414" s="551"/>
      <c r="I414" s="552"/>
      <c r="J414" s="552"/>
      <c r="K414" s="553"/>
      <c r="L414" s="554">
        <f t="shared" ref="L414:N414" ca="1" si="181">L419+L444+L467+L502+L523+L544+L629+L655+L685+L737+L754+L770+L786+L805</f>
        <v>2829910</v>
      </c>
      <c r="M414" s="554">
        <f t="shared" ca="1" si="181"/>
        <v>2359293.5300000003</v>
      </c>
      <c r="N414" s="554">
        <f t="shared" si="181"/>
        <v>2359293.5300000003</v>
      </c>
      <c r="O414" s="554">
        <f ca="1">IF(L414&gt;0,N414*100/L414,0)</f>
        <v>83.369913884187142</v>
      </c>
      <c r="P414" s="554">
        <f ca="1">IF(M414&gt;0,N414*100/M414,0)</f>
        <v>100</v>
      </c>
    </row>
    <row r="415" spans="1:26" ht="19.5">
      <c r="A415" s="555" t="s">
        <v>182</v>
      </c>
      <c r="B415" s="556"/>
      <c r="C415" s="556"/>
      <c r="D415" s="556"/>
      <c r="E415" s="556"/>
      <c r="F415" s="556"/>
      <c r="G415" s="556"/>
      <c r="H415" s="557"/>
      <c r="I415" s="558"/>
      <c r="J415" s="558"/>
      <c r="K415" s="559"/>
      <c r="L415" s="560"/>
      <c r="M415" s="560"/>
      <c r="N415" s="560"/>
      <c r="O415" s="560"/>
      <c r="P415" s="560"/>
    </row>
    <row r="416" spans="1:26" ht="19.5">
      <c r="A416" s="555" t="s">
        <v>183</v>
      </c>
      <c r="B416" s="556"/>
      <c r="C416" s="556"/>
      <c r="D416" s="556"/>
      <c r="E416" s="556"/>
      <c r="F416" s="556"/>
      <c r="G416" s="561"/>
      <c r="H416" s="562"/>
      <c r="I416" s="563"/>
      <c r="J416" s="563"/>
      <c r="K416" s="560"/>
      <c r="L416" s="560"/>
      <c r="M416" s="560"/>
      <c r="N416" s="560"/>
      <c r="O416" s="560"/>
      <c r="P416" s="560"/>
    </row>
    <row r="417" spans="1:26" ht="39">
      <c r="A417" s="564">
        <v>1</v>
      </c>
      <c r="B417" s="566" t="s">
        <v>184</v>
      </c>
      <c r="C417" s="566"/>
      <c r="D417" s="567"/>
      <c r="E417" s="567"/>
      <c r="F417" s="567"/>
      <c r="G417" s="568"/>
      <c r="H417" s="569" t="s">
        <v>35</v>
      </c>
      <c r="I417" s="570">
        <f t="shared" ref="I417:J418" ca="1" si="182">I433</f>
        <v>20</v>
      </c>
      <c r="J417" s="570">
        <f t="shared" ca="1" si="182"/>
        <v>20</v>
      </c>
      <c r="K417" s="571">
        <f t="shared" ref="K417:K418" ca="1" si="183">IF(I417&gt;0,J417*100/I417,0)</f>
        <v>100</v>
      </c>
      <c r="L417" s="572"/>
      <c r="M417" s="572"/>
      <c r="N417" s="572"/>
      <c r="O417" s="572"/>
      <c r="P417" s="572"/>
    </row>
    <row r="418" spans="1:26" ht="19.5">
      <c r="A418" s="573"/>
      <c r="B418" s="564"/>
      <c r="C418" s="566"/>
      <c r="D418" s="567"/>
      <c r="E418" s="567"/>
      <c r="F418" s="567"/>
      <c r="G418" s="568"/>
      <c r="H418" s="569" t="s">
        <v>49</v>
      </c>
      <c r="I418" s="570">
        <f t="shared" ca="1" si="182"/>
        <v>1</v>
      </c>
      <c r="J418" s="570">
        <f t="shared" si="182"/>
        <v>1</v>
      </c>
      <c r="K418" s="571">
        <f t="shared" ca="1" si="183"/>
        <v>100</v>
      </c>
      <c r="L418" s="572"/>
      <c r="M418" s="572"/>
      <c r="N418" s="572"/>
      <c r="O418" s="572"/>
      <c r="P418" s="572"/>
    </row>
    <row r="419" spans="1:26" ht="19.5">
      <c r="A419" s="147"/>
      <c r="B419" s="148"/>
      <c r="C419" s="148" t="s">
        <v>16</v>
      </c>
      <c r="D419" s="891" t="s">
        <v>17</v>
      </c>
      <c r="E419" s="862"/>
      <c r="F419" s="86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63945</v>
      </c>
      <c r="N419" s="155">
        <f t="shared" si="184"/>
        <v>63945</v>
      </c>
      <c r="O419" s="155">
        <f t="shared" ref="O419:O424" ca="1" si="185">IF(L419&gt;0,N419*100/L419,0)</f>
        <v>81.292906178489702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7"/>
      <c r="J420" s="617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7"/>
      <c r="J421" s="617"/>
      <c r="K421" s="93"/>
      <c r="L421" s="93">
        <f t="shared" ca="1" si="187"/>
        <v>78660</v>
      </c>
      <c r="M421" s="93">
        <f t="shared" ca="1" si="187"/>
        <v>63945</v>
      </c>
      <c r="N421" s="93">
        <f t="shared" si="187"/>
        <v>63945</v>
      </c>
      <c r="O421" s="93">
        <f t="shared" ca="1" si="185"/>
        <v>81.292906178489702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63945</v>
      </c>
      <c r="N422" s="498">
        <f t="shared" si="188"/>
        <v>63945</v>
      </c>
      <c r="O422" s="498">
        <f t="shared" ca="1" si="185"/>
        <v>81.292906178489702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7"/>
      <c r="J423" s="617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7"/>
      <c r="J424" s="617"/>
      <c r="K424" s="93"/>
      <c r="L424" s="93">
        <f ca="1">IFERROR(__xludf.DUMMYFUNCTION("IMPORTRANGE(""https://docs.google.com/spreadsheets/d/1QqKyyYR6Q21VydFLVH3TRQUabQu_ym0Zz7PgGX0-kHA/edit?usp=sharing"",""แผน!EY48"")"),78660)</f>
        <v>78660</v>
      </c>
      <c r="M424" s="93">
        <f ca="1">L424-14715</f>
        <v>63945</v>
      </c>
      <c r="N424" s="93">
        <f>N425+N426+N427+N428</f>
        <v>63945</v>
      </c>
      <c r="O424" s="93">
        <f t="shared" ca="1" si="185"/>
        <v>81.292906178489702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4"/>
      <c r="B425" s="575"/>
      <c r="C425" s="763"/>
      <c r="D425" s="763"/>
      <c r="E425" s="763"/>
      <c r="F425" s="763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40">
        <v>63945</v>
      </c>
      <c r="O425" s="498"/>
      <c r="P425" s="49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</row>
    <row r="426" spans="1:26" ht="18.75">
      <c r="A426" s="574"/>
      <c r="B426" s="575"/>
      <c r="C426" s="763"/>
      <c r="D426" s="763"/>
      <c r="E426" s="763"/>
      <c r="F426" s="763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40">
        <v>0</v>
      </c>
      <c r="O426" s="498"/>
      <c r="P426" s="49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</row>
    <row r="427" spans="1:26" ht="18.75">
      <c r="A427" s="574"/>
      <c r="B427" s="575"/>
      <c r="C427" s="763"/>
      <c r="D427" s="763"/>
      <c r="E427" s="763"/>
      <c r="F427" s="763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40">
        <v>0</v>
      </c>
      <c r="O427" s="498"/>
      <c r="P427" s="49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40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92" t="s">
        <v>38</v>
      </c>
      <c r="E432" s="580"/>
      <c r="F432" s="580"/>
      <c r="G432" s="581"/>
      <c r="H432" s="582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1">
        <f ca="1">I435</f>
        <v>20</v>
      </c>
      <c r="J433" s="681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1">
        <f t="shared" ref="I434:J434" ca="1" si="193">I438+I440</f>
        <v>1</v>
      </c>
      <c r="J434" s="681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3" t="s">
        <v>35</v>
      </c>
      <c r="I435" s="583">
        <f ca="1">IFERROR(__xludf.DUMMYFUNCTION("IMPORTRANGE(""https://docs.google.com/spreadsheets/d/1QqKyyYR6Q21VydFLVH3TRQUabQu_ym0Zz7PgGX0-kHA/edit?usp=sharing"",""แผน!FC48"")"),20)</f>
        <v>20</v>
      </c>
      <c r="J435" s="584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3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3" t="s">
        <v>35</v>
      </c>
      <c r="I437" s="583">
        <f ca="1">IFERROR(__xludf.DUMMYFUNCTION("IMPORTRANGE(""https://docs.google.com/spreadsheets/d/1QqKyyYR6Q21VydFLVH3TRQUabQu_ym0Zz7PgGX0-kHA/edit?usp=sharing"",""แผน!FD48"")"),0)</f>
        <v>0</v>
      </c>
      <c r="J437" s="584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3" t="s">
        <v>49</v>
      </c>
      <c r="I438" s="270">
        <f ca="1">IFERROR(__xludf.DUMMYFUNCTION("IMPORTRANGE(""https://docs.google.com/spreadsheets/d/1QqKyyYR6Q21VydFLVH3TRQUabQu_ym0Zz7PgGX0-kHA/edit?usp=sharing"",""แผน!FE48"")"),0)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3" t="s">
        <v>35</v>
      </c>
      <c r="I439" s="583">
        <f ca="1">IFERROR(__xludf.DUMMYFUNCTION("IMPORTRANGE(""https://docs.google.com/spreadsheets/d/1QqKyyYR6Q21VydFLVH3TRQUabQu_ym0Zz7PgGX0-kHA/edit?usp=sharing"",""แผน!FF48"")"),20)</f>
        <v>20</v>
      </c>
      <c r="J439" s="584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3" t="s">
        <v>49</v>
      </c>
      <c r="I440" s="270">
        <f ca="1">IFERROR(__xludf.DUMMYFUNCTION("IMPORTRANGE(""https://docs.google.com/spreadsheets/d/1QqKyyYR6Q21VydFLVH3TRQUabQu_ym0Zz7PgGX0-kHA/edit?usp=sharing"",""แผน!FG48"")"),1)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3" t="s">
        <v>35</v>
      </c>
      <c r="I441" s="270">
        <f ca="1">IFERROR(__xludf.DUMMYFUNCTION("IMPORTRANGE(""https://docs.google.com/spreadsheets/d/1QqKyyYR6Q21VydFLVH3TRQUabQu_ym0Zz7PgGX0-kHA/edit?usp=sharing"",""แผน!FH48"")"),0)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5">
        <v>2</v>
      </c>
      <c r="B442" s="586" t="s">
        <v>200</v>
      </c>
      <c r="C442" s="587"/>
      <c r="D442" s="587"/>
      <c r="E442" s="587"/>
      <c r="F442" s="587"/>
      <c r="G442" s="588"/>
      <c r="H442" s="589" t="s">
        <v>35</v>
      </c>
      <c r="I442" s="590">
        <f t="shared" ref="I442:J442" ca="1" si="195">I460</f>
        <v>50</v>
      </c>
      <c r="J442" s="590">
        <f t="shared" si="195"/>
        <v>50</v>
      </c>
      <c r="K442" s="591">
        <f t="shared" ca="1" si="194"/>
        <v>100</v>
      </c>
      <c r="L442" s="592"/>
      <c r="M442" s="592"/>
      <c r="N442" s="592"/>
      <c r="O442" s="592"/>
      <c r="P442" s="592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</row>
    <row r="443" spans="1:26" ht="19.5">
      <c r="A443" s="593"/>
      <c r="B443" s="594"/>
      <c r="C443" s="595"/>
      <c r="D443" s="595"/>
      <c r="E443" s="595"/>
      <c r="F443" s="595"/>
      <c r="G443" s="596"/>
      <c r="H443" s="569" t="s">
        <v>46</v>
      </c>
      <c r="I443" s="570">
        <f t="shared" ref="I443:J443" ca="1" si="196">I462</f>
        <v>150</v>
      </c>
      <c r="J443" s="570">
        <f t="shared" si="196"/>
        <v>150</v>
      </c>
      <c r="K443" s="571">
        <f t="shared" ca="1" si="194"/>
        <v>100</v>
      </c>
      <c r="L443" s="572"/>
      <c r="M443" s="572"/>
      <c r="N443" s="572"/>
      <c r="O443" s="572"/>
      <c r="P443" s="572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</row>
    <row r="444" spans="1:26" ht="19.5">
      <c r="A444" s="597"/>
      <c r="B444" s="763"/>
      <c r="C444" s="763" t="s">
        <v>16</v>
      </c>
      <c r="D444" s="863" t="s">
        <v>17</v>
      </c>
      <c r="E444" s="857"/>
      <c r="F444" s="857"/>
      <c r="G444" s="189"/>
      <c r="H444" s="598" t="s">
        <v>12</v>
      </c>
      <c r="I444" s="270"/>
      <c r="J444" s="270"/>
      <c r="K444" s="498"/>
      <c r="L444" s="195">
        <f t="shared" ref="L444:N444" ca="1" si="197">L445+L446</f>
        <v>423800</v>
      </c>
      <c r="M444" s="195">
        <f t="shared" ca="1" si="197"/>
        <v>455270</v>
      </c>
      <c r="N444" s="195">
        <f t="shared" si="197"/>
        <v>455270</v>
      </c>
      <c r="O444" s="195">
        <f t="shared" ref="O444:O449" ca="1" si="198">IF(L444&gt;0,N444*100/L444,0)</f>
        <v>107.42567248702218</v>
      </c>
      <c r="P444" s="195">
        <f t="shared" ref="P444:P449" ca="1" si="199">IF(M444&gt;0,N444*100/M444,0)</f>
        <v>100</v>
      </c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</row>
    <row r="445" spans="1:26" ht="18.75" hidden="1">
      <c r="A445" s="599"/>
      <c r="B445" s="759"/>
      <c r="C445" s="759"/>
      <c r="D445" s="720"/>
      <c r="E445" s="759" t="s">
        <v>185</v>
      </c>
      <c r="F445" s="759"/>
      <c r="G445" s="603"/>
      <c r="H445" s="165" t="s">
        <v>12</v>
      </c>
      <c r="I445" s="617"/>
      <c r="J445" s="617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4"/>
      <c r="R445" s="604"/>
      <c r="S445" s="604"/>
      <c r="T445" s="604"/>
      <c r="U445" s="604"/>
      <c r="V445" s="604"/>
      <c r="W445" s="604"/>
      <c r="X445" s="604"/>
      <c r="Y445" s="604"/>
      <c r="Z445" s="604"/>
    </row>
    <row r="446" spans="1:26" ht="18.75" hidden="1">
      <c r="A446" s="599"/>
      <c r="B446" s="607"/>
      <c r="C446" s="759"/>
      <c r="D446" s="720"/>
      <c r="E446" s="759" t="s">
        <v>186</v>
      </c>
      <c r="F446" s="759"/>
      <c r="G446" s="603"/>
      <c r="H446" s="165" t="s">
        <v>12</v>
      </c>
      <c r="I446" s="617"/>
      <c r="J446" s="617"/>
      <c r="K446" s="93"/>
      <c r="L446" s="93">
        <f t="shared" ca="1" si="200"/>
        <v>423800</v>
      </c>
      <c r="M446" s="93">
        <f t="shared" ca="1" si="200"/>
        <v>455270</v>
      </c>
      <c r="N446" s="93">
        <f t="shared" si="200"/>
        <v>455270</v>
      </c>
      <c r="O446" s="93">
        <f t="shared" ca="1" si="198"/>
        <v>107.42567248702218</v>
      </c>
      <c r="P446" s="93">
        <f t="shared" ca="1" si="199"/>
        <v>100</v>
      </c>
      <c r="Q446" s="604"/>
      <c r="R446" s="604"/>
      <c r="S446" s="604"/>
      <c r="T446" s="604"/>
      <c r="U446" s="604"/>
      <c r="V446" s="604"/>
      <c r="W446" s="604"/>
      <c r="X446" s="604"/>
      <c r="Y446" s="604"/>
      <c r="Z446" s="604"/>
    </row>
    <row r="447" spans="1:26" ht="18.75">
      <c r="A447" s="597"/>
      <c r="B447" s="575"/>
      <c r="C447" s="763"/>
      <c r="D447" s="606" t="s">
        <v>20</v>
      </c>
      <c r="E447" s="763"/>
      <c r="F447" s="763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423800</v>
      </c>
      <c r="M447" s="498">
        <f t="shared" ca="1" si="201"/>
        <v>455270</v>
      </c>
      <c r="N447" s="498">
        <f t="shared" si="201"/>
        <v>455270</v>
      </c>
      <c r="O447" s="498">
        <f t="shared" ca="1" si="198"/>
        <v>107.42567248702218</v>
      </c>
      <c r="P447" s="498">
        <f t="shared" ca="1" si="199"/>
        <v>100</v>
      </c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</row>
    <row r="448" spans="1:26" ht="18.75" hidden="1">
      <c r="A448" s="599"/>
      <c r="B448" s="607"/>
      <c r="C448" s="759"/>
      <c r="D448" s="720"/>
      <c r="E448" s="759" t="s">
        <v>185</v>
      </c>
      <c r="F448" s="759"/>
      <c r="G448" s="603"/>
      <c r="H448" s="165" t="s">
        <v>12</v>
      </c>
      <c r="I448" s="617"/>
      <c r="J448" s="617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</row>
    <row r="449" spans="1:26" ht="18.75" hidden="1">
      <c r="A449" s="599"/>
      <c r="B449" s="607"/>
      <c r="C449" s="759"/>
      <c r="D449" s="720"/>
      <c r="E449" s="759" t="s">
        <v>186</v>
      </c>
      <c r="F449" s="759"/>
      <c r="G449" s="603"/>
      <c r="H449" s="165" t="s">
        <v>12</v>
      </c>
      <c r="I449" s="617"/>
      <c r="J449" s="617"/>
      <c r="K449" s="93"/>
      <c r="L449" s="93">
        <f ca="1">IFERROR(__xludf.DUMMYFUNCTION("IMPORTRANGE(""https://docs.google.com/spreadsheets/d/1QqKyyYR6Q21VydFLVH3TRQUabQu_ym0Zz7PgGX0-kHA/edit?usp=sharing"",""แผน!FJ48"")"),423800)</f>
        <v>423800</v>
      </c>
      <c r="M449" s="93">
        <f ca="1">L449+49796-18326</f>
        <v>455270</v>
      </c>
      <c r="N449" s="93">
        <f>N450+N451+N452+N453</f>
        <v>455270</v>
      </c>
      <c r="O449" s="93">
        <f t="shared" ca="1" si="198"/>
        <v>107.42567248702218</v>
      </c>
      <c r="P449" s="93">
        <f t="shared" ca="1" si="199"/>
        <v>100</v>
      </c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</row>
    <row r="450" spans="1:26" ht="18.75">
      <c r="A450" s="574"/>
      <c r="B450" s="575"/>
      <c r="C450" s="763"/>
      <c r="D450" s="763"/>
      <c r="E450" s="763"/>
      <c r="F450" s="763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40">
        <v>84690</v>
      </c>
      <c r="O450" s="498"/>
      <c r="P450" s="49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</row>
    <row r="451" spans="1:26" ht="18.75">
      <c r="A451" s="574"/>
      <c r="B451" s="575"/>
      <c r="C451" s="763"/>
      <c r="D451" s="763"/>
      <c r="E451" s="763"/>
      <c r="F451" s="763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40">
        <v>158000</v>
      </c>
      <c r="O451" s="498"/>
      <c r="P451" s="49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</row>
    <row r="452" spans="1:26" ht="18.75">
      <c r="A452" s="574"/>
      <c r="B452" s="575"/>
      <c r="C452" s="575"/>
      <c r="D452" s="575"/>
      <c r="E452" s="575"/>
      <c r="F452" s="763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40">
        <v>141700.01</v>
      </c>
      <c r="O452" s="498"/>
      <c r="P452" s="49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</row>
    <row r="453" spans="1:26" ht="18.75">
      <c r="A453" s="574"/>
      <c r="B453" s="575"/>
      <c r="C453" s="575"/>
      <c r="D453" s="575"/>
      <c r="E453" s="575"/>
      <c r="F453" s="763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40">
        <v>70879.990000000005</v>
      </c>
      <c r="O453" s="498"/>
      <c r="P453" s="49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</row>
    <row r="454" spans="1:26" ht="18.75">
      <c r="A454" s="597"/>
      <c r="B454" s="575"/>
      <c r="C454" s="575"/>
      <c r="D454" s="606" t="s">
        <v>21</v>
      </c>
      <c r="E454" s="575"/>
      <c r="F454" s="763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</row>
    <row r="455" spans="1:26" ht="18.75" hidden="1">
      <c r="A455" s="599"/>
      <c r="B455" s="607"/>
      <c r="C455" s="607"/>
      <c r="D455" s="607"/>
      <c r="E455" s="607" t="s">
        <v>18</v>
      </c>
      <c r="F455" s="759"/>
      <c r="G455" s="603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4"/>
      <c r="R455" s="604"/>
      <c r="S455" s="604"/>
      <c r="T455" s="604"/>
      <c r="U455" s="604"/>
      <c r="V455" s="604"/>
      <c r="W455" s="604"/>
      <c r="X455" s="604"/>
      <c r="Y455" s="604"/>
      <c r="Z455" s="604"/>
    </row>
    <row r="456" spans="1:26" ht="18.75" hidden="1">
      <c r="A456" s="599"/>
      <c r="B456" s="607"/>
      <c r="C456" s="607"/>
      <c r="D456" s="607"/>
      <c r="E456" s="607" t="s">
        <v>19</v>
      </c>
      <c r="F456" s="759"/>
      <c r="G456" s="603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4"/>
      <c r="R456" s="604"/>
      <c r="S456" s="604"/>
      <c r="T456" s="604"/>
      <c r="U456" s="604"/>
      <c r="V456" s="604"/>
      <c r="W456" s="604"/>
      <c r="X456" s="604"/>
      <c r="Y456" s="604"/>
      <c r="Z456" s="604"/>
    </row>
    <row r="457" spans="1:26" ht="19.5">
      <c r="A457" s="608"/>
      <c r="B457" s="618"/>
      <c r="C457" s="575" t="s">
        <v>16</v>
      </c>
      <c r="D457" s="893" t="s">
        <v>38</v>
      </c>
      <c r="E457" s="611"/>
      <c r="F457" s="761"/>
      <c r="G457" s="613"/>
      <c r="H457" s="762"/>
      <c r="I457" s="270"/>
      <c r="J457" s="270"/>
      <c r="K457" s="498"/>
      <c r="L457" s="498"/>
      <c r="M457" s="498"/>
      <c r="N457" s="498"/>
      <c r="O457" s="498"/>
      <c r="P457" s="49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</row>
    <row r="458" spans="1:26" ht="18.75" hidden="1">
      <c r="A458" s="614"/>
      <c r="B458" s="616"/>
      <c r="C458" s="616"/>
      <c r="D458" s="616" t="s">
        <v>201</v>
      </c>
      <c r="E458" s="616"/>
      <c r="F458" s="720"/>
      <c r="G458" s="366"/>
      <c r="H458" s="370" t="s">
        <v>35</v>
      </c>
      <c r="I458" s="617">
        <v>0</v>
      </c>
      <c r="J458" s="617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4"/>
      <c r="R458" s="604"/>
      <c r="S458" s="604"/>
      <c r="T458" s="604"/>
      <c r="U458" s="604"/>
      <c r="V458" s="604"/>
      <c r="W458" s="604"/>
      <c r="X458" s="604"/>
      <c r="Y458" s="604"/>
      <c r="Z458" s="604"/>
    </row>
    <row r="459" spans="1:26" ht="18.75" hidden="1">
      <c r="A459" s="614"/>
      <c r="B459" s="616"/>
      <c r="C459" s="616"/>
      <c r="D459" s="616" t="s">
        <v>202</v>
      </c>
      <c r="E459" s="616"/>
      <c r="F459" s="720"/>
      <c r="G459" s="366"/>
      <c r="H459" s="370"/>
      <c r="I459" s="617"/>
      <c r="J459" s="617"/>
      <c r="K459" s="93"/>
      <c r="L459" s="93"/>
      <c r="M459" s="93"/>
      <c r="N459" s="93"/>
      <c r="O459" s="93"/>
      <c r="P459" s="93"/>
      <c r="Q459" s="604"/>
      <c r="R459" s="604"/>
      <c r="S459" s="604"/>
      <c r="T459" s="604"/>
      <c r="U459" s="604"/>
      <c r="V459" s="604"/>
      <c r="W459" s="604"/>
      <c r="X459" s="604"/>
      <c r="Y459" s="604"/>
      <c r="Z459" s="604"/>
    </row>
    <row r="460" spans="1:26" ht="18.75">
      <c r="A460" s="608"/>
      <c r="B460" s="618"/>
      <c r="C460" s="618"/>
      <c r="D460" s="618" t="s">
        <v>203</v>
      </c>
      <c r="E460" s="618"/>
      <c r="F460" s="626"/>
      <c r="G460" s="762"/>
      <c r="H460" s="764" t="s">
        <v>35</v>
      </c>
      <c r="I460" s="270">
        <f ca="1">IFERROR(__xludf.DUMMYFUNCTION("IMPORTRANGE(""https://docs.google.com/spreadsheets/d/1QqKyyYR6Q21VydFLVH3TRQUabQu_ym0Zz7PgGX0-kHA/edit?usp=sharing"",""แผน!FN48"")"),50)</f>
        <v>50</v>
      </c>
      <c r="J460" s="215">
        <v>50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</row>
    <row r="461" spans="1:26" ht="18.75">
      <c r="A461" s="608"/>
      <c r="B461" s="618"/>
      <c r="C461" s="618"/>
      <c r="D461" s="618" t="s">
        <v>204</v>
      </c>
      <c r="E461" s="626"/>
      <c r="F461" s="626"/>
      <c r="G461" s="762"/>
      <c r="H461" s="764"/>
      <c r="I461" s="270"/>
      <c r="J461" s="270"/>
      <c r="K461" s="498"/>
      <c r="L461" s="498"/>
      <c r="M461" s="498"/>
      <c r="N461" s="498"/>
      <c r="O461" s="498"/>
      <c r="P461" s="49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</row>
    <row r="462" spans="1:26" ht="18.75">
      <c r="A462" s="608"/>
      <c r="B462" s="618"/>
      <c r="C462" s="618"/>
      <c r="D462" s="618" t="s">
        <v>205</v>
      </c>
      <c r="E462" s="626"/>
      <c r="F462" s="626"/>
      <c r="G462" s="762"/>
      <c r="H462" s="764" t="s">
        <v>46</v>
      </c>
      <c r="I462" s="270">
        <f ca="1">IFERROR(__xludf.DUMMYFUNCTION("IMPORTRANGE(""https://docs.google.com/spreadsheets/d/1QqKyyYR6Q21VydFLVH3TRQUabQu_ym0Zz7PgGX0-kHA/edit?usp=sharing"",""แผน!FO48"")"),150)</f>
        <v>150</v>
      </c>
      <c r="J462" s="215">
        <v>150</v>
      </c>
      <c r="K462" s="498">
        <f t="shared" ref="K462:K466" ca="1" si="205">IF(I462&gt;0,J462*100/I462,0)</f>
        <v>100</v>
      </c>
      <c r="L462" s="498"/>
      <c r="M462" s="498"/>
      <c r="N462" s="498"/>
      <c r="O462" s="498"/>
      <c r="P462" s="49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</row>
    <row r="463" spans="1:26" ht="18.75">
      <c r="A463" s="608"/>
      <c r="B463" s="618"/>
      <c r="C463" s="618"/>
      <c r="D463" s="618" t="s">
        <v>59</v>
      </c>
      <c r="E463" s="626"/>
      <c r="F463" s="763"/>
      <c r="G463" s="189"/>
      <c r="H463" s="764" t="s">
        <v>46</v>
      </c>
      <c r="I463" s="270">
        <f ca="1">IFERROR(__xludf.DUMMYFUNCTION("IMPORTRANGE(""https://docs.google.com/spreadsheets/d/1QqKyyYR6Q21VydFLVH3TRQUabQu_ym0Zz7PgGX0-kHA/edit?usp=sharing"",""แผน!FO48"")"),150)</f>
        <v>150</v>
      </c>
      <c r="J463" s="215">
        <v>150</v>
      </c>
      <c r="K463" s="498">
        <f t="shared" ca="1" si="205"/>
        <v>100</v>
      </c>
      <c r="L463" s="498"/>
      <c r="M463" s="498"/>
      <c r="N463" s="498"/>
      <c r="O463" s="498"/>
      <c r="P463" s="49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</row>
    <row r="464" spans="1:26" ht="19.5">
      <c r="A464" s="608"/>
      <c r="B464" s="618"/>
      <c r="C464" s="618"/>
      <c r="D464" s="618"/>
      <c r="E464" s="626"/>
      <c r="F464" s="626"/>
      <c r="G464" s="620"/>
      <c r="H464" s="764" t="s">
        <v>35</v>
      </c>
      <c r="I464" s="270">
        <f ca="1">IFERROR(__xludf.DUMMYFUNCTION("IMPORTRANGE(""https://docs.google.com/spreadsheets/d/1QqKyyYR6Q21VydFLVH3TRQUabQu_ym0Zz7PgGX0-kHA/edit?usp=sharing"",""แผน!FN48"")"),50)</f>
        <v>50</v>
      </c>
      <c r="J464" s="215">
        <v>50</v>
      </c>
      <c r="K464" s="498">
        <f t="shared" ca="1" si="205"/>
        <v>100</v>
      </c>
      <c r="L464" s="498"/>
      <c r="M464" s="498"/>
      <c r="N464" s="498"/>
      <c r="O464" s="498"/>
      <c r="P464" s="49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</row>
    <row r="465" spans="1:26" ht="19.5">
      <c r="A465" s="585">
        <v>3</v>
      </c>
      <c r="B465" s="586" t="s">
        <v>206</v>
      </c>
      <c r="C465" s="587"/>
      <c r="D465" s="587"/>
      <c r="E465" s="587"/>
      <c r="F465" s="587"/>
      <c r="G465" s="588"/>
      <c r="H465" s="589" t="s">
        <v>35</v>
      </c>
      <c r="I465" s="590">
        <f ca="1">IFERROR(__xludf.DUMMYFUNCTION("IMPORTRANGE(""https://docs.google.com/spreadsheets/d/1QqKyyYR6Q21VydFLVH3TRQUabQu_ym0Zz7PgGX0-kHA/edit?usp=sharing"",""แผน!FX48"")"),131)</f>
        <v>131</v>
      </c>
      <c r="J465" s="590">
        <f>J485+J489+J492</f>
        <v>131</v>
      </c>
      <c r="K465" s="591">
        <f t="shared" ca="1" si="205"/>
        <v>100</v>
      </c>
      <c r="L465" s="592"/>
      <c r="M465" s="592"/>
      <c r="N465" s="592"/>
      <c r="O465" s="592"/>
      <c r="P465" s="592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</row>
    <row r="466" spans="1:26" ht="19.5">
      <c r="A466" s="593"/>
      <c r="B466" s="594"/>
      <c r="C466" s="595"/>
      <c r="D466" s="595"/>
      <c r="E466" s="595"/>
      <c r="F466" s="595"/>
      <c r="G466" s="596"/>
      <c r="H466" s="569" t="s">
        <v>46</v>
      </c>
      <c r="I466" s="570">
        <f ca="1">IFERROR(__xludf.DUMMYFUNCTION("IMPORTRANGE(""https://docs.google.com/spreadsheets/d/1QqKyyYR6Q21VydFLVH3TRQUabQu_ym0Zz7PgGX0-kHA/edit?usp=sharing"",""แผน!FW48"")"),1300)</f>
        <v>1300</v>
      </c>
      <c r="J466" s="570">
        <f>J495+J498</f>
        <v>1300</v>
      </c>
      <c r="K466" s="571">
        <f t="shared" ca="1" si="205"/>
        <v>100</v>
      </c>
      <c r="L466" s="572"/>
      <c r="M466" s="572"/>
      <c r="N466" s="572"/>
      <c r="O466" s="572"/>
      <c r="P466" s="572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</row>
    <row r="467" spans="1:26" ht="19.5">
      <c r="A467" s="597"/>
      <c r="B467" s="763"/>
      <c r="C467" s="763" t="s">
        <v>16</v>
      </c>
      <c r="D467" s="863" t="s">
        <v>17</v>
      </c>
      <c r="E467" s="857"/>
      <c r="F467" s="857"/>
      <c r="G467" s="189"/>
      <c r="H467" s="598" t="s">
        <v>12</v>
      </c>
      <c r="I467" s="270"/>
      <c r="J467" s="270"/>
      <c r="K467" s="498"/>
      <c r="L467" s="195">
        <f t="shared" ref="L467:N467" ca="1" si="206">L468+L469</f>
        <v>1161548</v>
      </c>
      <c r="M467" s="195">
        <f t="shared" ca="1" si="206"/>
        <v>695231.02</v>
      </c>
      <c r="N467" s="195">
        <f t="shared" si="206"/>
        <v>695231.02</v>
      </c>
      <c r="O467" s="195">
        <f t="shared" ref="O467:O472" ca="1" si="207">IF(L467&gt;0,N467*100/L467,0)</f>
        <v>59.853834710231517</v>
      </c>
      <c r="P467" s="195">
        <f t="shared" ref="P467:P472" ca="1" si="208">IF(M467&gt;0,N467*100/M467,0)</f>
        <v>100</v>
      </c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</row>
    <row r="468" spans="1:26" ht="18.75" hidden="1">
      <c r="A468" s="599"/>
      <c r="B468" s="759"/>
      <c r="C468" s="759"/>
      <c r="D468" s="720"/>
      <c r="E468" s="759" t="s">
        <v>185</v>
      </c>
      <c r="F468" s="759"/>
      <c r="G468" s="603"/>
      <c r="H468" s="165" t="s">
        <v>12</v>
      </c>
      <c r="I468" s="617"/>
      <c r="J468" s="617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4"/>
      <c r="R468" s="604"/>
      <c r="S468" s="604"/>
      <c r="T468" s="604"/>
      <c r="U468" s="604"/>
      <c r="V468" s="604"/>
      <c r="W468" s="604"/>
      <c r="X468" s="604"/>
      <c r="Y468" s="604"/>
      <c r="Z468" s="604"/>
    </row>
    <row r="469" spans="1:26" ht="18.75" hidden="1">
      <c r="A469" s="599"/>
      <c r="B469" s="607"/>
      <c r="C469" s="759"/>
      <c r="D469" s="720"/>
      <c r="E469" s="759" t="s">
        <v>186</v>
      </c>
      <c r="F469" s="759"/>
      <c r="G469" s="603"/>
      <c r="H469" s="165" t="s">
        <v>12</v>
      </c>
      <c r="I469" s="617"/>
      <c r="J469" s="617"/>
      <c r="K469" s="93"/>
      <c r="L469" s="93">
        <f t="shared" ca="1" si="209"/>
        <v>1161548</v>
      </c>
      <c r="M469" s="93">
        <f t="shared" ca="1" si="209"/>
        <v>695231.02</v>
      </c>
      <c r="N469" s="93">
        <f t="shared" si="209"/>
        <v>695231.02</v>
      </c>
      <c r="O469" s="93">
        <f t="shared" ca="1" si="207"/>
        <v>59.853834710231517</v>
      </c>
      <c r="P469" s="93">
        <f t="shared" ca="1" si="208"/>
        <v>100</v>
      </c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</row>
    <row r="470" spans="1:26" ht="18.75">
      <c r="A470" s="597"/>
      <c r="B470" s="575"/>
      <c r="C470" s="763"/>
      <c r="D470" s="606" t="s">
        <v>20</v>
      </c>
      <c r="E470" s="763"/>
      <c r="F470" s="763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1161548</v>
      </c>
      <c r="M470" s="498">
        <f t="shared" ca="1" si="210"/>
        <v>695231.02</v>
      </c>
      <c r="N470" s="498">
        <f t="shared" si="210"/>
        <v>695231.02</v>
      </c>
      <c r="O470" s="498">
        <f t="shared" ca="1" si="207"/>
        <v>59.853834710231517</v>
      </c>
      <c r="P470" s="498">
        <f t="shared" ca="1" si="208"/>
        <v>100</v>
      </c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</row>
    <row r="471" spans="1:26" ht="18.75" hidden="1">
      <c r="A471" s="599"/>
      <c r="B471" s="607"/>
      <c r="C471" s="759"/>
      <c r="D471" s="720"/>
      <c r="E471" s="759" t="s">
        <v>185</v>
      </c>
      <c r="F471" s="759"/>
      <c r="G471" s="603"/>
      <c r="H471" s="165" t="s">
        <v>12</v>
      </c>
      <c r="I471" s="617"/>
      <c r="J471" s="617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4"/>
      <c r="R471" s="604"/>
      <c r="S471" s="604"/>
      <c r="T471" s="604"/>
      <c r="U471" s="604"/>
      <c r="V471" s="604"/>
      <c r="W471" s="604"/>
      <c r="X471" s="604"/>
      <c r="Y471" s="604"/>
      <c r="Z471" s="604"/>
    </row>
    <row r="472" spans="1:26" ht="18.75" hidden="1">
      <c r="A472" s="599"/>
      <c r="B472" s="607"/>
      <c r="C472" s="759"/>
      <c r="D472" s="720"/>
      <c r="E472" s="759" t="s">
        <v>186</v>
      </c>
      <c r="F472" s="759"/>
      <c r="G472" s="603"/>
      <c r="H472" s="165" t="s">
        <v>12</v>
      </c>
      <c r="I472" s="617"/>
      <c r="J472" s="617"/>
      <c r="K472" s="93"/>
      <c r="L472" s="93">
        <f ca="1">IFERROR(__xludf.DUMMYFUNCTION("IMPORTRANGE(""https://docs.google.com/spreadsheets/d/1QqKyyYR6Q21VydFLVH3TRQUabQu_ym0Zz7PgGX0-kHA/edit?usp=sharing"",""แผน!FS48"")"),1161548)</f>
        <v>1161548</v>
      </c>
      <c r="M472" s="93">
        <f ca="1">L472+10660-476976.98</f>
        <v>695231.02</v>
      </c>
      <c r="N472" s="93">
        <f>N473+N474+N475+N476</f>
        <v>695231.02</v>
      </c>
      <c r="O472" s="93">
        <f t="shared" ca="1" si="207"/>
        <v>59.853834710231517</v>
      </c>
      <c r="P472" s="93">
        <f t="shared" ca="1" si="208"/>
        <v>100</v>
      </c>
      <c r="Q472" s="604"/>
      <c r="R472" s="604"/>
      <c r="S472" s="604"/>
      <c r="T472" s="604"/>
      <c r="U472" s="604"/>
      <c r="V472" s="604"/>
      <c r="W472" s="604"/>
      <c r="X472" s="604"/>
      <c r="Y472" s="604"/>
      <c r="Z472" s="604"/>
    </row>
    <row r="473" spans="1:26" ht="18.75">
      <c r="A473" s="574"/>
      <c r="B473" s="575"/>
      <c r="C473" s="763"/>
      <c r="D473" s="763"/>
      <c r="E473" s="763"/>
      <c r="F473" s="763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40">
        <v>165161</v>
      </c>
      <c r="O473" s="498"/>
      <c r="P473" s="49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</row>
    <row r="474" spans="1:26" ht="18.75">
      <c r="A474" s="574"/>
      <c r="B474" s="575"/>
      <c r="C474" s="763"/>
      <c r="D474" s="763"/>
      <c r="E474" s="763"/>
      <c r="F474" s="763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40">
        <v>348000</v>
      </c>
      <c r="O474" s="498"/>
      <c r="P474" s="49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</row>
    <row r="475" spans="1:26" ht="18.75">
      <c r="A475" s="574"/>
      <c r="B475" s="575"/>
      <c r="C475" s="575"/>
      <c r="D475" s="575"/>
      <c r="E475" s="575"/>
      <c r="F475" s="763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40">
        <v>142133.34</v>
      </c>
      <c r="O475" s="498"/>
      <c r="P475" s="49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</row>
    <row r="476" spans="1:26" ht="18.75">
      <c r="A476" s="574"/>
      <c r="B476" s="575"/>
      <c r="C476" s="575"/>
      <c r="D476" s="575"/>
      <c r="E476" s="575"/>
      <c r="F476" s="763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40">
        <v>39936.68</v>
      </c>
      <c r="O476" s="498"/>
      <c r="P476" s="49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</row>
    <row r="477" spans="1:26" ht="18.75">
      <c r="A477" s="597"/>
      <c r="B477" s="575"/>
      <c r="C477" s="575"/>
      <c r="D477" s="606" t="s">
        <v>21</v>
      </c>
      <c r="E477" s="575"/>
      <c r="F477" s="575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</row>
    <row r="478" spans="1:26" ht="18.75" hidden="1">
      <c r="A478" s="599"/>
      <c r="B478" s="607"/>
      <c r="C478" s="607"/>
      <c r="D478" s="607"/>
      <c r="E478" s="607" t="s">
        <v>18</v>
      </c>
      <c r="F478" s="607"/>
      <c r="G478" s="603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4"/>
      <c r="R478" s="604"/>
      <c r="S478" s="604"/>
      <c r="T478" s="604"/>
      <c r="U478" s="604"/>
      <c r="V478" s="604"/>
      <c r="W478" s="604"/>
      <c r="X478" s="604"/>
      <c r="Y478" s="604"/>
      <c r="Z478" s="604"/>
    </row>
    <row r="479" spans="1:26" ht="18.75" hidden="1">
      <c r="A479" s="599"/>
      <c r="B479" s="607"/>
      <c r="C479" s="607"/>
      <c r="D479" s="607"/>
      <c r="E479" s="607" t="s">
        <v>19</v>
      </c>
      <c r="F479" s="607"/>
      <c r="G479" s="603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4"/>
      <c r="R479" s="604"/>
      <c r="S479" s="604"/>
      <c r="T479" s="604"/>
      <c r="U479" s="604"/>
      <c r="V479" s="604"/>
      <c r="W479" s="604"/>
      <c r="X479" s="604"/>
      <c r="Y479" s="604"/>
      <c r="Z479" s="604"/>
    </row>
    <row r="480" spans="1:26" ht="19.5">
      <c r="A480" s="608"/>
      <c r="B480" s="618"/>
      <c r="C480" s="575" t="s">
        <v>16</v>
      </c>
      <c r="D480" s="894" t="s">
        <v>38</v>
      </c>
      <c r="E480" s="611"/>
      <c r="F480" s="761"/>
      <c r="G480" s="613"/>
      <c r="H480" s="762"/>
      <c r="I480" s="270"/>
      <c r="J480" s="270"/>
      <c r="K480" s="498"/>
      <c r="L480" s="498"/>
      <c r="M480" s="498"/>
      <c r="N480" s="498"/>
      <c r="O480" s="498"/>
      <c r="P480" s="49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</row>
    <row r="481" spans="1:26" ht="19.5">
      <c r="A481" s="608"/>
      <c r="B481" s="618"/>
      <c r="C481" s="618"/>
      <c r="D481" s="625" t="s">
        <v>207</v>
      </c>
      <c r="E481" s="618"/>
      <c r="F481" s="618"/>
      <c r="G481" s="762"/>
      <c r="H481" s="189"/>
      <c r="I481" s="270"/>
      <c r="J481" s="270"/>
      <c r="K481" s="498"/>
      <c r="L481" s="498"/>
      <c r="M481" s="498"/>
      <c r="N481" s="498"/>
      <c r="O481" s="498"/>
      <c r="P481" s="49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</row>
    <row r="482" spans="1:26" ht="18.75">
      <c r="A482" s="608"/>
      <c r="B482" s="618"/>
      <c r="C482" s="618"/>
      <c r="D482" s="618"/>
      <c r="E482" s="618" t="s">
        <v>208</v>
      </c>
      <c r="F482" s="618"/>
      <c r="G482" s="762"/>
      <c r="H482" s="189"/>
      <c r="I482" s="270"/>
      <c r="J482" s="270"/>
      <c r="K482" s="498"/>
      <c r="L482" s="498"/>
      <c r="M482" s="498"/>
      <c r="N482" s="498"/>
      <c r="O482" s="498"/>
      <c r="P482" s="49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</row>
    <row r="483" spans="1:26" ht="18.75">
      <c r="A483" s="608"/>
      <c r="B483" s="618"/>
      <c r="C483" s="618"/>
      <c r="D483" s="618"/>
      <c r="E483" s="618"/>
      <c r="F483" s="618" t="s">
        <v>209</v>
      </c>
      <c r="G483" s="762"/>
      <c r="H483" s="623" t="s">
        <v>46</v>
      </c>
      <c r="I483" s="270">
        <f ca="1">IFERROR(__xludf.DUMMYFUNCTION("IMPORTRANGE(""https://docs.google.com/spreadsheets/d/1QqKyyYR6Q21VydFLVH3TRQUabQu_ym0Zz7PgGX0-kHA/edit?usp=sharing"",""แผน!FY48"")"),1170)</f>
        <v>1170</v>
      </c>
      <c r="J483" s="215">
        <v>1170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</row>
    <row r="484" spans="1:26" ht="18.75">
      <c r="A484" s="608"/>
      <c r="B484" s="618"/>
      <c r="C484" s="618"/>
      <c r="D484" s="618"/>
      <c r="E484" s="618"/>
      <c r="F484" s="618" t="s">
        <v>210</v>
      </c>
      <c r="G484" s="762"/>
      <c r="H484" s="623" t="s">
        <v>35</v>
      </c>
      <c r="I484" s="270"/>
      <c r="J484" s="215">
        <v>117</v>
      </c>
      <c r="K484" s="498"/>
      <c r="L484" s="498"/>
      <c r="M484" s="498"/>
      <c r="N484" s="498"/>
      <c r="O484" s="498"/>
      <c r="P484" s="49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</row>
    <row r="485" spans="1:26" ht="18.75">
      <c r="A485" s="608"/>
      <c r="B485" s="618"/>
      <c r="C485" s="618"/>
      <c r="D485" s="618"/>
      <c r="E485" s="618"/>
      <c r="F485" s="618" t="s">
        <v>211</v>
      </c>
      <c r="G485" s="762"/>
      <c r="H485" s="623" t="s">
        <v>35</v>
      </c>
      <c r="I485" s="270">
        <f ca="1">IFERROR(__xludf.DUMMYFUNCTION("IMPORTRANGE(""https://docs.google.com/spreadsheets/d/1QqKyyYR6Q21VydFLVH3TRQUabQu_ym0Zz7PgGX0-kHA/edit?usp=sharing"",""แผน!FZ48"")"),117)</f>
        <v>117</v>
      </c>
      <c r="J485" s="215">
        <v>117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</row>
    <row r="486" spans="1:26" ht="18.75">
      <c r="A486" s="608"/>
      <c r="B486" s="618"/>
      <c r="C486" s="618"/>
      <c r="D486" s="618"/>
      <c r="E486" s="618" t="s">
        <v>62</v>
      </c>
      <c r="F486" s="618"/>
      <c r="G486" s="762"/>
      <c r="H486" s="623"/>
      <c r="I486" s="270"/>
      <c r="J486" s="270"/>
      <c r="K486" s="498"/>
      <c r="L486" s="498"/>
      <c r="M486" s="498"/>
      <c r="N486" s="498"/>
      <c r="O486" s="498"/>
      <c r="P486" s="49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</row>
    <row r="487" spans="1:26" ht="18.75">
      <c r="A487" s="608"/>
      <c r="B487" s="618"/>
      <c r="C487" s="618"/>
      <c r="D487" s="618"/>
      <c r="E487" s="618"/>
      <c r="F487" s="618" t="s">
        <v>209</v>
      </c>
      <c r="G487" s="762"/>
      <c r="H487" s="623" t="s">
        <v>46</v>
      </c>
      <c r="I487" s="270">
        <f ca="1">IFERROR(__xludf.DUMMYFUNCTION("IMPORTRANGE(""https://docs.google.com/spreadsheets/d/1QqKyyYR6Q21VydFLVH3TRQUabQu_ym0Zz7PgGX0-kHA/edit?usp=sharing"",""แผน!GA48"")"),130)</f>
        <v>130</v>
      </c>
      <c r="J487" s="215">
        <v>130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</row>
    <row r="488" spans="1:26" ht="18.75">
      <c r="A488" s="608"/>
      <c r="B488" s="618"/>
      <c r="C488" s="618"/>
      <c r="D488" s="618"/>
      <c r="E488" s="618"/>
      <c r="F488" s="618" t="s">
        <v>212</v>
      </c>
      <c r="G488" s="762"/>
      <c r="H488" s="623" t="s">
        <v>35</v>
      </c>
      <c r="I488" s="270"/>
      <c r="J488" s="215">
        <v>13</v>
      </c>
      <c r="K488" s="498"/>
      <c r="L488" s="498"/>
      <c r="M488" s="498"/>
      <c r="N488" s="498"/>
      <c r="O488" s="498"/>
      <c r="P488" s="49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</row>
    <row r="489" spans="1:26" ht="18.75">
      <c r="A489" s="608"/>
      <c r="B489" s="618"/>
      <c r="C489" s="618"/>
      <c r="D489" s="618"/>
      <c r="E489" s="618"/>
      <c r="F489" s="618" t="s">
        <v>213</v>
      </c>
      <c r="G489" s="762"/>
      <c r="H489" s="623" t="s">
        <v>35</v>
      </c>
      <c r="I489" s="270">
        <f ca="1">IFERROR(__xludf.DUMMYFUNCTION("IMPORTRANGE(""https://docs.google.com/spreadsheets/d/1QqKyyYR6Q21VydFLVH3TRQUabQu_ym0Zz7PgGX0-kHA/edit?usp=sharing"",""แผน!GB48"")"),13)</f>
        <v>13</v>
      </c>
      <c r="J489" s="215">
        <v>13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</row>
    <row r="490" spans="1:26" ht="18.75">
      <c r="A490" s="608"/>
      <c r="B490" s="618"/>
      <c r="C490" s="618"/>
      <c r="D490" s="618"/>
      <c r="E490" s="618" t="s">
        <v>63</v>
      </c>
      <c r="F490" s="626"/>
      <c r="G490" s="762"/>
      <c r="H490" s="623"/>
      <c r="I490" s="270"/>
      <c r="J490" s="270"/>
      <c r="K490" s="498"/>
      <c r="L490" s="498"/>
      <c r="M490" s="498"/>
      <c r="N490" s="498"/>
      <c r="O490" s="498"/>
      <c r="P490" s="49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</row>
    <row r="491" spans="1:26" ht="18.75">
      <c r="A491" s="608"/>
      <c r="B491" s="618"/>
      <c r="C491" s="618"/>
      <c r="D491" s="618"/>
      <c r="E491" s="618"/>
      <c r="F491" s="618" t="s">
        <v>214</v>
      </c>
      <c r="G491" s="762"/>
      <c r="H491" s="623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</row>
    <row r="492" spans="1:26" ht="18.75">
      <c r="A492" s="608"/>
      <c r="B492" s="618"/>
      <c r="C492" s="618"/>
      <c r="D492" s="618"/>
      <c r="E492" s="618"/>
      <c r="F492" s="618" t="s">
        <v>215</v>
      </c>
      <c r="G492" s="762"/>
      <c r="H492" s="623" t="s">
        <v>35</v>
      </c>
      <c r="I492" s="270">
        <f ca="1">IFERROR(__xludf.DUMMYFUNCTION("IMPORTRANGE(""https://docs.google.com/spreadsheets/d/1QqKyyYR6Q21VydFLVH3TRQUabQu_ym0Zz7PgGX0-kHA/edit?usp=sharing"",""แผน!GC48"")"),1)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</row>
    <row r="493" spans="1:26" ht="19.5">
      <c r="A493" s="608"/>
      <c r="B493" s="618"/>
      <c r="C493" s="618"/>
      <c r="D493" s="625" t="s">
        <v>59</v>
      </c>
      <c r="E493" s="618"/>
      <c r="F493" s="626"/>
      <c r="G493" s="762"/>
      <c r="H493" s="189"/>
      <c r="I493" s="270"/>
      <c r="J493" s="270"/>
      <c r="K493" s="498"/>
      <c r="L493" s="498"/>
      <c r="M493" s="498"/>
      <c r="N493" s="498"/>
      <c r="O493" s="498"/>
      <c r="P493" s="49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</row>
    <row r="494" spans="1:26" ht="18.75">
      <c r="A494" s="608"/>
      <c r="B494" s="618"/>
      <c r="C494" s="618"/>
      <c r="D494" s="618"/>
      <c r="E494" s="618" t="s">
        <v>208</v>
      </c>
      <c r="F494" s="626"/>
      <c r="G494" s="762"/>
      <c r="H494" s="189"/>
      <c r="I494" s="270"/>
      <c r="J494" s="270"/>
      <c r="K494" s="498"/>
      <c r="L494" s="498"/>
      <c r="M494" s="498"/>
      <c r="N494" s="498"/>
      <c r="O494" s="498"/>
      <c r="P494" s="49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</row>
    <row r="495" spans="1:26" ht="18.75">
      <c r="A495" s="608"/>
      <c r="B495" s="618"/>
      <c r="C495" s="618"/>
      <c r="D495" s="618"/>
      <c r="E495" s="618"/>
      <c r="F495" s="626" t="s">
        <v>216</v>
      </c>
      <c r="G495" s="762"/>
      <c r="H495" s="623" t="s">
        <v>46</v>
      </c>
      <c r="I495" s="270">
        <f ca="1">IFERROR(__xludf.DUMMYFUNCTION("IMPORTRANGE(""https://docs.google.com/spreadsheets/d/1QqKyyYR6Q21VydFLVH3TRQUabQu_ym0Zz7PgGX0-kHA/edit?usp=sharing"",""แผน!FY48"")"),1170)</f>
        <v>1170</v>
      </c>
      <c r="J495" s="215">
        <v>1170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</row>
    <row r="496" spans="1:26" ht="18.75">
      <c r="A496" s="608"/>
      <c r="B496" s="618"/>
      <c r="C496" s="618"/>
      <c r="D496" s="618"/>
      <c r="E496" s="618"/>
      <c r="F496" s="626" t="s">
        <v>217</v>
      </c>
      <c r="G496" s="762"/>
      <c r="H496" s="623" t="s">
        <v>46</v>
      </c>
      <c r="I496" s="270"/>
      <c r="J496" s="215">
        <v>1170</v>
      </c>
      <c r="K496" s="498"/>
      <c r="L496" s="498"/>
      <c r="M496" s="498"/>
      <c r="N496" s="498"/>
      <c r="O496" s="498"/>
      <c r="P496" s="49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</row>
    <row r="497" spans="1:26" ht="18.75">
      <c r="A497" s="608"/>
      <c r="B497" s="618"/>
      <c r="C497" s="618"/>
      <c r="D497" s="618"/>
      <c r="E497" s="618" t="s">
        <v>62</v>
      </c>
      <c r="F497" s="626"/>
      <c r="G497" s="762"/>
      <c r="H497" s="189"/>
      <c r="I497" s="270"/>
      <c r="J497" s="270"/>
      <c r="K497" s="498"/>
      <c r="L497" s="498"/>
      <c r="M497" s="498"/>
      <c r="N497" s="498"/>
      <c r="O497" s="498"/>
      <c r="P497" s="49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</row>
    <row r="498" spans="1:26" ht="18.75">
      <c r="A498" s="608"/>
      <c r="B498" s="618"/>
      <c r="C498" s="618"/>
      <c r="D498" s="618"/>
      <c r="E498" s="626"/>
      <c r="F498" s="626" t="s">
        <v>218</v>
      </c>
      <c r="G498" s="762"/>
      <c r="H498" s="623" t="s">
        <v>46</v>
      </c>
      <c r="I498" s="270">
        <f ca="1">IFERROR(__xludf.DUMMYFUNCTION("IMPORTRANGE(""https://docs.google.com/spreadsheets/d/1QqKyyYR6Q21VydFLVH3TRQUabQu_ym0Zz7PgGX0-kHA/edit?usp=sharing"",""แผน!GA48"")"),130)</f>
        <v>130</v>
      </c>
      <c r="J498" s="215">
        <v>130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</row>
    <row r="499" spans="1:26" ht="18.75">
      <c r="A499" s="608"/>
      <c r="B499" s="618"/>
      <c r="C499" s="618"/>
      <c r="D499" s="618"/>
      <c r="E499" s="626"/>
      <c r="F499" s="626" t="s">
        <v>219</v>
      </c>
      <c r="G499" s="762"/>
      <c r="H499" s="623" t="s">
        <v>46</v>
      </c>
      <c r="I499" s="270"/>
      <c r="J499" s="215">
        <v>130</v>
      </c>
      <c r="K499" s="498"/>
      <c r="L499" s="498"/>
      <c r="M499" s="498"/>
      <c r="N499" s="498"/>
      <c r="O499" s="498"/>
      <c r="P499" s="49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</row>
    <row r="500" spans="1:26" ht="19.5" hidden="1">
      <c r="A500" s="627">
        <v>4</v>
      </c>
      <c r="B500" s="628" t="s">
        <v>220</v>
      </c>
      <c r="C500" s="629"/>
      <c r="D500" s="630"/>
      <c r="E500" s="630"/>
      <c r="F500" s="630"/>
      <c r="G500" s="631"/>
      <c r="H500" s="632" t="s">
        <v>109</v>
      </c>
      <c r="I500" s="633"/>
      <c r="J500" s="633">
        <f t="shared" ref="J500:J501" si="214">J516</f>
        <v>0</v>
      </c>
      <c r="K500" s="634">
        <f t="shared" ref="K500:K501" si="215">IF(I500&gt;0,J500*100/I500,0)</f>
        <v>0</v>
      </c>
      <c r="L500" s="635"/>
      <c r="M500" s="635"/>
      <c r="N500" s="635"/>
      <c r="O500" s="635"/>
      <c r="P500" s="635"/>
      <c r="Q500" s="604"/>
      <c r="R500" s="604"/>
      <c r="S500" s="604"/>
      <c r="T500" s="604"/>
      <c r="U500" s="604"/>
      <c r="V500" s="604"/>
      <c r="W500" s="604"/>
      <c r="X500" s="604"/>
      <c r="Y500" s="604"/>
      <c r="Z500" s="604"/>
    </row>
    <row r="501" spans="1:26" ht="19.5" hidden="1">
      <c r="A501" s="636"/>
      <c r="B501" s="638" t="s">
        <v>221</v>
      </c>
      <c r="C501" s="638"/>
      <c r="D501" s="639"/>
      <c r="E501" s="639"/>
      <c r="F501" s="639"/>
      <c r="G501" s="640"/>
      <c r="H501" s="641" t="s">
        <v>35</v>
      </c>
      <c r="I501" s="642"/>
      <c r="J501" s="642">
        <f t="shared" si="214"/>
        <v>0</v>
      </c>
      <c r="K501" s="643">
        <f t="shared" si="215"/>
        <v>0</v>
      </c>
      <c r="L501" s="644"/>
      <c r="M501" s="644"/>
      <c r="N501" s="644"/>
      <c r="O501" s="644"/>
      <c r="P501" s="64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</row>
    <row r="502" spans="1:26" ht="19.5" hidden="1">
      <c r="A502" s="599"/>
      <c r="B502" s="759"/>
      <c r="C502" s="759" t="s">
        <v>16</v>
      </c>
      <c r="D502" s="864" t="s">
        <v>17</v>
      </c>
      <c r="E502" s="857"/>
      <c r="F502" s="857"/>
      <c r="G502" s="603"/>
      <c r="H502" s="646" t="s">
        <v>12</v>
      </c>
      <c r="I502" s="617"/>
      <c r="J502" s="617"/>
      <c r="K502" s="93"/>
      <c r="L502" s="647">
        <f t="shared" ref="L502:N502" si="216">L503+L504</f>
        <v>0</v>
      </c>
      <c r="M502" s="647">
        <f t="shared" si="216"/>
        <v>0</v>
      </c>
      <c r="N502" s="647">
        <f t="shared" si="216"/>
        <v>0</v>
      </c>
      <c r="O502" s="647">
        <f t="shared" ref="O502:O507" si="217">IF(L502&gt;0,N502*100/L502,0)</f>
        <v>0</v>
      </c>
      <c r="P502" s="647">
        <f t="shared" ref="P502:P507" si="218">IF(M502&gt;0,N502*100/M502,0)</f>
        <v>0</v>
      </c>
      <c r="Q502" s="604"/>
      <c r="R502" s="604"/>
      <c r="S502" s="604"/>
      <c r="T502" s="604"/>
      <c r="U502" s="604"/>
      <c r="V502" s="604"/>
      <c r="W502" s="604"/>
      <c r="X502" s="604"/>
      <c r="Y502" s="604"/>
      <c r="Z502" s="604"/>
    </row>
    <row r="503" spans="1:26" ht="18.75" hidden="1">
      <c r="A503" s="599"/>
      <c r="B503" s="759"/>
      <c r="C503" s="759"/>
      <c r="D503" s="720"/>
      <c r="E503" s="759" t="s">
        <v>185</v>
      </c>
      <c r="F503" s="759"/>
      <c r="G503" s="603"/>
      <c r="H503" s="165" t="s">
        <v>12</v>
      </c>
      <c r="I503" s="617"/>
      <c r="J503" s="617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4"/>
      <c r="R503" s="604"/>
      <c r="S503" s="604"/>
      <c r="T503" s="604"/>
      <c r="U503" s="604"/>
      <c r="V503" s="604"/>
      <c r="W503" s="604"/>
      <c r="X503" s="604"/>
      <c r="Y503" s="604"/>
      <c r="Z503" s="604"/>
    </row>
    <row r="504" spans="1:26" ht="18.75" hidden="1">
      <c r="A504" s="599"/>
      <c r="B504" s="607"/>
      <c r="C504" s="759"/>
      <c r="D504" s="720"/>
      <c r="E504" s="759" t="s">
        <v>186</v>
      </c>
      <c r="F504" s="759"/>
      <c r="G504" s="603"/>
      <c r="H504" s="165" t="s">
        <v>12</v>
      </c>
      <c r="I504" s="617"/>
      <c r="J504" s="617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4"/>
      <c r="R504" s="604"/>
      <c r="S504" s="604"/>
      <c r="T504" s="604"/>
      <c r="U504" s="604"/>
      <c r="V504" s="604"/>
      <c r="W504" s="604"/>
      <c r="X504" s="604"/>
      <c r="Y504" s="604"/>
      <c r="Z504" s="604"/>
    </row>
    <row r="505" spans="1:26" ht="18.75" hidden="1">
      <c r="A505" s="599"/>
      <c r="B505" s="607"/>
      <c r="C505" s="759"/>
      <c r="D505" s="648" t="s">
        <v>20</v>
      </c>
      <c r="E505" s="759"/>
      <c r="F505" s="759"/>
      <c r="G505" s="603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4"/>
      <c r="R505" s="604"/>
      <c r="S505" s="604"/>
      <c r="T505" s="604"/>
      <c r="U505" s="604"/>
      <c r="V505" s="604"/>
      <c r="W505" s="604"/>
      <c r="X505" s="604"/>
      <c r="Y505" s="604"/>
      <c r="Z505" s="604"/>
    </row>
    <row r="506" spans="1:26" ht="18.75" hidden="1">
      <c r="A506" s="599"/>
      <c r="B506" s="607"/>
      <c r="C506" s="759"/>
      <c r="D506" s="720"/>
      <c r="E506" s="759" t="s">
        <v>185</v>
      </c>
      <c r="F506" s="759"/>
      <c r="G506" s="603"/>
      <c r="H506" s="165" t="s">
        <v>12</v>
      </c>
      <c r="I506" s="617"/>
      <c r="J506" s="617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4"/>
      <c r="R506" s="604"/>
      <c r="S506" s="604"/>
      <c r="T506" s="604"/>
      <c r="U506" s="604"/>
      <c r="V506" s="604"/>
      <c r="W506" s="604"/>
      <c r="X506" s="604"/>
      <c r="Y506" s="604"/>
      <c r="Z506" s="604"/>
    </row>
    <row r="507" spans="1:26" ht="18.75" hidden="1">
      <c r="A507" s="599"/>
      <c r="B507" s="607"/>
      <c r="C507" s="759"/>
      <c r="D507" s="720"/>
      <c r="E507" s="759" t="s">
        <v>186</v>
      </c>
      <c r="F507" s="759"/>
      <c r="G507" s="603"/>
      <c r="H507" s="165" t="s">
        <v>12</v>
      </c>
      <c r="I507" s="617"/>
      <c r="J507" s="617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4"/>
      <c r="R507" s="604"/>
      <c r="S507" s="604"/>
      <c r="T507" s="604"/>
      <c r="U507" s="604"/>
      <c r="V507" s="604"/>
      <c r="W507" s="604"/>
      <c r="X507" s="604"/>
      <c r="Y507" s="604"/>
      <c r="Z507" s="604"/>
    </row>
    <row r="508" spans="1:26" ht="18.75" hidden="1">
      <c r="A508" s="649"/>
      <c r="B508" s="607"/>
      <c r="C508" s="759"/>
      <c r="D508" s="759"/>
      <c r="E508" s="759"/>
      <c r="F508" s="759" t="s">
        <v>187</v>
      </c>
      <c r="G508" s="603"/>
      <c r="H508" s="165" t="s">
        <v>12</v>
      </c>
      <c r="I508" s="617"/>
      <c r="J508" s="617"/>
      <c r="K508" s="93"/>
      <c r="L508" s="93"/>
      <c r="M508" s="93"/>
      <c r="N508" s="93">
        <v>0</v>
      </c>
      <c r="O508" s="93"/>
      <c r="P508" s="93"/>
      <c r="Q508" s="604"/>
      <c r="R508" s="604"/>
      <c r="S508" s="604"/>
      <c r="T508" s="604"/>
      <c r="U508" s="604"/>
      <c r="V508" s="604"/>
      <c r="W508" s="604"/>
      <c r="X508" s="604"/>
      <c r="Y508" s="604"/>
      <c r="Z508" s="604"/>
    </row>
    <row r="509" spans="1:26" ht="18.75" hidden="1">
      <c r="A509" s="649"/>
      <c r="B509" s="607"/>
      <c r="C509" s="759"/>
      <c r="D509" s="759"/>
      <c r="E509" s="759"/>
      <c r="F509" s="759" t="s">
        <v>188</v>
      </c>
      <c r="G509" s="603"/>
      <c r="H509" s="165" t="s">
        <v>12</v>
      </c>
      <c r="I509" s="617"/>
      <c r="J509" s="617"/>
      <c r="K509" s="93"/>
      <c r="L509" s="93"/>
      <c r="M509" s="93"/>
      <c r="N509" s="93">
        <v>0</v>
      </c>
      <c r="O509" s="93"/>
      <c r="P509" s="93"/>
      <c r="Q509" s="604"/>
      <c r="R509" s="604"/>
      <c r="S509" s="604"/>
      <c r="T509" s="604"/>
      <c r="U509" s="604"/>
      <c r="V509" s="604"/>
      <c r="W509" s="604"/>
      <c r="X509" s="604"/>
      <c r="Y509" s="604"/>
      <c r="Z509" s="604"/>
    </row>
    <row r="510" spans="1:26" ht="18.75" hidden="1">
      <c r="A510" s="649"/>
      <c r="B510" s="607"/>
      <c r="C510" s="607"/>
      <c r="D510" s="607"/>
      <c r="E510" s="759"/>
      <c r="F510" s="759" t="s">
        <v>189</v>
      </c>
      <c r="G510" s="603"/>
      <c r="H510" s="165" t="s">
        <v>12</v>
      </c>
      <c r="I510" s="617"/>
      <c r="J510" s="617"/>
      <c r="K510" s="93"/>
      <c r="L510" s="93"/>
      <c r="M510" s="93"/>
      <c r="N510" s="93">
        <v>0</v>
      </c>
      <c r="O510" s="93"/>
      <c r="P510" s="93"/>
      <c r="Q510" s="604"/>
      <c r="R510" s="604"/>
      <c r="S510" s="604"/>
      <c r="T510" s="604"/>
      <c r="U510" s="604"/>
      <c r="V510" s="604"/>
      <c r="W510" s="604"/>
      <c r="X510" s="604"/>
      <c r="Y510" s="604"/>
      <c r="Z510" s="604"/>
    </row>
    <row r="511" spans="1:26" ht="18.75" hidden="1">
      <c r="A511" s="649"/>
      <c r="B511" s="607"/>
      <c r="C511" s="607"/>
      <c r="D511" s="607"/>
      <c r="E511" s="759"/>
      <c r="F511" s="759" t="s">
        <v>190</v>
      </c>
      <c r="G511" s="603"/>
      <c r="H511" s="165" t="s">
        <v>12</v>
      </c>
      <c r="I511" s="617"/>
      <c r="J511" s="617"/>
      <c r="K511" s="93"/>
      <c r="L511" s="93"/>
      <c r="M511" s="93"/>
      <c r="N511" s="93">
        <v>0</v>
      </c>
      <c r="O511" s="93"/>
      <c r="P511" s="93"/>
      <c r="Q511" s="604"/>
      <c r="R511" s="604"/>
      <c r="S511" s="604"/>
      <c r="T511" s="604"/>
      <c r="U511" s="604"/>
      <c r="V511" s="604"/>
      <c r="W511" s="604"/>
      <c r="X511" s="604"/>
      <c r="Y511" s="604"/>
      <c r="Z511" s="604"/>
    </row>
    <row r="512" spans="1:26" ht="18.75" hidden="1">
      <c r="A512" s="599"/>
      <c r="B512" s="607"/>
      <c r="C512" s="607"/>
      <c r="D512" s="648" t="s">
        <v>21</v>
      </c>
      <c r="E512" s="607"/>
      <c r="F512" s="759"/>
      <c r="G512" s="603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4"/>
      <c r="R512" s="604"/>
      <c r="S512" s="604"/>
      <c r="T512" s="604"/>
      <c r="U512" s="604"/>
      <c r="V512" s="604"/>
      <c r="W512" s="604"/>
      <c r="X512" s="604"/>
      <c r="Y512" s="604"/>
      <c r="Z512" s="604"/>
    </row>
    <row r="513" spans="1:26" ht="18.75" hidden="1">
      <c r="A513" s="599"/>
      <c r="B513" s="607"/>
      <c r="C513" s="607"/>
      <c r="D513" s="607"/>
      <c r="E513" s="607" t="s">
        <v>18</v>
      </c>
      <c r="F513" s="759"/>
      <c r="G513" s="603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4"/>
      <c r="R513" s="604"/>
      <c r="S513" s="604"/>
      <c r="T513" s="604"/>
      <c r="U513" s="604"/>
      <c r="V513" s="604"/>
      <c r="W513" s="604"/>
      <c r="X513" s="604"/>
      <c r="Y513" s="604"/>
      <c r="Z513" s="604"/>
    </row>
    <row r="514" spans="1:26" ht="18.75" hidden="1">
      <c r="A514" s="599"/>
      <c r="B514" s="607"/>
      <c r="C514" s="607"/>
      <c r="D514" s="759"/>
      <c r="E514" s="607" t="s">
        <v>19</v>
      </c>
      <c r="F514" s="759"/>
      <c r="G514" s="603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4"/>
      <c r="R514" s="604"/>
      <c r="S514" s="604"/>
      <c r="T514" s="604"/>
      <c r="U514" s="604"/>
      <c r="V514" s="604"/>
      <c r="W514" s="604"/>
      <c r="X514" s="604"/>
      <c r="Y514" s="604"/>
      <c r="Z514" s="604"/>
    </row>
    <row r="515" spans="1:26" ht="19.5" hidden="1">
      <c r="A515" s="614"/>
      <c r="B515" s="616"/>
      <c r="C515" s="607" t="s">
        <v>16</v>
      </c>
      <c r="D515" s="895" t="s">
        <v>38</v>
      </c>
      <c r="E515" s="651"/>
      <c r="F515" s="651"/>
      <c r="G515" s="652"/>
      <c r="H515" s="366"/>
      <c r="I515" s="166"/>
      <c r="J515" s="166"/>
      <c r="K515" s="167"/>
      <c r="L515" s="167"/>
      <c r="M515" s="167"/>
      <c r="N515" s="167"/>
      <c r="O515" s="167"/>
      <c r="P515" s="167"/>
      <c r="Q515" s="604"/>
      <c r="R515" s="604"/>
      <c r="S515" s="604"/>
      <c r="T515" s="604"/>
      <c r="U515" s="604"/>
      <c r="V515" s="604"/>
      <c r="W515" s="604"/>
      <c r="X515" s="604"/>
      <c r="Y515" s="604"/>
      <c r="Z515" s="604"/>
    </row>
    <row r="516" spans="1:26" ht="18.75" hidden="1">
      <c r="A516" s="614"/>
      <c r="B516" s="616"/>
      <c r="C516" s="616"/>
      <c r="D516" s="616" t="s">
        <v>222</v>
      </c>
      <c r="E516" s="720"/>
      <c r="F516" s="720"/>
      <c r="G516" s="366"/>
      <c r="H516" s="653" t="s">
        <v>109</v>
      </c>
      <c r="I516" s="617"/>
      <c r="J516" s="617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4"/>
      <c r="R516" s="604"/>
      <c r="S516" s="604"/>
      <c r="T516" s="604"/>
      <c r="U516" s="604"/>
      <c r="V516" s="604"/>
      <c r="W516" s="604"/>
      <c r="X516" s="604"/>
      <c r="Y516" s="604"/>
      <c r="Z516" s="604"/>
    </row>
    <row r="517" spans="1:26" ht="19.5" hidden="1">
      <c r="A517" s="614"/>
      <c r="B517" s="616"/>
      <c r="C517" s="616"/>
      <c r="D517" s="616" t="s">
        <v>223</v>
      </c>
      <c r="E517" s="720"/>
      <c r="F517" s="720"/>
      <c r="G517" s="366"/>
      <c r="H517" s="654" t="s">
        <v>35</v>
      </c>
      <c r="I517" s="655"/>
      <c r="J517" s="655">
        <f>J518+J519</f>
        <v>0</v>
      </c>
      <c r="K517" s="656">
        <f t="shared" si="224"/>
        <v>0</v>
      </c>
      <c r="L517" s="167"/>
      <c r="M517" s="167"/>
      <c r="N517" s="167"/>
      <c r="O517" s="167"/>
      <c r="P517" s="167"/>
      <c r="Q517" s="604"/>
      <c r="R517" s="604"/>
      <c r="S517" s="604"/>
      <c r="T517" s="604"/>
      <c r="U517" s="604"/>
      <c r="V517" s="604"/>
      <c r="W517" s="604"/>
      <c r="X517" s="604"/>
      <c r="Y517" s="604"/>
      <c r="Z517" s="604"/>
    </row>
    <row r="518" spans="1:26" ht="18.75" hidden="1">
      <c r="A518" s="614"/>
      <c r="B518" s="616"/>
      <c r="C518" s="616"/>
      <c r="D518" s="616"/>
      <c r="E518" s="616" t="s">
        <v>224</v>
      </c>
      <c r="F518" s="720"/>
      <c r="G518" s="366"/>
      <c r="H518" s="370" t="s">
        <v>35</v>
      </c>
      <c r="I518" s="617"/>
      <c r="J518" s="617"/>
      <c r="K518" s="167"/>
      <c r="L518" s="167"/>
      <c r="M518" s="167"/>
      <c r="N518" s="167"/>
      <c r="O518" s="167"/>
      <c r="P518" s="167"/>
      <c r="Q518" s="604"/>
      <c r="R518" s="604"/>
      <c r="S518" s="604"/>
      <c r="T518" s="604"/>
      <c r="U518" s="604"/>
      <c r="V518" s="604"/>
      <c r="W518" s="604"/>
      <c r="X518" s="604"/>
      <c r="Y518" s="604"/>
      <c r="Z518" s="604"/>
    </row>
    <row r="519" spans="1:26" ht="18.75" hidden="1">
      <c r="A519" s="614"/>
      <c r="B519" s="616"/>
      <c r="C519" s="616"/>
      <c r="D519" s="616"/>
      <c r="E519" s="616" t="s">
        <v>225</v>
      </c>
      <c r="F519" s="720"/>
      <c r="G519" s="366"/>
      <c r="H519" s="653" t="s">
        <v>35</v>
      </c>
      <c r="I519" s="617"/>
      <c r="J519" s="617"/>
      <c r="K519" s="167"/>
      <c r="L519" s="167"/>
      <c r="M519" s="167"/>
      <c r="N519" s="167"/>
      <c r="O519" s="167"/>
      <c r="P519" s="167"/>
      <c r="Q519" s="604"/>
      <c r="R519" s="604"/>
      <c r="S519" s="604"/>
      <c r="T519" s="604"/>
      <c r="U519" s="604"/>
      <c r="V519" s="604"/>
      <c r="W519" s="604"/>
      <c r="X519" s="604"/>
      <c r="Y519" s="604"/>
      <c r="Z519" s="604"/>
    </row>
    <row r="520" spans="1:26" ht="19.5">
      <c r="A520" s="657" t="s">
        <v>137</v>
      </c>
      <c r="B520" s="658"/>
      <c r="C520" s="658"/>
      <c r="D520" s="659"/>
      <c r="E520" s="659"/>
      <c r="F520" s="659"/>
      <c r="G520" s="660"/>
      <c r="H520" s="661"/>
      <c r="I520" s="662"/>
      <c r="J520" s="662"/>
      <c r="K520" s="663"/>
      <c r="L520" s="663"/>
      <c r="M520" s="663"/>
      <c r="N520" s="663"/>
      <c r="O520" s="663"/>
      <c r="P520" s="663"/>
    </row>
    <row r="521" spans="1:26" ht="19.5" hidden="1">
      <c r="A521" s="664">
        <v>5</v>
      </c>
      <c r="B521" s="665" t="s">
        <v>226</v>
      </c>
      <c r="C521" s="666"/>
      <c r="D521" s="667"/>
      <c r="E521" s="667"/>
      <c r="F521" s="667"/>
      <c r="G521" s="667"/>
      <c r="H521" s="668"/>
      <c r="I521" s="669"/>
      <c r="J521" s="669"/>
      <c r="K521" s="670"/>
      <c r="L521" s="670"/>
      <c r="M521" s="670"/>
      <c r="N521" s="670"/>
      <c r="O521" s="670"/>
      <c r="P521" s="670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</row>
    <row r="522" spans="1:26" ht="19.5" hidden="1">
      <c r="A522" s="671"/>
      <c r="B522" s="672" t="s">
        <v>227</v>
      </c>
      <c r="C522" s="673"/>
      <c r="D522" s="673"/>
      <c r="E522" s="673"/>
      <c r="F522" s="673"/>
      <c r="G522" s="674"/>
      <c r="H522" s="675" t="s">
        <v>35</v>
      </c>
      <c r="I522" s="708">
        <f t="shared" ref="I522:J522" ca="1" si="225">I537</f>
        <v>0</v>
      </c>
      <c r="J522" s="708">
        <f t="shared" ca="1" si="225"/>
        <v>0</v>
      </c>
      <c r="K522" s="677">
        <f ca="1">IF(I522&gt;0,J522*100/I522,0)</f>
        <v>0</v>
      </c>
      <c r="L522" s="678"/>
      <c r="M522" s="678"/>
      <c r="N522" s="678"/>
      <c r="O522" s="678"/>
      <c r="P522" s="6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</row>
    <row r="523" spans="1:26" ht="19.5" hidden="1">
      <c r="A523" s="597"/>
      <c r="B523" s="763"/>
      <c r="C523" s="763" t="s">
        <v>16</v>
      </c>
      <c r="D523" s="863" t="s">
        <v>17</v>
      </c>
      <c r="E523" s="857"/>
      <c r="F523" s="857"/>
      <c r="G523" s="189"/>
      <c r="H523" s="598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</row>
    <row r="524" spans="1:26" ht="18.75" hidden="1">
      <c r="A524" s="599"/>
      <c r="B524" s="759"/>
      <c r="C524" s="759"/>
      <c r="D524" s="720"/>
      <c r="E524" s="759" t="s">
        <v>185</v>
      </c>
      <c r="F524" s="759"/>
      <c r="G524" s="603"/>
      <c r="H524" s="165" t="s">
        <v>12</v>
      </c>
      <c r="I524" s="617"/>
      <c r="J524" s="617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4"/>
      <c r="R524" s="604"/>
      <c r="S524" s="604"/>
      <c r="T524" s="604"/>
      <c r="U524" s="604"/>
      <c r="V524" s="604"/>
      <c r="W524" s="604"/>
      <c r="X524" s="604"/>
      <c r="Y524" s="604"/>
      <c r="Z524" s="604"/>
    </row>
    <row r="525" spans="1:26" ht="18.75" hidden="1">
      <c r="A525" s="599"/>
      <c r="B525" s="607"/>
      <c r="C525" s="759"/>
      <c r="D525" s="720"/>
      <c r="E525" s="759" t="s">
        <v>186</v>
      </c>
      <c r="F525" s="759"/>
      <c r="G525" s="603"/>
      <c r="H525" s="165" t="s">
        <v>12</v>
      </c>
      <c r="I525" s="617"/>
      <c r="J525" s="617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4"/>
      <c r="R525" s="604"/>
      <c r="S525" s="604"/>
      <c r="T525" s="604"/>
      <c r="U525" s="604"/>
      <c r="V525" s="604"/>
      <c r="W525" s="604"/>
      <c r="X525" s="604"/>
      <c r="Y525" s="604"/>
      <c r="Z525" s="604"/>
    </row>
    <row r="526" spans="1:26" ht="18.75" hidden="1">
      <c r="A526" s="597"/>
      <c r="B526" s="575"/>
      <c r="C526" s="763"/>
      <c r="D526" s="606" t="s">
        <v>20</v>
      </c>
      <c r="E526" s="763"/>
      <c r="F526" s="763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</row>
    <row r="527" spans="1:26" ht="18.75" hidden="1">
      <c r="A527" s="599"/>
      <c r="B527" s="607"/>
      <c r="C527" s="759"/>
      <c r="D527" s="720"/>
      <c r="E527" s="759" t="s">
        <v>185</v>
      </c>
      <c r="F527" s="759"/>
      <c r="G527" s="603"/>
      <c r="H527" s="165" t="s">
        <v>12</v>
      </c>
      <c r="I527" s="617"/>
      <c r="J527" s="617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4"/>
      <c r="R527" s="604"/>
      <c r="S527" s="604"/>
      <c r="T527" s="604"/>
      <c r="U527" s="604"/>
      <c r="V527" s="604"/>
      <c r="W527" s="604"/>
      <c r="X527" s="604"/>
      <c r="Y527" s="604"/>
      <c r="Z527" s="604"/>
    </row>
    <row r="528" spans="1:26" ht="18.75" hidden="1">
      <c r="A528" s="599"/>
      <c r="B528" s="607"/>
      <c r="C528" s="759"/>
      <c r="D528" s="720"/>
      <c r="E528" s="759" t="s">
        <v>186</v>
      </c>
      <c r="F528" s="759"/>
      <c r="G528" s="603"/>
      <c r="H528" s="165" t="s">
        <v>12</v>
      </c>
      <c r="I528" s="617"/>
      <c r="J528" s="617"/>
      <c r="K528" s="93"/>
      <c r="L528" s="93">
        <f ca="1">IFERROR(__xludf.DUMMYFUNCTION("IMPORTRANGE(""https://docs.google.com/spreadsheets/d/1QqKyyYR6Q21VydFLVH3TRQUabQu_ym0Zz7PgGX0-kHA/edit?usp=sharing"",""แผน!GQ48"")"),0)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4"/>
      <c r="R528" s="604"/>
      <c r="S528" s="604"/>
      <c r="T528" s="604"/>
      <c r="U528" s="604"/>
      <c r="V528" s="604"/>
      <c r="W528" s="604"/>
      <c r="X528" s="604"/>
      <c r="Y528" s="604"/>
      <c r="Z528" s="604"/>
    </row>
    <row r="529" spans="1:26" ht="18.75" hidden="1">
      <c r="A529" s="574"/>
      <c r="B529" s="575"/>
      <c r="C529" s="763"/>
      <c r="D529" s="763"/>
      <c r="E529" s="763"/>
      <c r="F529" s="763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40">
        <v>0</v>
      </c>
      <c r="O529" s="498"/>
      <c r="P529" s="49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</row>
    <row r="530" spans="1:26" ht="18.75" hidden="1">
      <c r="A530" s="574"/>
      <c r="B530" s="575"/>
      <c r="C530" s="763"/>
      <c r="D530" s="763"/>
      <c r="E530" s="763"/>
      <c r="F530" s="763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40">
        <v>0</v>
      </c>
      <c r="O530" s="498"/>
      <c r="P530" s="49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</row>
    <row r="531" spans="1:26" ht="18.75" hidden="1">
      <c r="A531" s="574"/>
      <c r="B531" s="575"/>
      <c r="C531" s="763"/>
      <c r="D531" s="763"/>
      <c r="E531" s="763"/>
      <c r="F531" s="763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40">
        <v>0</v>
      </c>
      <c r="O531" s="498"/>
      <c r="P531" s="49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</row>
    <row r="532" spans="1:26" ht="18.75" hidden="1">
      <c r="A532" s="574"/>
      <c r="B532" s="575"/>
      <c r="C532" s="763"/>
      <c r="D532" s="763"/>
      <c r="E532" s="763"/>
      <c r="F532" s="763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40">
        <v>0</v>
      </c>
      <c r="O532" s="498"/>
      <c r="P532" s="49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</row>
    <row r="533" spans="1:26" ht="18.75" hidden="1">
      <c r="A533" s="597"/>
      <c r="B533" s="575"/>
      <c r="C533" s="763"/>
      <c r="D533" s="606" t="s">
        <v>21</v>
      </c>
      <c r="E533" s="763"/>
      <c r="F533" s="763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</row>
    <row r="534" spans="1:26" ht="18.75" hidden="1">
      <c r="A534" s="599"/>
      <c r="B534" s="607"/>
      <c r="C534" s="759"/>
      <c r="D534" s="759"/>
      <c r="E534" s="759" t="s">
        <v>18</v>
      </c>
      <c r="F534" s="759"/>
      <c r="G534" s="603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4"/>
      <c r="R534" s="604"/>
      <c r="S534" s="604"/>
      <c r="T534" s="604"/>
      <c r="U534" s="604"/>
      <c r="V534" s="604"/>
      <c r="W534" s="604"/>
      <c r="X534" s="604"/>
      <c r="Y534" s="604"/>
      <c r="Z534" s="604"/>
    </row>
    <row r="535" spans="1:26" ht="18.75" hidden="1">
      <c r="A535" s="599"/>
      <c r="B535" s="607"/>
      <c r="C535" s="759"/>
      <c r="D535" s="759"/>
      <c r="E535" s="759" t="s">
        <v>19</v>
      </c>
      <c r="F535" s="759"/>
      <c r="G535" s="603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4"/>
      <c r="R535" s="604"/>
      <c r="S535" s="604"/>
      <c r="T535" s="604"/>
      <c r="U535" s="604"/>
      <c r="V535" s="604"/>
      <c r="W535" s="604"/>
      <c r="X535" s="604"/>
      <c r="Y535" s="604"/>
      <c r="Z535" s="604"/>
    </row>
    <row r="536" spans="1:26" ht="19.5" hidden="1">
      <c r="A536" s="608"/>
      <c r="B536" s="618"/>
      <c r="C536" s="763" t="s">
        <v>16</v>
      </c>
      <c r="D536" s="896" t="s">
        <v>38</v>
      </c>
      <c r="E536" s="761"/>
      <c r="F536" s="761"/>
      <c r="G536" s="613"/>
      <c r="H536" s="762"/>
      <c r="I536" s="184"/>
      <c r="J536" s="184"/>
      <c r="K536" s="163"/>
      <c r="L536" s="163"/>
      <c r="M536" s="163"/>
      <c r="N536" s="163"/>
      <c r="O536" s="163"/>
      <c r="P536" s="163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</row>
    <row r="537" spans="1:26" ht="19.5" hidden="1">
      <c r="A537" s="574"/>
      <c r="B537" s="575"/>
      <c r="C537" s="763"/>
      <c r="D537" s="763" t="s">
        <v>228</v>
      </c>
      <c r="E537" s="763"/>
      <c r="F537" s="763"/>
      <c r="G537" s="189"/>
      <c r="H537" s="623" t="s">
        <v>35</v>
      </c>
      <c r="I537" s="681">
        <f ca="1">IFERROR(__xludf.DUMMYFUNCTION("IMPORTRANGE(""https://docs.google.com/spreadsheets/d/1QqKyyYR6Q21VydFLVH3TRQUabQu_ym0Zz7PgGX0-kHA/edit?usp=sharing"",""แผน!GU48"")"),0)</f>
        <v>0</v>
      </c>
      <c r="J537" s="681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2"/>
      <c r="R537" s="682"/>
      <c r="S537" s="682"/>
      <c r="T537" s="682"/>
      <c r="U537" s="682"/>
      <c r="V537" s="682"/>
      <c r="W537" s="682"/>
      <c r="X537" s="682"/>
      <c r="Y537" s="682"/>
      <c r="Z537" s="682"/>
    </row>
    <row r="538" spans="1:26" ht="18.75" hidden="1">
      <c r="A538" s="574"/>
      <c r="B538" s="575"/>
      <c r="C538" s="763"/>
      <c r="D538" s="763"/>
      <c r="E538" s="763" t="s">
        <v>229</v>
      </c>
      <c r="F538" s="763"/>
      <c r="G538" s="189"/>
      <c r="H538" s="623" t="s">
        <v>35</v>
      </c>
      <c r="I538" s="270">
        <f ca="1">IFERROR(__xludf.DUMMYFUNCTION("IMPORTRANGE(""https://docs.google.com/spreadsheets/d/1QqKyyYR6Q21VydFLVH3TRQUabQu_ym0Zz7PgGX0-kHA/edit?usp=sharing"",""แผน!GV48"")"),0)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2"/>
      <c r="R538" s="682"/>
      <c r="S538" s="682"/>
      <c r="T538" s="682"/>
      <c r="U538" s="682"/>
      <c r="V538" s="682"/>
      <c r="W538" s="682"/>
      <c r="X538" s="682"/>
      <c r="Y538" s="682"/>
      <c r="Z538" s="682"/>
    </row>
    <row r="539" spans="1:26" ht="18.75" hidden="1">
      <c r="A539" s="574"/>
      <c r="B539" s="575"/>
      <c r="C539" s="763"/>
      <c r="D539" s="763"/>
      <c r="E539" s="763" t="s">
        <v>230</v>
      </c>
      <c r="F539" s="763"/>
      <c r="G539" s="189"/>
      <c r="H539" s="623" t="s">
        <v>35</v>
      </c>
      <c r="I539" s="270">
        <f ca="1">IFERROR(__xludf.DUMMYFUNCTION("IMPORTRANGE(""https://docs.google.com/spreadsheets/d/1QqKyyYR6Q21VydFLVH3TRQUabQu_ym0Zz7PgGX0-kHA/edit?usp=sharing"",""แผน!GW48"")"),0)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2"/>
      <c r="R539" s="682"/>
      <c r="S539" s="682"/>
      <c r="T539" s="682"/>
      <c r="U539" s="682"/>
      <c r="V539" s="682"/>
      <c r="W539" s="682"/>
      <c r="X539" s="682"/>
      <c r="Y539" s="682"/>
      <c r="Z539" s="682"/>
    </row>
    <row r="540" spans="1:26" ht="18.75" hidden="1">
      <c r="A540" s="574"/>
      <c r="B540" s="575"/>
      <c r="C540" s="763"/>
      <c r="D540" s="763"/>
      <c r="E540" s="763" t="s">
        <v>231</v>
      </c>
      <c r="F540" s="763"/>
      <c r="G540" s="189"/>
      <c r="H540" s="623" t="s">
        <v>35</v>
      </c>
      <c r="I540" s="270">
        <f ca="1">IFERROR(__xludf.DUMMYFUNCTION("IMPORTRANGE(""https://docs.google.com/spreadsheets/d/1QqKyyYR6Q21VydFLVH3TRQUabQu_ym0Zz7PgGX0-kHA/edit?usp=sharing"",""แผน!GX48"")"),0)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2"/>
      <c r="R540" s="682"/>
      <c r="S540" s="682"/>
      <c r="T540" s="682"/>
      <c r="U540" s="682"/>
      <c r="V540" s="682"/>
      <c r="W540" s="682"/>
      <c r="X540" s="682"/>
      <c r="Y540" s="682"/>
      <c r="Z540" s="682"/>
    </row>
    <row r="541" spans="1:26" ht="18.75" hidden="1">
      <c r="A541" s="574"/>
      <c r="B541" s="575"/>
      <c r="C541" s="763"/>
      <c r="D541" s="763"/>
      <c r="E541" s="769" t="s">
        <v>232</v>
      </c>
      <c r="F541" s="763"/>
      <c r="G541" s="189"/>
      <c r="H541" s="623" t="s">
        <v>35</v>
      </c>
      <c r="I541" s="270">
        <f ca="1">IFERROR(__xludf.DUMMYFUNCTION("IMPORTRANGE(""https://docs.google.com/spreadsheets/d/1QqKyyYR6Q21VydFLVH3TRQUabQu_ym0Zz7PgGX0-kHA/edit?usp=sharing"",""แผน!GY48"")"),0)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2"/>
      <c r="R541" s="682"/>
      <c r="S541" s="682"/>
      <c r="T541" s="682"/>
      <c r="U541" s="682"/>
      <c r="V541" s="682"/>
      <c r="W541" s="682"/>
      <c r="X541" s="682"/>
      <c r="Y541" s="682"/>
      <c r="Z541" s="682"/>
    </row>
    <row r="542" spans="1:26" ht="18.75" hidden="1">
      <c r="A542" s="574"/>
      <c r="B542" s="575"/>
      <c r="C542" s="763"/>
      <c r="D542" s="763" t="s">
        <v>59</v>
      </c>
      <c r="E542" s="763"/>
      <c r="F542" s="763"/>
      <c r="G542" s="189"/>
      <c r="H542" s="623" t="s">
        <v>35</v>
      </c>
      <c r="I542" s="270">
        <f ca="1">IFERROR(__xludf.DUMMYFUNCTION("IMPORTRANGE(""https://docs.google.com/spreadsheets/d/1QqKyyYR6Q21VydFLVH3TRQUabQu_ym0Zz7PgGX0-kHA/edit?usp=sharing"",""แผน!GZ48"")"),0)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2"/>
      <c r="R542" s="682"/>
      <c r="S542" s="682"/>
      <c r="T542" s="682"/>
      <c r="U542" s="682"/>
      <c r="V542" s="682"/>
      <c r="W542" s="682"/>
      <c r="X542" s="682"/>
      <c r="Y542" s="682"/>
      <c r="Z542" s="682"/>
    </row>
    <row r="543" spans="1:26" ht="19.5">
      <c r="A543" s="664">
        <v>6</v>
      </c>
      <c r="B543" s="685" t="s">
        <v>233</v>
      </c>
      <c r="C543" s="667"/>
      <c r="D543" s="667"/>
      <c r="E543" s="667"/>
      <c r="F543" s="667"/>
      <c r="G543" s="668"/>
      <c r="H543" s="686" t="s">
        <v>46</v>
      </c>
      <c r="I543" s="687">
        <f t="shared" ref="I543:J543" ca="1" si="235">I559</f>
        <v>41140.044999999998</v>
      </c>
      <c r="J543" s="687">
        <f t="shared" si="235"/>
        <v>41140.044999999998</v>
      </c>
      <c r="K543" s="688">
        <f t="shared" ca="1" si="234"/>
        <v>100</v>
      </c>
      <c r="L543" s="670"/>
      <c r="M543" s="670"/>
      <c r="N543" s="670"/>
      <c r="O543" s="670"/>
      <c r="P543" s="670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</row>
    <row r="544" spans="1:26" ht="19.5">
      <c r="A544" s="689"/>
      <c r="B544" s="690"/>
      <c r="C544" s="690" t="s">
        <v>16</v>
      </c>
      <c r="D544" s="897" t="s">
        <v>17</v>
      </c>
      <c r="E544" s="862"/>
      <c r="F544" s="862"/>
      <c r="G544" s="691"/>
      <c r="H544" s="275" t="s">
        <v>12</v>
      </c>
      <c r="I544" s="420"/>
      <c r="J544" s="420"/>
      <c r="K544" s="154"/>
      <c r="L544" s="155">
        <f t="shared" ref="L544:N544" ca="1" si="236">L545+L546</f>
        <v>515652</v>
      </c>
      <c r="M544" s="155">
        <f t="shared" ca="1" si="236"/>
        <v>457652</v>
      </c>
      <c r="N544" s="155">
        <f t="shared" si="236"/>
        <v>457652</v>
      </c>
      <c r="O544" s="155">
        <f t="shared" ref="O544:O549" ca="1" si="237">IF(L544&gt;0,N544*100/L544,0)</f>
        <v>88.752104132244227</v>
      </c>
      <c r="P544" s="155">
        <f t="shared" ref="P544:P549" ca="1" si="238">IF(M544&gt;0,N544*100/M544,0)</f>
        <v>100</v>
      </c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</row>
    <row r="545" spans="1:26" ht="18.75" hidden="1">
      <c r="A545" s="599"/>
      <c r="B545" s="759"/>
      <c r="C545" s="759"/>
      <c r="D545" s="759"/>
      <c r="E545" s="759" t="s">
        <v>185</v>
      </c>
      <c r="F545" s="759"/>
      <c r="G545" s="603"/>
      <c r="H545" s="165" t="s">
        <v>12</v>
      </c>
      <c r="I545" s="617"/>
      <c r="J545" s="617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4"/>
      <c r="R545" s="604"/>
      <c r="S545" s="604"/>
      <c r="T545" s="604"/>
      <c r="U545" s="604"/>
      <c r="V545" s="604"/>
      <c r="W545" s="604"/>
      <c r="X545" s="604"/>
      <c r="Y545" s="604"/>
      <c r="Z545" s="604"/>
    </row>
    <row r="546" spans="1:26" ht="18.75" hidden="1">
      <c r="A546" s="599"/>
      <c r="B546" s="607"/>
      <c r="C546" s="759"/>
      <c r="D546" s="759"/>
      <c r="E546" s="759" t="s">
        <v>186</v>
      </c>
      <c r="F546" s="759"/>
      <c r="G546" s="603"/>
      <c r="H546" s="165" t="s">
        <v>12</v>
      </c>
      <c r="I546" s="617"/>
      <c r="J546" s="617"/>
      <c r="K546" s="93"/>
      <c r="L546" s="93">
        <f t="shared" ca="1" si="239"/>
        <v>515652</v>
      </c>
      <c r="M546" s="93">
        <f t="shared" ca="1" si="240"/>
        <v>457652</v>
      </c>
      <c r="N546" s="93">
        <f t="shared" si="240"/>
        <v>457652</v>
      </c>
      <c r="O546" s="93">
        <f t="shared" ca="1" si="237"/>
        <v>88.752104132244227</v>
      </c>
      <c r="P546" s="93">
        <f t="shared" ca="1" si="238"/>
        <v>100</v>
      </c>
      <c r="Q546" s="604"/>
      <c r="R546" s="604"/>
      <c r="S546" s="604"/>
      <c r="T546" s="604"/>
      <c r="U546" s="604"/>
      <c r="V546" s="604"/>
      <c r="W546" s="604"/>
      <c r="X546" s="604"/>
      <c r="Y546" s="604"/>
      <c r="Z546" s="604"/>
    </row>
    <row r="547" spans="1:26" ht="18.75">
      <c r="A547" s="597"/>
      <c r="B547" s="575"/>
      <c r="C547" s="763"/>
      <c r="D547" s="606" t="s">
        <v>20</v>
      </c>
      <c r="E547" s="763"/>
      <c r="F547" s="763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515652</v>
      </c>
      <c r="M547" s="498">
        <f t="shared" ca="1" si="241"/>
        <v>457652</v>
      </c>
      <c r="N547" s="498">
        <f t="shared" si="241"/>
        <v>457652</v>
      </c>
      <c r="O547" s="498">
        <f t="shared" ca="1" si="237"/>
        <v>88.752104132244227</v>
      </c>
      <c r="P547" s="498">
        <f t="shared" ca="1" si="238"/>
        <v>100</v>
      </c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</row>
    <row r="548" spans="1:26" ht="18.75" hidden="1">
      <c r="A548" s="599"/>
      <c r="B548" s="607"/>
      <c r="C548" s="759"/>
      <c r="D548" s="720"/>
      <c r="E548" s="759" t="s">
        <v>185</v>
      </c>
      <c r="F548" s="759"/>
      <c r="G548" s="603"/>
      <c r="H548" s="165" t="s">
        <v>12</v>
      </c>
      <c r="I548" s="617"/>
      <c r="J548" s="617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4"/>
      <c r="R548" s="604"/>
      <c r="S548" s="604"/>
      <c r="T548" s="604"/>
      <c r="U548" s="604"/>
      <c r="V548" s="604"/>
      <c r="W548" s="604"/>
      <c r="X548" s="604"/>
      <c r="Y548" s="604"/>
      <c r="Z548" s="604"/>
    </row>
    <row r="549" spans="1:26" ht="18.75" hidden="1">
      <c r="A549" s="599"/>
      <c r="B549" s="607"/>
      <c r="C549" s="759"/>
      <c r="D549" s="720"/>
      <c r="E549" s="759" t="s">
        <v>186</v>
      </c>
      <c r="F549" s="759"/>
      <c r="G549" s="603"/>
      <c r="H549" s="165" t="s">
        <v>12</v>
      </c>
      <c r="I549" s="617"/>
      <c r="J549" s="617"/>
      <c r="K549" s="93"/>
      <c r="L549" s="93">
        <f ca="1">IFERROR(__xludf.DUMMYFUNCTION("IMPORTRANGE(""https://docs.google.com/spreadsheets/d/1QqKyyYR6Q21VydFLVH3TRQUabQu_ym0Zz7PgGX0-kHA/edit?usp=sharing"",""แผน!HB48"")"),515652)</f>
        <v>515652</v>
      </c>
      <c r="M549" s="93">
        <f ca="1">L549-58000</f>
        <v>457652</v>
      </c>
      <c r="N549" s="93">
        <f>N550+N551+N552+N553+N554</f>
        <v>457652</v>
      </c>
      <c r="O549" s="93">
        <f t="shared" ca="1" si="237"/>
        <v>88.752104132244227</v>
      </c>
      <c r="P549" s="93">
        <f t="shared" ca="1" si="238"/>
        <v>100</v>
      </c>
      <c r="Q549" s="604"/>
      <c r="R549" s="604"/>
      <c r="S549" s="604"/>
      <c r="T549" s="604"/>
      <c r="U549" s="604"/>
      <c r="V549" s="604"/>
      <c r="W549" s="604"/>
      <c r="X549" s="604"/>
      <c r="Y549" s="604"/>
      <c r="Z549" s="604"/>
    </row>
    <row r="550" spans="1:26" ht="18.75">
      <c r="A550" s="574"/>
      <c r="B550" s="575"/>
      <c r="C550" s="763"/>
      <c r="D550" s="763"/>
      <c r="E550" s="763"/>
      <c r="F550" s="763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40">
        <v>0</v>
      </c>
      <c r="O550" s="498"/>
      <c r="P550" s="49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</row>
    <row r="551" spans="1:26" ht="18.75">
      <c r="A551" s="574"/>
      <c r="B551" s="575"/>
      <c r="C551" s="575"/>
      <c r="D551" s="575"/>
      <c r="E551" s="763"/>
      <c r="F551" s="763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40">
        <v>0</v>
      </c>
      <c r="O551" s="498"/>
      <c r="P551" s="49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</row>
    <row r="552" spans="1:26" ht="18.75">
      <c r="A552" s="574"/>
      <c r="B552" s="575"/>
      <c r="C552" s="763"/>
      <c r="D552" s="763"/>
      <c r="E552" s="763"/>
      <c r="F552" s="763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40">
        <v>143000</v>
      </c>
      <c r="O552" s="498"/>
      <c r="P552" s="498"/>
      <c r="Q552" s="578"/>
      <c r="R552" s="578"/>
      <c r="S552" s="578"/>
      <c r="T552" s="578"/>
      <c r="U552" s="578"/>
      <c r="V552" s="578"/>
      <c r="W552" s="578"/>
      <c r="X552" s="578"/>
      <c r="Y552" s="578"/>
      <c r="Z552" s="578"/>
    </row>
    <row r="553" spans="1:26" ht="18.75">
      <c r="A553" s="574"/>
      <c r="B553" s="575"/>
      <c r="C553" s="575"/>
      <c r="D553" s="575"/>
      <c r="E553" s="763"/>
      <c r="F553" s="763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40">
        <v>314652</v>
      </c>
      <c r="O553" s="498"/>
      <c r="P553" s="49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</row>
    <row r="554" spans="1:26" ht="18.75">
      <c r="A554" s="574"/>
      <c r="B554" s="575"/>
      <c r="C554" s="575"/>
      <c r="D554" s="575"/>
      <c r="E554" s="763"/>
      <c r="F554" s="763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40">
        <v>0</v>
      </c>
      <c r="O554" s="498"/>
      <c r="P554" s="49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</row>
    <row r="555" spans="1:26" ht="18.75">
      <c r="A555" s="597"/>
      <c r="B555" s="575"/>
      <c r="C555" s="575"/>
      <c r="D555" s="606" t="s">
        <v>21</v>
      </c>
      <c r="E555" s="763"/>
      <c r="F555" s="763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</row>
    <row r="556" spans="1:26" ht="18.75" hidden="1">
      <c r="A556" s="599"/>
      <c r="B556" s="607"/>
      <c r="C556" s="607"/>
      <c r="D556" s="759"/>
      <c r="E556" s="759" t="s">
        <v>18</v>
      </c>
      <c r="F556" s="759"/>
      <c r="G556" s="603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4"/>
      <c r="R556" s="604"/>
      <c r="S556" s="604"/>
      <c r="T556" s="604"/>
      <c r="U556" s="604"/>
      <c r="V556" s="604"/>
      <c r="W556" s="604"/>
      <c r="X556" s="604"/>
      <c r="Y556" s="604"/>
      <c r="Z556" s="604"/>
    </row>
    <row r="557" spans="1:26" ht="18.75" hidden="1">
      <c r="A557" s="599"/>
      <c r="B557" s="607"/>
      <c r="C557" s="607"/>
      <c r="D557" s="759"/>
      <c r="E557" s="759" t="s">
        <v>19</v>
      </c>
      <c r="F557" s="759"/>
      <c r="G557" s="603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4"/>
      <c r="R557" s="604"/>
      <c r="S557" s="604"/>
      <c r="T557" s="604"/>
      <c r="U557" s="604"/>
      <c r="V557" s="604"/>
      <c r="W557" s="604"/>
      <c r="X557" s="604"/>
      <c r="Y557" s="604"/>
      <c r="Z557" s="604"/>
    </row>
    <row r="558" spans="1:26" ht="19.5">
      <c r="A558" s="608"/>
      <c r="B558" s="618"/>
      <c r="C558" s="575" t="s">
        <v>16</v>
      </c>
      <c r="D558" s="896" t="s">
        <v>38</v>
      </c>
      <c r="E558" s="761"/>
      <c r="F558" s="761"/>
      <c r="G558" s="613"/>
      <c r="H558" s="762"/>
      <c r="I558" s="184"/>
      <c r="J558" s="184"/>
      <c r="K558" s="163"/>
      <c r="L558" s="163"/>
      <c r="M558" s="163"/>
      <c r="N558" s="163"/>
      <c r="O558" s="163"/>
      <c r="P558" s="163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</row>
    <row r="559" spans="1:26" ht="19.5">
      <c r="A559" s="692"/>
      <c r="B559" s="693" t="s">
        <v>235</v>
      </c>
      <c r="C559" s="694"/>
      <c r="D559" s="694"/>
      <c r="E559" s="673"/>
      <c r="F559" s="673"/>
      <c r="G559" s="674"/>
      <c r="H559" s="695" t="s">
        <v>46</v>
      </c>
      <c r="I559" s="708">
        <f t="shared" ref="I559:J559" ca="1" si="245">I576</f>
        <v>41140.044999999998</v>
      </c>
      <c r="J559" s="708">
        <f t="shared" si="245"/>
        <v>41140.044999999998</v>
      </c>
      <c r="K559" s="677">
        <f t="shared" ref="K559:K561" ca="1" si="246">IF(I559&gt;0,J559*100/I559,0)</f>
        <v>100</v>
      </c>
      <c r="L559" s="678"/>
      <c r="M559" s="678"/>
      <c r="N559" s="678"/>
      <c r="O559" s="678"/>
      <c r="P559" s="6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</row>
    <row r="560" spans="1:26" ht="19.5">
      <c r="A560" s="608"/>
      <c r="B560" s="618"/>
      <c r="C560" s="625" t="s">
        <v>236</v>
      </c>
      <c r="D560" s="618"/>
      <c r="E560" s="626"/>
      <c r="F560" s="626"/>
      <c r="G560" s="762"/>
      <c r="H560" s="767" t="s">
        <v>46</v>
      </c>
      <c r="I560" s="193">
        <f ca="1">IFERROR(__xludf.DUMMYFUNCTION("IMPORTRANGE(""https://docs.google.com/spreadsheets/d/1QqKyyYR6Q21VydFLVH3TRQUabQu_ym0Zz7PgGX0-kHA/edit?usp=sharing"",""แผน!HH48"")"),41140.045)</f>
        <v>41140.044999999998</v>
      </c>
      <c r="J560" s="193">
        <f t="shared" ref="J560:J561" si="247">J562+J564+J566</f>
        <v>41143</v>
      </c>
      <c r="K560" s="411">
        <f t="shared" ca="1" si="246"/>
        <v>100.00718278261485</v>
      </c>
      <c r="L560" s="163"/>
      <c r="M560" s="163"/>
      <c r="N560" s="163"/>
      <c r="O560" s="163"/>
      <c r="P560" s="163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</row>
    <row r="561" spans="1:26" ht="19.5">
      <c r="A561" s="608"/>
      <c r="B561" s="618"/>
      <c r="C561" s="618"/>
      <c r="D561" s="626"/>
      <c r="E561" s="626"/>
      <c r="F561" s="626"/>
      <c r="G561" s="762"/>
      <c r="H561" s="767" t="s">
        <v>34</v>
      </c>
      <c r="I561" s="193">
        <f ca="1">IFERROR(__xludf.DUMMYFUNCTION("IMPORTRANGE(""https://docs.google.com/spreadsheets/d/1QqKyyYR6Q21VydFLVH3TRQUabQu_ym0Zz7PgGX0-kHA/edit?usp=sharing"",""แผน!HG48"")"),4331)</f>
        <v>4331</v>
      </c>
      <c r="J561" s="193">
        <f t="shared" si="247"/>
        <v>4331</v>
      </c>
      <c r="K561" s="411">
        <f t="shared" ca="1" si="246"/>
        <v>100</v>
      </c>
      <c r="L561" s="163"/>
      <c r="M561" s="163"/>
      <c r="N561" s="163"/>
      <c r="O561" s="163"/>
      <c r="P561" s="163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</row>
    <row r="562" spans="1:26" ht="18.75">
      <c r="A562" s="608"/>
      <c r="B562" s="618"/>
      <c r="C562" s="618"/>
      <c r="D562" s="626" t="s">
        <v>237</v>
      </c>
      <c r="E562" s="626"/>
      <c r="F562" s="626"/>
      <c r="G562" s="762"/>
      <c r="H562" s="764" t="s">
        <v>46</v>
      </c>
      <c r="I562" s="184"/>
      <c r="J562" s="215">
        <v>37156</v>
      </c>
      <c r="K562" s="163"/>
      <c r="L562" s="163"/>
      <c r="M562" s="163"/>
      <c r="N562" s="163"/>
      <c r="O562" s="163"/>
      <c r="P562" s="163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</row>
    <row r="563" spans="1:26" ht="18.75">
      <c r="A563" s="608"/>
      <c r="B563" s="618"/>
      <c r="C563" s="618"/>
      <c r="D563" s="618"/>
      <c r="E563" s="626"/>
      <c r="F563" s="626"/>
      <c r="G563" s="762"/>
      <c r="H563" s="764" t="s">
        <v>34</v>
      </c>
      <c r="I563" s="184"/>
      <c r="J563" s="215">
        <v>4016</v>
      </c>
      <c r="K563" s="163"/>
      <c r="L563" s="163"/>
      <c r="M563" s="163"/>
      <c r="N563" s="163"/>
      <c r="O563" s="163"/>
      <c r="P563" s="163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</row>
    <row r="564" spans="1:26" ht="18.75">
      <c r="A564" s="608"/>
      <c r="B564" s="618"/>
      <c r="C564" s="618"/>
      <c r="D564" s="626" t="s">
        <v>238</v>
      </c>
      <c r="E564" s="626"/>
      <c r="F564" s="626"/>
      <c r="G564" s="762"/>
      <c r="H564" s="764" t="s">
        <v>46</v>
      </c>
      <c r="I564" s="184"/>
      <c r="J564" s="215">
        <v>3123</v>
      </c>
      <c r="K564" s="163"/>
      <c r="L564" s="163"/>
      <c r="M564" s="163"/>
      <c r="N564" s="163"/>
      <c r="O564" s="163"/>
      <c r="P564" s="163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</row>
    <row r="565" spans="1:26" ht="18.75">
      <c r="A565" s="608"/>
      <c r="B565" s="618"/>
      <c r="C565" s="618"/>
      <c r="D565" s="626"/>
      <c r="E565" s="626"/>
      <c r="F565" s="626"/>
      <c r="G565" s="762"/>
      <c r="H565" s="764" t="s">
        <v>34</v>
      </c>
      <c r="I565" s="184"/>
      <c r="J565" s="215">
        <v>234</v>
      </c>
      <c r="K565" s="163"/>
      <c r="L565" s="163"/>
      <c r="M565" s="163"/>
      <c r="N565" s="163"/>
      <c r="O565" s="163"/>
      <c r="P565" s="163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</row>
    <row r="566" spans="1:26" ht="18.75">
      <c r="A566" s="608"/>
      <c r="B566" s="618"/>
      <c r="C566" s="618"/>
      <c r="D566" s="626" t="s">
        <v>239</v>
      </c>
      <c r="E566" s="626"/>
      <c r="F566" s="626"/>
      <c r="G566" s="762"/>
      <c r="H566" s="764" t="s">
        <v>46</v>
      </c>
      <c r="I566" s="184"/>
      <c r="J566" s="215">
        <v>864</v>
      </c>
      <c r="K566" s="163"/>
      <c r="L566" s="163"/>
      <c r="M566" s="163"/>
      <c r="N566" s="163"/>
      <c r="O566" s="163"/>
      <c r="P566" s="163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</row>
    <row r="567" spans="1:26" ht="18.75">
      <c r="A567" s="608"/>
      <c r="B567" s="618"/>
      <c r="C567" s="618"/>
      <c r="D567" s="626"/>
      <c r="E567" s="626"/>
      <c r="F567" s="626"/>
      <c r="G567" s="762"/>
      <c r="H567" s="764" t="s">
        <v>34</v>
      </c>
      <c r="I567" s="184"/>
      <c r="J567" s="215">
        <v>81</v>
      </c>
      <c r="K567" s="163"/>
      <c r="L567" s="163"/>
      <c r="M567" s="163"/>
      <c r="N567" s="163"/>
      <c r="O567" s="163"/>
      <c r="P567" s="163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</row>
    <row r="568" spans="1:26" ht="19.5">
      <c r="A568" s="608"/>
      <c r="B568" s="618"/>
      <c r="C568" s="625" t="s">
        <v>240</v>
      </c>
      <c r="D568" s="626"/>
      <c r="E568" s="626"/>
      <c r="F568" s="626"/>
      <c r="G568" s="762"/>
      <c r="H568" s="767" t="s">
        <v>46</v>
      </c>
      <c r="I568" s="193">
        <f ca="1">IFERROR(__xludf.DUMMYFUNCTION("IMPORTRANGE(""https://docs.google.com/spreadsheets/d/1QqKyyYR6Q21VydFLVH3TRQUabQu_ym0Zz7PgGX0-kHA/edit?usp=sharing"",""แผน!HH48"")"),41140.045)</f>
        <v>41140.044999999998</v>
      </c>
      <c r="J568" s="681">
        <f t="shared" ref="J568:J569" si="248">J570+J572+J574</f>
        <v>41143</v>
      </c>
      <c r="K568" s="411">
        <f t="shared" ref="K568:K569" ca="1" si="249">IF(I568&gt;0,J568*100/I568,0)</f>
        <v>100.00718278261485</v>
      </c>
      <c r="L568" s="163"/>
      <c r="M568" s="163"/>
      <c r="N568" s="163"/>
      <c r="O568" s="163"/>
      <c r="P568" s="163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</row>
    <row r="569" spans="1:26" ht="19.5">
      <c r="A569" s="608"/>
      <c r="B569" s="618"/>
      <c r="C569" s="618"/>
      <c r="D569" s="618"/>
      <c r="E569" s="626"/>
      <c r="F569" s="626"/>
      <c r="G569" s="762"/>
      <c r="H569" s="767" t="s">
        <v>34</v>
      </c>
      <c r="I569" s="193">
        <f ca="1">IFERROR(__xludf.DUMMYFUNCTION("IMPORTRANGE(""https://docs.google.com/spreadsheets/d/1QqKyyYR6Q21VydFLVH3TRQUabQu_ym0Zz7PgGX0-kHA/edit?usp=sharing"",""แผน!HG48"")"),4331)</f>
        <v>4331</v>
      </c>
      <c r="J569" s="681">
        <f t="shared" si="248"/>
        <v>4331</v>
      </c>
      <c r="K569" s="411">
        <f t="shared" ca="1" si="249"/>
        <v>100</v>
      </c>
      <c r="L569" s="163"/>
      <c r="M569" s="163"/>
      <c r="N569" s="163"/>
      <c r="O569" s="163"/>
      <c r="P569" s="163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</row>
    <row r="570" spans="1:26" ht="18.75">
      <c r="A570" s="608"/>
      <c r="B570" s="618"/>
      <c r="C570" s="618"/>
      <c r="D570" s="626" t="s">
        <v>241</v>
      </c>
      <c r="E570" s="618"/>
      <c r="F570" s="626"/>
      <c r="G570" s="762"/>
      <c r="H570" s="764" t="s">
        <v>46</v>
      </c>
      <c r="I570" s="184"/>
      <c r="J570" s="215">
        <v>38129</v>
      </c>
      <c r="K570" s="163"/>
      <c r="L570" s="163"/>
      <c r="M570" s="163"/>
      <c r="N570" s="163"/>
      <c r="O570" s="163"/>
      <c r="P570" s="163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</row>
    <row r="571" spans="1:26" ht="18.75">
      <c r="A571" s="608"/>
      <c r="B571" s="618"/>
      <c r="C571" s="618"/>
      <c r="D571" s="618"/>
      <c r="E571" s="626"/>
      <c r="F571" s="626"/>
      <c r="G571" s="762"/>
      <c r="H571" s="764" t="s">
        <v>34</v>
      </c>
      <c r="I571" s="184"/>
      <c r="J571" s="215">
        <v>4080</v>
      </c>
      <c r="K571" s="163"/>
      <c r="L571" s="163"/>
      <c r="M571" s="163"/>
      <c r="N571" s="163"/>
      <c r="O571" s="163"/>
      <c r="P571" s="163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</row>
    <row r="572" spans="1:26" ht="18.75">
      <c r="A572" s="608"/>
      <c r="B572" s="618"/>
      <c r="C572" s="618"/>
      <c r="D572" s="626" t="s">
        <v>242</v>
      </c>
      <c r="E572" s="626"/>
      <c r="F572" s="626"/>
      <c r="G572" s="762"/>
      <c r="H572" s="764" t="s">
        <v>46</v>
      </c>
      <c r="I572" s="184"/>
      <c r="J572" s="215">
        <v>2117</v>
      </c>
      <c r="K572" s="163"/>
      <c r="L572" s="163"/>
      <c r="M572" s="163"/>
      <c r="N572" s="163"/>
      <c r="O572" s="163"/>
      <c r="P572" s="163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</row>
    <row r="573" spans="1:26" ht="18.75">
      <c r="A573" s="608"/>
      <c r="B573" s="618"/>
      <c r="C573" s="618"/>
      <c r="D573" s="626"/>
      <c r="E573" s="626"/>
      <c r="F573" s="626"/>
      <c r="G573" s="762"/>
      <c r="H573" s="764" t="s">
        <v>34</v>
      </c>
      <c r="I573" s="184"/>
      <c r="J573" s="215">
        <v>159</v>
      </c>
      <c r="K573" s="163"/>
      <c r="L573" s="163"/>
      <c r="M573" s="163"/>
      <c r="N573" s="163"/>
      <c r="O573" s="163"/>
      <c r="P573" s="163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</row>
    <row r="574" spans="1:26" ht="18.75">
      <c r="A574" s="608"/>
      <c r="B574" s="618"/>
      <c r="C574" s="618"/>
      <c r="D574" s="626" t="s">
        <v>243</v>
      </c>
      <c r="E574" s="626"/>
      <c r="F574" s="626"/>
      <c r="G574" s="762"/>
      <c r="H574" s="764" t="s">
        <v>46</v>
      </c>
      <c r="I574" s="184"/>
      <c r="J574" s="215">
        <v>897</v>
      </c>
      <c r="K574" s="163"/>
      <c r="L574" s="163"/>
      <c r="M574" s="163"/>
      <c r="N574" s="163"/>
      <c r="O574" s="163"/>
      <c r="P574" s="163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</row>
    <row r="575" spans="1:26" ht="18.75">
      <c r="A575" s="608"/>
      <c r="B575" s="618"/>
      <c r="C575" s="618"/>
      <c r="D575" s="618"/>
      <c r="E575" s="626"/>
      <c r="F575" s="626"/>
      <c r="G575" s="762"/>
      <c r="H575" s="764" t="s">
        <v>34</v>
      </c>
      <c r="I575" s="184"/>
      <c r="J575" s="215">
        <v>92</v>
      </c>
      <c r="K575" s="163"/>
      <c r="L575" s="163"/>
      <c r="M575" s="163"/>
      <c r="N575" s="163"/>
      <c r="O575" s="163"/>
      <c r="P575" s="163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</row>
    <row r="576" spans="1:26" ht="19.5">
      <c r="A576" s="608"/>
      <c r="B576" s="618"/>
      <c r="C576" s="625" t="s">
        <v>244</v>
      </c>
      <c r="D576" s="618"/>
      <c r="E576" s="618"/>
      <c r="F576" s="626"/>
      <c r="G576" s="762"/>
      <c r="H576" s="767" t="s">
        <v>46</v>
      </c>
      <c r="I576" s="193">
        <f ca="1">IFERROR(__xludf.DUMMYFUNCTION("IMPORTRANGE(""https://docs.google.com/spreadsheets/d/1QqKyyYR6Q21VydFLVH3TRQUabQu_ym0Zz7PgGX0-kHA/edit?usp=sharing"",""แผน!HH48"")"),41140.045)</f>
        <v>41140.044999999998</v>
      </c>
      <c r="J576" s="681">
        <f t="shared" ref="J576:J577" si="250">J578+J580+J582+J588+J590</f>
        <v>41140.044999999998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</row>
    <row r="577" spans="1:26" ht="19.5">
      <c r="A577" s="608"/>
      <c r="B577" s="618"/>
      <c r="C577" s="618"/>
      <c r="D577" s="618"/>
      <c r="E577" s="626"/>
      <c r="F577" s="626"/>
      <c r="G577" s="762"/>
      <c r="H577" s="767" t="s">
        <v>34</v>
      </c>
      <c r="I577" s="193">
        <f ca="1">IFERROR(__xludf.DUMMYFUNCTION("IMPORTRANGE(""https://docs.google.com/spreadsheets/d/1QqKyyYR6Q21VydFLVH3TRQUabQu_ym0Zz7PgGX0-kHA/edit?usp=sharing"",""แผน!HG48"")"),4331)</f>
        <v>4331</v>
      </c>
      <c r="J577" s="681">
        <f t="shared" si="250"/>
        <v>4331</v>
      </c>
      <c r="K577" s="411">
        <f t="shared" ca="1" si="251"/>
        <v>100</v>
      </c>
      <c r="L577" s="163"/>
      <c r="M577" s="163"/>
      <c r="N577" s="163"/>
      <c r="O577" s="163"/>
      <c r="P577" s="163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</row>
    <row r="578" spans="1:26" ht="18.75">
      <c r="A578" s="608"/>
      <c r="B578" s="618"/>
      <c r="C578" s="618"/>
      <c r="D578" s="626" t="s">
        <v>245</v>
      </c>
      <c r="E578" s="626"/>
      <c r="F578" s="626"/>
      <c r="G578" s="762"/>
      <c r="H578" s="764" t="s">
        <v>46</v>
      </c>
      <c r="I578" s="184"/>
      <c r="J578" s="215">
        <v>38774.8675</v>
      </c>
      <c r="K578" s="163"/>
      <c r="L578" s="163"/>
      <c r="M578" s="163"/>
      <c r="N578" s="163"/>
      <c r="O578" s="163"/>
      <c r="P578" s="163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</row>
    <row r="579" spans="1:26" ht="18.75">
      <c r="A579" s="608"/>
      <c r="B579" s="618"/>
      <c r="C579" s="618"/>
      <c r="D579" s="618"/>
      <c r="E579" s="626"/>
      <c r="F579" s="626"/>
      <c r="G579" s="762"/>
      <c r="H579" s="764" t="s">
        <v>34</v>
      </c>
      <c r="I579" s="184"/>
      <c r="J579" s="215">
        <v>4120</v>
      </c>
      <c r="K579" s="163"/>
      <c r="L579" s="163"/>
      <c r="M579" s="163"/>
      <c r="N579" s="163"/>
      <c r="O579" s="163"/>
      <c r="P579" s="163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</row>
    <row r="580" spans="1:26" ht="18.75">
      <c r="A580" s="608"/>
      <c r="B580" s="618"/>
      <c r="C580" s="618"/>
      <c r="D580" s="626" t="s">
        <v>246</v>
      </c>
      <c r="E580" s="626"/>
      <c r="F580" s="626"/>
      <c r="G580" s="762"/>
      <c r="H580" s="764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</row>
    <row r="581" spans="1:26" ht="18.75">
      <c r="A581" s="608"/>
      <c r="B581" s="618"/>
      <c r="C581" s="618"/>
      <c r="D581" s="618"/>
      <c r="E581" s="626"/>
      <c r="F581" s="626"/>
      <c r="G581" s="762"/>
      <c r="H581" s="764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</row>
    <row r="582" spans="1:26" ht="19.5">
      <c r="A582" s="608"/>
      <c r="B582" s="618"/>
      <c r="C582" s="618"/>
      <c r="D582" s="626" t="s">
        <v>247</v>
      </c>
      <c r="E582" s="626"/>
      <c r="F582" s="626"/>
      <c r="G582" s="762"/>
      <c r="H582" s="764" t="s">
        <v>46</v>
      </c>
      <c r="I582" s="184"/>
      <c r="J582" s="681">
        <f t="shared" ref="J582:J583" si="252">J584+J586</f>
        <v>1105.2025000000001</v>
      </c>
      <c r="K582" s="411"/>
      <c r="L582" s="163"/>
      <c r="M582" s="163"/>
      <c r="N582" s="163"/>
      <c r="O582" s="163"/>
      <c r="P582" s="163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</row>
    <row r="583" spans="1:26" ht="19.5">
      <c r="A583" s="608"/>
      <c r="B583" s="618"/>
      <c r="C583" s="618"/>
      <c r="D583" s="618"/>
      <c r="E583" s="626"/>
      <c r="F583" s="626"/>
      <c r="G583" s="762"/>
      <c r="H583" s="764" t="s">
        <v>34</v>
      </c>
      <c r="I583" s="184"/>
      <c r="J583" s="681">
        <f t="shared" si="252"/>
        <v>100</v>
      </c>
      <c r="K583" s="411"/>
      <c r="L583" s="163"/>
      <c r="M583" s="163"/>
      <c r="N583" s="163"/>
      <c r="O583" s="163"/>
      <c r="P583" s="163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</row>
    <row r="584" spans="1:26" ht="18.75">
      <c r="A584" s="608"/>
      <c r="B584" s="618"/>
      <c r="C584" s="618"/>
      <c r="D584" s="618"/>
      <c r="E584" s="626" t="s">
        <v>248</v>
      </c>
      <c r="F584" s="626"/>
      <c r="G584" s="762"/>
      <c r="H584" s="764" t="s">
        <v>46</v>
      </c>
      <c r="I584" s="184"/>
      <c r="J584" s="215">
        <v>1105.2025000000001</v>
      </c>
      <c r="K584" s="163"/>
      <c r="L584" s="163"/>
      <c r="M584" s="163"/>
      <c r="N584" s="163"/>
      <c r="O584" s="163"/>
      <c r="P584" s="163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</row>
    <row r="585" spans="1:26" ht="18.75">
      <c r="A585" s="608"/>
      <c r="B585" s="618"/>
      <c r="C585" s="618"/>
      <c r="D585" s="618"/>
      <c r="E585" s="626"/>
      <c r="F585" s="626"/>
      <c r="G585" s="762"/>
      <c r="H585" s="764" t="s">
        <v>34</v>
      </c>
      <c r="I585" s="184"/>
      <c r="J585" s="215">
        <v>100</v>
      </c>
      <c r="K585" s="163"/>
      <c r="L585" s="163"/>
      <c r="M585" s="163"/>
      <c r="N585" s="163"/>
      <c r="O585" s="163"/>
      <c r="P585" s="163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</row>
    <row r="586" spans="1:26" ht="18.75">
      <c r="A586" s="608"/>
      <c r="B586" s="618"/>
      <c r="C586" s="618"/>
      <c r="D586" s="618"/>
      <c r="E586" s="626" t="s">
        <v>249</v>
      </c>
      <c r="F586" s="626"/>
      <c r="G586" s="762"/>
      <c r="H586" s="76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</row>
    <row r="587" spans="1:26" ht="18.75">
      <c r="A587" s="608"/>
      <c r="B587" s="618"/>
      <c r="C587" s="618"/>
      <c r="D587" s="618"/>
      <c r="E587" s="618"/>
      <c r="F587" s="626"/>
      <c r="G587" s="762"/>
      <c r="H587" s="76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</row>
    <row r="588" spans="1:26" ht="18.75">
      <c r="A588" s="608"/>
      <c r="B588" s="618"/>
      <c r="C588" s="618"/>
      <c r="D588" s="626" t="s">
        <v>250</v>
      </c>
      <c r="E588" s="626"/>
      <c r="F588" s="626"/>
      <c r="G588" s="762"/>
      <c r="H588" s="764" t="s">
        <v>46</v>
      </c>
      <c r="I588" s="184"/>
      <c r="J588" s="215">
        <v>1259.9749999999999</v>
      </c>
      <c r="K588" s="163"/>
      <c r="L588" s="163"/>
      <c r="M588" s="163"/>
      <c r="N588" s="163"/>
      <c r="O588" s="163"/>
      <c r="P588" s="163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</row>
    <row r="589" spans="1:26" ht="18.75">
      <c r="A589" s="608"/>
      <c r="B589" s="618"/>
      <c r="C589" s="618"/>
      <c r="D589" s="618"/>
      <c r="E589" s="618"/>
      <c r="F589" s="626"/>
      <c r="G589" s="762"/>
      <c r="H589" s="764" t="s">
        <v>34</v>
      </c>
      <c r="I589" s="184"/>
      <c r="J589" s="215">
        <v>111</v>
      </c>
      <c r="K589" s="163"/>
      <c r="L589" s="163"/>
      <c r="M589" s="163"/>
      <c r="N589" s="163"/>
      <c r="O589" s="163"/>
      <c r="P589" s="163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</row>
    <row r="590" spans="1:26" ht="18.75">
      <c r="A590" s="608"/>
      <c r="B590" s="618"/>
      <c r="C590" s="618"/>
      <c r="D590" s="626" t="s">
        <v>251</v>
      </c>
      <c r="E590" s="626"/>
      <c r="F590" s="626"/>
      <c r="G590" s="762"/>
      <c r="H590" s="76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</row>
    <row r="591" spans="1:26" ht="18.75">
      <c r="A591" s="696"/>
      <c r="B591" s="697"/>
      <c r="C591" s="697"/>
      <c r="D591" s="697"/>
      <c r="E591" s="578"/>
      <c r="F591" s="578"/>
      <c r="G591" s="698"/>
      <c r="H591" s="699" t="s">
        <v>34</v>
      </c>
      <c r="I591" s="700"/>
      <c r="J591" s="701">
        <v>0</v>
      </c>
      <c r="K591" s="702"/>
      <c r="L591" s="702"/>
      <c r="M591" s="702"/>
      <c r="N591" s="702"/>
      <c r="O591" s="702"/>
      <c r="P591" s="702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</row>
    <row r="592" spans="1:26" ht="19.5">
      <c r="A592" s="692"/>
      <c r="B592" s="693" t="s">
        <v>252</v>
      </c>
      <c r="C592" s="694"/>
      <c r="D592" s="694"/>
      <c r="E592" s="673"/>
      <c r="F592" s="673"/>
      <c r="G592" s="674"/>
      <c r="H592" s="695" t="s">
        <v>46</v>
      </c>
      <c r="I592" s="703">
        <f t="shared" ref="I592:J592" ca="1" si="253">I593</f>
        <v>11282.62</v>
      </c>
      <c r="J592" s="708">
        <f t="shared" si="253"/>
        <v>11282.619999999999</v>
      </c>
      <c r="K592" s="677">
        <f t="shared" ref="K592:K594" ca="1" si="254">IF(I592&gt;0,J592*100/I592,0)</f>
        <v>100</v>
      </c>
      <c r="L592" s="678"/>
      <c r="M592" s="678"/>
      <c r="N592" s="678"/>
      <c r="O592" s="678"/>
      <c r="P592" s="6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</row>
    <row r="593" spans="1:26" ht="19.5">
      <c r="A593" s="608"/>
      <c r="B593" s="618"/>
      <c r="C593" s="625" t="s">
        <v>253</v>
      </c>
      <c r="D593" s="618"/>
      <c r="E593" s="618"/>
      <c r="F593" s="626"/>
      <c r="G593" s="762"/>
      <c r="H593" s="767" t="s">
        <v>46</v>
      </c>
      <c r="I593" s="704">
        <f ca="1">IFERROR(__xludf.DUMMYFUNCTION("IMPORTRANGE(""https://docs.google.com/spreadsheets/d/1QqKyyYR6Q21VydFLVH3TRQUabQu_ym0Zz7PgGX0-kHA/edit?usp=sharing"",""แผน!HJ48"")"),11282.62)</f>
        <v>11282.62</v>
      </c>
      <c r="J593" s="193">
        <f t="shared" ref="J593:J594" si="255">J595+J603+J609</f>
        <v>11282.619999999999</v>
      </c>
      <c r="K593" s="411">
        <f t="shared" ca="1" si="254"/>
        <v>100</v>
      </c>
      <c r="L593" s="163"/>
      <c r="M593" s="163"/>
      <c r="N593" s="163"/>
      <c r="O593" s="163"/>
      <c r="P593" s="163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</row>
    <row r="594" spans="1:26" ht="19.5">
      <c r="A594" s="608"/>
      <c r="B594" s="618"/>
      <c r="C594" s="618"/>
      <c r="D594" s="618"/>
      <c r="E594" s="626"/>
      <c r="F594" s="626"/>
      <c r="G594" s="762"/>
      <c r="H594" s="767" t="s">
        <v>34</v>
      </c>
      <c r="I594" s="193">
        <f ca="1">IFERROR(__xludf.DUMMYFUNCTION("IMPORTRANGE(""https://docs.google.com/spreadsheets/d/1QqKyyYR6Q21VydFLVH3TRQUabQu_ym0Zz7PgGX0-kHA/edit?usp=sharing"",""แผน!HI48"")"),633)</f>
        <v>633</v>
      </c>
      <c r="J594" s="193">
        <f t="shared" si="255"/>
        <v>633</v>
      </c>
      <c r="K594" s="411">
        <f t="shared" ca="1" si="254"/>
        <v>100</v>
      </c>
      <c r="L594" s="163"/>
      <c r="M594" s="163"/>
      <c r="N594" s="163"/>
      <c r="O594" s="163"/>
      <c r="P594" s="163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</row>
    <row r="595" spans="1:26" ht="18.75">
      <c r="A595" s="608"/>
      <c r="B595" s="618"/>
      <c r="C595" s="618" t="s">
        <v>254</v>
      </c>
      <c r="D595" s="618"/>
      <c r="E595" s="618"/>
      <c r="F595" s="626"/>
      <c r="G595" s="762"/>
      <c r="H595" s="764" t="s">
        <v>46</v>
      </c>
      <c r="I595" s="184"/>
      <c r="J595" s="184">
        <f t="shared" ref="J595:J596" si="256">J597+J599</f>
        <v>69.334999999999994</v>
      </c>
      <c r="K595" s="163"/>
      <c r="L595" s="163"/>
      <c r="M595" s="163"/>
      <c r="N595" s="163"/>
      <c r="O595" s="163"/>
      <c r="P595" s="163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</row>
    <row r="596" spans="1:26" ht="18.75">
      <c r="A596" s="608"/>
      <c r="B596" s="618"/>
      <c r="C596" s="618"/>
      <c r="D596" s="618"/>
      <c r="E596" s="626"/>
      <c r="F596" s="626"/>
      <c r="G596" s="762"/>
      <c r="H596" s="764" t="s">
        <v>34</v>
      </c>
      <c r="I596" s="184"/>
      <c r="J596" s="184">
        <f t="shared" si="256"/>
        <v>3</v>
      </c>
      <c r="K596" s="163"/>
      <c r="L596" s="163"/>
      <c r="M596" s="163"/>
      <c r="N596" s="163"/>
      <c r="O596" s="163"/>
      <c r="P596" s="163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</row>
    <row r="597" spans="1:26" ht="18.75">
      <c r="A597" s="608"/>
      <c r="B597" s="618"/>
      <c r="C597" s="618"/>
      <c r="D597" s="746" t="s">
        <v>255</v>
      </c>
      <c r="E597" s="626"/>
      <c r="F597" s="626"/>
      <c r="G597" s="762"/>
      <c r="H597" s="764" t="s">
        <v>46</v>
      </c>
      <c r="I597" s="184"/>
      <c r="J597" s="215">
        <v>69.334999999999994</v>
      </c>
      <c r="K597" s="163"/>
      <c r="L597" s="163"/>
      <c r="M597" s="163"/>
      <c r="N597" s="163"/>
      <c r="O597" s="163"/>
      <c r="P597" s="163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</row>
    <row r="598" spans="1:26" ht="18.75">
      <c r="A598" s="608"/>
      <c r="B598" s="618"/>
      <c r="C598" s="618"/>
      <c r="D598" s="618"/>
      <c r="E598" s="626"/>
      <c r="F598" s="626"/>
      <c r="G598" s="762"/>
      <c r="H598" s="764" t="s">
        <v>34</v>
      </c>
      <c r="I598" s="270"/>
      <c r="J598" s="215">
        <v>3</v>
      </c>
      <c r="K598" s="163"/>
      <c r="L598" s="163"/>
      <c r="M598" s="163"/>
      <c r="N598" s="163"/>
      <c r="O598" s="163"/>
      <c r="P598" s="163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</row>
    <row r="599" spans="1:26" ht="18.75">
      <c r="A599" s="608"/>
      <c r="B599" s="618"/>
      <c r="C599" s="618"/>
      <c r="D599" s="746" t="s">
        <v>256</v>
      </c>
      <c r="E599" s="626"/>
      <c r="F599" s="626"/>
      <c r="G599" s="762"/>
      <c r="H599" s="764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</row>
    <row r="600" spans="1:26" ht="18.75">
      <c r="A600" s="608"/>
      <c r="B600" s="618"/>
      <c r="C600" s="618"/>
      <c r="D600" s="618"/>
      <c r="E600" s="626"/>
      <c r="F600" s="626"/>
      <c r="G600" s="762"/>
      <c r="H600" s="764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</row>
    <row r="601" spans="1:26" ht="18.75">
      <c r="A601" s="608"/>
      <c r="B601" s="618"/>
      <c r="C601" s="618"/>
      <c r="D601" s="746" t="s">
        <v>257</v>
      </c>
      <c r="E601" s="626"/>
      <c r="F601" s="626"/>
      <c r="G601" s="762"/>
      <c r="H601" s="76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</row>
    <row r="602" spans="1:26" ht="18.75">
      <c r="A602" s="608"/>
      <c r="B602" s="618"/>
      <c r="C602" s="618"/>
      <c r="D602" s="618"/>
      <c r="E602" s="626"/>
      <c r="F602" s="626"/>
      <c r="G602" s="762"/>
      <c r="H602" s="76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</row>
    <row r="603" spans="1:26" ht="18.75">
      <c r="A603" s="608"/>
      <c r="B603" s="618"/>
      <c r="C603" s="705" t="s">
        <v>258</v>
      </c>
      <c r="D603" s="618"/>
      <c r="E603" s="618"/>
      <c r="F603" s="626"/>
      <c r="G603" s="762"/>
      <c r="H603" s="764" t="s">
        <v>46</v>
      </c>
      <c r="I603" s="270"/>
      <c r="J603" s="270">
        <f t="shared" ref="J603:J604" si="257">J605+J607</f>
        <v>11213.285</v>
      </c>
      <c r="K603" s="163"/>
      <c r="L603" s="163"/>
      <c r="M603" s="163"/>
      <c r="N603" s="163"/>
      <c r="O603" s="163"/>
      <c r="P603" s="163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</row>
    <row r="604" spans="1:26" ht="18.75">
      <c r="A604" s="608"/>
      <c r="B604" s="618"/>
      <c r="C604" s="618"/>
      <c r="D604" s="618"/>
      <c r="E604" s="626"/>
      <c r="F604" s="626"/>
      <c r="G604" s="762"/>
      <c r="H604" s="764" t="s">
        <v>34</v>
      </c>
      <c r="I604" s="270"/>
      <c r="J604" s="270">
        <f t="shared" si="257"/>
        <v>630</v>
      </c>
      <c r="K604" s="163"/>
      <c r="L604" s="163"/>
      <c r="M604" s="163"/>
      <c r="N604" s="163"/>
      <c r="O604" s="163"/>
      <c r="P604" s="163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</row>
    <row r="605" spans="1:26" ht="18.75">
      <c r="A605" s="608"/>
      <c r="B605" s="618"/>
      <c r="C605" s="618"/>
      <c r="D605" s="705" t="s">
        <v>259</v>
      </c>
      <c r="E605" s="626"/>
      <c r="F605" s="626"/>
      <c r="G605" s="762"/>
      <c r="H605" s="764" t="s">
        <v>46</v>
      </c>
      <c r="I605" s="270"/>
      <c r="J605" s="215">
        <v>7058.5524999999998</v>
      </c>
      <c r="K605" s="163"/>
      <c r="L605" s="163"/>
      <c r="M605" s="163"/>
      <c r="N605" s="163"/>
      <c r="O605" s="163"/>
      <c r="P605" s="163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</row>
    <row r="606" spans="1:26" ht="18.75">
      <c r="A606" s="608"/>
      <c r="B606" s="618"/>
      <c r="C606" s="618"/>
      <c r="D606" s="618"/>
      <c r="E606" s="618"/>
      <c r="F606" s="626"/>
      <c r="G606" s="762"/>
      <c r="H606" s="764" t="s">
        <v>34</v>
      </c>
      <c r="I606" s="270"/>
      <c r="J606" s="215">
        <v>399</v>
      </c>
      <c r="K606" s="163"/>
      <c r="L606" s="163"/>
      <c r="M606" s="163"/>
      <c r="N606" s="163"/>
      <c r="O606" s="163"/>
      <c r="P606" s="163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</row>
    <row r="607" spans="1:26" ht="18.75">
      <c r="A607" s="608"/>
      <c r="B607" s="618"/>
      <c r="C607" s="618"/>
      <c r="D607" s="705" t="s">
        <v>260</v>
      </c>
      <c r="E607" s="618"/>
      <c r="F607" s="626"/>
      <c r="G607" s="762"/>
      <c r="H607" s="764" t="s">
        <v>46</v>
      </c>
      <c r="I607" s="270"/>
      <c r="J607" s="215">
        <v>4154.7325000000001</v>
      </c>
      <c r="K607" s="163"/>
      <c r="L607" s="163"/>
      <c r="M607" s="163"/>
      <c r="N607" s="163"/>
      <c r="O607" s="163"/>
      <c r="P607" s="163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</row>
    <row r="608" spans="1:26" ht="18.75">
      <c r="A608" s="608"/>
      <c r="B608" s="618"/>
      <c r="C608" s="618"/>
      <c r="D608" s="618"/>
      <c r="E608" s="626"/>
      <c r="F608" s="626"/>
      <c r="G608" s="762"/>
      <c r="H608" s="764" t="s">
        <v>34</v>
      </c>
      <c r="I608" s="270"/>
      <c r="J608" s="215">
        <v>231</v>
      </c>
      <c r="K608" s="163"/>
      <c r="L608" s="163"/>
      <c r="M608" s="163"/>
      <c r="N608" s="163"/>
      <c r="O608" s="163"/>
      <c r="P608" s="163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</row>
    <row r="609" spans="1:26" ht="18.75">
      <c r="A609" s="608"/>
      <c r="B609" s="618"/>
      <c r="C609" s="618" t="s">
        <v>261</v>
      </c>
      <c r="D609" s="618"/>
      <c r="E609" s="618"/>
      <c r="F609" s="626"/>
      <c r="G609" s="762"/>
      <c r="H609" s="764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</row>
    <row r="610" spans="1:26" ht="18.75">
      <c r="A610" s="608"/>
      <c r="B610" s="618"/>
      <c r="C610" s="618"/>
      <c r="D610" s="618"/>
      <c r="E610" s="626"/>
      <c r="F610" s="626"/>
      <c r="G610" s="762"/>
      <c r="H610" s="764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</row>
    <row r="611" spans="1:26" ht="19.5">
      <c r="A611" s="692"/>
      <c r="B611" s="706" t="s">
        <v>262</v>
      </c>
      <c r="C611" s="694"/>
      <c r="D611" s="694"/>
      <c r="E611" s="673"/>
      <c r="F611" s="673"/>
      <c r="G611" s="674"/>
      <c r="H611" s="707" t="s">
        <v>46</v>
      </c>
      <c r="I611" s="708">
        <v>0</v>
      </c>
      <c r="J611" s="708">
        <f>J614+J616</f>
        <v>0</v>
      </c>
      <c r="K611" s="677">
        <f t="shared" ref="K611:K613" si="258">IF(I611&gt;0,J611*100/I611,0)</f>
        <v>0</v>
      </c>
      <c r="L611" s="678"/>
      <c r="M611" s="678"/>
      <c r="N611" s="678"/>
      <c r="O611" s="678"/>
      <c r="P611" s="6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</row>
    <row r="612" spans="1:26" ht="19.5" hidden="1">
      <c r="A612" s="709"/>
      <c r="B612" s="719"/>
      <c r="C612" s="711" t="s">
        <v>263</v>
      </c>
      <c r="D612" s="719"/>
      <c r="E612" s="719"/>
      <c r="F612" s="712"/>
      <c r="G612" s="713"/>
      <c r="H612" s="714" t="s">
        <v>46</v>
      </c>
      <c r="I612" s="716">
        <v>0</v>
      </c>
      <c r="J612" s="716">
        <f t="shared" ref="J612:J613" si="259">J614+J616</f>
        <v>0</v>
      </c>
      <c r="K612" s="717">
        <f t="shared" si="258"/>
        <v>0</v>
      </c>
      <c r="L612" s="718"/>
      <c r="M612" s="718"/>
      <c r="N612" s="718"/>
      <c r="O612" s="718"/>
      <c r="P612" s="718"/>
      <c r="Q612" s="604"/>
      <c r="R612" s="604"/>
      <c r="S612" s="604"/>
      <c r="T612" s="604"/>
      <c r="U612" s="604"/>
      <c r="V612" s="604"/>
      <c r="W612" s="604"/>
      <c r="X612" s="604"/>
      <c r="Y612" s="604"/>
      <c r="Z612" s="604"/>
    </row>
    <row r="613" spans="1:26" ht="19.5" hidden="1">
      <c r="A613" s="709"/>
      <c r="B613" s="719"/>
      <c r="C613" s="719" t="s">
        <v>264</v>
      </c>
      <c r="D613" s="719"/>
      <c r="E613" s="719"/>
      <c r="F613" s="712"/>
      <c r="G613" s="713"/>
      <c r="H613" s="714" t="s">
        <v>34</v>
      </c>
      <c r="I613" s="716">
        <v>0</v>
      </c>
      <c r="J613" s="716">
        <f t="shared" si="259"/>
        <v>0</v>
      </c>
      <c r="K613" s="717">
        <f t="shared" si="258"/>
        <v>0</v>
      </c>
      <c r="L613" s="718"/>
      <c r="M613" s="718"/>
      <c r="N613" s="718"/>
      <c r="O613" s="718"/>
      <c r="P613" s="718"/>
      <c r="Q613" s="604"/>
      <c r="R613" s="604"/>
      <c r="S613" s="604"/>
      <c r="T613" s="604"/>
      <c r="U613" s="604"/>
      <c r="V613" s="604"/>
      <c r="W613" s="604"/>
      <c r="X613" s="604"/>
      <c r="Y613" s="604"/>
      <c r="Z613" s="604"/>
    </row>
    <row r="614" spans="1:26" ht="18.75" hidden="1">
      <c r="A614" s="614"/>
      <c r="B614" s="616"/>
      <c r="C614" s="616"/>
      <c r="D614" s="720" t="s">
        <v>265</v>
      </c>
      <c r="E614" s="616"/>
      <c r="F614" s="720"/>
      <c r="G614" s="366"/>
      <c r="H614" s="370" t="s">
        <v>46</v>
      </c>
      <c r="I614" s="617"/>
      <c r="J614" s="617">
        <v>0</v>
      </c>
      <c r="K614" s="167"/>
      <c r="L614" s="167"/>
      <c r="M614" s="167"/>
      <c r="N614" s="167"/>
      <c r="O614" s="167"/>
      <c r="P614" s="167"/>
      <c r="Q614" s="604"/>
      <c r="R614" s="604"/>
      <c r="S614" s="604"/>
      <c r="T614" s="604"/>
      <c r="U614" s="604"/>
      <c r="V614" s="604"/>
      <c r="W614" s="604"/>
      <c r="X614" s="604"/>
      <c r="Y614" s="604"/>
      <c r="Z614" s="604"/>
    </row>
    <row r="615" spans="1:26" ht="18.75" hidden="1">
      <c r="A615" s="614"/>
      <c r="B615" s="616"/>
      <c r="C615" s="616"/>
      <c r="D615" s="616"/>
      <c r="E615" s="616"/>
      <c r="F615" s="720"/>
      <c r="G615" s="366"/>
      <c r="H615" s="370" t="s">
        <v>34</v>
      </c>
      <c r="I615" s="617"/>
      <c r="J615" s="617">
        <v>0</v>
      </c>
      <c r="K615" s="167"/>
      <c r="L615" s="167"/>
      <c r="M615" s="167"/>
      <c r="N615" s="167"/>
      <c r="O615" s="167"/>
      <c r="P615" s="167"/>
      <c r="Q615" s="604"/>
      <c r="R615" s="604"/>
      <c r="S615" s="604"/>
      <c r="T615" s="604"/>
      <c r="U615" s="604"/>
      <c r="V615" s="604"/>
      <c r="W615" s="604"/>
      <c r="X615" s="604"/>
      <c r="Y615" s="604"/>
      <c r="Z615" s="604"/>
    </row>
    <row r="616" spans="1:26" ht="18.75" hidden="1">
      <c r="A616" s="614"/>
      <c r="B616" s="616"/>
      <c r="C616" s="616"/>
      <c r="D616" s="721" t="s">
        <v>265</v>
      </c>
      <c r="E616" s="720"/>
      <c r="F616" s="720"/>
      <c r="G616" s="366"/>
      <c r="H616" s="370" t="s">
        <v>46</v>
      </c>
      <c r="I616" s="617"/>
      <c r="J616" s="617">
        <v>0</v>
      </c>
      <c r="K616" s="167"/>
      <c r="L616" s="167"/>
      <c r="M616" s="167"/>
      <c r="N616" s="167"/>
      <c r="O616" s="167"/>
      <c r="P616" s="167"/>
      <c r="Q616" s="604"/>
      <c r="R616" s="604"/>
      <c r="S616" s="604"/>
      <c r="T616" s="604"/>
      <c r="U616" s="604"/>
      <c r="V616" s="604"/>
      <c r="W616" s="604"/>
      <c r="X616" s="604"/>
      <c r="Y616" s="604"/>
      <c r="Z616" s="604"/>
    </row>
    <row r="617" spans="1:26" ht="18.75" hidden="1">
      <c r="A617" s="614"/>
      <c r="B617" s="616"/>
      <c r="C617" s="616"/>
      <c r="D617" s="616"/>
      <c r="E617" s="720"/>
      <c r="F617" s="720"/>
      <c r="G617" s="366"/>
      <c r="H617" s="370" t="s">
        <v>34</v>
      </c>
      <c r="I617" s="617"/>
      <c r="J617" s="617">
        <v>0</v>
      </c>
      <c r="K617" s="167"/>
      <c r="L617" s="167"/>
      <c r="M617" s="167"/>
      <c r="N617" s="167"/>
      <c r="O617" s="167"/>
      <c r="P617" s="167"/>
      <c r="Q617" s="604"/>
      <c r="R617" s="604"/>
      <c r="S617" s="604"/>
      <c r="T617" s="604"/>
      <c r="U617" s="604"/>
      <c r="V617" s="604"/>
      <c r="W617" s="604"/>
      <c r="X617" s="604"/>
      <c r="Y617" s="604"/>
      <c r="Z617" s="604"/>
    </row>
    <row r="618" spans="1:26" ht="18.75" hidden="1">
      <c r="A618" s="614"/>
      <c r="B618" s="616"/>
      <c r="C618" s="616"/>
      <c r="D618" s="721" t="s">
        <v>266</v>
      </c>
      <c r="E618" s="720"/>
      <c r="F618" s="720"/>
      <c r="G618" s="366"/>
      <c r="H618" s="370" t="s">
        <v>46</v>
      </c>
      <c r="I618" s="617"/>
      <c r="J618" s="617">
        <v>0</v>
      </c>
      <c r="K618" s="167"/>
      <c r="L618" s="167"/>
      <c r="M618" s="167"/>
      <c r="N618" s="167"/>
      <c r="O618" s="167"/>
      <c r="P618" s="167"/>
      <c r="Q618" s="604"/>
      <c r="R618" s="604"/>
      <c r="S618" s="604"/>
      <c r="T618" s="604"/>
      <c r="U618" s="604"/>
      <c r="V618" s="604"/>
      <c r="W618" s="604"/>
      <c r="X618" s="604"/>
      <c r="Y618" s="604"/>
      <c r="Z618" s="604"/>
    </row>
    <row r="619" spans="1:26" ht="18.75" hidden="1">
      <c r="A619" s="614"/>
      <c r="B619" s="616"/>
      <c r="C619" s="616"/>
      <c r="D619" s="616"/>
      <c r="E619" s="720"/>
      <c r="F619" s="720"/>
      <c r="G619" s="366"/>
      <c r="H619" s="370" t="s">
        <v>34</v>
      </c>
      <c r="I619" s="617"/>
      <c r="J619" s="617">
        <v>0</v>
      </c>
      <c r="K619" s="167"/>
      <c r="L619" s="167"/>
      <c r="M619" s="167"/>
      <c r="N619" s="167"/>
      <c r="O619" s="167"/>
      <c r="P619" s="167"/>
      <c r="Q619" s="604"/>
      <c r="R619" s="604"/>
      <c r="S619" s="604"/>
      <c r="T619" s="604"/>
      <c r="U619" s="604"/>
      <c r="V619" s="604"/>
      <c r="W619" s="604"/>
      <c r="X619" s="604"/>
      <c r="Y619" s="604"/>
      <c r="Z619" s="604"/>
    </row>
    <row r="620" spans="1:26" ht="19.5">
      <c r="A620" s="722"/>
      <c r="B620" s="731"/>
      <c r="C620" s="724" t="s">
        <v>267</v>
      </c>
      <c r="D620" s="731"/>
      <c r="E620" s="731"/>
      <c r="F620" s="725"/>
      <c r="G620" s="726"/>
      <c r="H620" s="727" t="s">
        <v>46</v>
      </c>
      <c r="I620" s="728">
        <f ca="1">IFERROR(__xludf.DUMMYFUNCTION("IMPORTRANGE(""https://docs.google.com/spreadsheets/d/1QqKyyYR6Q21VydFLVH3TRQUabQu_ym0Zz7PgGX0-kHA/edit?usp=sharing"",""แผน!HL48"")"),44)</f>
        <v>44</v>
      </c>
      <c r="J620" s="728">
        <f t="shared" ref="J620:J621" si="260">J622+J624+J626</f>
        <v>44</v>
      </c>
      <c r="K620" s="729">
        <f t="shared" ref="K620:K621" ca="1" si="261">IF(I620&gt;0,J620*100/I620,0)</f>
        <v>100</v>
      </c>
      <c r="L620" s="730"/>
      <c r="M620" s="730"/>
      <c r="N620" s="730"/>
      <c r="O620" s="730"/>
      <c r="P620" s="730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</row>
    <row r="621" spans="1:26" ht="19.5">
      <c r="A621" s="722"/>
      <c r="B621" s="731"/>
      <c r="C621" s="731" t="s">
        <v>268</v>
      </c>
      <c r="D621" s="731"/>
      <c r="E621" s="731"/>
      <c r="F621" s="725"/>
      <c r="G621" s="726"/>
      <c r="H621" s="727" t="s">
        <v>34</v>
      </c>
      <c r="I621" s="728">
        <f ca="1">IFERROR(__xludf.DUMMYFUNCTION("IMPORTRANGE(""https://docs.google.com/spreadsheets/d/1QqKyyYR6Q21VydFLVH3TRQUabQu_ym0Zz7PgGX0-kHA/edit?usp=sharing"",""แผน!HK48"")"),3)</f>
        <v>3</v>
      </c>
      <c r="J621" s="728">
        <f t="shared" si="260"/>
        <v>3</v>
      </c>
      <c r="K621" s="729">
        <f t="shared" ca="1" si="261"/>
        <v>100</v>
      </c>
      <c r="L621" s="730"/>
      <c r="M621" s="730"/>
      <c r="N621" s="730"/>
      <c r="O621" s="730"/>
      <c r="P621" s="730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</row>
    <row r="622" spans="1:26" ht="18.75">
      <c r="A622" s="608"/>
      <c r="B622" s="618"/>
      <c r="C622" s="618"/>
      <c r="D622" s="746" t="s">
        <v>269</v>
      </c>
      <c r="E622" s="626"/>
      <c r="F622" s="626"/>
      <c r="G622" s="762"/>
      <c r="H622" s="764" t="s">
        <v>46</v>
      </c>
      <c r="I622" s="270"/>
      <c r="J622" s="215">
        <v>34</v>
      </c>
      <c r="K622" s="163"/>
      <c r="L622" s="163"/>
      <c r="M622" s="163"/>
      <c r="N622" s="163"/>
      <c r="O622" s="163"/>
      <c r="P622" s="163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</row>
    <row r="623" spans="1:26" ht="18.75">
      <c r="A623" s="608"/>
      <c r="B623" s="618"/>
      <c r="C623" s="618"/>
      <c r="D623" s="618"/>
      <c r="E623" s="626"/>
      <c r="F623" s="626"/>
      <c r="G623" s="762"/>
      <c r="H623" s="764" t="s">
        <v>34</v>
      </c>
      <c r="I623" s="270"/>
      <c r="J623" s="215">
        <v>2</v>
      </c>
      <c r="K623" s="163"/>
      <c r="L623" s="163"/>
      <c r="M623" s="163"/>
      <c r="N623" s="163"/>
      <c r="O623" s="163"/>
      <c r="P623" s="163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</row>
    <row r="624" spans="1:26" ht="18.75">
      <c r="A624" s="608"/>
      <c r="B624" s="618"/>
      <c r="C624" s="618"/>
      <c r="D624" s="746" t="s">
        <v>265</v>
      </c>
      <c r="E624" s="626"/>
      <c r="F624" s="626"/>
      <c r="G624" s="762"/>
      <c r="H624" s="764" t="s">
        <v>46</v>
      </c>
      <c r="I624" s="270"/>
      <c r="J624" s="215">
        <v>10</v>
      </c>
      <c r="K624" s="163"/>
      <c r="L624" s="163"/>
      <c r="M624" s="163"/>
      <c r="N624" s="163"/>
      <c r="O624" s="163"/>
      <c r="P624" s="163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</row>
    <row r="625" spans="1:26" ht="18.75">
      <c r="A625" s="608"/>
      <c r="B625" s="618"/>
      <c r="C625" s="618"/>
      <c r="D625" s="618"/>
      <c r="E625" s="626"/>
      <c r="F625" s="626"/>
      <c r="G625" s="762"/>
      <c r="H625" s="764" t="s">
        <v>34</v>
      </c>
      <c r="I625" s="270"/>
      <c r="J625" s="215">
        <v>1</v>
      </c>
      <c r="K625" s="163"/>
      <c r="L625" s="163"/>
      <c r="M625" s="163"/>
      <c r="N625" s="163"/>
      <c r="O625" s="163"/>
      <c r="P625" s="163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</row>
    <row r="626" spans="1:26" ht="18.75">
      <c r="A626" s="608"/>
      <c r="B626" s="618"/>
      <c r="C626" s="618"/>
      <c r="D626" s="746" t="s">
        <v>270</v>
      </c>
      <c r="E626" s="626"/>
      <c r="F626" s="626"/>
      <c r="G626" s="762"/>
      <c r="H626" s="76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</row>
    <row r="627" spans="1:26" ht="18.75">
      <c r="A627" s="732"/>
      <c r="B627" s="733"/>
      <c r="C627" s="733"/>
      <c r="D627" s="733"/>
      <c r="E627" s="734"/>
      <c r="F627" s="734"/>
      <c r="G627" s="735"/>
      <c r="H627" s="422" t="s">
        <v>34</v>
      </c>
      <c r="I627" s="506"/>
      <c r="J627" s="424">
        <v>0</v>
      </c>
      <c r="K627" s="385"/>
      <c r="L627" s="385"/>
      <c r="M627" s="385"/>
      <c r="N627" s="385"/>
      <c r="O627" s="385"/>
      <c r="P627" s="385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</row>
    <row r="628" spans="1:26" ht="19.5">
      <c r="A628" s="736">
        <v>7</v>
      </c>
      <c r="B628" s="737" t="s">
        <v>271</v>
      </c>
      <c r="C628" s="738"/>
      <c r="D628" s="738"/>
      <c r="E628" s="738"/>
      <c r="F628" s="738"/>
      <c r="G628" s="739"/>
      <c r="H628" s="740" t="s">
        <v>35</v>
      </c>
      <c r="I628" s="741">
        <f t="shared" ref="I628:J628" ca="1" si="262">I651</f>
        <v>130</v>
      </c>
      <c r="J628" s="741">
        <f t="shared" ca="1" si="262"/>
        <v>162</v>
      </c>
      <c r="K628" s="742">
        <f ca="1">IF(I628&gt;0,J628*100/I628,0)</f>
        <v>124.61538461538461</v>
      </c>
      <c r="L628" s="743"/>
      <c r="M628" s="743"/>
      <c r="N628" s="743"/>
      <c r="O628" s="743"/>
      <c r="P628" s="743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</row>
    <row r="629" spans="1:26" ht="19.5">
      <c r="A629" s="597"/>
      <c r="B629" s="763"/>
      <c r="C629" s="763" t="s">
        <v>16</v>
      </c>
      <c r="D629" s="863" t="s">
        <v>17</v>
      </c>
      <c r="E629" s="857"/>
      <c r="F629" s="857"/>
      <c r="G629" s="189"/>
      <c r="H629" s="598" t="s">
        <v>12</v>
      </c>
      <c r="I629" s="270"/>
      <c r="J629" s="270"/>
      <c r="K629" s="498"/>
      <c r="L629" s="195">
        <f t="shared" ref="L629:N629" ca="1" si="263">L630+L631</f>
        <v>368210</v>
      </c>
      <c r="M629" s="195">
        <f t="shared" ca="1" si="263"/>
        <v>363845.51</v>
      </c>
      <c r="N629" s="195">
        <f t="shared" si="263"/>
        <v>363845.51</v>
      </c>
      <c r="O629" s="195">
        <f t="shared" ref="O629:O634" ca="1" si="264">IF(L629&gt;0,N629*100/L629,0)</f>
        <v>98.81467369164335</v>
      </c>
      <c r="P629" s="195">
        <f t="shared" ref="P629:P634" ca="1" si="265">IF(M629&gt;0,N629*100/M629,0)</f>
        <v>100</v>
      </c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</row>
    <row r="630" spans="1:26" ht="18.75" hidden="1">
      <c r="A630" s="599"/>
      <c r="B630" s="759"/>
      <c r="C630" s="759"/>
      <c r="D630" s="720"/>
      <c r="E630" s="759" t="s">
        <v>185</v>
      </c>
      <c r="F630" s="759"/>
      <c r="G630" s="603"/>
      <c r="H630" s="165" t="s">
        <v>12</v>
      </c>
      <c r="I630" s="617"/>
      <c r="J630" s="617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4"/>
      <c r="R630" s="604"/>
      <c r="S630" s="604"/>
      <c r="T630" s="604"/>
      <c r="U630" s="604"/>
      <c r="V630" s="604"/>
      <c r="W630" s="604"/>
      <c r="X630" s="604"/>
      <c r="Y630" s="604"/>
      <c r="Z630" s="604"/>
    </row>
    <row r="631" spans="1:26" ht="18.75" hidden="1">
      <c r="A631" s="599"/>
      <c r="B631" s="607"/>
      <c r="C631" s="759"/>
      <c r="D631" s="720"/>
      <c r="E631" s="759" t="s">
        <v>186</v>
      </c>
      <c r="F631" s="759"/>
      <c r="G631" s="603"/>
      <c r="H631" s="165" t="s">
        <v>12</v>
      </c>
      <c r="I631" s="617"/>
      <c r="J631" s="617"/>
      <c r="K631" s="93"/>
      <c r="L631" s="93">
        <f t="shared" ca="1" si="266"/>
        <v>368210</v>
      </c>
      <c r="M631" s="93">
        <f t="shared" ca="1" si="266"/>
        <v>363845.51</v>
      </c>
      <c r="N631" s="93">
        <f t="shared" si="266"/>
        <v>363845.51</v>
      </c>
      <c r="O631" s="93">
        <f t="shared" ca="1" si="264"/>
        <v>98.81467369164335</v>
      </c>
      <c r="P631" s="93">
        <f t="shared" ca="1" si="265"/>
        <v>100</v>
      </c>
      <c r="Q631" s="604"/>
      <c r="R631" s="604"/>
      <c r="S631" s="604"/>
      <c r="T631" s="604"/>
      <c r="U631" s="604"/>
      <c r="V631" s="604"/>
      <c r="W631" s="604"/>
      <c r="X631" s="604"/>
      <c r="Y631" s="604"/>
      <c r="Z631" s="604"/>
    </row>
    <row r="632" spans="1:26" ht="18.75">
      <c r="A632" s="597"/>
      <c r="B632" s="575"/>
      <c r="C632" s="763"/>
      <c r="D632" s="606" t="s">
        <v>20</v>
      </c>
      <c r="E632" s="763"/>
      <c r="F632" s="763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368210</v>
      </c>
      <c r="M632" s="498">
        <f t="shared" ca="1" si="267"/>
        <v>363845.51</v>
      </c>
      <c r="N632" s="498">
        <f t="shared" si="267"/>
        <v>363845.51</v>
      </c>
      <c r="O632" s="498">
        <f t="shared" ca="1" si="264"/>
        <v>98.81467369164335</v>
      </c>
      <c r="P632" s="498">
        <f t="shared" ca="1" si="265"/>
        <v>100</v>
      </c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</row>
    <row r="633" spans="1:26" ht="18.75" hidden="1">
      <c r="A633" s="599"/>
      <c r="B633" s="607"/>
      <c r="C633" s="759"/>
      <c r="D633" s="720"/>
      <c r="E633" s="759" t="s">
        <v>185</v>
      </c>
      <c r="F633" s="759"/>
      <c r="G633" s="603"/>
      <c r="H633" s="165" t="s">
        <v>12</v>
      </c>
      <c r="I633" s="617"/>
      <c r="J633" s="617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4"/>
      <c r="R633" s="604"/>
      <c r="S633" s="604"/>
      <c r="T633" s="604"/>
      <c r="U633" s="604"/>
      <c r="V633" s="604"/>
      <c r="W633" s="604"/>
      <c r="X633" s="604"/>
      <c r="Y633" s="604"/>
      <c r="Z633" s="604"/>
    </row>
    <row r="634" spans="1:26" ht="18.75" hidden="1">
      <c r="A634" s="599"/>
      <c r="B634" s="607"/>
      <c r="C634" s="759"/>
      <c r="D634" s="720"/>
      <c r="E634" s="759" t="s">
        <v>186</v>
      </c>
      <c r="F634" s="759"/>
      <c r="G634" s="603"/>
      <c r="H634" s="165" t="s">
        <v>12</v>
      </c>
      <c r="I634" s="617"/>
      <c r="J634" s="617"/>
      <c r="K634" s="93"/>
      <c r="L634" s="93">
        <f ca="1">IFERROR(__xludf.DUMMYFUNCTION("IMPORTRANGE(""https://docs.google.com/spreadsheets/d/1QqKyyYR6Q21VydFLVH3TRQUabQu_ym0Zz7PgGX0-kHA/edit?usp=sharing"",""แผน!HN48"")"),368210)</f>
        <v>368210</v>
      </c>
      <c r="M634" s="93">
        <f ca="1">L634-1299.99-3064.5</f>
        <v>363845.51</v>
      </c>
      <c r="N634" s="93">
        <f>N635+N636+N637+N638</f>
        <v>363845.51</v>
      </c>
      <c r="O634" s="93">
        <f t="shared" ca="1" si="264"/>
        <v>98.81467369164335</v>
      </c>
      <c r="P634" s="93">
        <f t="shared" ca="1" si="265"/>
        <v>100</v>
      </c>
      <c r="Q634" s="604"/>
      <c r="R634" s="604"/>
      <c r="S634" s="604"/>
      <c r="T634" s="604"/>
      <c r="U634" s="604"/>
      <c r="V634" s="604"/>
      <c r="W634" s="604"/>
      <c r="X634" s="604"/>
      <c r="Y634" s="604"/>
      <c r="Z634" s="604"/>
    </row>
    <row r="635" spans="1:26" ht="18.75">
      <c r="A635" s="574"/>
      <c r="B635" s="575"/>
      <c r="C635" s="763"/>
      <c r="D635" s="763"/>
      <c r="E635" s="763"/>
      <c r="F635" s="763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40">
        <v>0</v>
      </c>
      <c r="O635" s="498"/>
      <c r="P635" s="49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</row>
    <row r="636" spans="1:26" ht="18.75">
      <c r="A636" s="574"/>
      <c r="B636" s="575"/>
      <c r="C636" s="763"/>
      <c r="D636" s="763"/>
      <c r="E636" s="763"/>
      <c r="F636" s="763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40">
        <v>0</v>
      </c>
      <c r="O636" s="498"/>
      <c r="P636" s="49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</row>
    <row r="637" spans="1:26" ht="18.75">
      <c r="A637" s="574"/>
      <c r="B637" s="575"/>
      <c r="C637" s="763"/>
      <c r="D637" s="763"/>
      <c r="E637" s="763"/>
      <c r="F637" s="763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40">
        <v>141700.01</v>
      </c>
      <c r="O637" s="498"/>
      <c r="P637" s="498"/>
      <c r="Q637" s="578"/>
      <c r="R637" s="578"/>
      <c r="S637" s="578"/>
      <c r="T637" s="578"/>
      <c r="U637" s="578"/>
      <c r="V637" s="578"/>
      <c r="W637" s="578"/>
      <c r="X637" s="578"/>
      <c r="Y637" s="578"/>
      <c r="Z637" s="578"/>
    </row>
    <row r="638" spans="1:26" ht="18.75">
      <c r="A638" s="574"/>
      <c r="B638" s="575"/>
      <c r="C638" s="763"/>
      <c r="D638" s="763"/>
      <c r="E638" s="763"/>
      <c r="F638" s="763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40">
        <v>222145.5</v>
      </c>
      <c r="O638" s="498"/>
      <c r="P638" s="49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</row>
    <row r="639" spans="1:26" ht="18.75">
      <c r="A639" s="597"/>
      <c r="B639" s="575"/>
      <c r="C639" s="763"/>
      <c r="D639" s="606" t="s">
        <v>21</v>
      </c>
      <c r="E639" s="763"/>
      <c r="F639" s="763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</row>
    <row r="640" spans="1:26" ht="18.75" hidden="1">
      <c r="A640" s="599"/>
      <c r="B640" s="607"/>
      <c r="C640" s="759"/>
      <c r="D640" s="759"/>
      <c r="E640" s="759" t="s">
        <v>18</v>
      </c>
      <c r="F640" s="759"/>
      <c r="G640" s="603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4"/>
      <c r="R640" s="604"/>
      <c r="S640" s="604"/>
      <c r="T640" s="604"/>
      <c r="U640" s="604"/>
      <c r="V640" s="604"/>
      <c r="W640" s="604"/>
      <c r="X640" s="604"/>
      <c r="Y640" s="604"/>
      <c r="Z640" s="604"/>
    </row>
    <row r="641" spans="1:26" ht="18.75" hidden="1">
      <c r="A641" s="599"/>
      <c r="B641" s="607"/>
      <c r="C641" s="759"/>
      <c r="D641" s="759"/>
      <c r="E641" s="759" t="s">
        <v>19</v>
      </c>
      <c r="F641" s="759"/>
      <c r="G641" s="603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4"/>
      <c r="R641" s="604"/>
      <c r="S641" s="604"/>
      <c r="T641" s="604"/>
      <c r="U641" s="604"/>
      <c r="V641" s="604"/>
      <c r="W641" s="604"/>
      <c r="X641" s="604"/>
      <c r="Y641" s="604"/>
      <c r="Z641" s="604"/>
    </row>
    <row r="642" spans="1:26" ht="19.5">
      <c r="A642" s="608"/>
      <c r="B642" s="618"/>
      <c r="C642" s="763" t="s">
        <v>16</v>
      </c>
      <c r="D642" s="896" t="s">
        <v>38</v>
      </c>
      <c r="E642" s="761"/>
      <c r="F642" s="761"/>
      <c r="G642" s="613"/>
      <c r="H642" s="762"/>
      <c r="I642" s="184"/>
      <c r="J642" s="184"/>
      <c r="K642" s="163"/>
      <c r="L642" s="163"/>
      <c r="M642" s="163"/>
      <c r="N642" s="163"/>
      <c r="O642" s="163"/>
      <c r="P642" s="163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</row>
    <row r="643" spans="1:26" ht="18.75">
      <c r="A643" s="744"/>
      <c r="B643" s="575"/>
      <c r="C643" s="763"/>
      <c r="D643" s="626"/>
      <c r="E643" s="746" t="s">
        <v>272</v>
      </c>
      <c r="F643" s="626"/>
      <c r="G643" s="762"/>
      <c r="H643" s="764" t="s">
        <v>273</v>
      </c>
      <c r="I643" s="270">
        <f ca="1">IFERROR(__xludf.DUMMYFUNCTION("IMPORTRANGE(""https://docs.google.com/spreadsheets/d/1QqKyyYR6Q21VydFLVH3TRQUabQu_ym0Zz7PgGX0-kHA/edit?usp=sharing"",""แผน!HR48"")"),0)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</row>
    <row r="644" spans="1:26" ht="18.75">
      <c r="A644" s="744"/>
      <c r="B644" s="575"/>
      <c r="C644" s="763"/>
      <c r="D644" s="626"/>
      <c r="E644" s="746" t="s">
        <v>274</v>
      </c>
      <c r="F644" s="626"/>
      <c r="G644" s="762"/>
      <c r="H644" s="764" t="s">
        <v>275</v>
      </c>
      <c r="I644" s="270">
        <f ca="1">IFERROR(__xludf.DUMMYFUNCTION("IMPORTRANGE(""https://docs.google.com/spreadsheets/d/1QqKyyYR6Q21VydFLVH3TRQUabQu_ym0Zz7PgGX0-kHA/edit?usp=sharing"",""แผน!HR48"")"),0)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</row>
    <row r="645" spans="1:26" ht="18.75">
      <c r="A645" s="744"/>
      <c r="B645" s="575"/>
      <c r="C645" s="763"/>
      <c r="D645" s="626"/>
      <c r="E645" s="746" t="s">
        <v>276</v>
      </c>
      <c r="F645" s="626"/>
      <c r="G645" s="762"/>
      <c r="H645" s="76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IFERROR(__xludf.DUMMYFUNCTION("IMPORTRANGE(""https://docs.google.com/spreadsheets/d/1XWAQStnk-4SwqDmLtmXYiTMKHgktTP8We1SCoS47DrQ/edit?usp=sharing"",""จัดที่ดิน!AS48"")"),170)</f>
        <v>170</v>
      </c>
      <c r="K645" s="163">
        <f t="shared" si="271"/>
        <v>0</v>
      </c>
      <c r="L645" s="163"/>
      <c r="M645" s="163"/>
      <c r="N645" s="498"/>
      <c r="O645" s="163"/>
      <c r="P645" s="163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</row>
    <row r="646" spans="1:26" ht="18.75">
      <c r="A646" s="744"/>
      <c r="B646" s="575"/>
      <c r="C646" s="763"/>
      <c r="D646" s="626"/>
      <c r="E646" s="626"/>
      <c r="F646" s="626"/>
      <c r="G646" s="762"/>
      <c r="H646" s="76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IFERROR(__xludf.DUMMYFUNCTION("IMPORTRANGE(""https://docs.google.com/spreadsheets/d/1XWAQStnk-4SwqDmLtmXYiTMKHgktTP8We1SCoS47DrQ/edit?usp=sharing"",""จัดที่ดิน!AT48"")"),122.74)</f>
        <v>122.74</v>
      </c>
      <c r="K646" s="498">
        <f t="shared" si="271"/>
        <v>0</v>
      </c>
      <c r="L646" s="163"/>
      <c r="M646" s="163"/>
      <c r="N646" s="498"/>
      <c r="O646" s="163"/>
      <c r="P646" s="163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</row>
    <row r="647" spans="1:26" ht="18.75">
      <c r="A647" s="744"/>
      <c r="B647" s="575"/>
      <c r="C647" s="763"/>
      <c r="D647" s="626"/>
      <c r="E647" s="746" t="s">
        <v>162</v>
      </c>
      <c r="F647" s="626"/>
      <c r="G647" s="762"/>
      <c r="H647" s="764" t="s">
        <v>35</v>
      </c>
      <c r="I647" s="270">
        <f ca="1">IFERROR(__xludf.DUMMYFUNCTION("IMPORTRANGE(""https://docs.google.com/spreadsheets/d/1QqKyyYR6Q21VydFLVH3TRQUabQu_ym0Zz7PgGX0-kHA/edit?usp=sharing"",""แผน!HS48"")"),130)</f>
        <v>130</v>
      </c>
      <c r="J647" s="270">
        <f ca="1">IFERROR(__xludf.DUMMYFUNCTION("IMPORTRANGE(""https://docs.google.com/spreadsheets/d/1XWAQStnk-4SwqDmLtmXYiTMKHgktTP8We1SCoS47DrQ/edit?usp=sharing"",""จัดที่ดิน!AU48"")"),158)</f>
        <v>158</v>
      </c>
      <c r="K647" s="163">
        <f t="shared" ca="1" si="271"/>
        <v>121.53846153846153</v>
      </c>
      <c r="L647" s="163"/>
      <c r="M647" s="163"/>
      <c r="N647" s="163"/>
      <c r="O647" s="163"/>
      <c r="P647" s="163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</row>
    <row r="648" spans="1:26" ht="18.75">
      <c r="A648" s="744"/>
      <c r="B648" s="575"/>
      <c r="C648" s="763"/>
      <c r="D648" s="626"/>
      <c r="E648" s="626"/>
      <c r="F648" s="626"/>
      <c r="G648" s="762"/>
      <c r="H648" s="76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IFERROR(__xludf.DUMMYFUNCTION("IMPORTRANGE(""https://docs.google.com/spreadsheets/d/1XWAQStnk-4SwqDmLtmXYiTMKHgktTP8We1SCoS47DrQ/edit?usp=sharing"",""จัดที่ดิน!AV48"")"),109.39)</f>
        <v>109.39</v>
      </c>
      <c r="K648" s="498">
        <f t="shared" si="271"/>
        <v>0</v>
      </c>
      <c r="L648" s="163"/>
      <c r="M648" s="163"/>
      <c r="N648" s="163"/>
      <c r="O648" s="163"/>
      <c r="P648" s="163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</row>
    <row r="649" spans="1:26" ht="18.75">
      <c r="A649" s="744"/>
      <c r="B649" s="575"/>
      <c r="C649" s="763"/>
      <c r="D649" s="626"/>
      <c r="E649" s="746" t="s">
        <v>277</v>
      </c>
      <c r="F649" s="626"/>
      <c r="G649" s="762"/>
      <c r="H649" s="764" t="s">
        <v>35</v>
      </c>
      <c r="I649" s="270">
        <f ca="1">IFERROR(__xludf.DUMMYFUNCTION("IMPORTRANGE(""https://docs.google.com/spreadsheets/d/1QqKyyYR6Q21VydFLVH3TRQUabQu_ym0Zz7PgGX0-kHA/edit?usp=sharing"",""แผน!HS48"")"),130)</f>
        <v>130</v>
      </c>
      <c r="J649" s="270">
        <f ca="1">IFERROR(__xludf.DUMMYFUNCTION("IMPORTRANGE(""https://docs.google.com/spreadsheets/d/1XWAQStnk-4SwqDmLtmXYiTMKHgktTP8We1SCoS47DrQ/edit?usp=sharing"",""จัดที่ดิน!AW48"")"),173)</f>
        <v>173</v>
      </c>
      <c r="K649" s="163">
        <f t="shared" ca="1" si="271"/>
        <v>133.07692307692307</v>
      </c>
      <c r="L649" s="163"/>
      <c r="M649" s="163"/>
      <c r="N649" s="163"/>
      <c r="O649" s="163"/>
      <c r="P649" s="163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</row>
    <row r="650" spans="1:26" ht="18.75">
      <c r="A650" s="744"/>
      <c r="B650" s="575"/>
      <c r="C650" s="763"/>
      <c r="D650" s="626"/>
      <c r="E650" s="626"/>
      <c r="F650" s="626"/>
      <c r="G650" s="762"/>
      <c r="H650" s="76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IFERROR(__xludf.DUMMYFUNCTION("IMPORTRANGE(""https://docs.google.com/spreadsheets/d/1XWAQStnk-4SwqDmLtmXYiTMKHgktTP8We1SCoS47DrQ/edit?usp=sharing"",""จัดที่ดิน!AX48"")"),115.92)</f>
        <v>115.92</v>
      </c>
      <c r="K650" s="498">
        <f t="shared" si="271"/>
        <v>0</v>
      </c>
      <c r="L650" s="163"/>
      <c r="M650" s="163"/>
      <c r="N650" s="163"/>
      <c r="O650" s="163"/>
      <c r="P650" s="163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</row>
    <row r="651" spans="1:26" ht="18.75">
      <c r="A651" s="744"/>
      <c r="B651" s="575"/>
      <c r="C651" s="763"/>
      <c r="D651" s="626"/>
      <c r="E651" s="746" t="s">
        <v>278</v>
      </c>
      <c r="F651" s="626"/>
      <c r="G651" s="762"/>
      <c r="H651" s="764" t="s">
        <v>35</v>
      </c>
      <c r="I651" s="270">
        <f ca="1">IFERROR(__xludf.DUMMYFUNCTION("IMPORTRANGE(""https://docs.google.com/spreadsheets/d/1QqKyyYR6Q21VydFLVH3TRQUabQu_ym0Zz7PgGX0-kHA/edit?usp=sharing"",""แผน!HS48"")"),130)</f>
        <v>130</v>
      </c>
      <c r="J651" s="270">
        <f ca="1">IFERROR(__xludf.DUMMYFUNCTION("IMPORTRANGE(""https://docs.google.com/spreadsheets/d/1XWAQStnk-4SwqDmLtmXYiTMKHgktTP8We1SCoS47DrQ/edit?usp=sharing"",""จัดที่ดิน!AY48"")"),162)</f>
        <v>162</v>
      </c>
      <c r="K651" s="163">
        <f t="shared" ca="1" si="271"/>
        <v>124.61538461538461</v>
      </c>
      <c r="L651" s="163"/>
      <c r="M651" s="163"/>
      <c r="N651" s="163"/>
      <c r="O651" s="163"/>
      <c r="P651" s="163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</row>
    <row r="652" spans="1:26" ht="18.75">
      <c r="A652" s="74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8"/>
      <c r="C652" s="749"/>
      <c r="D652" s="734"/>
      <c r="E652" s="734"/>
      <c r="F652" s="734"/>
      <c r="G652" s="735"/>
      <c r="H652" s="505" t="s">
        <v>46</v>
      </c>
      <c r="I652" s="506">
        <v>0</v>
      </c>
      <c r="J652" s="506">
        <f ca="1">IFERROR(__xludf.DUMMYFUNCTION("IMPORTRANGE(""https://docs.google.com/spreadsheets/d/1XWAQStnk-4SwqDmLtmXYiTMKHgktTP8We1SCoS47DrQ/edit?usp=sharing"",""จัดที่ดิน!AZ48"")"),111.445)</f>
        <v>111.44499999999999</v>
      </c>
      <c r="K652" s="507">
        <f t="shared" si="271"/>
        <v>0</v>
      </c>
      <c r="L652" s="385"/>
      <c r="M652" s="385"/>
      <c r="N652" s="385"/>
      <c r="O652" s="385"/>
      <c r="P652" s="385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</row>
    <row r="653" spans="1:26" ht="19.5">
      <c r="A653" s="750">
        <v>8</v>
      </c>
      <c r="B653" s="737" t="s">
        <v>279</v>
      </c>
      <c r="C653" s="738"/>
      <c r="D653" s="738"/>
      <c r="E653" s="738"/>
      <c r="F653" s="738"/>
      <c r="G653" s="739"/>
      <c r="H653" s="739"/>
      <c r="I653" s="751"/>
      <c r="J653" s="751"/>
      <c r="K653" s="743"/>
      <c r="L653" s="743"/>
      <c r="M653" s="743"/>
      <c r="N653" s="743"/>
      <c r="O653" s="743"/>
      <c r="P653" s="743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</row>
    <row r="654" spans="1:26" ht="19.5">
      <c r="A654" s="673"/>
      <c r="B654" s="672" t="s">
        <v>280</v>
      </c>
      <c r="C654" s="673"/>
      <c r="D654" s="673"/>
      <c r="E654" s="673"/>
      <c r="F654" s="673"/>
      <c r="G654" s="674"/>
      <c r="H654" s="707" t="s">
        <v>46</v>
      </c>
      <c r="I654" s="708">
        <f t="shared" ref="I654:J654" ca="1" si="272">I669</f>
        <v>100</v>
      </c>
      <c r="J654" s="708">
        <f t="shared" si="272"/>
        <v>0</v>
      </c>
      <c r="K654" s="677">
        <f ca="1">IF(I654&gt;0,J654*100/I654,0)</f>
        <v>0</v>
      </c>
      <c r="L654" s="678"/>
      <c r="M654" s="678"/>
      <c r="N654" s="678"/>
      <c r="O654" s="678"/>
      <c r="P654" s="6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</row>
    <row r="655" spans="1:26" ht="19.5">
      <c r="A655" s="597"/>
      <c r="B655" s="763"/>
      <c r="C655" s="763" t="s">
        <v>16</v>
      </c>
      <c r="D655" s="863" t="s">
        <v>17</v>
      </c>
      <c r="E655" s="857"/>
      <c r="F655" s="857"/>
      <c r="G655" s="189"/>
      <c r="H655" s="598" t="s">
        <v>12</v>
      </c>
      <c r="I655" s="270"/>
      <c r="J655" s="270"/>
      <c r="K655" s="498"/>
      <c r="L655" s="195">
        <f t="shared" ref="L655:N655" ca="1" si="273">L656+L657</f>
        <v>12400</v>
      </c>
      <c r="M655" s="195">
        <f t="shared" ca="1" si="273"/>
        <v>3910</v>
      </c>
      <c r="N655" s="195">
        <f t="shared" si="273"/>
        <v>3910</v>
      </c>
      <c r="O655" s="195">
        <f t="shared" ref="O655:O660" ca="1" si="274">IF(L655&gt;0,N655*100/L655,0)</f>
        <v>31.532258064516128</v>
      </c>
      <c r="P655" s="195">
        <f t="shared" ref="P655:P660" ca="1" si="275">IF(M655&gt;0,N655*100/M655,0)</f>
        <v>100</v>
      </c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</row>
    <row r="656" spans="1:26" ht="18.75" hidden="1">
      <c r="A656" s="599"/>
      <c r="B656" s="759"/>
      <c r="C656" s="759"/>
      <c r="D656" s="720"/>
      <c r="E656" s="759" t="s">
        <v>185</v>
      </c>
      <c r="F656" s="759"/>
      <c r="G656" s="603"/>
      <c r="H656" s="165" t="s">
        <v>12</v>
      </c>
      <c r="I656" s="617"/>
      <c r="J656" s="617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4"/>
      <c r="R656" s="604"/>
      <c r="S656" s="604"/>
      <c r="T656" s="604"/>
      <c r="U656" s="604"/>
      <c r="V656" s="604"/>
      <c r="W656" s="604"/>
      <c r="X656" s="604"/>
      <c r="Y656" s="604"/>
      <c r="Z656" s="604"/>
    </row>
    <row r="657" spans="1:26" ht="18.75" hidden="1">
      <c r="A657" s="599"/>
      <c r="B657" s="607"/>
      <c r="C657" s="759"/>
      <c r="D657" s="720"/>
      <c r="E657" s="759" t="s">
        <v>186</v>
      </c>
      <c r="F657" s="759"/>
      <c r="G657" s="603"/>
      <c r="H657" s="165" t="s">
        <v>12</v>
      </c>
      <c r="I657" s="617"/>
      <c r="J657" s="617"/>
      <c r="K657" s="93"/>
      <c r="L657" s="93">
        <f t="shared" ca="1" si="276"/>
        <v>12400</v>
      </c>
      <c r="M657" s="93">
        <f t="shared" ca="1" si="276"/>
        <v>3910</v>
      </c>
      <c r="N657" s="93">
        <f t="shared" si="276"/>
        <v>3910</v>
      </c>
      <c r="O657" s="93">
        <f t="shared" ca="1" si="274"/>
        <v>31.532258064516128</v>
      </c>
      <c r="P657" s="93">
        <f t="shared" ca="1" si="275"/>
        <v>100</v>
      </c>
      <c r="Q657" s="604"/>
      <c r="R657" s="604"/>
      <c r="S657" s="604"/>
      <c r="T657" s="604"/>
      <c r="U657" s="604"/>
      <c r="V657" s="604"/>
      <c r="W657" s="604"/>
      <c r="X657" s="604"/>
      <c r="Y657" s="604"/>
      <c r="Z657" s="604"/>
    </row>
    <row r="658" spans="1:26" ht="18.75">
      <c r="A658" s="597"/>
      <c r="B658" s="575"/>
      <c r="C658" s="763"/>
      <c r="D658" s="606" t="s">
        <v>20</v>
      </c>
      <c r="E658" s="763"/>
      <c r="F658" s="763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12400</v>
      </c>
      <c r="M658" s="498">
        <f t="shared" ca="1" si="277"/>
        <v>3910</v>
      </c>
      <c r="N658" s="498">
        <f t="shared" si="277"/>
        <v>3910</v>
      </c>
      <c r="O658" s="498">
        <f t="shared" ca="1" si="274"/>
        <v>31.532258064516128</v>
      </c>
      <c r="P658" s="498">
        <f t="shared" ca="1" si="275"/>
        <v>100</v>
      </c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</row>
    <row r="659" spans="1:26" ht="18.75" hidden="1">
      <c r="A659" s="599"/>
      <c r="B659" s="607"/>
      <c r="C659" s="759"/>
      <c r="D659" s="720"/>
      <c r="E659" s="759" t="s">
        <v>185</v>
      </c>
      <c r="F659" s="759"/>
      <c r="G659" s="603"/>
      <c r="H659" s="165" t="s">
        <v>12</v>
      </c>
      <c r="I659" s="617"/>
      <c r="J659" s="617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4"/>
      <c r="R659" s="604"/>
      <c r="S659" s="604"/>
      <c r="T659" s="604"/>
      <c r="U659" s="604"/>
      <c r="V659" s="604"/>
      <c r="W659" s="604"/>
      <c r="X659" s="604"/>
      <c r="Y659" s="604"/>
      <c r="Z659" s="604"/>
    </row>
    <row r="660" spans="1:26" ht="18.75" hidden="1">
      <c r="A660" s="599"/>
      <c r="B660" s="607"/>
      <c r="C660" s="759"/>
      <c r="D660" s="720"/>
      <c r="E660" s="759" t="s">
        <v>186</v>
      </c>
      <c r="F660" s="759"/>
      <c r="G660" s="603"/>
      <c r="H660" s="165" t="s">
        <v>12</v>
      </c>
      <c r="I660" s="617"/>
      <c r="J660" s="617"/>
      <c r="K660" s="93"/>
      <c r="L660" s="93">
        <f ca="1">IFERROR(__xludf.DUMMYFUNCTION("IMPORTRANGE(""https://docs.google.com/spreadsheets/d/1QqKyyYR6Q21VydFLVH3TRQUabQu_ym0Zz7PgGX0-kHA/edit?usp=sharing"",""แผน!HV48"")"),12400)</f>
        <v>12400</v>
      </c>
      <c r="M660" s="93">
        <f ca="1">L660-8490</f>
        <v>3910</v>
      </c>
      <c r="N660" s="93">
        <f>N661+N662+N663+N664</f>
        <v>3910</v>
      </c>
      <c r="O660" s="93">
        <f t="shared" ca="1" si="274"/>
        <v>31.532258064516128</v>
      </c>
      <c r="P660" s="93">
        <f t="shared" ca="1" si="275"/>
        <v>100</v>
      </c>
      <c r="Q660" s="604"/>
      <c r="R660" s="604"/>
      <c r="S660" s="604"/>
      <c r="T660" s="604"/>
      <c r="U660" s="604"/>
      <c r="V660" s="604"/>
      <c r="W660" s="604"/>
      <c r="X660" s="604"/>
      <c r="Y660" s="604"/>
      <c r="Z660" s="604"/>
    </row>
    <row r="661" spans="1:26" ht="18.75">
      <c r="A661" s="574"/>
      <c r="B661" s="575"/>
      <c r="C661" s="763"/>
      <c r="D661" s="763"/>
      <c r="E661" s="763"/>
      <c r="F661" s="763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40">
        <v>0</v>
      </c>
      <c r="O661" s="498"/>
      <c r="P661" s="49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</row>
    <row r="662" spans="1:26" ht="18.75">
      <c r="A662" s="574"/>
      <c r="B662" s="575"/>
      <c r="C662" s="763"/>
      <c r="D662" s="763"/>
      <c r="E662" s="763"/>
      <c r="F662" s="763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40">
        <v>0</v>
      </c>
      <c r="O662" s="498"/>
      <c r="P662" s="49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</row>
    <row r="663" spans="1:26" ht="18.75">
      <c r="A663" s="574"/>
      <c r="B663" s="575"/>
      <c r="C663" s="575"/>
      <c r="D663" s="763"/>
      <c r="E663" s="763"/>
      <c r="F663" s="763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40">
        <v>0</v>
      </c>
      <c r="O663" s="498"/>
      <c r="P663" s="49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</row>
    <row r="664" spans="1:26" ht="18.75">
      <c r="A664" s="574"/>
      <c r="B664" s="575"/>
      <c r="C664" s="575"/>
      <c r="D664" s="575"/>
      <c r="E664" s="763"/>
      <c r="F664" s="763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40">
        <v>3910</v>
      </c>
      <c r="O664" s="498"/>
      <c r="P664" s="49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</row>
    <row r="665" spans="1:26" ht="18.75">
      <c r="A665" s="597"/>
      <c r="B665" s="575"/>
      <c r="C665" s="575"/>
      <c r="D665" s="606" t="s">
        <v>21</v>
      </c>
      <c r="E665" s="763"/>
      <c r="F665" s="763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</row>
    <row r="666" spans="1:26" ht="18.75" hidden="1">
      <c r="A666" s="599"/>
      <c r="B666" s="607"/>
      <c r="C666" s="607"/>
      <c r="D666" s="607"/>
      <c r="E666" s="759" t="s">
        <v>18</v>
      </c>
      <c r="F666" s="759"/>
      <c r="G666" s="603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4"/>
      <c r="R666" s="604"/>
      <c r="S666" s="604"/>
      <c r="T666" s="604"/>
      <c r="U666" s="604"/>
      <c r="V666" s="604"/>
      <c r="W666" s="604"/>
      <c r="X666" s="604"/>
      <c r="Y666" s="604"/>
      <c r="Z666" s="604"/>
    </row>
    <row r="667" spans="1:26" ht="18.75" hidden="1">
      <c r="A667" s="599"/>
      <c r="B667" s="607"/>
      <c r="C667" s="607"/>
      <c r="D667" s="607"/>
      <c r="E667" s="759" t="s">
        <v>19</v>
      </c>
      <c r="F667" s="759"/>
      <c r="G667" s="603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4"/>
      <c r="R667" s="604"/>
      <c r="S667" s="604"/>
      <c r="T667" s="604"/>
      <c r="U667" s="604"/>
      <c r="V667" s="604"/>
      <c r="W667" s="604"/>
      <c r="X667" s="604"/>
      <c r="Y667" s="604"/>
      <c r="Z667" s="604"/>
    </row>
    <row r="668" spans="1:26" ht="19.5">
      <c r="A668" s="608"/>
      <c r="B668" s="618"/>
      <c r="C668" s="575" t="s">
        <v>16</v>
      </c>
      <c r="D668" s="893" t="s">
        <v>38</v>
      </c>
      <c r="E668" s="761"/>
      <c r="F668" s="761"/>
      <c r="G668" s="613"/>
      <c r="H668" s="762"/>
      <c r="I668" s="184"/>
      <c r="J668" s="184"/>
      <c r="K668" s="163"/>
      <c r="L668" s="163"/>
      <c r="M668" s="163"/>
      <c r="N668" s="163"/>
      <c r="O668" s="163"/>
      <c r="P668" s="163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</row>
    <row r="669" spans="1:26" ht="19.5">
      <c r="A669" s="608"/>
      <c r="B669" s="618"/>
      <c r="C669" s="618"/>
      <c r="D669" s="618" t="s">
        <v>281</v>
      </c>
      <c r="E669" s="626"/>
      <c r="F669" s="626"/>
      <c r="G669" s="762"/>
      <c r="H669" s="767" t="s">
        <v>46</v>
      </c>
      <c r="I669" s="681">
        <f ca="1">IFERROR(__xludf.DUMMYFUNCTION("IMPORTRANGE(""https://docs.google.com/spreadsheets/d/1QqKyyYR6Q21VydFLVH3TRQUabQu_ym0Zz7PgGX0-kHA/edit?usp=sharing"",""แผน!IA48"")"),100)</f>
        <v>100</v>
      </c>
      <c r="J669" s="681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</row>
    <row r="670" spans="1:26" ht="18.75">
      <c r="A670" s="608"/>
      <c r="B670" s="618"/>
      <c r="C670" s="618"/>
      <c r="D670" s="618"/>
      <c r="E670" s="626" t="s">
        <v>282</v>
      </c>
      <c r="F670" s="626"/>
      <c r="G670" s="762"/>
      <c r="H670" s="764" t="s">
        <v>66</v>
      </c>
      <c r="I670" s="270">
        <f ca="1">IFERROR(__xludf.DUMMYFUNCTION("IMPORTRANGE(""https://docs.google.com/spreadsheets/d/1QqKyyYR6Q21VydFLVH3TRQUabQu_ym0Zz7PgGX0-kHA/edit?usp=sharing"",""แผน!HZ48"")"),4)</f>
        <v>4</v>
      </c>
      <c r="J670" s="215">
        <v>4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</row>
    <row r="671" spans="1:26" ht="18.75">
      <c r="A671" s="608"/>
      <c r="B671" s="618"/>
      <c r="C671" s="618"/>
      <c r="D671" s="618"/>
      <c r="E671" s="626" t="s">
        <v>283</v>
      </c>
      <c r="F671" s="626"/>
      <c r="G671" s="762"/>
      <c r="H671" s="764" t="s">
        <v>66</v>
      </c>
      <c r="I671" s="270">
        <f ca="1">IFERROR(__xludf.DUMMYFUNCTION("IMPORTRANGE(""https://docs.google.com/spreadsheets/d/1QqKyyYR6Q21VydFLVH3TRQUabQu_ym0Zz7PgGX0-kHA/edit?usp=sharing"",""แผน!HZ48"")"),4)</f>
        <v>4</v>
      </c>
      <c r="J671" s="215">
        <v>4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</row>
    <row r="672" spans="1:26" ht="18.75">
      <c r="A672" s="608"/>
      <c r="B672" s="618"/>
      <c r="C672" s="618"/>
      <c r="D672" s="618"/>
      <c r="E672" s="626" t="s">
        <v>284</v>
      </c>
      <c r="F672" s="626"/>
      <c r="G672" s="762"/>
      <c r="H672" s="764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</row>
    <row r="673" spans="1:26" ht="18.75">
      <c r="A673" s="608"/>
      <c r="B673" s="618"/>
      <c r="C673" s="618"/>
      <c r="D673" s="618"/>
      <c r="E673" s="626" t="s">
        <v>285</v>
      </c>
      <c r="F673" s="626"/>
      <c r="G673" s="762"/>
      <c r="H673" s="764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</row>
    <row r="674" spans="1:26" ht="18.75">
      <c r="A674" s="608"/>
      <c r="B674" s="618"/>
      <c r="C674" s="618"/>
      <c r="D674" s="618"/>
      <c r="E674" s="626" t="s">
        <v>286</v>
      </c>
      <c r="F674" s="626"/>
      <c r="G674" s="762"/>
      <c r="H674" s="764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</row>
    <row r="675" spans="1:26" ht="19.5">
      <c r="A675" s="608"/>
      <c r="B675" s="618"/>
      <c r="C675" s="618"/>
      <c r="D675" s="618"/>
      <c r="E675" s="626" t="s">
        <v>287</v>
      </c>
      <c r="F675" s="626"/>
      <c r="G675" s="762"/>
      <c r="H675" s="764" t="s">
        <v>46</v>
      </c>
      <c r="I675" s="270"/>
      <c r="J675" s="681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</row>
    <row r="676" spans="1:26" ht="18.75">
      <c r="A676" s="608"/>
      <c r="B676" s="618"/>
      <c r="C676" s="618"/>
      <c r="D676" s="618"/>
      <c r="E676" s="626"/>
      <c r="F676" s="626" t="s">
        <v>288</v>
      </c>
      <c r="G676" s="762"/>
      <c r="H676" s="764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</row>
    <row r="677" spans="1:26" ht="18.75">
      <c r="A677" s="608"/>
      <c r="B677" s="618"/>
      <c r="C677" s="618"/>
      <c r="D677" s="618"/>
      <c r="E677" s="626"/>
      <c r="F677" s="626" t="s">
        <v>289</v>
      </c>
      <c r="G677" s="762"/>
      <c r="H677" s="764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</row>
    <row r="678" spans="1:26" ht="19.5">
      <c r="A678" s="608"/>
      <c r="B678" s="618"/>
      <c r="C678" s="618"/>
      <c r="D678" s="618" t="s">
        <v>290</v>
      </c>
      <c r="E678" s="626"/>
      <c r="F678" s="626"/>
      <c r="G678" s="762"/>
      <c r="H678" s="764" t="s">
        <v>46</v>
      </c>
      <c r="I678" s="681">
        <f ca="1">IFERROR(__xludf.DUMMYFUNCTION("IMPORTRANGE(""https://docs.google.com/spreadsheets/d/1QqKyyYR6Q21VydFLVH3TRQUabQu_ym0Zz7PgGX0-kHA/edit?usp=sharing"",""แผน!IB48"")"),0)</f>
        <v>0</v>
      </c>
      <c r="J678" s="681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</row>
    <row r="679" spans="1:26" ht="18.75">
      <c r="A679" s="608"/>
      <c r="B679" s="618"/>
      <c r="C679" s="618"/>
      <c r="D679" s="618"/>
      <c r="E679" s="626" t="s">
        <v>291</v>
      </c>
      <c r="F679" s="626"/>
      <c r="G679" s="762"/>
      <c r="H679" s="764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</row>
    <row r="680" spans="1:26" ht="18.75">
      <c r="A680" s="608"/>
      <c r="B680" s="618"/>
      <c r="C680" s="618"/>
      <c r="D680" s="618"/>
      <c r="E680" s="626"/>
      <c r="F680" s="626" t="s">
        <v>288</v>
      </c>
      <c r="G680" s="762"/>
      <c r="H680" s="764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</row>
    <row r="681" spans="1:26" ht="18.75">
      <c r="A681" s="608"/>
      <c r="B681" s="618"/>
      <c r="C681" s="618"/>
      <c r="D681" s="618"/>
      <c r="E681" s="626"/>
      <c r="F681" s="626" t="s">
        <v>289</v>
      </c>
      <c r="G681" s="762"/>
      <c r="H681" s="764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</row>
    <row r="682" spans="1:26" ht="18.75">
      <c r="A682" s="608"/>
      <c r="B682" s="618"/>
      <c r="C682" s="618"/>
      <c r="D682" s="618"/>
      <c r="E682" s="626" t="s">
        <v>292</v>
      </c>
      <c r="F682" s="626"/>
      <c r="G682" s="762"/>
      <c r="H682" s="764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</row>
    <row r="683" spans="1:26" ht="18.75">
      <c r="A683" s="608"/>
      <c r="B683" s="618"/>
      <c r="C683" s="618"/>
      <c r="D683" s="618"/>
      <c r="E683" s="626"/>
      <c r="F683" s="626" t="s">
        <v>293</v>
      </c>
      <c r="G683" s="762"/>
      <c r="H683" s="764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</row>
    <row r="684" spans="1:26" ht="19.5">
      <c r="A684" s="753"/>
      <c r="B684" s="754" t="s">
        <v>294</v>
      </c>
      <c r="C684" s="753"/>
      <c r="D684" s="753"/>
      <c r="E684" s="753"/>
      <c r="F684" s="753"/>
      <c r="G684" s="755"/>
      <c r="H684" s="755"/>
      <c r="I684" s="756"/>
      <c r="J684" s="756"/>
      <c r="K684" s="757"/>
      <c r="L684" s="757"/>
      <c r="M684" s="757"/>
      <c r="N684" s="757"/>
      <c r="O684" s="757"/>
      <c r="P684" s="757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</row>
    <row r="685" spans="1:26" ht="19.5">
      <c r="A685" s="597"/>
      <c r="B685" s="763"/>
      <c r="C685" s="763" t="s">
        <v>16</v>
      </c>
      <c r="D685" s="863" t="s">
        <v>17</v>
      </c>
      <c r="E685" s="857"/>
      <c r="F685" s="857"/>
      <c r="G685" s="189"/>
      <c r="H685" s="598" t="s">
        <v>12</v>
      </c>
      <c r="I685" s="270"/>
      <c r="J685" s="270"/>
      <c r="K685" s="498"/>
      <c r="L685" s="195">
        <f t="shared" ref="L685:N685" ca="1" si="282">L686+L687</f>
        <v>3080</v>
      </c>
      <c r="M685" s="195">
        <f t="shared" ca="1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</row>
    <row r="686" spans="1:26" ht="18.75" hidden="1">
      <c r="A686" s="599"/>
      <c r="B686" s="759"/>
      <c r="C686" s="759"/>
      <c r="D686" s="720"/>
      <c r="E686" s="759" t="s">
        <v>185</v>
      </c>
      <c r="F686" s="759"/>
      <c r="G686" s="603"/>
      <c r="H686" s="165" t="s">
        <v>12</v>
      </c>
      <c r="I686" s="617"/>
      <c r="J686" s="617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4"/>
      <c r="R686" s="604"/>
      <c r="S686" s="604"/>
      <c r="T686" s="604"/>
      <c r="U686" s="604"/>
      <c r="V686" s="604"/>
      <c r="W686" s="604"/>
      <c r="X686" s="604"/>
      <c r="Y686" s="604"/>
      <c r="Z686" s="604"/>
    </row>
    <row r="687" spans="1:26" ht="18.75" hidden="1">
      <c r="A687" s="599"/>
      <c r="B687" s="607"/>
      <c r="C687" s="759"/>
      <c r="D687" s="720"/>
      <c r="E687" s="759" t="s">
        <v>186</v>
      </c>
      <c r="F687" s="759"/>
      <c r="G687" s="603"/>
      <c r="H687" s="165" t="s">
        <v>12</v>
      </c>
      <c r="I687" s="617"/>
      <c r="J687" s="617"/>
      <c r="K687" s="93"/>
      <c r="L687" s="93">
        <f t="shared" ca="1" si="285"/>
        <v>3080</v>
      </c>
      <c r="M687" s="93">
        <f t="shared" ca="1" si="285"/>
        <v>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4"/>
      <c r="R687" s="604"/>
      <c r="S687" s="604"/>
      <c r="T687" s="604"/>
      <c r="U687" s="604"/>
      <c r="V687" s="604"/>
      <c r="W687" s="604"/>
      <c r="X687" s="604"/>
      <c r="Y687" s="604"/>
      <c r="Z687" s="604"/>
    </row>
    <row r="688" spans="1:26" ht="18.75">
      <c r="A688" s="597"/>
      <c r="B688" s="575"/>
      <c r="C688" s="763"/>
      <c r="D688" s="606" t="s">
        <v>20</v>
      </c>
      <c r="E688" s="763"/>
      <c r="F688" s="763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3080</v>
      </c>
      <c r="M688" s="498">
        <f t="shared" ca="1" si="286"/>
        <v>0</v>
      </c>
      <c r="N688" s="498">
        <f t="shared" si="286"/>
        <v>0</v>
      </c>
      <c r="O688" s="498">
        <f t="shared" ca="1" si="283"/>
        <v>0</v>
      </c>
      <c r="P688" s="498">
        <f t="shared" ca="1" si="284"/>
        <v>0</v>
      </c>
      <c r="Q688" s="578"/>
      <c r="R688" s="578"/>
      <c r="S688" s="578"/>
      <c r="T688" s="578"/>
      <c r="U688" s="578"/>
      <c r="V688" s="578"/>
      <c r="W688" s="578"/>
      <c r="X688" s="578"/>
      <c r="Y688" s="578"/>
      <c r="Z688" s="578"/>
    </row>
    <row r="689" spans="1:26" ht="18.75" hidden="1">
      <c r="A689" s="599"/>
      <c r="B689" s="607"/>
      <c r="C689" s="759"/>
      <c r="D689" s="720"/>
      <c r="E689" s="759" t="s">
        <v>185</v>
      </c>
      <c r="F689" s="759"/>
      <c r="G689" s="603"/>
      <c r="H689" s="165" t="s">
        <v>12</v>
      </c>
      <c r="I689" s="617"/>
      <c r="J689" s="617"/>
      <c r="K689" s="93"/>
      <c r="L689" s="93">
        <v>0</v>
      </c>
      <c r="M689" s="93">
        <v>0</v>
      </c>
      <c r="N689" s="93">
        <v>0</v>
      </c>
      <c r="O689" s="93"/>
      <c r="P689" s="93"/>
      <c r="Q689" s="604"/>
      <c r="R689" s="604"/>
      <c r="S689" s="604"/>
      <c r="T689" s="604"/>
      <c r="U689" s="604"/>
      <c r="V689" s="604"/>
      <c r="W689" s="604"/>
      <c r="X689" s="604"/>
      <c r="Y689" s="604"/>
      <c r="Z689" s="604"/>
    </row>
    <row r="690" spans="1:26" ht="18.75" hidden="1">
      <c r="A690" s="599"/>
      <c r="B690" s="607"/>
      <c r="C690" s="759"/>
      <c r="D690" s="720"/>
      <c r="E690" s="759" t="s">
        <v>186</v>
      </c>
      <c r="F690" s="759"/>
      <c r="G690" s="603"/>
      <c r="H690" s="165" t="s">
        <v>12</v>
      </c>
      <c r="I690" s="617"/>
      <c r="J690" s="617"/>
      <c r="K690" s="93"/>
      <c r="L690" s="93">
        <f ca="1">IFERROR(__xludf.DUMMYFUNCTION("IMPORTRANGE(""https://docs.google.com/spreadsheets/d/1QqKyyYR6Q21VydFLVH3TRQUabQu_ym0Zz7PgGX0-kHA/edit?usp=sharing"",""แผน!HW48"")"),3080)</f>
        <v>3080</v>
      </c>
      <c r="M690" s="93">
        <f ca="1">L690-3080</f>
        <v>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4"/>
      <c r="R690" s="604"/>
      <c r="S690" s="604"/>
      <c r="T690" s="604"/>
      <c r="U690" s="604"/>
      <c r="V690" s="604"/>
      <c r="W690" s="604"/>
      <c r="X690" s="604"/>
      <c r="Y690" s="604"/>
      <c r="Z690" s="604"/>
    </row>
    <row r="691" spans="1:26" ht="18.75">
      <c r="A691" s="574"/>
      <c r="B691" s="575"/>
      <c r="C691" s="763"/>
      <c r="D691" s="763"/>
      <c r="E691" s="763"/>
      <c r="F691" s="763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40">
        <v>0</v>
      </c>
      <c r="O691" s="498"/>
      <c r="P691" s="49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</row>
    <row r="692" spans="1:26" ht="18.75">
      <c r="A692" s="574"/>
      <c r="B692" s="575"/>
      <c r="C692" s="763"/>
      <c r="D692" s="763"/>
      <c r="E692" s="763"/>
      <c r="F692" s="763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40">
        <v>0</v>
      </c>
      <c r="O692" s="498"/>
      <c r="P692" s="49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</row>
    <row r="693" spans="1:26" ht="18.75">
      <c r="A693" s="574"/>
      <c r="B693" s="575"/>
      <c r="C693" s="763"/>
      <c r="D693" s="763"/>
      <c r="E693" s="763"/>
      <c r="F693" s="763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40">
        <v>0</v>
      </c>
      <c r="O693" s="498"/>
      <c r="P693" s="49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</row>
    <row r="694" spans="1:26" ht="18.75">
      <c r="A694" s="574"/>
      <c r="B694" s="575"/>
      <c r="C694" s="763"/>
      <c r="D694" s="763"/>
      <c r="E694" s="763"/>
      <c r="F694" s="763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40">
        <v>0</v>
      </c>
      <c r="O694" s="498"/>
      <c r="P694" s="49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</row>
    <row r="695" spans="1:26" ht="18.75">
      <c r="A695" s="597"/>
      <c r="B695" s="575"/>
      <c r="C695" s="763"/>
      <c r="D695" s="606" t="s">
        <v>21</v>
      </c>
      <c r="E695" s="763"/>
      <c r="F695" s="763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</row>
    <row r="696" spans="1:26" ht="18.75" hidden="1">
      <c r="A696" s="599"/>
      <c r="B696" s="607"/>
      <c r="C696" s="759"/>
      <c r="D696" s="759"/>
      <c r="E696" s="759" t="s">
        <v>18</v>
      </c>
      <c r="F696" s="759"/>
      <c r="G696" s="603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4"/>
      <c r="R696" s="604"/>
      <c r="S696" s="604"/>
      <c r="T696" s="604"/>
      <c r="U696" s="604"/>
      <c r="V696" s="604"/>
      <c r="W696" s="604"/>
      <c r="X696" s="604"/>
      <c r="Y696" s="604"/>
      <c r="Z696" s="604"/>
    </row>
    <row r="697" spans="1:26" ht="18.75" hidden="1">
      <c r="A697" s="599"/>
      <c r="B697" s="607"/>
      <c r="C697" s="759"/>
      <c r="D697" s="759"/>
      <c r="E697" s="759" t="s">
        <v>19</v>
      </c>
      <c r="F697" s="759"/>
      <c r="G697" s="603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4"/>
      <c r="R697" s="604"/>
      <c r="S697" s="604"/>
      <c r="T697" s="604"/>
      <c r="U697" s="604"/>
      <c r="V697" s="604"/>
      <c r="W697" s="604"/>
      <c r="X697" s="604"/>
      <c r="Y697" s="604"/>
      <c r="Z697" s="604"/>
    </row>
    <row r="698" spans="1:26" ht="19.5">
      <c r="A698" s="608"/>
      <c r="B698" s="618"/>
      <c r="C698" s="763" t="s">
        <v>16</v>
      </c>
      <c r="D698" s="898" t="s">
        <v>38</v>
      </c>
      <c r="E698" s="761"/>
      <c r="F698" s="761"/>
      <c r="G698" s="613"/>
      <c r="H698" s="762"/>
      <c r="I698" s="184"/>
      <c r="J698" s="184"/>
      <c r="K698" s="163"/>
      <c r="L698" s="163"/>
      <c r="M698" s="163"/>
      <c r="N698" s="163"/>
      <c r="O698" s="163"/>
      <c r="P698" s="163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</row>
    <row r="699" spans="1:26" ht="18.75">
      <c r="A699" s="744"/>
      <c r="B699" s="763"/>
      <c r="C699" s="763"/>
      <c r="D699" s="763" t="s">
        <v>295</v>
      </c>
      <c r="E699" s="763"/>
      <c r="F699" s="763"/>
      <c r="G699" s="189"/>
      <c r="H699" s="764" t="s">
        <v>46</v>
      </c>
      <c r="I699" s="765">
        <f ca="1">IFERROR(__xludf.DUMMYFUNCTION("IMPORTRANGE(""https://docs.google.com/spreadsheets/d/1QqKyyYR6Q21VydFLVH3TRQUabQu_ym0Zz7PgGX0-kHA/edit?usp=sharing"",""แผน!IC48"")"),0)</f>
        <v>0</v>
      </c>
      <c r="J699" s="270">
        <f ca="1">IFERROR(__xludf.DUMMYFUNCTION("IMPORTRANGE(""https://docs.google.com/spreadsheets/d/1XWAQStnk-4SwqDmLtmXYiTMKHgktTP8We1SCoS47DrQ/edit?usp=sharing"",""จัดที่ดิน!BB48"")"),0)</f>
        <v>0</v>
      </c>
      <c r="K699" s="498">
        <f t="shared" ref="K699:K701" ca="1" si="290">IF(I699&gt;0,J699*100/I699,0)</f>
        <v>0</v>
      </c>
      <c r="L699" s="498"/>
      <c r="M699" s="189"/>
      <c r="N699" s="766"/>
      <c r="O699" s="498"/>
      <c r="P699" s="49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</row>
    <row r="700" spans="1:26" ht="18.75">
      <c r="A700" s="744"/>
      <c r="B700" s="763"/>
      <c r="C700" s="763"/>
      <c r="D700" s="763" t="s">
        <v>296</v>
      </c>
      <c r="E700" s="763"/>
      <c r="F700" s="763"/>
      <c r="G700" s="189"/>
      <c r="H700" s="764" t="s">
        <v>35</v>
      </c>
      <c r="I700" s="765">
        <f ca="1">IFERROR(__xludf.DUMMYFUNCTION("IMPORTRANGE(""https://docs.google.com/spreadsheets/d/1QqKyyYR6Q21VydFLVH3TRQUabQu_ym0Zz7PgGX0-kHA/edit?usp=sharing"",""แผน!ID48"")"),9)</f>
        <v>9</v>
      </c>
      <c r="J700" s="270">
        <f ca="1">IFERROR(__xludf.DUMMYFUNCTION("IMPORTRANGE(""https://docs.google.com/spreadsheets/d/1XWAQStnk-4SwqDmLtmXYiTMKHgktTP8We1SCoS47DrQ/edit?usp=sharing"",""จัดที่ดิน!BD48"")"),0)</f>
        <v>0</v>
      </c>
      <c r="K700" s="498">
        <f t="shared" ca="1" si="290"/>
        <v>0</v>
      </c>
      <c r="L700" s="498"/>
      <c r="M700" s="189"/>
      <c r="N700" s="766"/>
      <c r="O700" s="498"/>
      <c r="P700" s="49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</row>
    <row r="701" spans="1:26" ht="19.5">
      <c r="A701" s="744"/>
      <c r="B701" s="763"/>
      <c r="C701" s="763"/>
      <c r="D701" s="763" t="s">
        <v>297</v>
      </c>
      <c r="E701" s="763"/>
      <c r="F701" s="763"/>
      <c r="G701" s="189"/>
      <c r="H701" s="767" t="s">
        <v>46</v>
      </c>
      <c r="I701" s="768">
        <f ca="1">IFERROR(__xludf.DUMMYFUNCTION("IMPORTRANGE(""https://docs.google.com/spreadsheets/d/1QqKyyYR6Q21VydFLVH3TRQUabQu_ym0Zz7PgGX0-kHA/edit?usp=sharing"",""แผน!IE48"")"),0)</f>
        <v>0</v>
      </c>
      <c r="J701" s="681">
        <f>J704+J707</f>
        <v>0</v>
      </c>
      <c r="K701" s="195">
        <f t="shared" ca="1" si="290"/>
        <v>0</v>
      </c>
      <c r="L701" s="498"/>
      <c r="M701" s="189"/>
      <c r="N701" s="766"/>
      <c r="O701" s="498"/>
      <c r="P701" s="49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</row>
    <row r="702" spans="1:26" ht="18.75">
      <c r="A702" s="744"/>
      <c r="B702" s="763"/>
      <c r="C702" s="763"/>
      <c r="D702" s="763"/>
      <c r="E702" s="763" t="s">
        <v>298</v>
      </c>
      <c r="F702" s="763"/>
      <c r="G702" s="189"/>
      <c r="H702" s="764" t="s">
        <v>35</v>
      </c>
      <c r="I702" s="765"/>
      <c r="J702" s="215">
        <v>0</v>
      </c>
      <c r="K702" s="498"/>
      <c r="L702" s="498"/>
      <c r="M702" s="189"/>
      <c r="N702" s="766"/>
      <c r="O702" s="498"/>
      <c r="P702" s="49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</row>
    <row r="703" spans="1:26" ht="18.75">
      <c r="A703" s="744"/>
      <c r="B703" s="763"/>
      <c r="C703" s="763"/>
      <c r="D703" s="763"/>
      <c r="E703" s="763"/>
      <c r="F703" s="763"/>
      <c r="G703" s="189"/>
      <c r="H703" s="764" t="s">
        <v>34</v>
      </c>
      <c r="I703" s="765"/>
      <c r="J703" s="215">
        <v>0</v>
      </c>
      <c r="K703" s="498"/>
      <c r="L703" s="498"/>
      <c r="M703" s="189"/>
      <c r="N703" s="766"/>
      <c r="O703" s="498"/>
      <c r="P703" s="49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</row>
    <row r="704" spans="1:26" ht="18.75">
      <c r="A704" s="744"/>
      <c r="B704" s="763"/>
      <c r="C704" s="763"/>
      <c r="D704" s="763"/>
      <c r="E704" s="763"/>
      <c r="F704" s="763"/>
      <c r="G704" s="189"/>
      <c r="H704" s="764" t="s">
        <v>46</v>
      </c>
      <c r="I704" s="765">
        <f ca="1">IFERROR(__xludf.DUMMYFUNCTION("IMPORTRANGE(""https://docs.google.com/spreadsheets/d/1QqKyyYR6Q21VydFLVH3TRQUabQu_ym0Zz7PgGX0-kHA/edit?usp=sharing"",""แผน!IF48"")"),0)</f>
        <v>0</v>
      </c>
      <c r="J704" s="215">
        <v>0</v>
      </c>
      <c r="K704" s="498"/>
      <c r="L704" s="498"/>
      <c r="M704" s="189"/>
      <c r="N704" s="766"/>
      <c r="O704" s="498"/>
      <c r="P704" s="49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</row>
    <row r="705" spans="1:26" ht="18.75">
      <c r="A705" s="744"/>
      <c r="B705" s="763"/>
      <c r="C705" s="763"/>
      <c r="D705" s="763"/>
      <c r="E705" s="763" t="s">
        <v>299</v>
      </c>
      <c r="F705" s="763"/>
      <c r="G705" s="189"/>
      <c r="H705" s="764" t="s">
        <v>35</v>
      </c>
      <c r="I705" s="765"/>
      <c r="J705" s="215">
        <v>0</v>
      </c>
      <c r="K705" s="498"/>
      <c r="L705" s="498"/>
      <c r="M705" s="189"/>
      <c r="N705" s="766"/>
      <c r="O705" s="498"/>
      <c r="P705" s="49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</row>
    <row r="706" spans="1:26" ht="18.75">
      <c r="A706" s="744"/>
      <c r="B706" s="763"/>
      <c r="C706" s="763"/>
      <c r="D706" s="763"/>
      <c r="E706" s="763"/>
      <c r="F706" s="763"/>
      <c r="G706" s="189"/>
      <c r="H706" s="764" t="s">
        <v>34</v>
      </c>
      <c r="I706" s="765"/>
      <c r="J706" s="215">
        <v>0</v>
      </c>
      <c r="K706" s="498"/>
      <c r="L706" s="498"/>
      <c r="M706" s="189"/>
      <c r="N706" s="766"/>
      <c r="O706" s="498"/>
      <c r="P706" s="49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</row>
    <row r="707" spans="1:26" ht="18.75">
      <c r="A707" s="744"/>
      <c r="B707" s="763"/>
      <c r="C707" s="763"/>
      <c r="D707" s="763"/>
      <c r="E707" s="763"/>
      <c r="F707" s="763"/>
      <c r="G707" s="189"/>
      <c r="H707" s="764" t="s">
        <v>46</v>
      </c>
      <c r="I707" s="765">
        <f ca="1">IFERROR(__xludf.DUMMYFUNCTION("IMPORTRANGE(""https://docs.google.com/spreadsheets/d/1QqKyyYR6Q21VydFLVH3TRQUabQu_ym0Zz7PgGX0-kHA/edit?usp=sharing"",""แผน!IG48"")"),0)</f>
        <v>0</v>
      </c>
      <c r="J707" s="215">
        <v>0</v>
      </c>
      <c r="K707" s="498"/>
      <c r="L707" s="498"/>
      <c r="M707" s="189"/>
      <c r="N707" s="766"/>
      <c r="O707" s="498"/>
      <c r="P707" s="49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</row>
    <row r="708" spans="1:26" ht="19.5">
      <c r="A708" s="744"/>
      <c r="B708" s="763"/>
      <c r="C708" s="763"/>
      <c r="D708" s="769" t="s">
        <v>300</v>
      </c>
      <c r="E708" s="763"/>
      <c r="F708" s="763"/>
      <c r="G708" s="189"/>
      <c r="H708" s="767" t="s">
        <v>46</v>
      </c>
      <c r="I708" s="768">
        <f ca="1">IFERROR(__xludf.DUMMYFUNCTION("IMPORTRANGE(""https://docs.google.com/spreadsheets/d/1QqKyyYR6Q21VydFLVH3TRQUabQu_ym0Zz7PgGX0-kHA/edit?usp=sharing"",""แผน!IH48"")"),0)</f>
        <v>0</v>
      </c>
      <c r="J708" s="681">
        <f>J714+J717</f>
        <v>45</v>
      </c>
      <c r="K708" s="195">
        <f ca="1">IF(I708&gt;0,J708*100/I708,0)</f>
        <v>0</v>
      </c>
      <c r="L708" s="498"/>
      <c r="M708" s="189"/>
      <c r="N708" s="766"/>
      <c r="O708" s="498"/>
      <c r="P708" s="49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</row>
    <row r="709" spans="1:26" ht="18.75">
      <c r="A709" s="744"/>
      <c r="B709" s="763"/>
      <c r="C709" s="763"/>
      <c r="D709" s="763"/>
      <c r="E709" s="763" t="s">
        <v>301</v>
      </c>
      <c r="F709" s="763"/>
      <c r="G709" s="189"/>
      <c r="H709" s="764" t="s">
        <v>34</v>
      </c>
      <c r="I709" s="765"/>
      <c r="J709" s="215">
        <v>2</v>
      </c>
      <c r="K709" s="498"/>
      <c r="L709" s="766"/>
      <c r="M709" s="189"/>
      <c r="N709" s="766"/>
      <c r="O709" s="498"/>
      <c r="P709" s="49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</row>
    <row r="710" spans="1:26" ht="18.75">
      <c r="A710" s="744"/>
      <c r="B710" s="763"/>
      <c r="C710" s="763"/>
      <c r="D710" s="763"/>
      <c r="E710" s="763"/>
      <c r="F710" s="763"/>
      <c r="G710" s="189"/>
      <c r="H710" s="764" t="s">
        <v>46</v>
      </c>
      <c r="I710" s="765"/>
      <c r="J710" s="215">
        <v>45</v>
      </c>
      <c r="K710" s="498"/>
      <c r="L710" s="766"/>
      <c r="M710" s="189"/>
      <c r="N710" s="766"/>
      <c r="O710" s="498"/>
      <c r="P710" s="49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</row>
    <row r="711" spans="1:26" ht="18.75">
      <c r="A711" s="744"/>
      <c r="B711" s="763"/>
      <c r="C711" s="763"/>
      <c r="D711" s="763"/>
      <c r="E711" s="763" t="s">
        <v>302</v>
      </c>
      <c r="F711" s="763"/>
      <c r="G711" s="189"/>
      <c r="H711" s="762"/>
      <c r="I711" s="765"/>
      <c r="J711" s="270"/>
      <c r="K711" s="498"/>
      <c r="L711" s="766"/>
      <c r="M711" s="189"/>
      <c r="N711" s="766"/>
      <c r="O711" s="498"/>
      <c r="P711" s="49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</row>
    <row r="712" spans="1:26" ht="18.75">
      <c r="A712" s="744"/>
      <c r="B712" s="763"/>
      <c r="C712" s="763"/>
      <c r="D712" s="763"/>
      <c r="E712" s="763"/>
      <c r="F712" s="763" t="s">
        <v>303</v>
      </c>
      <c r="G712" s="189"/>
      <c r="H712" s="764" t="s">
        <v>35</v>
      </c>
      <c r="I712" s="765"/>
      <c r="J712" s="215">
        <v>9</v>
      </c>
      <c r="K712" s="498"/>
      <c r="L712" s="766"/>
      <c r="M712" s="189"/>
      <c r="N712" s="766"/>
      <c r="O712" s="498"/>
      <c r="P712" s="49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</row>
    <row r="713" spans="1:26" ht="18.75">
      <c r="A713" s="744"/>
      <c r="B713" s="763"/>
      <c r="C713" s="763"/>
      <c r="D713" s="763"/>
      <c r="E713" s="763"/>
      <c r="F713" s="763"/>
      <c r="G713" s="189"/>
      <c r="H713" s="764" t="s">
        <v>34</v>
      </c>
      <c r="I713" s="765"/>
      <c r="J713" s="215">
        <v>9</v>
      </c>
      <c r="K713" s="498"/>
      <c r="L713" s="766"/>
      <c r="M713" s="189"/>
      <c r="N713" s="766"/>
      <c r="O713" s="498"/>
      <c r="P713" s="49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</row>
    <row r="714" spans="1:26" ht="18.75">
      <c r="A714" s="744"/>
      <c r="B714" s="763"/>
      <c r="C714" s="763"/>
      <c r="D714" s="763"/>
      <c r="E714" s="763"/>
      <c r="F714" s="763"/>
      <c r="G714" s="189"/>
      <c r="H714" s="764" t="s">
        <v>46</v>
      </c>
      <c r="I714" s="765"/>
      <c r="J714" s="215">
        <v>45</v>
      </c>
      <c r="K714" s="498"/>
      <c r="L714" s="766"/>
      <c r="M714" s="189"/>
      <c r="N714" s="766"/>
      <c r="O714" s="498"/>
      <c r="P714" s="49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</row>
    <row r="715" spans="1:26" ht="18.75">
      <c r="A715" s="744"/>
      <c r="B715" s="763"/>
      <c r="C715" s="763"/>
      <c r="D715" s="763"/>
      <c r="E715" s="763"/>
      <c r="F715" s="763" t="s">
        <v>304</v>
      </c>
      <c r="G715" s="189"/>
      <c r="H715" s="764" t="s">
        <v>35</v>
      </c>
      <c r="I715" s="765"/>
      <c r="J715" s="215">
        <v>0</v>
      </c>
      <c r="K715" s="498"/>
      <c r="L715" s="766"/>
      <c r="M715" s="189"/>
      <c r="N715" s="766"/>
      <c r="O715" s="498"/>
      <c r="P715" s="49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</row>
    <row r="716" spans="1:26" ht="18.75">
      <c r="A716" s="744"/>
      <c r="B716" s="763"/>
      <c r="C716" s="763"/>
      <c r="D716" s="763"/>
      <c r="E716" s="763"/>
      <c r="F716" s="763"/>
      <c r="G716" s="189"/>
      <c r="H716" s="764" t="s">
        <v>34</v>
      </c>
      <c r="I716" s="765"/>
      <c r="J716" s="215">
        <v>0</v>
      </c>
      <c r="K716" s="498"/>
      <c r="L716" s="766"/>
      <c r="M716" s="189"/>
      <c r="N716" s="766"/>
      <c r="O716" s="498"/>
      <c r="P716" s="49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</row>
    <row r="717" spans="1:26" ht="18.75">
      <c r="A717" s="744"/>
      <c r="B717" s="763"/>
      <c r="C717" s="763"/>
      <c r="D717" s="763"/>
      <c r="E717" s="763"/>
      <c r="F717" s="763"/>
      <c r="G717" s="189"/>
      <c r="H717" s="764" t="s">
        <v>46</v>
      </c>
      <c r="I717" s="765"/>
      <c r="J717" s="215">
        <v>0</v>
      </c>
      <c r="K717" s="498"/>
      <c r="L717" s="766"/>
      <c r="M717" s="189"/>
      <c r="N717" s="766"/>
      <c r="O717" s="498"/>
      <c r="P717" s="49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</row>
    <row r="718" spans="1:26" ht="18.75">
      <c r="A718" s="744"/>
      <c r="B718" s="763"/>
      <c r="C718" s="763"/>
      <c r="D718" s="763" t="s">
        <v>305</v>
      </c>
      <c r="E718" s="763"/>
      <c r="F718" s="763"/>
      <c r="G718" s="189"/>
      <c r="H718" s="764" t="s">
        <v>35</v>
      </c>
      <c r="I718" s="765"/>
      <c r="J718" s="270">
        <f ca="1">IFERROR(__xludf.DUMMYFUNCTION("IMPORTRANGE(""https://docs.google.com/spreadsheets/d/1XWAQStnk-4SwqDmLtmXYiTMKHgktTP8We1SCoS47DrQ/edit?usp=sharing"",""จัดที่ดิน!BF48"")"),0)</f>
        <v>0</v>
      </c>
      <c r="K718" s="498"/>
      <c r="L718" s="498"/>
      <c r="M718" s="189"/>
      <c r="N718" s="766"/>
      <c r="O718" s="498"/>
      <c r="P718" s="49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</row>
    <row r="719" spans="1:26" ht="18.75">
      <c r="A719" s="744"/>
      <c r="B719" s="763"/>
      <c r="C719" s="763"/>
      <c r="D719" s="763"/>
      <c r="E719" s="763"/>
      <c r="F719" s="763"/>
      <c r="G719" s="189"/>
      <c r="H719" s="764" t="s">
        <v>34</v>
      </c>
      <c r="I719" s="765"/>
      <c r="J719" s="270">
        <f ca="1">IFERROR(__xludf.DUMMYFUNCTION("IMPORTRANGE(""https://docs.google.com/spreadsheets/d/1XWAQStnk-4SwqDmLtmXYiTMKHgktTP8We1SCoS47DrQ/edit?usp=sharing"",""จัดที่ดิน!BG48"")"),0)</f>
        <v>0</v>
      </c>
      <c r="K719" s="498"/>
      <c r="L719" s="766"/>
      <c r="M719" s="189"/>
      <c r="N719" s="766"/>
      <c r="O719" s="498"/>
      <c r="P719" s="49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</row>
    <row r="720" spans="1:26" ht="18.75">
      <c r="A720" s="744"/>
      <c r="B720" s="763"/>
      <c r="C720" s="763"/>
      <c r="D720" s="763"/>
      <c r="E720" s="763"/>
      <c r="F720" s="763"/>
      <c r="G720" s="189"/>
      <c r="H720" s="764" t="s">
        <v>46</v>
      </c>
      <c r="I720" s="765">
        <f ca="1">IFERROR(__xludf.DUMMYFUNCTION("IMPORTRANGE(""https://docs.google.com/spreadsheets/d/1QqKyyYR6Q21VydFLVH3TRQUabQu_ym0Zz7PgGX0-kHA/edit?usp=sharing"",""แผน!II48"")"),0)</f>
        <v>0</v>
      </c>
      <c r="J720" s="270">
        <f ca="1">IFERROR(__xludf.DUMMYFUNCTION("IMPORTRANGE(""https://docs.google.com/spreadsheets/d/1XWAQStnk-4SwqDmLtmXYiTMKHgktTP8We1SCoS47DrQ/edit?usp=sharing"",""จัดที่ดิน!BH48"")"),0)</f>
        <v>0</v>
      </c>
      <c r="K720" s="498">
        <f t="shared" ref="K720:K723" ca="1" si="291">IF(I720&gt;0,J720*100/I720,0)</f>
        <v>0</v>
      </c>
      <c r="L720" s="766"/>
      <c r="M720" s="189"/>
      <c r="N720" s="766"/>
      <c r="O720" s="498"/>
      <c r="P720" s="49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</row>
    <row r="721" spans="1:26" ht="19.5">
      <c r="A721" s="744"/>
      <c r="B721" s="763"/>
      <c r="C721" s="763"/>
      <c r="D721" s="763" t="s">
        <v>306</v>
      </c>
      <c r="E721" s="763"/>
      <c r="F721" s="763"/>
      <c r="G721" s="189"/>
      <c r="H721" s="767" t="s">
        <v>35</v>
      </c>
      <c r="I721" s="768">
        <f ca="1">IFERROR(__xludf.DUMMYFUNCTION("IMPORTRANGE(""https://docs.google.com/spreadsheets/d/1QqKyyYR6Q21VydFLVH3TRQUabQu_ym0Zz7PgGX0-kHA/edit?usp=sharing"",""แผน!IJ48"")"),0)</f>
        <v>0</v>
      </c>
      <c r="J721" s="681">
        <f ca="1">J723+J726</f>
        <v>0</v>
      </c>
      <c r="K721" s="195">
        <f t="shared" ca="1" si="291"/>
        <v>0</v>
      </c>
      <c r="L721" s="766"/>
      <c r="M721" s="189"/>
      <c r="N721" s="766"/>
      <c r="O721" s="498"/>
      <c r="P721" s="49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</row>
    <row r="722" spans="1:26" ht="19.5">
      <c r="A722" s="744"/>
      <c r="B722" s="763"/>
      <c r="C722" s="763"/>
      <c r="D722" s="763"/>
      <c r="E722" s="763"/>
      <c r="F722" s="763"/>
      <c r="G722" s="189"/>
      <c r="H722" s="767" t="s">
        <v>46</v>
      </c>
      <c r="I722" s="768">
        <f ca="1">IFERROR(__xludf.DUMMYFUNCTION("IMPORTRANGE(""https://docs.google.com/spreadsheets/d/1QqKyyYR6Q21VydFLVH3TRQUabQu_ym0Zz7PgGX0-kHA/edit?usp=sharing"",""แผน!IK48"")"),0)</f>
        <v>0</v>
      </c>
      <c r="J722" s="681">
        <f ca="1">J725+J728</f>
        <v>0</v>
      </c>
      <c r="K722" s="195">
        <f t="shared" ca="1" si="291"/>
        <v>0</v>
      </c>
      <c r="L722" s="498"/>
      <c r="M722" s="189"/>
      <c r="N722" s="766"/>
      <c r="O722" s="498"/>
      <c r="P722" s="49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</row>
    <row r="723" spans="1:26" ht="18.75">
      <c r="A723" s="744"/>
      <c r="B723" s="763"/>
      <c r="C723" s="763"/>
      <c r="D723" s="763"/>
      <c r="E723" s="763" t="s">
        <v>307</v>
      </c>
      <c r="F723" s="763"/>
      <c r="G723" s="189"/>
      <c r="H723" s="764" t="s">
        <v>35</v>
      </c>
      <c r="I723" s="765">
        <f ca="1">IFERROR(__xludf.DUMMYFUNCTION("IMPORTRANGE(""https://docs.google.com/spreadsheets/d/1QqKyyYR6Q21VydFLVH3TRQUabQu_ym0Zz7PgGX0-kHA/edit?usp=sharing"",""แผน!IL48"")"),0)</f>
        <v>0</v>
      </c>
      <c r="J723" s="270">
        <f ca="1">IFERROR(__xludf.DUMMYFUNCTION("IMPORTRANGE(""https://docs.google.com/spreadsheets/d/1XWAQStnk-4SwqDmLtmXYiTMKHgktTP8We1SCoS47DrQ/edit?usp=sharing"",""จัดที่ดิน!BM48"")"),0)</f>
        <v>0</v>
      </c>
      <c r="K723" s="498">
        <f t="shared" ca="1" si="291"/>
        <v>0</v>
      </c>
      <c r="L723" s="498"/>
      <c r="M723" s="189"/>
      <c r="N723" s="766"/>
      <c r="O723" s="498"/>
      <c r="P723" s="49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</row>
    <row r="724" spans="1:26" ht="18.75">
      <c r="A724" s="744"/>
      <c r="B724" s="763"/>
      <c r="C724" s="763"/>
      <c r="D724" s="763"/>
      <c r="E724" s="763"/>
      <c r="F724" s="763"/>
      <c r="G724" s="189"/>
      <c r="H724" s="764" t="s">
        <v>34</v>
      </c>
      <c r="I724" s="765"/>
      <c r="J724" s="270">
        <f ca="1">IFERROR(__xludf.DUMMYFUNCTION("IMPORTRANGE(""https://docs.google.com/spreadsheets/d/1XWAQStnk-4SwqDmLtmXYiTMKHgktTP8We1SCoS47DrQ/edit?usp=sharing"",""จัดที่ดิน!BN48"")"),0)</f>
        <v>0</v>
      </c>
      <c r="K724" s="498"/>
      <c r="L724" s="766"/>
      <c r="M724" s="189"/>
      <c r="N724" s="766"/>
      <c r="O724" s="498"/>
      <c r="P724" s="49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</row>
    <row r="725" spans="1:26" ht="18.75">
      <c r="A725" s="744"/>
      <c r="B725" s="763"/>
      <c r="C725" s="763"/>
      <c r="D725" s="763"/>
      <c r="E725" s="763"/>
      <c r="F725" s="763"/>
      <c r="G725" s="189"/>
      <c r="H725" s="764" t="s">
        <v>46</v>
      </c>
      <c r="I725" s="765">
        <f ca="1">IFERROR(__xludf.DUMMYFUNCTION("IMPORTRANGE(""https://docs.google.com/spreadsheets/d/1QqKyyYR6Q21VydFLVH3TRQUabQu_ym0Zz7PgGX0-kHA/edit?usp=sharing"",""แผน!IM48"")"),0)</f>
        <v>0</v>
      </c>
      <c r="J725" s="270">
        <f ca="1">IFERROR(__xludf.DUMMYFUNCTION("IMPORTRANGE(""https://docs.google.com/spreadsheets/d/1XWAQStnk-4SwqDmLtmXYiTMKHgktTP8We1SCoS47DrQ/edit?usp=sharing"",""จัดที่ดิน!BO48"")"),0)</f>
        <v>0</v>
      </c>
      <c r="K725" s="498">
        <f t="shared" ref="K725:K726" ca="1" si="292">IF(I725&gt;0,J725*100/I725,0)</f>
        <v>0</v>
      </c>
      <c r="L725" s="766"/>
      <c r="M725" s="189"/>
      <c r="N725" s="766"/>
      <c r="O725" s="498"/>
      <c r="P725" s="49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</row>
    <row r="726" spans="1:26" ht="18.75">
      <c r="A726" s="744"/>
      <c r="B726" s="763"/>
      <c r="C726" s="763"/>
      <c r="D726" s="763"/>
      <c r="E726" s="763" t="s">
        <v>308</v>
      </c>
      <c r="F726" s="763"/>
      <c r="G726" s="189"/>
      <c r="H726" s="764" t="s">
        <v>35</v>
      </c>
      <c r="I726" s="765">
        <f ca="1">IFERROR(__xludf.DUMMYFUNCTION("IMPORTRANGE(""https://docs.google.com/spreadsheets/d/1QqKyyYR6Q21VydFLVH3TRQUabQu_ym0Zz7PgGX0-kHA/edit?usp=sharing"",""แผน!IN48"")"),0)</f>
        <v>0</v>
      </c>
      <c r="J726" s="270">
        <f ca="1">IFERROR(__xludf.DUMMYFUNCTION("IMPORTRANGE(""https://docs.google.com/spreadsheets/d/1XWAQStnk-4SwqDmLtmXYiTMKHgktTP8We1SCoS47DrQ/edit?usp=sharing"",""จัดที่ดิน!BR48"")"),0)</f>
        <v>0</v>
      </c>
      <c r="K726" s="498">
        <f t="shared" ca="1" si="292"/>
        <v>0</v>
      </c>
      <c r="L726" s="498"/>
      <c r="M726" s="189"/>
      <c r="N726" s="766"/>
      <c r="O726" s="498"/>
      <c r="P726" s="49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</row>
    <row r="727" spans="1:26" ht="18.75">
      <c r="A727" s="744"/>
      <c r="B727" s="763"/>
      <c r="C727" s="763"/>
      <c r="D727" s="763"/>
      <c r="E727" s="763"/>
      <c r="F727" s="763"/>
      <c r="G727" s="189"/>
      <c r="H727" s="764" t="s">
        <v>34</v>
      </c>
      <c r="I727" s="765"/>
      <c r="J727" s="270">
        <f ca="1">IFERROR(__xludf.DUMMYFUNCTION("IMPORTRANGE(""https://docs.google.com/spreadsheets/d/1XWAQStnk-4SwqDmLtmXYiTMKHgktTP8We1SCoS47DrQ/edit?usp=sharing"",""จัดที่ดิน!BS48"")"),0)</f>
        <v>0</v>
      </c>
      <c r="K727" s="498"/>
      <c r="L727" s="766"/>
      <c r="M727" s="189"/>
      <c r="N727" s="766"/>
      <c r="O727" s="498"/>
      <c r="P727" s="49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</row>
    <row r="728" spans="1:26" ht="18.75">
      <c r="A728" s="744"/>
      <c r="B728" s="763"/>
      <c r="C728" s="763"/>
      <c r="D728" s="763"/>
      <c r="E728" s="763"/>
      <c r="F728" s="763"/>
      <c r="G728" s="189"/>
      <c r="H728" s="764" t="s">
        <v>46</v>
      </c>
      <c r="I728" s="765">
        <f ca="1">IFERROR(__xludf.DUMMYFUNCTION("IMPORTRANGE(""https://docs.google.com/spreadsheets/d/1QqKyyYR6Q21VydFLVH3TRQUabQu_ym0Zz7PgGX0-kHA/edit?usp=sharing"",""แผน!IO48"")"),0)</f>
        <v>0</v>
      </c>
      <c r="J728" s="270">
        <f ca="1">IFERROR(__xludf.DUMMYFUNCTION("IMPORTRANGE(""https://docs.google.com/spreadsheets/d/1XWAQStnk-4SwqDmLtmXYiTMKHgktTP8We1SCoS47DrQ/edit?usp=sharing"",""จัดที่ดิน!BT48"")"),0)</f>
        <v>0</v>
      </c>
      <c r="K728" s="498">
        <f t="shared" ref="K728:K729" ca="1" si="293">IF(I728&gt;0,J728*100/I728,0)</f>
        <v>0</v>
      </c>
      <c r="L728" s="766"/>
      <c r="M728" s="189"/>
      <c r="N728" s="766"/>
      <c r="O728" s="498"/>
      <c r="P728" s="49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</row>
    <row r="729" spans="1:26" ht="19.5">
      <c r="A729" s="744"/>
      <c r="B729" s="763"/>
      <c r="C729" s="763"/>
      <c r="D729" s="763" t="s">
        <v>309</v>
      </c>
      <c r="E729" s="763"/>
      <c r="F729" s="763"/>
      <c r="G729" s="189"/>
      <c r="H729" s="767" t="s">
        <v>46</v>
      </c>
      <c r="I729" s="768">
        <f ca="1">IFERROR(__xludf.DUMMYFUNCTION("IMPORTRANGE(""https://docs.google.com/spreadsheets/d/1QqKyyYR6Q21VydFLVH3TRQUabQu_ym0Zz7PgGX0-kHA/edit?usp=sharing"",""แผน!IP48"")"),10)</f>
        <v>10</v>
      </c>
      <c r="J729" s="681">
        <f>J732+J735</f>
        <v>12</v>
      </c>
      <c r="K729" s="195">
        <f t="shared" ca="1" si="293"/>
        <v>120</v>
      </c>
      <c r="L729" s="498"/>
      <c r="M729" s="189"/>
      <c r="N729" s="766"/>
      <c r="O729" s="498"/>
      <c r="P729" s="49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</row>
    <row r="730" spans="1:26" ht="18.75">
      <c r="A730" s="744"/>
      <c r="B730" s="763"/>
      <c r="C730" s="763"/>
      <c r="D730" s="763"/>
      <c r="E730" s="763" t="s">
        <v>310</v>
      </c>
      <c r="F730" s="763"/>
      <c r="G730" s="189"/>
      <c r="H730" s="764" t="s">
        <v>35</v>
      </c>
      <c r="I730" s="765"/>
      <c r="J730" s="215">
        <v>0</v>
      </c>
      <c r="K730" s="498"/>
      <c r="L730" s="766"/>
      <c r="M730" s="498"/>
      <c r="N730" s="766"/>
      <c r="O730" s="498"/>
      <c r="P730" s="49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</row>
    <row r="731" spans="1:26" ht="18.75">
      <c r="A731" s="744"/>
      <c r="B731" s="763"/>
      <c r="C731" s="763"/>
      <c r="D731" s="763"/>
      <c r="E731" s="763"/>
      <c r="F731" s="763"/>
      <c r="G731" s="189"/>
      <c r="H731" s="764" t="s">
        <v>34</v>
      </c>
      <c r="I731" s="765"/>
      <c r="J731" s="215">
        <v>0</v>
      </c>
      <c r="K731" s="498"/>
      <c r="L731" s="766"/>
      <c r="M731" s="498"/>
      <c r="N731" s="766"/>
      <c r="O731" s="498"/>
      <c r="P731" s="49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</row>
    <row r="732" spans="1:26" ht="18.75">
      <c r="A732" s="744"/>
      <c r="B732" s="763"/>
      <c r="C732" s="763"/>
      <c r="D732" s="763"/>
      <c r="E732" s="763"/>
      <c r="F732" s="763"/>
      <c r="G732" s="189"/>
      <c r="H732" s="764" t="s">
        <v>46</v>
      </c>
      <c r="I732" s="765"/>
      <c r="J732" s="215">
        <v>0</v>
      </c>
      <c r="K732" s="498"/>
      <c r="L732" s="766"/>
      <c r="M732" s="498"/>
      <c r="N732" s="766"/>
      <c r="O732" s="498"/>
      <c r="P732" s="49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</row>
    <row r="733" spans="1:26" ht="18.75">
      <c r="A733" s="744"/>
      <c r="B733" s="763"/>
      <c r="C733" s="763"/>
      <c r="D733" s="763"/>
      <c r="E733" s="763" t="s">
        <v>311</v>
      </c>
      <c r="F733" s="763"/>
      <c r="G733" s="189"/>
      <c r="H733" s="764" t="s">
        <v>35</v>
      </c>
      <c r="I733" s="765"/>
      <c r="J733" s="215">
        <v>1</v>
      </c>
      <c r="K733" s="498"/>
      <c r="L733" s="766"/>
      <c r="M733" s="498"/>
      <c r="N733" s="766"/>
      <c r="O733" s="498"/>
      <c r="P733" s="49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</row>
    <row r="734" spans="1:26" ht="18.75">
      <c r="A734" s="744"/>
      <c r="B734" s="763"/>
      <c r="C734" s="763"/>
      <c r="D734" s="763"/>
      <c r="E734" s="763"/>
      <c r="F734" s="763"/>
      <c r="G734" s="189"/>
      <c r="H734" s="764" t="s">
        <v>34</v>
      </c>
      <c r="I734" s="765"/>
      <c r="J734" s="215">
        <v>1</v>
      </c>
      <c r="K734" s="498"/>
      <c r="L734" s="766"/>
      <c r="M734" s="498"/>
      <c r="N734" s="766"/>
      <c r="O734" s="498"/>
      <c r="P734" s="49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</row>
    <row r="735" spans="1:26" ht="19.5">
      <c r="A735" s="770"/>
      <c r="B735" s="771" t="s">
        <v>312</v>
      </c>
      <c r="C735" s="734"/>
      <c r="D735" s="734"/>
      <c r="E735" s="734"/>
      <c r="F735" s="734"/>
      <c r="G735" s="735"/>
      <c r="H735" s="422" t="s">
        <v>46</v>
      </c>
      <c r="I735" s="772"/>
      <c r="J735" s="424">
        <v>12</v>
      </c>
      <c r="K735" s="507"/>
      <c r="L735" s="773"/>
      <c r="M735" s="507"/>
      <c r="N735" s="773"/>
      <c r="O735" s="507"/>
      <c r="P735" s="507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</row>
    <row r="736" spans="1:26" ht="19.5" hidden="1">
      <c r="A736" s="774">
        <v>9</v>
      </c>
      <c r="B736" s="775" t="s">
        <v>313</v>
      </c>
      <c r="C736" s="776"/>
      <c r="D736" s="776"/>
      <c r="E736" s="776"/>
      <c r="F736" s="776"/>
      <c r="G736" s="777"/>
      <c r="H736" s="778" t="s">
        <v>46</v>
      </c>
      <c r="I736" s="779"/>
      <c r="J736" s="779">
        <f>J751</f>
        <v>0</v>
      </c>
      <c r="K736" s="780">
        <f>IF(I736&gt;0,J736*100/I736,0)</f>
        <v>0</v>
      </c>
      <c r="L736" s="781"/>
      <c r="M736" s="781"/>
      <c r="N736" s="781"/>
      <c r="O736" s="781"/>
      <c r="P736" s="781"/>
      <c r="Q736" s="604"/>
      <c r="R736" s="604"/>
      <c r="S736" s="604"/>
      <c r="T736" s="604"/>
      <c r="U736" s="604"/>
      <c r="V736" s="604"/>
      <c r="W736" s="604"/>
      <c r="X736" s="604"/>
      <c r="Y736" s="604"/>
      <c r="Z736" s="604"/>
    </row>
    <row r="737" spans="1:26" ht="19.5" hidden="1">
      <c r="A737" s="599"/>
      <c r="B737" s="759"/>
      <c r="C737" s="759" t="s">
        <v>16</v>
      </c>
      <c r="D737" s="864" t="s">
        <v>17</v>
      </c>
      <c r="E737" s="857"/>
      <c r="F737" s="857"/>
      <c r="G737" s="603"/>
      <c r="H737" s="646" t="s">
        <v>12</v>
      </c>
      <c r="I737" s="617"/>
      <c r="J737" s="617"/>
      <c r="K737" s="93"/>
      <c r="L737" s="647">
        <f t="shared" ref="L737:N737" si="294">L738+L739</f>
        <v>0</v>
      </c>
      <c r="M737" s="647">
        <f t="shared" si="294"/>
        <v>0</v>
      </c>
      <c r="N737" s="647">
        <f t="shared" si="294"/>
        <v>0</v>
      </c>
      <c r="O737" s="647">
        <f t="shared" ref="O737:O742" si="295">IF(L737&gt;0,N737*100/L737,0)</f>
        <v>0</v>
      </c>
      <c r="P737" s="647">
        <f t="shared" ref="P737:P742" si="296">IF(M737&gt;0,N737*100/M737,0)</f>
        <v>0</v>
      </c>
      <c r="Q737" s="604"/>
      <c r="R737" s="604"/>
      <c r="S737" s="604"/>
      <c r="T737" s="604"/>
      <c r="U737" s="604"/>
      <c r="V737" s="604"/>
      <c r="W737" s="604"/>
      <c r="X737" s="604"/>
      <c r="Y737" s="604"/>
      <c r="Z737" s="604"/>
    </row>
    <row r="738" spans="1:26" ht="18.75" hidden="1">
      <c r="A738" s="599"/>
      <c r="B738" s="759"/>
      <c r="C738" s="759"/>
      <c r="D738" s="720"/>
      <c r="E738" s="759" t="s">
        <v>185</v>
      </c>
      <c r="F738" s="759"/>
      <c r="G738" s="603"/>
      <c r="H738" s="165" t="s">
        <v>12</v>
      </c>
      <c r="I738" s="617"/>
      <c r="J738" s="617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4"/>
      <c r="R738" s="604"/>
      <c r="S738" s="604"/>
      <c r="T738" s="604"/>
      <c r="U738" s="604"/>
      <c r="V738" s="604"/>
      <c r="W738" s="604"/>
      <c r="X738" s="604"/>
      <c r="Y738" s="604"/>
      <c r="Z738" s="604"/>
    </row>
    <row r="739" spans="1:26" ht="18.75" hidden="1">
      <c r="A739" s="599"/>
      <c r="B739" s="607"/>
      <c r="C739" s="759"/>
      <c r="D739" s="720"/>
      <c r="E739" s="759" t="s">
        <v>186</v>
      </c>
      <c r="F739" s="759"/>
      <c r="G739" s="603"/>
      <c r="H739" s="165" t="s">
        <v>12</v>
      </c>
      <c r="I739" s="617"/>
      <c r="J739" s="617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4"/>
      <c r="R739" s="604"/>
      <c r="S739" s="604"/>
      <c r="T739" s="604"/>
      <c r="U739" s="604"/>
      <c r="V739" s="604"/>
      <c r="W739" s="604"/>
      <c r="X739" s="604"/>
      <c r="Y739" s="604"/>
      <c r="Z739" s="604"/>
    </row>
    <row r="740" spans="1:26" ht="19.5" hidden="1">
      <c r="A740" s="599"/>
      <c r="B740" s="607"/>
      <c r="C740" s="759"/>
      <c r="D740" s="645" t="s">
        <v>20</v>
      </c>
      <c r="E740" s="759"/>
      <c r="F740" s="759"/>
      <c r="G740" s="603"/>
      <c r="H740" s="646" t="s">
        <v>12</v>
      </c>
      <c r="I740" s="166"/>
      <c r="J740" s="166"/>
      <c r="K740" s="167"/>
      <c r="L740" s="647">
        <f t="shared" ref="L740:N740" si="298">L741+L742</f>
        <v>0</v>
      </c>
      <c r="M740" s="647">
        <f t="shared" si="298"/>
        <v>0</v>
      </c>
      <c r="N740" s="647">
        <f t="shared" si="298"/>
        <v>0</v>
      </c>
      <c r="O740" s="647">
        <f t="shared" si="295"/>
        <v>0</v>
      </c>
      <c r="P740" s="647">
        <f t="shared" si="296"/>
        <v>0</v>
      </c>
      <c r="Q740" s="604"/>
      <c r="R740" s="604"/>
      <c r="S740" s="604"/>
      <c r="T740" s="604"/>
      <c r="U740" s="604"/>
      <c r="V740" s="604"/>
      <c r="W740" s="604"/>
      <c r="X740" s="604"/>
      <c r="Y740" s="604"/>
      <c r="Z740" s="604"/>
    </row>
    <row r="741" spans="1:26" ht="18.75" hidden="1">
      <c r="A741" s="599"/>
      <c r="B741" s="607"/>
      <c r="C741" s="759"/>
      <c r="D741" s="720"/>
      <c r="E741" s="759" t="s">
        <v>185</v>
      </c>
      <c r="F741" s="759"/>
      <c r="G741" s="603"/>
      <c r="H741" s="165" t="s">
        <v>12</v>
      </c>
      <c r="I741" s="617"/>
      <c r="J741" s="617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4"/>
      <c r="R741" s="604"/>
      <c r="S741" s="604"/>
      <c r="T741" s="604"/>
      <c r="U741" s="604"/>
      <c r="V741" s="604"/>
      <c r="W741" s="604"/>
      <c r="X741" s="604"/>
      <c r="Y741" s="604"/>
      <c r="Z741" s="604"/>
    </row>
    <row r="742" spans="1:26" ht="18.75" hidden="1">
      <c r="A742" s="599"/>
      <c r="B742" s="607"/>
      <c r="C742" s="759"/>
      <c r="D742" s="720"/>
      <c r="E742" s="759" t="s">
        <v>186</v>
      </c>
      <c r="F742" s="759"/>
      <c r="G742" s="603"/>
      <c r="H742" s="165" t="s">
        <v>12</v>
      </c>
      <c r="I742" s="617"/>
      <c r="J742" s="617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4"/>
      <c r="R742" s="604"/>
      <c r="S742" s="604"/>
      <c r="T742" s="604"/>
      <c r="U742" s="604"/>
      <c r="V742" s="604"/>
      <c r="W742" s="604"/>
      <c r="X742" s="604"/>
      <c r="Y742" s="604"/>
      <c r="Z742" s="604"/>
    </row>
    <row r="743" spans="1:26" ht="18.75" hidden="1">
      <c r="A743" s="649"/>
      <c r="B743" s="607"/>
      <c r="C743" s="759"/>
      <c r="D743" s="759"/>
      <c r="E743" s="759"/>
      <c r="F743" s="759" t="s">
        <v>187</v>
      </c>
      <c r="G743" s="603"/>
      <c r="H743" s="165" t="s">
        <v>12</v>
      </c>
      <c r="I743" s="617"/>
      <c r="J743" s="617"/>
      <c r="K743" s="93"/>
      <c r="L743" s="93"/>
      <c r="M743" s="93"/>
      <c r="N743" s="93"/>
      <c r="O743" s="93"/>
      <c r="P743" s="93"/>
      <c r="Q743" s="604"/>
      <c r="R743" s="604"/>
      <c r="S743" s="604"/>
      <c r="T743" s="604"/>
      <c r="U743" s="604"/>
      <c r="V743" s="604"/>
      <c r="W743" s="604"/>
      <c r="X743" s="604"/>
      <c r="Y743" s="604"/>
      <c r="Z743" s="604"/>
    </row>
    <row r="744" spans="1:26" ht="18.75" hidden="1">
      <c r="A744" s="649"/>
      <c r="B744" s="607"/>
      <c r="C744" s="759"/>
      <c r="D744" s="759"/>
      <c r="E744" s="759"/>
      <c r="F744" s="759" t="s">
        <v>188</v>
      </c>
      <c r="G744" s="603"/>
      <c r="H744" s="165" t="s">
        <v>12</v>
      </c>
      <c r="I744" s="617"/>
      <c r="J744" s="617"/>
      <c r="K744" s="93"/>
      <c r="L744" s="93"/>
      <c r="M744" s="93"/>
      <c r="N744" s="93"/>
      <c r="O744" s="93"/>
      <c r="P744" s="93"/>
      <c r="Q744" s="604"/>
      <c r="R744" s="604"/>
      <c r="S744" s="604"/>
      <c r="T744" s="604"/>
      <c r="U744" s="604"/>
      <c r="V744" s="604"/>
      <c r="W744" s="604"/>
      <c r="X744" s="604"/>
      <c r="Y744" s="604"/>
      <c r="Z744" s="604"/>
    </row>
    <row r="745" spans="1:26" ht="18.75" hidden="1">
      <c r="A745" s="649"/>
      <c r="B745" s="607"/>
      <c r="C745" s="759"/>
      <c r="D745" s="759"/>
      <c r="E745" s="759"/>
      <c r="F745" s="759" t="s">
        <v>189</v>
      </c>
      <c r="G745" s="603"/>
      <c r="H745" s="165" t="s">
        <v>12</v>
      </c>
      <c r="I745" s="617"/>
      <c r="J745" s="617"/>
      <c r="K745" s="93"/>
      <c r="L745" s="93"/>
      <c r="M745" s="93"/>
      <c r="N745" s="93"/>
      <c r="O745" s="93"/>
      <c r="P745" s="93"/>
      <c r="Q745" s="604"/>
      <c r="R745" s="604"/>
      <c r="S745" s="604"/>
      <c r="T745" s="604"/>
      <c r="U745" s="604"/>
      <c r="V745" s="604"/>
      <c r="W745" s="604"/>
      <c r="X745" s="604"/>
      <c r="Y745" s="604"/>
      <c r="Z745" s="604"/>
    </row>
    <row r="746" spans="1:26" ht="18.75" hidden="1">
      <c r="A746" s="649"/>
      <c r="B746" s="607"/>
      <c r="C746" s="759"/>
      <c r="D746" s="759"/>
      <c r="E746" s="759"/>
      <c r="F746" s="759" t="s">
        <v>190</v>
      </c>
      <c r="G746" s="603"/>
      <c r="H746" s="165" t="s">
        <v>12</v>
      </c>
      <c r="I746" s="617"/>
      <c r="J746" s="617"/>
      <c r="K746" s="93"/>
      <c r="L746" s="93"/>
      <c r="M746" s="93"/>
      <c r="N746" s="93"/>
      <c r="O746" s="93"/>
      <c r="P746" s="93"/>
      <c r="Q746" s="604"/>
      <c r="R746" s="604"/>
      <c r="S746" s="604"/>
      <c r="T746" s="604"/>
      <c r="U746" s="604"/>
      <c r="V746" s="604"/>
      <c r="W746" s="604"/>
      <c r="X746" s="604"/>
      <c r="Y746" s="604"/>
      <c r="Z746" s="604"/>
    </row>
    <row r="747" spans="1:26" ht="19.5" hidden="1">
      <c r="A747" s="599"/>
      <c r="B747" s="607"/>
      <c r="C747" s="759"/>
      <c r="D747" s="645" t="s">
        <v>21</v>
      </c>
      <c r="E747" s="759"/>
      <c r="F747" s="759"/>
      <c r="G747" s="603"/>
      <c r="H747" s="783" t="s">
        <v>12</v>
      </c>
      <c r="I747" s="166"/>
      <c r="J747" s="166"/>
      <c r="K747" s="167"/>
      <c r="L747" s="647">
        <f t="shared" ref="L747:N747" si="299">L748+L749</f>
        <v>0</v>
      </c>
      <c r="M747" s="647">
        <f t="shared" si="299"/>
        <v>0</v>
      </c>
      <c r="N747" s="647">
        <f t="shared" si="299"/>
        <v>0</v>
      </c>
      <c r="O747" s="647">
        <f t="shared" ref="O747:O749" si="300">IF(L747&gt;0,N747*100/L747,0)</f>
        <v>0</v>
      </c>
      <c r="P747" s="647">
        <f t="shared" ref="P747:P749" si="301">IF(M747&gt;0,N747*100/M747,0)</f>
        <v>0</v>
      </c>
      <c r="Q747" s="604"/>
      <c r="R747" s="604"/>
      <c r="S747" s="604"/>
      <c r="T747" s="604"/>
      <c r="U747" s="604"/>
      <c r="V747" s="604"/>
      <c r="W747" s="604"/>
      <c r="X747" s="604"/>
      <c r="Y747" s="604"/>
      <c r="Z747" s="604"/>
    </row>
    <row r="748" spans="1:26" ht="18.75" hidden="1">
      <c r="A748" s="599"/>
      <c r="B748" s="607"/>
      <c r="C748" s="759"/>
      <c r="D748" s="759"/>
      <c r="E748" s="759" t="s">
        <v>18</v>
      </c>
      <c r="F748" s="759"/>
      <c r="G748" s="603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4"/>
      <c r="R748" s="604"/>
      <c r="S748" s="604"/>
      <c r="T748" s="604"/>
      <c r="U748" s="604"/>
      <c r="V748" s="604"/>
      <c r="W748" s="604"/>
      <c r="X748" s="604"/>
      <c r="Y748" s="604"/>
      <c r="Z748" s="604"/>
    </row>
    <row r="749" spans="1:26" ht="18.75" hidden="1">
      <c r="A749" s="599"/>
      <c r="B749" s="607"/>
      <c r="C749" s="759"/>
      <c r="D749" s="759"/>
      <c r="E749" s="759" t="s">
        <v>19</v>
      </c>
      <c r="F749" s="759"/>
      <c r="G749" s="603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4"/>
      <c r="R749" s="604"/>
      <c r="S749" s="604"/>
      <c r="T749" s="604"/>
      <c r="U749" s="604"/>
      <c r="V749" s="604"/>
      <c r="W749" s="604"/>
      <c r="X749" s="604"/>
      <c r="Y749" s="604"/>
      <c r="Z749" s="604"/>
    </row>
    <row r="750" spans="1:26" ht="19.5" hidden="1">
      <c r="A750" s="614"/>
      <c r="B750" s="616"/>
      <c r="C750" s="759" t="s">
        <v>16</v>
      </c>
      <c r="D750" s="899" t="s">
        <v>38</v>
      </c>
      <c r="E750" s="651"/>
      <c r="F750" s="651"/>
      <c r="G750" s="652"/>
      <c r="H750" s="366"/>
      <c r="I750" s="166"/>
      <c r="J750" s="166"/>
      <c r="K750" s="167"/>
      <c r="L750" s="167"/>
      <c r="M750" s="167"/>
      <c r="N750" s="167"/>
      <c r="O750" s="167"/>
      <c r="P750" s="167"/>
      <c r="Q750" s="604"/>
      <c r="R750" s="604"/>
      <c r="S750" s="604"/>
      <c r="T750" s="604"/>
      <c r="U750" s="604"/>
      <c r="V750" s="604"/>
      <c r="W750" s="604"/>
      <c r="X750" s="604"/>
      <c r="Y750" s="604"/>
      <c r="Z750" s="604"/>
    </row>
    <row r="751" spans="1:26" ht="18.75" hidden="1">
      <c r="A751" s="649"/>
      <c r="B751" s="607"/>
      <c r="C751" s="759"/>
      <c r="D751" s="759"/>
      <c r="E751" s="759" t="s">
        <v>314</v>
      </c>
      <c r="F751" s="759"/>
      <c r="G751" s="603"/>
      <c r="H751" s="165" t="s">
        <v>46</v>
      </c>
      <c r="I751" s="617"/>
      <c r="J751" s="617"/>
      <c r="K751" s="93"/>
      <c r="L751" s="93"/>
      <c r="M751" s="93"/>
      <c r="N751" s="93"/>
      <c r="O751" s="93"/>
      <c r="P751" s="93"/>
      <c r="Q751" s="604"/>
      <c r="R751" s="604"/>
      <c r="S751" s="604"/>
      <c r="T751" s="604"/>
      <c r="U751" s="604"/>
      <c r="V751" s="604"/>
      <c r="W751" s="604"/>
      <c r="X751" s="604"/>
      <c r="Y751" s="604"/>
      <c r="Z751" s="604"/>
    </row>
    <row r="752" spans="1:26" ht="18.75" hidden="1">
      <c r="A752" s="649"/>
      <c r="B752" s="607"/>
      <c r="C752" s="759"/>
      <c r="D752" s="759"/>
      <c r="E752" s="759"/>
      <c r="F752" s="759"/>
      <c r="G752" s="603"/>
      <c r="H752" s="165" t="s">
        <v>315</v>
      </c>
      <c r="I752" s="617"/>
      <c r="J752" s="617"/>
      <c r="K752" s="93"/>
      <c r="L752" s="93"/>
      <c r="M752" s="93"/>
      <c r="N752" s="93"/>
      <c r="O752" s="93"/>
      <c r="P752" s="93"/>
      <c r="Q752" s="604"/>
      <c r="R752" s="604"/>
      <c r="S752" s="604"/>
      <c r="T752" s="604"/>
      <c r="U752" s="604"/>
      <c r="V752" s="604"/>
      <c r="W752" s="604"/>
      <c r="X752" s="604"/>
      <c r="Y752" s="604"/>
      <c r="Z752" s="604"/>
    </row>
    <row r="753" spans="1:26" ht="19.5" hidden="1">
      <c r="A753" s="785">
        <v>10</v>
      </c>
      <c r="B753" s="786" t="s">
        <v>316</v>
      </c>
      <c r="C753" s="787"/>
      <c r="D753" s="787"/>
      <c r="E753" s="787"/>
      <c r="F753" s="787"/>
      <c r="G753" s="788"/>
      <c r="H753" s="789" t="s">
        <v>46</v>
      </c>
      <c r="I753" s="790"/>
      <c r="J753" s="790">
        <f>J768</f>
        <v>0</v>
      </c>
      <c r="K753" s="791">
        <f>IF(I753&gt;0,J753*100/I753,0)</f>
        <v>0</v>
      </c>
      <c r="L753" s="792"/>
      <c r="M753" s="792"/>
      <c r="N753" s="792"/>
      <c r="O753" s="792"/>
      <c r="P753" s="792"/>
      <c r="Q753" s="604"/>
      <c r="R753" s="604"/>
      <c r="S753" s="604"/>
      <c r="T753" s="604"/>
      <c r="U753" s="604"/>
      <c r="V753" s="604"/>
      <c r="W753" s="604"/>
      <c r="X753" s="604"/>
      <c r="Y753" s="604"/>
      <c r="Z753" s="604"/>
    </row>
    <row r="754" spans="1:26" ht="19.5" hidden="1">
      <c r="A754" s="599"/>
      <c r="B754" s="759"/>
      <c r="C754" s="759" t="s">
        <v>16</v>
      </c>
      <c r="D754" s="864" t="s">
        <v>17</v>
      </c>
      <c r="E754" s="857"/>
      <c r="F754" s="857"/>
      <c r="G754" s="603"/>
      <c r="H754" s="646" t="s">
        <v>12</v>
      </c>
      <c r="I754" s="617"/>
      <c r="J754" s="617"/>
      <c r="K754" s="93"/>
      <c r="L754" s="647">
        <f t="shared" ref="L754:N754" si="302">L755+L756</f>
        <v>0</v>
      </c>
      <c r="M754" s="647">
        <f t="shared" si="302"/>
        <v>0</v>
      </c>
      <c r="N754" s="647">
        <f t="shared" si="302"/>
        <v>0</v>
      </c>
      <c r="O754" s="647">
        <f t="shared" ref="O754:O759" si="303">IF(L754&gt;0,N754*100/L754,0)</f>
        <v>0</v>
      </c>
      <c r="P754" s="647">
        <f t="shared" ref="P754:P759" si="304">IF(M754&gt;0,N754*100/M754,0)</f>
        <v>0</v>
      </c>
      <c r="Q754" s="604"/>
      <c r="R754" s="604"/>
      <c r="S754" s="604"/>
      <c r="T754" s="604"/>
      <c r="U754" s="604"/>
      <c r="V754" s="604"/>
      <c r="W754" s="604"/>
      <c r="X754" s="604"/>
      <c r="Y754" s="604"/>
      <c r="Z754" s="604"/>
    </row>
    <row r="755" spans="1:26" ht="18.75" hidden="1">
      <c r="A755" s="599"/>
      <c r="B755" s="759"/>
      <c r="C755" s="759"/>
      <c r="D755" s="720"/>
      <c r="E755" s="759" t="s">
        <v>185</v>
      </c>
      <c r="F755" s="759"/>
      <c r="G755" s="603"/>
      <c r="H755" s="165" t="s">
        <v>12</v>
      </c>
      <c r="I755" s="617"/>
      <c r="J755" s="617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4"/>
      <c r="R755" s="604"/>
      <c r="S755" s="604"/>
      <c r="T755" s="604"/>
      <c r="U755" s="604"/>
      <c r="V755" s="604"/>
      <c r="W755" s="604"/>
      <c r="X755" s="604"/>
      <c r="Y755" s="604"/>
      <c r="Z755" s="604"/>
    </row>
    <row r="756" spans="1:26" ht="18.75" hidden="1">
      <c r="A756" s="599"/>
      <c r="B756" s="607"/>
      <c r="C756" s="759"/>
      <c r="D756" s="720"/>
      <c r="E756" s="759" t="s">
        <v>186</v>
      </c>
      <c r="F756" s="759"/>
      <c r="G756" s="603"/>
      <c r="H756" s="165" t="s">
        <v>12</v>
      </c>
      <c r="I756" s="617"/>
      <c r="J756" s="617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4"/>
      <c r="R756" s="604"/>
      <c r="S756" s="604"/>
      <c r="T756" s="604"/>
      <c r="U756" s="604"/>
      <c r="V756" s="604"/>
      <c r="W756" s="604"/>
      <c r="X756" s="604"/>
      <c r="Y756" s="604"/>
      <c r="Z756" s="604"/>
    </row>
    <row r="757" spans="1:26" ht="19.5" hidden="1">
      <c r="A757" s="599"/>
      <c r="B757" s="607"/>
      <c r="C757" s="759"/>
      <c r="D757" s="645" t="s">
        <v>20</v>
      </c>
      <c r="E757" s="759"/>
      <c r="F757" s="759"/>
      <c r="G757" s="603"/>
      <c r="H757" s="646" t="s">
        <v>12</v>
      </c>
      <c r="I757" s="166"/>
      <c r="J757" s="166"/>
      <c r="K757" s="167"/>
      <c r="L757" s="647">
        <f t="shared" ref="L757:N757" si="306">L758+L759</f>
        <v>0</v>
      </c>
      <c r="M757" s="647">
        <f t="shared" si="306"/>
        <v>0</v>
      </c>
      <c r="N757" s="647">
        <f t="shared" si="306"/>
        <v>0</v>
      </c>
      <c r="O757" s="647">
        <f t="shared" si="303"/>
        <v>0</v>
      </c>
      <c r="P757" s="647">
        <f t="shared" si="304"/>
        <v>0</v>
      </c>
      <c r="Q757" s="604"/>
      <c r="R757" s="604"/>
      <c r="S757" s="604"/>
      <c r="T757" s="604"/>
      <c r="U757" s="604"/>
      <c r="V757" s="604"/>
      <c r="W757" s="604"/>
      <c r="X757" s="604"/>
      <c r="Y757" s="604"/>
      <c r="Z757" s="604"/>
    </row>
    <row r="758" spans="1:26" ht="18.75" hidden="1">
      <c r="A758" s="599"/>
      <c r="B758" s="607"/>
      <c r="C758" s="759"/>
      <c r="D758" s="720"/>
      <c r="E758" s="759" t="s">
        <v>185</v>
      </c>
      <c r="F758" s="759"/>
      <c r="G758" s="603"/>
      <c r="H758" s="165" t="s">
        <v>12</v>
      </c>
      <c r="I758" s="617"/>
      <c r="J758" s="617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4"/>
      <c r="R758" s="604"/>
      <c r="S758" s="604"/>
      <c r="T758" s="604"/>
      <c r="U758" s="604"/>
      <c r="V758" s="604"/>
      <c r="W758" s="604"/>
      <c r="X758" s="604"/>
      <c r="Y758" s="604"/>
      <c r="Z758" s="604"/>
    </row>
    <row r="759" spans="1:26" ht="18.75" hidden="1">
      <c r="A759" s="599"/>
      <c r="B759" s="607"/>
      <c r="C759" s="759"/>
      <c r="D759" s="720"/>
      <c r="E759" s="759" t="s">
        <v>186</v>
      </c>
      <c r="F759" s="759"/>
      <c r="G759" s="603"/>
      <c r="H759" s="165" t="s">
        <v>12</v>
      </c>
      <c r="I759" s="617"/>
      <c r="J759" s="617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4"/>
      <c r="R759" s="604"/>
      <c r="S759" s="604"/>
      <c r="T759" s="604"/>
      <c r="U759" s="604"/>
      <c r="V759" s="604"/>
      <c r="W759" s="604"/>
      <c r="X759" s="604"/>
      <c r="Y759" s="604"/>
      <c r="Z759" s="604"/>
    </row>
    <row r="760" spans="1:26" ht="18.75" hidden="1">
      <c r="A760" s="649"/>
      <c r="B760" s="607"/>
      <c r="C760" s="759"/>
      <c r="D760" s="759"/>
      <c r="E760" s="759"/>
      <c r="F760" s="759" t="s">
        <v>187</v>
      </c>
      <c r="G760" s="603"/>
      <c r="H760" s="165" t="s">
        <v>12</v>
      </c>
      <c r="I760" s="617"/>
      <c r="J760" s="617"/>
      <c r="K760" s="93"/>
      <c r="L760" s="93"/>
      <c r="M760" s="93"/>
      <c r="N760" s="93"/>
      <c r="O760" s="93"/>
      <c r="P760" s="93"/>
      <c r="Q760" s="604"/>
      <c r="R760" s="604"/>
      <c r="S760" s="604"/>
      <c r="T760" s="604"/>
      <c r="U760" s="604"/>
      <c r="V760" s="604"/>
      <c r="W760" s="604"/>
      <c r="X760" s="604"/>
      <c r="Y760" s="604"/>
      <c r="Z760" s="604"/>
    </row>
    <row r="761" spans="1:26" ht="18.75" hidden="1">
      <c r="A761" s="649"/>
      <c r="B761" s="607"/>
      <c r="C761" s="759"/>
      <c r="D761" s="759"/>
      <c r="E761" s="759"/>
      <c r="F761" s="759" t="s">
        <v>188</v>
      </c>
      <c r="G761" s="603"/>
      <c r="H761" s="165" t="s">
        <v>12</v>
      </c>
      <c r="I761" s="617"/>
      <c r="J761" s="617"/>
      <c r="K761" s="93"/>
      <c r="L761" s="93"/>
      <c r="M761" s="93"/>
      <c r="N761" s="93"/>
      <c r="O761" s="93"/>
      <c r="P761" s="93"/>
      <c r="Q761" s="604"/>
      <c r="R761" s="604"/>
      <c r="S761" s="604"/>
      <c r="T761" s="604"/>
      <c r="U761" s="604"/>
      <c r="V761" s="604"/>
      <c r="W761" s="604"/>
      <c r="X761" s="604"/>
      <c r="Y761" s="604"/>
      <c r="Z761" s="604"/>
    </row>
    <row r="762" spans="1:26" ht="18.75" hidden="1">
      <c r="A762" s="649"/>
      <c r="B762" s="607"/>
      <c r="C762" s="759"/>
      <c r="D762" s="759"/>
      <c r="E762" s="759"/>
      <c r="F762" s="759" t="s">
        <v>189</v>
      </c>
      <c r="G762" s="603"/>
      <c r="H762" s="165" t="s">
        <v>12</v>
      </c>
      <c r="I762" s="617"/>
      <c r="J762" s="617"/>
      <c r="K762" s="93"/>
      <c r="L762" s="93"/>
      <c r="M762" s="93"/>
      <c r="N762" s="93"/>
      <c r="O762" s="93"/>
      <c r="P762" s="93"/>
      <c r="Q762" s="604"/>
      <c r="R762" s="604"/>
      <c r="S762" s="604"/>
      <c r="T762" s="604"/>
      <c r="U762" s="604"/>
      <c r="V762" s="604"/>
      <c r="W762" s="604"/>
      <c r="X762" s="604"/>
      <c r="Y762" s="604"/>
      <c r="Z762" s="604"/>
    </row>
    <row r="763" spans="1:26" ht="18.75" hidden="1">
      <c r="A763" s="649"/>
      <c r="B763" s="607"/>
      <c r="C763" s="759"/>
      <c r="D763" s="759"/>
      <c r="E763" s="759"/>
      <c r="F763" s="759" t="s">
        <v>190</v>
      </c>
      <c r="G763" s="603"/>
      <c r="H763" s="165" t="s">
        <v>12</v>
      </c>
      <c r="I763" s="617"/>
      <c r="J763" s="617"/>
      <c r="K763" s="93"/>
      <c r="L763" s="93"/>
      <c r="M763" s="93"/>
      <c r="N763" s="93"/>
      <c r="O763" s="93"/>
      <c r="P763" s="93"/>
      <c r="Q763" s="604"/>
      <c r="R763" s="604"/>
      <c r="S763" s="604"/>
      <c r="T763" s="604"/>
      <c r="U763" s="604"/>
      <c r="V763" s="604"/>
      <c r="W763" s="604"/>
      <c r="X763" s="604"/>
      <c r="Y763" s="604"/>
      <c r="Z763" s="604"/>
    </row>
    <row r="764" spans="1:26" ht="19.5" hidden="1">
      <c r="A764" s="599"/>
      <c r="B764" s="607"/>
      <c r="C764" s="759"/>
      <c r="D764" s="645" t="s">
        <v>21</v>
      </c>
      <c r="E764" s="759"/>
      <c r="F764" s="759"/>
      <c r="G764" s="603"/>
      <c r="H764" s="783" t="s">
        <v>12</v>
      </c>
      <c r="I764" s="166"/>
      <c r="J764" s="166"/>
      <c r="K764" s="167"/>
      <c r="L764" s="647">
        <f t="shared" ref="L764:N764" si="307">L765+L766</f>
        <v>0</v>
      </c>
      <c r="M764" s="647">
        <f t="shared" si="307"/>
        <v>0</v>
      </c>
      <c r="N764" s="647">
        <f t="shared" si="307"/>
        <v>0</v>
      </c>
      <c r="O764" s="647">
        <f t="shared" ref="O764:O766" si="308">IF(L764&gt;0,N764*100/L764,0)</f>
        <v>0</v>
      </c>
      <c r="P764" s="647">
        <f t="shared" ref="P764:P766" si="309">IF(M764&gt;0,N764*100/M764,0)</f>
        <v>0</v>
      </c>
      <c r="Q764" s="604"/>
      <c r="R764" s="604"/>
      <c r="S764" s="604"/>
      <c r="T764" s="604"/>
      <c r="U764" s="604"/>
      <c r="V764" s="604"/>
      <c r="W764" s="604"/>
      <c r="X764" s="604"/>
      <c r="Y764" s="604"/>
      <c r="Z764" s="604"/>
    </row>
    <row r="765" spans="1:26" ht="18.75" hidden="1">
      <c r="A765" s="599"/>
      <c r="B765" s="607"/>
      <c r="C765" s="759"/>
      <c r="D765" s="759"/>
      <c r="E765" s="759" t="s">
        <v>18</v>
      </c>
      <c r="F765" s="759"/>
      <c r="G765" s="603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4"/>
      <c r="R765" s="604"/>
      <c r="S765" s="604"/>
      <c r="T765" s="604"/>
      <c r="U765" s="604"/>
      <c r="V765" s="604"/>
      <c r="W765" s="604"/>
      <c r="X765" s="604"/>
      <c r="Y765" s="604"/>
      <c r="Z765" s="604"/>
    </row>
    <row r="766" spans="1:26" ht="18.75" hidden="1">
      <c r="A766" s="599"/>
      <c r="B766" s="607"/>
      <c r="C766" s="759"/>
      <c r="D766" s="759"/>
      <c r="E766" s="759" t="s">
        <v>19</v>
      </c>
      <c r="F766" s="759"/>
      <c r="G766" s="603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4"/>
      <c r="R766" s="604"/>
      <c r="S766" s="604"/>
      <c r="T766" s="604"/>
      <c r="U766" s="604"/>
      <c r="V766" s="604"/>
      <c r="W766" s="604"/>
      <c r="X766" s="604"/>
      <c r="Y766" s="604"/>
      <c r="Z766" s="604"/>
    </row>
    <row r="767" spans="1:26" ht="19.5" hidden="1">
      <c r="A767" s="614"/>
      <c r="B767" s="616"/>
      <c r="C767" s="759" t="s">
        <v>16</v>
      </c>
      <c r="D767" s="899" t="s">
        <v>38</v>
      </c>
      <c r="E767" s="651"/>
      <c r="F767" s="651"/>
      <c r="G767" s="652"/>
      <c r="H767" s="366"/>
      <c r="I767" s="166"/>
      <c r="J767" s="166"/>
      <c r="K767" s="167"/>
      <c r="L767" s="167"/>
      <c r="M767" s="167"/>
      <c r="N767" s="167"/>
      <c r="O767" s="167"/>
      <c r="P767" s="167"/>
      <c r="Q767" s="604"/>
      <c r="R767" s="604"/>
      <c r="S767" s="604"/>
      <c r="T767" s="604"/>
      <c r="U767" s="604"/>
      <c r="V767" s="604"/>
      <c r="W767" s="604"/>
      <c r="X767" s="604"/>
      <c r="Y767" s="604"/>
      <c r="Z767" s="604"/>
    </row>
    <row r="768" spans="1:26" ht="18.75" hidden="1">
      <c r="A768" s="649"/>
      <c r="B768" s="607"/>
      <c r="C768" s="759"/>
      <c r="D768" s="759"/>
      <c r="E768" s="759" t="s">
        <v>317</v>
      </c>
      <c r="F768" s="759"/>
      <c r="G768" s="603"/>
      <c r="H768" s="165" t="s">
        <v>46</v>
      </c>
      <c r="I768" s="617"/>
      <c r="J768" s="617"/>
      <c r="K768" s="93"/>
      <c r="L768" s="93"/>
      <c r="M768" s="93"/>
      <c r="N768" s="93"/>
      <c r="O768" s="93"/>
      <c r="P768" s="93"/>
      <c r="Q768" s="604"/>
      <c r="R768" s="604"/>
      <c r="S768" s="604"/>
      <c r="T768" s="604"/>
      <c r="U768" s="604"/>
      <c r="V768" s="604"/>
      <c r="W768" s="604"/>
      <c r="X768" s="604"/>
      <c r="Y768" s="604"/>
      <c r="Z768" s="604"/>
    </row>
    <row r="769" spans="1:26" ht="19.5" hidden="1">
      <c r="A769" s="793">
        <v>11</v>
      </c>
      <c r="B769" s="794" t="s">
        <v>318</v>
      </c>
      <c r="C769" s="795"/>
      <c r="D769" s="795"/>
      <c r="E769" s="795"/>
      <c r="F769" s="795"/>
      <c r="G769" s="796"/>
      <c r="H769" s="797" t="s">
        <v>46</v>
      </c>
      <c r="I769" s="798"/>
      <c r="J769" s="798">
        <f>J784</f>
        <v>0</v>
      </c>
      <c r="K769" s="799">
        <f>IF(I769&gt;0,J769*100/I769,0)</f>
        <v>0</v>
      </c>
      <c r="L769" s="800"/>
      <c r="M769" s="800"/>
      <c r="N769" s="800"/>
      <c r="O769" s="800"/>
      <c r="P769" s="800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</row>
    <row r="770" spans="1:26" ht="19.5" hidden="1">
      <c r="A770" s="599"/>
      <c r="B770" s="759"/>
      <c r="C770" s="759" t="s">
        <v>16</v>
      </c>
      <c r="D770" s="864" t="s">
        <v>17</v>
      </c>
      <c r="E770" s="857"/>
      <c r="F770" s="857"/>
      <c r="G770" s="603"/>
      <c r="H770" s="646" t="s">
        <v>12</v>
      </c>
      <c r="I770" s="617"/>
      <c r="J770" s="617"/>
      <c r="K770" s="93"/>
      <c r="L770" s="647">
        <f t="shared" ref="L770:N770" si="310">L771+L772</f>
        <v>0</v>
      </c>
      <c r="M770" s="647">
        <f t="shared" si="310"/>
        <v>0</v>
      </c>
      <c r="N770" s="647">
        <f t="shared" si="310"/>
        <v>0</v>
      </c>
      <c r="O770" s="647">
        <f t="shared" ref="O770:O775" si="311">IF(L770&gt;0,N770*100/L770,0)</f>
        <v>0</v>
      </c>
      <c r="P770" s="647">
        <f t="shared" ref="P770:P775" si="312">IF(M770&gt;0,N770*100/M770,0)</f>
        <v>0</v>
      </c>
      <c r="Q770" s="604"/>
      <c r="R770" s="604"/>
      <c r="S770" s="604"/>
      <c r="T770" s="604"/>
      <c r="U770" s="604"/>
      <c r="V770" s="604"/>
      <c r="W770" s="604"/>
      <c r="X770" s="604"/>
      <c r="Y770" s="604"/>
      <c r="Z770" s="604"/>
    </row>
    <row r="771" spans="1:26" ht="18.75" hidden="1">
      <c r="A771" s="599"/>
      <c r="B771" s="759"/>
      <c r="C771" s="759"/>
      <c r="D771" s="720"/>
      <c r="E771" s="759" t="s">
        <v>185</v>
      </c>
      <c r="F771" s="759"/>
      <c r="G771" s="603"/>
      <c r="H771" s="165" t="s">
        <v>12</v>
      </c>
      <c r="I771" s="617"/>
      <c r="J771" s="617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4"/>
      <c r="R771" s="604"/>
      <c r="S771" s="604"/>
      <c r="T771" s="604"/>
      <c r="U771" s="604"/>
      <c r="V771" s="604"/>
      <c r="W771" s="604"/>
      <c r="X771" s="604"/>
      <c r="Y771" s="604"/>
      <c r="Z771" s="604"/>
    </row>
    <row r="772" spans="1:26" ht="18.75" hidden="1">
      <c r="A772" s="599"/>
      <c r="B772" s="607"/>
      <c r="C772" s="759"/>
      <c r="D772" s="720"/>
      <c r="E772" s="759" t="s">
        <v>186</v>
      </c>
      <c r="F772" s="759"/>
      <c r="G772" s="603"/>
      <c r="H772" s="165" t="s">
        <v>12</v>
      </c>
      <c r="I772" s="617"/>
      <c r="J772" s="617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4"/>
      <c r="R772" s="604"/>
      <c r="S772" s="604"/>
      <c r="T772" s="604"/>
      <c r="U772" s="604"/>
      <c r="V772" s="604"/>
      <c r="W772" s="604"/>
      <c r="X772" s="604"/>
      <c r="Y772" s="604"/>
      <c r="Z772" s="604"/>
    </row>
    <row r="773" spans="1:26" ht="19.5" hidden="1">
      <c r="A773" s="599"/>
      <c r="B773" s="607"/>
      <c r="C773" s="759"/>
      <c r="D773" s="645" t="s">
        <v>20</v>
      </c>
      <c r="E773" s="759"/>
      <c r="F773" s="759"/>
      <c r="G773" s="603"/>
      <c r="H773" s="646" t="s">
        <v>12</v>
      </c>
      <c r="I773" s="166"/>
      <c r="J773" s="166"/>
      <c r="K773" s="167"/>
      <c r="L773" s="647">
        <f t="shared" ref="L773:N773" si="314">L774+L775</f>
        <v>0</v>
      </c>
      <c r="M773" s="647">
        <f t="shared" si="314"/>
        <v>0</v>
      </c>
      <c r="N773" s="647">
        <f t="shared" si="314"/>
        <v>0</v>
      </c>
      <c r="O773" s="647">
        <f t="shared" si="311"/>
        <v>0</v>
      </c>
      <c r="P773" s="647">
        <f t="shared" si="312"/>
        <v>0</v>
      </c>
      <c r="Q773" s="604"/>
      <c r="R773" s="604"/>
      <c r="S773" s="604"/>
      <c r="T773" s="604"/>
      <c r="U773" s="604"/>
      <c r="V773" s="604"/>
      <c r="W773" s="604"/>
      <c r="X773" s="604"/>
      <c r="Y773" s="604"/>
      <c r="Z773" s="604"/>
    </row>
    <row r="774" spans="1:26" ht="18.75" hidden="1">
      <c r="A774" s="599"/>
      <c r="B774" s="607"/>
      <c r="C774" s="759"/>
      <c r="D774" s="720"/>
      <c r="E774" s="759" t="s">
        <v>185</v>
      </c>
      <c r="F774" s="759"/>
      <c r="G774" s="603"/>
      <c r="H774" s="165" t="s">
        <v>12</v>
      </c>
      <c r="I774" s="617"/>
      <c r="J774" s="617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4"/>
      <c r="R774" s="604"/>
      <c r="S774" s="604"/>
      <c r="T774" s="604"/>
      <c r="U774" s="604"/>
      <c r="V774" s="604"/>
      <c r="W774" s="604"/>
      <c r="X774" s="604"/>
      <c r="Y774" s="604"/>
      <c r="Z774" s="604"/>
    </row>
    <row r="775" spans="1:26" ht="18.75" hidden="1">
      <c r="A775" s="599"/>
      <c r="B775" s="607"/>
      <c r="C775" s="759"/>
      <c r="D775" s="720"/>
      <c r="E775" s="759" t="s">
        <v>186</v>
      </c>
      <c r="F775" s="759"/>
      <c r="G775" s="603"/>
      <c r="H775" s="165" t="s">
        <v>12</v>
      </c>
      <c r="I775" s="617"/>
      <c r="J775" s="617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4"/>
      <c r="R775" s="604"/>
      <c r="S775" s="604"/>
      <c r="T775" s="604"/>
      <c r="U775" s="604"/>
      <c r="V775" s="604"/>
      <c r="W775" s="604"/>
      <c r="X775" s="604"/>
      <c r="Y775" s="604"/>
      <c r="Z775" s="604"/>
    </row>
    <row r="776" spans="1:26" ht="18.75" hidden="1">
      <c r="A776" s="649"/>
      <c r="B776" s="607"/>
      <c r="C776" s="759"/>
      <c r="D776" s="759"/>
      <c r="E776" s="759"/>
      <c r="F776" s="759" t="s">
        <v>187</v>
      </c>
      <c r="G776" s="603"/>
      <c r="H776" s="165" t="s">
        <v>12</v>
      </c>
      <c r="I776" s="617"/>
      <c r="J776" s="617"/>
      <c r="K776" s="93"/>
      <c r="L776" s="93"/>
      <c r="M776" s="93"/>
      <c r="N776" s="93"/>
      <c r="O776" s="93"/>
      <c r="P776" s="93"/>
      <c r="Q776" s="604"/>
      <c r="R776" s="604"/>
      <c r="S776" s="604"/>
      <c r="T776" s="604"/>
      <c r="U776" s="604"/>
      <c r="V776" s="604"/>
      <c r="W776" s="604"/>
      <c r="X776" s="604"/>
      <c r="Y776" s="604"/>
      <c r="Z776" s="604"/>
    </row>
    <row r="777" spans="1:26" ht="18.75" hidden="1">
      <c r="A777" s="649"/>
      <c r="B777" s="607"/>
      <c r="C777" s="759"/>
      <c r="D777" s="759"/>
      <c r="E777" s="759"/>
      <c r="F777" s="759" t="s">
        <v>188</v>
      </c>
      <c r="G777" s="603"/>
      <c r="H777" s="165" t="s">
        <v>12</v>
      </c>
      <c r="I777" s="617"/>
      <c r="J777" s="617"/>
      <c r="K777" s="93"/>
      <c r="L777" s="93"/>
      <c r="M777" s="93"/>
      <c r="N777" s="93"/>
      <c r="O777" s="93"/>
      <c r="P777" s="93"/>
      <c r="Q777" s="604"/>
      <c r="R777" s="604"/>
      <c r="S777" s="604"/>
      <c r="T777" s="604"/>
      <c r="U777" s="604"/>
      <c r="V777" s="604"/>
      <c r="W777" s="604"/>
      <c r="X777" s="604"/>
      <c r="Y777" s="604"/>
      <c r="Z777" s="604"/>
    </row>
    <row r="778" spans="1:26" ht="18.75" hidden="1">
      <c r="A778" s="649"/>
      <c r="B778" s="607"/>
      <c r="C778" s="759"/>
      <c r="D778" s="759"/>
      <c r="E778" s="759"/>
      <c r="F778" s="759" t="s">
        <v>189</v>
      </c>
      <c r="G778" s="603"/>
      <c r="H778" s="165" t="s">
        <v>12</v>
      </c>
      <c r="I778" s="617"/>
      <c r="J778" s="617"/>
      <c r="K778" s="93"/>
      <c r="L778" s="93"/>
      <c r="M778" s="93"/>
      <c r="N778" s="93"/>
      <c r="O778" s="93"/>
      <c r="P778" s="93"/>
      <c r="Q778" s="604"/>
      <c r="R778" s="604"/>
      <c r="S778" s="604"/>
      <c r="T778" s="604"/>
      <c r="U778" s="604"/>
      <c r="V778" s="604"/>
      <c r="W778" s="604"/>
      <c r="X778" s="604"/>
      <c r="Y778" s="604"/>
      <c r="Z778" s="604"/>
    </row>
    <row r="779" spans="1:26" ht="18.75" hidden="1">
      <c r="A779" s="649"/>
      <c r="B779" s="607"/>
      <c r="C779" s="759"/>
      <c r="D779" s="759"/>
      <c r="E779" s="759"/>
      <c r="F779" s="759" t="s">
        <v>190</v>
      </c>
      <c r="G779" s="603"/>
      <c r="H779" s="165" t="s">
        <v>12</v>
      </c>
      <c r="I779" s="617"/>
      <c r="J779" s="617"/>
      <c r="K779" s="93"/>
      <c r="L779" s="93"/>
      <c r="M779" s="93"/>
      <c r="N779" s="93"/>
      <c r="O779" s="93"/>
      <c r="P779" s="93"/>
      <c r="Q779" s="604"/>
      <c r="R779" s="604"/>
      <c r="S779" s="604"/>
      <c r="T779" s="604"/>
      <c r="U779" s="604"/>
      <c r="V779" s="604"/>
      <c r="W779" s="604"/>
      <c r="X779" s="604"/>
      <c r="Y779" s="604"/>
      <c r="Z779" s="604"/>
    </row>
    <row r="780" spans="1:26" ht="19.5" hidden="1">
      <c r="A780" s="599"/>
      <c r="B780" s="607"/>
      <c r="C780" s="759"/>
      <c r="D780" s="645" t="s">
        <v>21</v>
      </c>
      <c r="E780" s="759"/>
      <c r="F780" s="759"/>
      <c r="G780" s="603"/>
      <c r="H780" s="783" t="s">
        <v>12</v>
      </c>
      <c r="I780" s="166"/>
      <c r="J780" s="166"/>
      <c r="K780" s="167"/>
      <c r="L780" s="647">
        <f t="shared" ref="L780:N780" si="315">L781+L782</f>
        <v>0</v>
      </c>
      <c r="M780" s="647">
        <f t="shared" si="315"/>
        <v>0</v>
      </c>
      <c r="N780" s="647">
        <f t="shared" si="315"/>
        <v>0</v>
      </c>
      <c r="O780" s="647">
        <f t="shared" ref="O780:O782" si="316">IF(L780&gt;0,N780*100/L780,0)</f>
        <v>0</v>
      </c>
      <c r="P780" s="647">
        <f t="shared" ref="P780:P782" si="317">IF(M780&gt;0,N780*100/M780,0)</f>
        <v>0</v>
      </c>
      <c r="Q780" s="604"/>
      <c r="R780" s="604"/>
      <c r="S780" s="604"/>
      <c r="T780" s="604"/>
      <c r="U780" s="604"/>
      <c r="V780" s="604"/>
      <c r="W780" s="604"/>
      <c r="X780" s="604"/>
      <c r="Y780" s="604"/>
      <c r="Z780" s="604"/>
    </row>
    <row r="781" spans="1:26" ht="18.75" hidden="1">
      <c r="A781" s="599"/>
      <c r="B781" s="607"/>
      <c r="C781" s="759"/>
      <c r="D781" s="759"/>
      <c r="E781" s="759" t="s">
        <v>18</v>
      </c>
      <c r="F781" s="759"/>
      <c r="G781" s="603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4"/>
      <c r="R781" s="604"/>
      <c r="S781" s="604"/>
      <c r="T781" s="604"/>
      <c r="U781" s="604"/>
      <c r="V781" s="604"/>
      <c r="W781" s="604"/>
      <c r="X781" s="604"/>
      <c r="Y781" s="604"/>
      <c r="Z781" s="604"/>
    </row>
    <row r="782" spans="1:26" ht="18.75" hidden="1">
      <c r="A782" s="599"/>
      <c r="B782" s="607"/>
      <c r="C782" s="759"/>
      <c r="D782" s="759"/>
      <c r="E782" s="759" t="s">
        <v>19</v>
      </c>
      <c r="F782" s="759"/>
      <c r="G782" s="603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4"/>
      <c r="R782" s="604"/>
      <c r="S782" s="604"/>
      <c r="T782" s="604"/>
      <c r="U782" s="604"/>
      <c r="V782" s="604"/>
      <c r="W782" s="604"/>
      <c r="X782" s="604"/>
      <c r="Y782" s="604"/>
      <c r="Z782" s="604"/>
    </row>
    <row r="783" spans="1:26" ht="19.5" hidden="1">
      <c r="A783" s="614"/>
      <c r="B783" s="616"/>
      <c r="C783" s="759" t="s">
        <v>16</v>
      </c>
      <c r="D783" s="899" t="s">
        <v>38</v>
      </c>
      <c r="E783" s="651"/>
      <c r="F783" s="651"/>
      <c r="G783" s="652"/>
      <c r="H783" s="801"/>
      <c r="I783" s="166"/>
      <c r="J783" s="166"/>
      <c r="K783" s="167"/>
      <c r="L783" s="167"/>
      <c r="M783" s="167"/>
      <c r="N783" s="167"/>
      <c r="O783" s="167"/>
      <c r="P783" s="167"/>
      <c r="Q783" s="604"/>
      <c r="R783" s="604"/>
      <c r="S783" s="604"/>
      <c r="T783" s="604"/>
      <c r="U783" s="604"/>
      <c r="V783" s="604"/>
      <c r="W783" s="604"/>
      <c r="X783" s="604"/>
      <c r="Y783" s="604"/>
      <c r="Z783" s="604"/>
    </row>
    <row r="784" spans="1:26" ht="18.75" hidden="1">
      <c r="A784" s="649"/>
      <c r="B784" s="607"/>
      <c r="C784" s="759"/>
      <c r="D784" s="759"/>
      <c r="E784" s="759" t="s">
        <v>319</v>
      </c>
      <c r="F784" s="759"/>
      <c r="G784" s="603"/>
      <c r="H784" s="165" t="s">
        <v>46</v>
      </c>
      <c r="I784" s="617"/>
      <c r="J784" s="617"/>
      <c r="K784" s="93"/>
      <c r="L784" s="93"/>
      <c r="M784" s="93"/>
      <c r="N784" s="93"/>
      <c r="O784" s="93"/>
      <c r="P784" s="93"/>
      <c r="Q784" s="604"/>
      <c r="R784" s="604"/>
      <c r="S784" s="604"/>
      <c r="T784" s="604"/>
      <c r="U784" s="604"/>
      <c r="V784" s="604"/>
      <c r="W784" s="604"/>
      <c r="X784" s="604"/>
      <c r="Y784" s="604"/>
      <c r="Z784" s="604"/>
    </row>
    <row r="785" spans="1:26" ht="19.5">
      <c r="A785" s="802">
        <v>12</v>
      </c>
      <c r="B785" s="803" t="s">
        <v>320</v>
      </c>
      <c r="C785" s="804"/>
      <c r="D785" s="804"/>
      <c r="E785" s="804"/>
      <c r="F785" s="804"/>
      <c r="G785" s="805"/>
      <c r="H785" s="806" t="s">
        <v>46</v>
      </c>
      <c r="I785" s="807">
        <f t="shared" ref="I785:J785" ca="1" si="318">I801+I803</f>
        <v>4000</v>
      </c>
      <c r="J785" s="807">
        <f t="shared" ca="1" si="318"/>
        <v>3852</v>
      </c>
      <c r="K785" s="808">
        <f ca="1">IF(I785&gt;0,J785*100/I785,0)</f>
        <v>96.3</v>
      </c>
      <c r="L785" s="809"/>
      <c r="M785" s="809"/>
      <c r="N785" s="809"/>
      <c r="O785" s="809"/>
      <c r="P785" s="809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</row>
    <row r="786" spans="1:26" ht="19.5">
      <c r="A786" s="597"/>
      <c r="B786" s="575"/>
      <c r="C786" s="763" t="s">
        <v>16</v>
      </c>
      <c r="D786" s="863" t="s">
        <v>17</v>
      </c>
      <c r="E786" s="857"/>
      <c r="F786" s="857"/>
      <c r="G786" s="189"/>
      <c r="H786" s="810" t="s">
        <v>12</v>
      </c>
      <c r="I786" s="811"/>
      <c r="J786" s="811"/>
      <c r="K786" s="812"/>
      <c r="L786" s="195">
        <f t="shared" ref="L786:N786" ca="1" si="319">L787+L788</f>
        <v>266560</v>
      </c>
      <c r="M786" s="195">
        <f t="shared" ca="1" si="319"/>
        <v>319440</v>
      </c>
      <c r="N786" s="195">
        <f t="shared" si="319"/>
        <v>319440</v>
      </c>
      <c r="O786" s="195">
        <f t="shared" ref="O786:O791" ca="1" si="320">IF(L786&gt;0,N786*100/L786,0)</f>
        <v>119.83793517406963</v>
      </c>
      <c r="P786" s="195">
        <f t="shared" ref="P786:P791" ca="1" si="321">IF(M786&gt;0,N786*100/M786,0)</f>
        <v>100</v>
      </c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</row>
    <row r="787" spans="1:26" ht="18.75" hidden="1">
      <c r="A787" s="599"/>
      <c r="B787" s="607"/>
      <c r="C787" s="759"/>
      <c r="D787" s="720"/>
      <c r="E787" s="759" t="s">
        <v>185</v>
      </c>
      <c r="F787" s="759"/>
      <c r="G787" s="603"/>
      <c r="H787" s="813" t="s">
        <v>12</v>
      </c>
      <c r="I787" s="811"/>
      <c r="J787" s="811"/>
      <c r="K787" s="812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4"/>
      <c r="R787" s="604"/>
      <c r="S787" s="604"/>
      <c r="T787" s="604"/>
      <c r="U787" s="604"/>
      <c r="V787" s="604"/>
      <c r="W787" s="604"/>
      <c r="X787" s="604"/>
      <c r="Y787" s="604"/>
      <c r="Z787" s="604"/>
    </row>
    <row r="788" spans="1:26" ht="18.75" hidden="1">
      <c r="A788" s="599"/>
      <c r="B788" s="607"/>
      <c r="C788" s="607"/>
      <c r="D788" s="616"/>
      <c r="E788" s="759" t="s">
        <v>186</v>
      </c>
      <c r="F788" s="759"/>
      <c r="G788" s="603"/>
      <c r="H788" s="813" t="s">
        <v>12</v>
      </c>
      <c r="I788" s="811"/>
      <c r="J788" s="811"/>
      <c r="K788" s="812"/>
      <c r="L788" s="93">
        <f t="shared" ca="1" si="322"/>
        <v>266560</v>
      </c>
      <c r="M788" s="93">
        <f t="shared" ca="1" si="322"/>
        <v>319440</v>
      </c>
      <c r="N788" s="93">
        <f t="shared" si="322"/>
        <v>319440</v>
      </c>
      <c r="O788" s="93">
        <f t="shared" ca="1" si="320"/>
        <v>119.83793517406963</v>
      </c>
      <c r="P788" s="93">
        <f t="shared" ca="1" si="321"/>
        <v>100</v>
      </c>
      <c r="Q788" s="604"/>
      <c r="R788" s="604"/>
      <c r="S788" s="604"/>
      <c r="T788" s="604"/>
      <c r="U788" s="604"/>
      <c r="V788" s="604"/>
      <c r="W788" s="604"/>
      <c r="X788" s="604"/>
      <c r="Y788" s="604"/>
      <c r="Z788" s="604"/>
    </row>
    <row r="789" spans="1:26" ht="18.75">
      <c r="A789" s="597"/>
      <c r="B789" s="575"/>
      <c r="C789" s="575"/>
      <c r="D789" s="606" t="s">
        <v>20</v>
      </c>
      <c r="E789" s="763"/>
      <c r="F789" s="763"/>
      <c r="G789" s="189"/>
      <c r="H789" s="814" t="s">
        <v>12</v>
      </c>
      <c r="I789" s="815"/>
      <c r="J789" s="815"/>
      <c r="K789" s="816"/>
      <c r="L789" s="498">
        <f t="shared" ref="L789:N789" ca="1" si="323">L790+L791</f>
        <v>266560</v>
      </c>
      <c r="M789" s="498">
        <f t="shared" ca="1" si="323"/>
        <v>319440</v>
      </c>
      <c r="N789" s="498">
        <f t="shared" si="323"/>
        <v>319440</v>
      </c>
      <c r="O789" s="498">
        <f t="shared" ca="1" si="320"/>
        <v>119.83793517406963</v>
      </c>
      <c r="P789" s="498">
        <f t="shared" ca="1" si="321"/>
        <v>100</v>
      </c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</row>
    <row r="790" spans="1:26" ht="18.75" hidden="1">
      <c r="A790" s="599"/>
      <c r="B790" s="607"/>
      <c r="C790" s="607"/>
      <c r="D790" s="616"/>
      <c r="E790" s="759" t="s">
        <v>185</v>
      </c>
      <c r="F790" s="759"/>
      <c r="G790" s="603"/>
      <c r="H790" s="813" t="s">
        <v>12</v>
      </c>
      <c r="I790" s="811"/>
      <c r="J790" s="811"/>
      <c r="K790" s="812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4"/>
      <c r="R790" s="604"/>
      <c r="S790" s="604"/>
      <c r="T790" s="604"/>
      <c r="U790" s="604"/>
      <c r="V790" s="604"/>
      <c r="W790" s="604"/>
      <c r="X790" s="604"/>
      <c r="Y790" s="604"/>
      <c r="Z790" s="604"/>
    </row>
    <row r="791" spans="1:26" ht="18.75" hidden="1">
      <c r="A791" s="599"/>
      <c r="B791" s="607"/>
      <c r="C791" s="607"/>
      <c r="D791" s="616"/>
      <c r="E791" s="759" t="s">
        <v>186</v>
      </c>
      <c r="F791" s="759"/>
      <c r="G791" s="603"/>
      <c r="H791" s="813" t="s">
        <v>12</v>
      </c>
      <c r="I791" s="811"/>
      <c r="J791" s="811"/>
      <c r="K791" s="812"/>
      <c r="L791" s="93">
        <f ca="1">IFERROR(__xludf.DUMMYFUNCTION("IMPORTRANGE(""https://docs.google.com/spreadsheets/d/1QqKyyYR6Q21VydFLVH3TRQUabQu_ym0Zz7PgGX0-kHA/edit?usp=sharing"",""แผน!JJ48"")"),266560)</f>
        <v>266560</v>
      </c>
      <c r="M791" s="93">
        <f ca="1">L791+60000-7120</f>
        <v>319440</v>
      </c>
      <c r="N791" s="93">
        <f>N792+N793+N794+N795</f>
        <v>319440</v>
      </c>
      <c r="O791" s="93">
        <f t="shared" ca="1" si="320"/>
        <v>119.83793517406963</v>
      </c>
      <c r="P791" s="93">
        <f t="shared" ca="1" si="321"/>
        <v>100</v>
      </c>
      <c r="Q791" s="604"/>
      <c r="R791" s="604"/>
      <c r="S791" s="604"/>
      <c r="T791" s="604"/>
      <c r="U791" s="604"/>
      <c r="V791" s="604"/>
      <c r="W791" s="604"/>
      <c r="X791" s="604"/>
      <c r="Y791" s="604"/>
      <c r="Z791" s="604"/>
    </row>
    <row r="792" spans="1:26" ht="18.75">
      <c r="A792" s="574"/>
      <c r="B792" s="575"/>
      <c r="C792" s="763"/>
      <c r="D792" s="763"/>
      <c r="E792" s="763"/>
      <c r="F792" s="763" t="s">
        <v>187</v>
      </c>
      <c r="G792" s="189"/>
      <c r="H792" s="814" t="s">
        <v>12</v>
      </c>
      <c r="I792" s="811"/>
      <c r="J792" s="811"/>
      <c r="K792" s="812"/>
      <c r="L792" s="498"/>
      <c r="M792" s="498"/>
      <c r="N792" s="840">
        <v>0</v>
      </c>
      <c r="O792" s="498"/>
      <c r="P792" s="49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</row>
    <row r="793" spans="1:26" ht="18.75">
      <c r="A793" s="574"/>
      <c r="B793" s="575"/>
      <c r="C793" s="763"/>
      <c r="D793" s="763"/>
      <c r="E793" s="763"/>
      <c r="F793" s="763" t="s">
        <v>188</v>
      </c>
      <c r="G793" s="189"/>
      <c r="H793" s="814" t="s">
        <v>12</v>
      </c>
      <c r="I793" s="811"/>
      <c r="J793" s="811"/>
      <c r="K793" s="812"/>
      <c r="L793" s="498"/>
      <c r="M793" s="498"/>
      <c r="N793" s="840">
        <v>0</v>
      </c>
      <c r="O793" s="498"/>
      <c r="P793" s="49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</row>
    <row r="794" spans="1:26" ht="18.75">
      <c r="A794" s="574"/>
      <c r="B794" s="575"/>
      <c r="C794" s="763"/>
      <c r="D794" s="763"/>
      <c r="E794" s="763"/>
      <c r="F794" s="763" t="s">
        <v>189</v>
      </c>
      <c r="G794" s="189"/>
      <c r="H794" s="814" t="s">
        <v>12</v>
      </c>
      <c r="I794" s="811"/>
      <c r="J794" s="811"/>
      <c r="K794" s="812"/>
      <c r="L794" s="498"/>
      <c r="M794" s="498"/>
      <c r="N794" s="840">
        <v>99800</v>
      </c>
      <c r="O794" s="498"/>
      <c r="P794" s="49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</row>
    <row r="795" spans="1:26" ht="18.75">
      <c r="A795" s="574"/>
      <c r="B795" s="575"/>
      <c r="C795" s="763"/>
      <c r="D795" s="763"/>
      <c r="E795" s="763"/>
      <c r="F795" s="763" t="s">
        <v>190</v>
      </c>
      <c r="G795" s="189"/>
      <c r="H795" s="814" t="s">
        <v>12</v>
      </c>
      <c r="I795" s="811"/>
      <c r="J795" s="811"/>
      <c r="K795" s="812"/>
      <c r="L795" s="498"/>
      <c r="M795" s="498"/>
      <c r="N795" s="840">
        <v>219640</v>
      </c>
      <c r="O795" s="498"/>
      <c r="P795" s="49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</row>
    <row r="796" spans="1:26" ht="18.75">
      <c r="A796" s="597"/>
      <c r="B796" s="575"/>
      <c r="C796" s="763"/>
      <c r="D796" s="606" t="s">
        <v>21</v>
      </c>
      <c r="E796" s="763"/>
      <c r="F796" s="763"/>
      <c r="G796" s="189"/>
      <c r="H796" s="817" t="s">
        <v>12</v>
      </c>
      <c r="I796" s="815"/>
      <c r="J796" s="815"/>
      <c r="K796" s="816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</row>
    <row r="797" spans="1:26" ht="18.75" hidden="1">
      <c r="A797" s="599"/>
      <c r="B797" s="607"/>
      <c r="C797" s="759"/>
      <c r="D797" s="759"/>
      <c r="E797" s="759" t="s">
        <v>18</v>
      </c>
      <c r="F797" s="759"/>
      <c r="G797" s="603"/>
      <c r="H797" s="813" t="s">
        <v>12</v>
      </c>
      <c r="I797" s="815"/>
      <c r="J797" s="815"/>
      <c r="K797" s="816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4"/>
      <c r="R797" s="604"/>
      <c r="S797" s="604"/>
      <c r="T797" s="604"/>
      <c r="U797" s="604"/>
      <c r="V797" s="604"/>
      <c r="W797" s="604"/>
      <c r="X797" s="604"/>
      <c r="Y797" s="604"/>
      <c r="Z797" s="604"/>
    </row>
    <row r="798" spans="1:26" ht="18.75" hidden="1">
      <c r="A798" s="599"/>
      <c r="B798" s="607"/>
      <c r="C798" s="759"/>
      <c r="D798" s="759"/>
      <c r="E798" s="759" t="s">
        <v>19</v>
      </c>
      <c r="F798" s="759"/>
      <c r="G798" s="603"/>
      <c r="H798" s="818" t="s">
        <v>12</v>
      </c>
      <c r="I798" s="815"/>
      <c r="J798" s="815"/>
      <c r="K798" s="816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4"/>
      <c r="R798" s="604"/>
      <c r="S798" s="604"/>
      <c r="T798" s="604"/>
      <c r="U798" s="604"/>
      <c r="V798" s="604"/>
      <c r="W798" s="604"/>
      <c r="X798" s="604"/>
      <c r="Y798" s="604"/>
      <c r="Z798" s="604"/>
    </row>
    <row r="799" spans="1:26" ht="19.5">
      <c r="A799" s="608"/>
      <c r="B799" s="618"/>
      <c r="C799" s="763" t="s">
        <v>16</v>
      </c>
      <c r="D799" s="898" t="s">
        <v>38</v>
      </c>
      <c r="E799" s="761"/>
      <c r="F799" s="761"/>
      <c r="G799" s="613"/>
      <c r="H799" s="819"/>
      <c r="I799" s="815"/>
      <c r="J799" s="815"/>
      <c r="K799" s="816"/>
      <c r="L799" s="163"/>
      <c r="M799" s="163"/>
      <c r="N799" s="163"/>
      <c r="O799" s="163"/>
      <c r="P799" s="163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</row>
    <row r="800" spans="1:26" ht="18.75">
      <c r="A800" s="608"/>
      <c r="B800" s="618"/>
      <c r="C800" s="618"/>
      <c r="D800" s="618"/>
      <c r="E800" s="626"/>
      <c r="F800" s="626" t="s">
        <v>321</v>
      </c>
      <c r="G800" s="762"/>
      <c r="H800" s="820" t="s">
        <v>34</v>
      </c>
      <c r="I800" s="815"/>
      <c r="J800" s="821">
        <f ca="1">IFERROR(__xludf.DUMMYFUNCTION("IMPORTRANGE(""https://docs.google.com/spreadsheets/d/1MaWodYyGHDf7siQLGxnXhG4mBNTNIuy296niS2xXulU/edit?usp=sharing"",""RTK!H48"")"),194)</f>
        <v>194</v>
      </c>
      <c r="K800" s="812"/>
      <c r="L800" s="498"/>
      <c r="M800" s="498"/>
      <c r="N800" s="498"/>
      <c r="O800" s="163"/>
      <c r="P800" s="163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</row>
    <row r="801" spans="1:26" ht="18.75">
      <c r="A801" s="608"/>
      <c r="B801" s="618"/>
      <c r="C801" s="618"/>
      <c r="D801" s="618"/>
      <c r="E801" s="626"/>
      <c r="F801" s="626"/>
      <c r="G801" s="762"/>
      <c r="H801" s="814" t="s">
        <v>46</v>
      </c>
      <c r="I801" s="821">
        <f ca="1">IFERROR(__xludf.DUMMYFUNCTION("IMPORTRANGE(""https://docs.google.com/spreadsheets/d/1MaWodYyGHDf7siQLGxnXhG4mBNTNIuy296niS2xXulU/edit?usp=sharing"",""RTK!G48"")"),4000)</f>
        <v>4000</v>
      </c>
      <c r="J801" s="822">
        <f ca="1">IFERROR(__xludf.DUMMYFUNCTION("IMPORTRANGE(""https://docs.google.com/spreadsheets/d/1MaWodYyGHDf7siQLGxnXhG4mBNTNIuy296niS2xXulU/edit?usp=sharing"",""RTK!I48"")"),3852)</f>
        <v>3852</v>
      </c>
      <c r="K801" s="823">
        <f ca="1">IF(I801&gt;0,J801*100/I801,0)</f>
        <v>96.3</v>
      </c>
      <c r="L801" s="498"/>
      <c r="M801" s="498"/>
      <c r="N801" s="498"/>
      <c r="O801" s="163"/>
      <c r="P801" s="163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</row>
    <row r="802" spans="1:26" ht="18.75">
      <c r="A802" s="925"/>
      <c r="B802" s="926"/>
      <c r="C802" s="926"/>
      <c r="D802" s="926"/>
      <c r="E802" s="824"/>
      <c r="F802" s="824" t="s">
        <v>322</v>
      </c>
      <c r="G802" s="333"/>
      <c r="H802" s="820" t="s">
        <v>34</v>
      </c>
      <c r="I802" s="815"/>
      <c r="J802" s="821">
        <f ca="1">IFERROR(__xludf.DUMMYFUNCTION("IMPORTRANGE(""https://docs.google.com/spreadsheets/d/1MaWodYyGHDf7siQLGxnXhG4mBNTNIuy296niS2xXulU/edit?usp=sharing"",""RTK!L48"")"),0)</f>
        <v>0</v>
      </c>
      <c r="K802" s="812"/>
      <c r="L802" s="321"/>
      <c r="M802" s="321"/>
      <c r="N802" s="321"/>
      <c r="O802" s="321"/>
      <c r="P802" s="321"/>
      <c r="Q802" s="927"/>
      <c r="R802" s="927"/>
      <c r="S802" s="927"/>
      <c r="T802" s="927"/>
      <c r="U802" s="927"/>
      <c r="V802" s="927"/>
      <c r="W802" s="927"/>
      <c r="X802" s="927"/>
      <c r="Y802" s="927"/>
      <c r="Z802" s="927"/>
    </row>
    <row r="803" spans="1:26" ht="18.75">
      <c r="A803" s="925"/>
      <c r="B803" s="926"/>
      <c r="C803" s="926"/>
      <c r="D803" s="926"/>
      <c r="E803" s="824"/>
      <c r="F803" s="824"/>
      <c r="G803" s="333"/>
      <c r="H803" s="820" t="s">
        <v>46</v>
      </c>
      <c r="I803" s="821">
        <f ca="1">IFERROR(__xludf.DUMMYFUNCTION("IMPORTRANGE(""https://docs.google.com/spreadsheets/d/1MaWodYyGHDf7siQLGxnXhG4mBNTNIuy296niS2xXulU/edit?usp=sharing"",""RTK!K48"")"),0)</f>
        <v>0</v>
      </c>
      <c r="J803" s="822">
        <f ca="1">IFERROR(__xludf.DUMMYFUNCTION("IMPORTRANGE(""https://docs.google.com/spreadsheets/d/1MaWodYyGHDf7siQLGxnXhG4mBNTNIuy296niS2xXulU/edit?usp=sharing"",""RTK!M48"")"),0)</f>
        <v>0</v>
      </c>
      <c r="K803" s="823">
        <f t="shared" ref="K803:K804" ca="1" si="327">IF(I803&gt;0,J803*100/I803,0)</f>
        <v>0</v>
      </c>
      <c r="L803" s="321"/>
      <c r="M803" s="321"/>
      <c r="N803" s="321"/>
      <c r="O803" s="321"/>
      <c r="P803" s="321"/>
      <c r="Q803" s="927"/>
      <c r="R803" s="927"/>
      <c r="S803" s="927"/>
      <c r="T803" s="927"/>
      <c r="U803" s="927"/>
      <c r="V803" s="927"/>
      <c r="W803" s="927"/>
      <c r="X803" s="927"/>
      <c r="Y803" s="927"/>
      <c r="Z803" s="927"/>
    </row>
    <row r="804" spans="1:26" ht="19.5" hidden="1">
      <c r="A804" s="793">
        <v>13</v>
      </c>
      <c r="B804" s="794" t="s">
        <v>323</v>
      </c>
      <c r="C804" s="795"/>
      <c r="D804" s="825"/>
      <c r="E804" s="795"/>
      <c r="F804" s="795"/>
      <c r="G804" s="796"/>
      <c r="H804" s="797" t="s">
        <v>46</v>
      </c>
      <c r="I804" s="798"/>
      <c r="J804" s="798">
        <f>J819</f>
        <v>0</v>
      </c>
      <c r="K804" s="799">
        <f t="shared" si="327"/>
        <v>0</v>
      </c>
      <c r="L804" s="800"/>
      <c r="M804" s="800"/>
      <c r="N804" s="800"/>
      <c r="O804" s="800"/>
      <c r="P804" s="800"/>
      <c r="Q804" s="604"/>
      <c r="R804" s="604"/>
      <c r="S804" s="604"/>
      <c r="T804" s="604"/>
      <c r="U804" s="604"/>
      <c r="V804" s="604"/>
      <c r="W804" s="604"/>
      <c r="X804" s="604"/>
      <c r="Y804" s="604"/>
      <c r="Z804" s="604"/>
    </row>
    <row r="805" spans="1:26" ht="19.5" hidden="1">
      <c r="A805" s="599"/>
      <c r="B805" s="759"/>
      <c r="C805" s="759" t="s">
        <v>16</v>
      </c>
      <c r="D805" s="864" t="s">
        <v>17</v>
      </c>
      <c r="E805" s="857"/>
      <c r="F805" s="857"/>
      <c r="G805" s="603"/>
      <c r="H805" s="646" t="s">
        <v>12</v>
      </c>
      <c r="I805" s="617"/>
      <c r="J805" s="617"/>
      <c r="K805" s="93"/>
      <c r="L805" s="647">
        <f t="shared" ref="L805:N805" si="328">L806+L807</f>
        <v>0</v>
      </c>
      <c r="M805" s="647">
        <f t="shared" si="328"/>
        <v>0</v>
      </c>
      <c r="N805" s="647">
        <f t="shared" si="328"/>
        <v>0</v>
      </c>
      <c r="O805" s="647">
        <f t="shared" ref="O805:O810" si="329">IF(L805&gt;0,N805*100/L805,0)</f>
        <v>0</v>
      </c>
      <c r="P805" s="647">
        <f t="shared" ref="P805:P810" si="330">IF(M805&gt;0,N805*100/M805,0)</f>
        <v>0</v>
      </c>
      <c r="Q805" s="604"/>
      <c r="R805" s="604"/>
      <c r="S805" s="604"/>
      <c r="T805" s="604"/>
      <c r="U805" s="604"/>
      <c r="V805" s="604"/>
      <c r="W805" s="604"/>
      <c r="X805" s="604"/>
      <c r="Y805" s="604"/>
      <c r="Z805" s="604"/>
    </row>
    <row r="806" spans="1:26" ht="18.75" hidden="1">
      <c r="A806" s="599"/>
      <c r="B806" s="759"/>
      <c r="C806" s="759"/>
      <c r="D806" s="616"/>
      <c r="E806" s="759" t="s">
        <v>185</v>
      </c>
      <c r="F806" s="759"/>
      <c r="G806" s="603"/>
      <c r="H806" s="165" t="s">
        <v>12</v>
      </c>
      <c r="I806" s="617"/>
      <c r="J806" s="617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4"/>
      <c r="R806" s="604"/>
      <c r="S806" s="604"/>
      <c r="T806" s="604"/>
      <c r="U806" s="604"/>
      <c r="V806" s="604"/>
      <c r="W806" s="604"/>
      <c r="X806" s="604"/>
      <c r="Y806" s="604"/>
      <c r="Z806" s="604"/>
    </row>
    <row r="807" spans="1:26" ht="18.75" hidden="1">
      <c r="A807" s="599"/>
      <c r="B807" s="759"/>
      <c r="C807" s="759"/>
      <c r="D807" s="616"/>
      <c r="E807" s="759" t="s">
        <v>186</v>
      </c>
      <c r="F807" s="759"/>
      <c r="G807" s="603"/>
      <c r="H807" s="165" t="s">
        <v>12</v>
      </c>
      <c r="I807" s="617"/>
      <c r="J807" s="617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4"/>
      <c r="R807" s="604"/>
      <c r="S807" s="604"/>
      <c r="T807" s="604"/>
      <c r="U807" s="604"/>
      <c r="V807" s="604"/>
      <c r="W807" s="604"/>
      <c r="X807" s="604"/>
      <c r="Y807" s="604"/>
      <c r="Z807" s="604"/>
    </row>
    <row r="808" spans="1:26" ht="19.5" hidden="1">
      <c r="A808" s="599"/>
      <c r="B808" s="607"/>
      <c r="C808" s="759"/>
      <c r="D808" s="905" t="s">
        <v>20</v>
      </c>
      <c r="E808" s="857"/>
      <c r="F808" s="857"/>
      <c r="G808" s="603"/>
      <c r="H808" s="646" t="s">
        <v>12</v>
      </c>
      <c r="I808" s="166"/>
      <c r="J808" s="166"/>
      <c r="K808" s="167"/>
      <c r="L808" s="647">
        <f t="shared" ref="L808:N808" si="332">L809+L810</f>
        <v>0</v>
      </c>
      <c r="M808" s="647">
        <f t="shared" si="332"/>
        <v>0</v>
      </c>
      <c r="N808" s="647">
        <f t="shared" si="332"/>
        <v>0</v>
      </c>
      <c r="O808" s="647">
        <f t="shared" si="329"/>
        <v>0</v>
      </c>
      <c r="P808" s="647">
        <f t="shared" si="330"/>
        <v>0</v>
      </c>
      <c r="Q808" s="604"/>
      <c r="R808" s="604"/>
      <c r="S808" s="604"/>
      <c r="T808" s="604"/>
      <c r="U808" s="604"/>
      <c r="V808" s="604"/>
      <c r="W808" s="604"/>
      <c r="X808" s="604"/>
      <c r="Y808" s="604"/>
      <c r="Z808" s="604"/>
    </row>
    <row r="809" spans="1:26" ht="18.75" hidden="1">
      <c r="A809" s="599"/>
      <c r="B809" s="759"/>
      <c r="C809" s="759"/>
      <c r="D809" s="616"/>
      <c r="E809" s="759" t="s">
        <v>185</v>
      </c>
      <c r="F809" s="759"/>
      <c r="G809" s="603"/>
      <c r="H809" s="165" t="s">
        <v>12</v>
      </c>
      <c r="I809" s="617"/>
      <c r="J809" s="617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4"/>
      <c r="R809" s="604"/>
      <c r="S809" s="604"/>
      <c r="T809" s="604"/>
      <c r="U809" s="604"/>
      <c r="V809" s="604"/>
      <c r="W809" s="604"/>
      <c r="X809" s="604"/>
      <c r="Y809" s="604"/>
      <c r="Z809" s="604"/>
    </row>
    <row r="810" spans="1:26" ht="18.75" hidden="1">
      <c r="A810" s="599"/>
      <c r="B810" s="759"/>
      <c r="C810" s="759"/>
      <c r="D810" s="616"/>
      <c r="E810" s="759" t="s">
        <v>186</v>
      </c>
      <c r="F810" s="759"/>
      <c r="G810" s="603"/>
      <c r="H810" s="165" t="s">
        <v>12</v>
      </c>
      <c r="I810" s="617"/>
      <c r="J810" s="617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4"/>
      <c r="R810" s="604"/>
      <c r="S810" s="604"/>
      <c r="T810" s="604"/>
      <c r="U810" s="604"/>
      <c r="V810" s="604"/>
      <c r="W810" s="604"/>
      <c r="X810" s="604"/>
      <c r="Y810" s="604"/>
      <c r="Z810" s="604"/>
    </row>
    <row r="811" spans="1:26" ht="18.75" hidden="1">
      <c r="A811" s="649"/>
      <c r="B811" s="607"/>
      <c r="C811" s="759"/>
      <c r="D811" s="607"/>
      <c r="E811" s="759"/>
      <c r="F811" s="759" t="s">
        <v>187</v>
      </c>
      <c r="G811" s="603"/>
      <c r="H811" s="165" t="s">
        <v>12</v>
      </c>
      <c r="I811" s="617"/>
      <c r="J811" s="617"/>
      <c r="K811" s="93"/>
      <c r="L811" s="93"/>
      <c r="M811" s="93"/>
      <c r="N811" s="93"/>
      <c r="O811" s="93"/>
      <c r="P811" s="93"/>
      <c r="Q811" s="604"/>
      <c r="R811" s="604"/>
      <c r="S811" s="604"/>
      <c r="T811" s="604"/>
      <c r="U811" s="604"/>
      <c r="V811" s="604"/>
      <c r="W811" s="604"/>
      <c r="X811" s="604"/>
      <c r="Y811" s="604"/>
      <c r="Z811" s="604"/>
    </row>
    <row r="812" spans="1:26" ht="18.75" hidden="1">
      <c r="A812" s="649"/>
      <c r="B812" s="607"/>
      <c r="C812" s="759"/>
      <c r="D812" s="607"/>
      <c r="E812" s="759"/>
      <c r="F812" s="759" t="s">
        <v>188</v>
      </c>
      <c r="G812" s="603"/>
      <c r="H812" s="165" t="s">
        <v>12</v>
      </c>
      <c r="I812" s="617"/>
      <c r="J812" s="617"/>
      <c r="K812" s="93"/>
      <c r="L812" s="93"/>
      <c r="M812" s="93"/>
      <c r="N812" s="93"/>
      <c r="O812" s="93"/>
      <c r="P812" s="93"/>
      <c r="Q812" s="604"/>
      <c r="R812" s="604"/>
      <c r="S812" s="604"/>
      <c r="T812" s="604"/>
      <c r="U812" s="604"/>
      <c r="V812" s="604"/>
      <c r="W812" s="604"/>
      <c r="X812" s="604"/>
      <c r="Y812" s="604"/>
      <c r="Z812" s="604"/>
    </row>
    <row r="813" spans="1:26" ht="18.75" hidden="1">
      <c r="A813" s="649"/>
      <c r="B813" s="607"/>
      <c r="C813" s="759"/>
      <c r="D813" s="607"/>
      <c r="E813" s="759"/>
      <c r="F813" s="759" t="s">
        <v>189</v>
      </c>
      <c r="G813" s="603"/>
      <c r="H813" s="165" t="s">
        <v>12</v>
      </c>
      <c r="I813" s="617"/>
      <c r="J813" s="617"/>
      <c r="K813" s="93"/>
      <c r="L813" s="93"/>
      <c r="M813" s="93"/>
      <c r="N813" s="93"/>
      <c r="O813" s="93"/>
      <c r="P813" s="93"/>
      <c r="Q813" s="604"/>
      <c r="R813" s="604"/>
      <c r="S813" s="604"/>
      <c r="T813" s="604"/>
      <c r="U813" s="604"/>
      <c r="V813" s="604"/>
      <c r="W813" s="604"/>
      <c r="X813" s="604"/>
      <c r="Y813" s="604"/>
      <c r="Z813" s="604"/>
    </row>
    <row r="814" spans="1:26" ht="18.75" hidden="1">
      <c r="A814" s="649"/>
      <c r="B814" s="607"/>
      <c r="C814" s="759"/>
      <c r="D814" s="607"/>
      <c r="E814" s="759"/>
      <c r="F814" s="759" t="s">
        <v>190</v>
      </c>
      <c r="G814" s="603"/>
      <c r="H814" s="165" t="s">
        <v>12</v>
      </c>
      <c r="I814" s="617"/>
      <c r="J814" s="617"/>
      <c r="K814" s="93"/>
      <c r="L814" s="93"/>
      <c r="M814" s="93"/>
      <c r="N814" s="93"/>
      <c r="O814" s="93"/>
      <c r="P814" s="93"/>
      <c r="Q814" s="604"/>
      <c r="R814" s="604"/>
      <c r="S814" s="604"/>
      <c r="T814" s="604"/>
      <c r="U814" s="604"/>
      <c r="V814" s="604"/>
      <c r="W814" s="604"/>
      <c r="X814" s="604"/>
      <c r="Y814" s="604"/>
      <c r="Z814" s="604"/>
    </row>
    <row r="815" spans="1:26" ht="19.5" hidden="1">
      <c r="A815" s="599"/>
      <c r="B815" s="607"/>
      <c r="C815" s="759"/>
      <c r="D815" s="905" t="s">
        <v>21</v>
      </c>
      <c r="E815" s="857"/>
      <c r="F815" s="857"/>
      <c r="G815" s="603"/>
      <c r="H815" s="783" t="s">
        <v>12</v>
      </c>
      <c r="I815" s="166"/>
      <c r="J815" s="166"/>
      <c r="K815" s="167"/>
      <c r="L815" s="647">
        <f t="shared" ref="L815:N815" si="333">L816+L817</f>
        <v>0</v>
      </c>
      <c r="M815" s="647">
        <f t="shared" si="333"/>
        <v>0</v>
      </c>
      <c r="N815" s="647">
        <f t="shared" si="333"/>
        <v>0</v>
      </c>
      <c r="O815" s="647">
        <f t="shared" ref="O815:O817" si="334">IF(L815&gt;0,N815*100/L815,0)</f>
        <v>0</v>
      </c>
      <c r="P815" s="647">
        <f t="shared" ref="P815:P817" si="335">IF(M815&gt;0,N815*100/M815,0)</f>
        <v>0</v>
      </c>
      <c r="Q815" s="604"/>
      <c r="R815" s="604"/>
      <c r="S815" s="604"/>
      <c r="T815" s="604"/>
      <c r="U815" s="604"/>
      <c r="V815" s="604"/>
      <c r="W815" s="604"/>
      <c r="X815" s="604"/>
      <c r="Y815" s="604"/>
      <c r="Z815" s="604"/>
    </row>
    <row r="816" spans="1:26" ht="18.75" hidden="1">
      <c r="A816" s="599"/>
      <c r="B816" s="607"/>
      <c r="C816" s="759"/>
      <c r="D816" s="607"/>
      <c r="E816" s="759" t="s">
        <v>18</v>
      </c>
      <c r="F816" s="759"/>
      <c r="G816" s="603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4"/>
      <c r="R816" s="604"/>
      <c r="S816" s="604"/>
      <c r="T816" s="604"/>
      <c r="U816" s="604"/>
      <c r="V816" s="604"/>
      <c r="W816" s="604"/>
      <c r="X816" s="604"/>
      <c r="Y816" s="604"/>
      <c r="Z816" s="604"/>
    </row>
    <row r="817" spans="1:26" ht="18.75" hidden="1">
      <c r="A817" s="599"/>
      <c r="B817" s="607"/>
      <c r="C817" s="759"/>
      <c r="D817" s="607"/>
      <c r="E817" s="759" t="s">
        <v>19</v>
      </c>
      <c r="F817" s="759"/>
      <c r="G817" s="603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4"/>
      <c r="R817" s="604"/>
      <c r="S817" s="604"/>
      <c r="T817" s="604"/>
      <c r="U817" s="604"/>
      <c r="V817" s="604"/>
      <c r="W817" s="604"/>
      <c r="X817" s="604"/>
      <c r="Y817" s="604"/>
      <c r="Z817" s="604"/>
    </row>
    <row r="818" spans="1:26" ht="19.5" hidden="1">
      <c r="A818" s="614"/>
      <c r="B818" s="616"/>
      <c r="C818" s="759" t="s">
        <v>16</v>
      </c>
      <c r="D818" s="906" t="s">
        <v>38</v>
      </c>
      <c r="E818" s="651"/>
      <c r="F818" s="651"/>
      <c r="G818" s="652"/>
      <c r="H818" s="366"/>
      <c r="I818" s="166"/>
      <c r="J818" s="166"/>
      <c r="K818" s="167"/>
      <c r="L818" s="167"/>
      <c r="M818" s="167"/>
      <c r="N818" s="167"/>
      <c r="O818" s="167"/>
      <c r="P818" s="167"/>
      <c r="Q818" s="604"/>
      <c r="R818" s="604"/>
      <c r="S818" s="604"/>
      <c r="T818" s="604"/>
      <c r="U818" s="604"/>
      <c r="V818" s="604"/>
      <c r="W818" s="604"/>
      <c r="X818" s="604"/>
      <c r="Y818" s="604"/>
      <c r="Z818" s="604"/>
    </row>
    <row r="819" spans="1:26" ht="19.5" hidden="1" thickBot="1">
      <c r="A819" s="827"/>
      <c r="B819" s="828"/>
      <c r="C819" s="830"/>
      <c r="D819" s="828"/>
      <c r="E819" s="830" t="s">
        <v>324</v>
      </c>
      <c r="F819" s="830"/>
      <c r="G819" s="831"/>
      <c r="H819" s="832" t="s">
        <v>46</v>
      </c>
      <c r="I819" s="833"/>
      <c r="J819" s="833"/>
      <c r="K819" s="834"/>
      <c r="L819" s="834"/>
      <c r="M819" s="834"/>
      <c r="N819" s="834"/>
      <c r="O819" s="834"/>
      <c r="P819" s="834"/>
      <c r="Q819" s="604"/>
      <c r="R819" s="604"/>
      <c r="S819" s="604"/>
      <c r="T819" s="604"/>
      <c r="U819" s="604"/>
      <c r="V819" s="604"/>
      <c r="W819" s="604"/>
      <c r="X819" s="604"/>
      <c r="Y819" s="604"/>
      <c r="Z819" s="604"/>
    </row>
    <row r="820" spans="1:26" ht="19.5">
      <c r="A820" s="907" t="s">
        <v>337</v>
      </c>
      <c r="B820" s="908"/>
      <c r="C820" s="908"/>
      <c r="D820" s="909"/>
      <c r="E820" s="908"/>
      <c r="F820" s="908"/>
      <c r="G820" s="910"/>
      <c r="H820" s="91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912"/>
      <c r="J820" s="912"/>
      <c r="K820" s="913"/>
      <c r="L820" s="913"/>
      <c r="M820" s="913"/>
      <c r="N820" s="913"/>
      <c r="O820" s="913"/>
      <c r="P820" s="913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</row>
    <row r="821" spans="1:26" ht="18.75">
      <c r="A821" s="744"/>
      <c r="B821" s="763" t="s">
        <v>326</v>
      </c>
      <c r="C821" s="763"/>
      <c r="D821" s="575"/>
      <c r="E821" s="763"/>
      <c r="F821" s="763"/>
      <c r="G821" s="189"/>
      <c r="H821" s="623" t="s">
        <v>12</v>
      </c>
      <c r="I821" s="270">
        <f ca="1">IFERROR(__xludf.DUMMYFUNCTION("IMPORTRANGE(""https://docs.google.com/spreadsheets/d/19vJNZY_5yjcGF2XGBMNZRCAIB0Kwfpjp8YEOfu-bneM/edit?usp=sharing"",""งานกองทุน!D48"")"),2733914.27)</f>
        <v>2733914.27</v>
      </c>
      <c r="J821" s="270">
        <f ca="1">IFERROR(__xludf.DUMMYFUNCTION("IMPORTRANGE(""https://docs.google.com/spreadsheets/d/19vJNZY_5yjcGF2XGBMNZRCAIB0Kwfpjp8YEOfu-bneM/edit?usp=sharing"",""งานกองทุน!F48"")"),2887315.64)</f>
        <v>2887315.64</v>
      </c>
      <c r="K821" s="498">
        <f t="shared" ref="K821:K828" ca="1" si="336">IF(I821&gt;0,J821*100/I821,0)</f>
        <v>105.61105268308212</v>
      </c>
      <c r="L821" s="498"/>
      <c r="M821" s="498"/>
      <c r="N821" s="498"/>
      <c r="O821" s="498"/>
      <c r="P821" s="49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</row>
    <row r="822" spans="1:26" ht="18.75">
      <c r="A822" s="744"/>
      <c r="B822" s="763"/>
      <c r="C822" s="763"/>
      <c r="D822" s="575"/>
      <c r="E822" s="763"/>
      <c r="F822" s="763"/>
      <c r="G822" s="189"/>
      <c r="H822" s="623" t="s">
        <v>35</v>
      </c>
      <c r="I822" s="270">
        <f ca="1">IFERROR(__xludf.DUMMYFUNCTION("IMPORTRANGE(""https://docs.google.com/spreadsheets/d/19vJNZY_5yjcGF2XGBMNZRCAIB0Kwfpjp8YEOfu-bneM/edit?usp=sharing"",""งานกองทุน!C48"")"),173)</f>
        <v>173</v>
      </c>
      <c r="J822" s="270">
        <f ca="1">IFERROR(__xludf.DUMMYFUNCTION("IMPORTRANGE(""https://docs.google.com/spreadsheets/d/19vJNZY_5yjcGF2XGBMNZRCAIB0Kwfpjp8YEOfu-bneM/edit?usp=sharing"",""งานกองทุน!E48"")"),178)</f>
        <v>178</v>
      </c>
      <c r="K822" s="498">
        <f t="shared" ca="1" si="336"/>
        <v>102.89017341040463</v>
      </c>
      <c r="L822" s="498"/>
      <c r="M822" s="498"/>
      <c r="N822" s="498"/>
      <c r="O822" s="498"/>
      <c r="P822" s="49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</row>
    <row r="823" spans="1:26" ht="18.75">
      <c r="A823" s="744"/>
      <c r="B823" s="763" t="s">
        <v>327</v>
      </c>
      <c r="C823" s="763"/>
      <c r="D823" s="575"/>
      <c r="E823" s="763"/>
      <c r="F823" s="763"/>
      <c r="G823" s="189"/>
      <c r="H823" s="623" t="s">
        <v>12</v>
      </c>
      <c r="I823" s="270">
        <f ca="1">IFERROR(__xludf.DUMMYFUNCTION("IMPORTRANGE(""https://docs.google.com/spreadsheets/d/19vJNZY_5yjcGF2XGBMNZRCAIB0Kwfpjp8YEOfu-bneM/edit?usp=sharing"",""งานกองทุน!I48"")"),2320375.1)</f>
        <v>2320375.1</v>
      </c>
      <c r="J823" s="270">
        <f ca="1">IFERROR(__xludf.DUMMYFUNCTION("IMPORTRANGE(""https://docs.google.com/spreadsheets/d/19vJNZY_5yjcGF2XGBMNZRCAIB0Kwfpjp8YEOfu-bneM/edit?usp=sharing"",""งานกองทุน!K48"")"),422438.97)</f>
        <v>422438.97</v>
      </c>
      <c r="K823" s="498">
        <f t="shared" ca="1" si="336"/>
        <v>18.20563278756094</v>
      </c>
      <c r="L823" s="498"/>
      <c r="M823" s="498"/>
      <c r="N823" s="498"/>
      <c r="O823" s="498"/>
      <c r="P823" s="49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</row>
    <row r="824" spans="1:26" ht="18.75">
      <c r="A824" s="744"/>
      <c r="B824" s="763"/>
      <c r="C824" s="763"/>
      <c r="D824" s="575"/>
      <c r="E824" s="763"/>
      <c r="F824" s="763"/>
      <c r="G824" s="189"/>
      <c r="H824" s="623" t="s">
        <v>35</v>
      </c>
      <c r="I824" s="270">
        <f ca="1">IFERROR(__xludf.DUMMYFUNCTION("IMPORTRANGE(""https://docs.google.com/spreadsheets/d/19vJNZY_5yjcGF2XGBMNZRCAIB0Kwfpjp8YEOfu-bneM/edit?usp=sharing"",""งานกองทุน!H48"")"),113)</f>
        <v>113</v>
      </c>
      <c r="J824" s="270">
        <f ca="1">IFERROR(__xludf.DUMMYFUNCTION("IMPORTRANGE(""https://docs.google.com/spreadsheets/d/19vJNZY_5yjcGF2XGBMNZRCAIB0Kwfpjp8YEOfu-bneM/edit?usp=sharing"",""งานกองทุน!J48"")"),74)</f>
        <v>74</v>
      </c>
      <c r="K824" s="498">
        <f t="shared" ca="1" si="336"/>
        <v>65.486725663716811</v>
      </c>
      <c r="L824" s="498"/>
      <c r="M824" s="498"/>
      <c r="N824" s="498"/>
      <c r="O824" s="498"/>
      <c r="P824" s="49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</row>
    <row r="825" spans="1:26" ht="18.75">
      <c r="A825" s="744"/>
      <c r="B825" s="763" t="s">
        <v>328</v>
      </c>
      <c r="C825" s="763"/>
      <c r="D825" s="575"/>
      <c r="E825" s="763"/>
      <c r="F825" s="763"/>
      <c r="G825" s="189"/>
      <c r="H825" s="623" t="s">
        <v>12</v>
      </c>
      <c r="I825" s="270">
        <f ca="1">IFERROR(__xludf.DUMMYFUNCTION("IMPORTRANGE(""https://docs.google.com/spreadsheets/d/19vJNZY_5yjcGF2XGBMNZRCAIB0Kwfpjp8YEOfu-bneM/edit?usp=sharing"",""งานกองทุน!N48"")"),0)</f>
        <v>0</v>
      </c>
      <c r="J825" s="270">
        <f ca="1">IFERROR(__xludf.DUMMYFUNCTION("IMPORTRANGE(""https://docs.google.com/spreadsheets/d/19vJNZY_5yjcGF2XGBMNZRCAIB0Kwfpjp8YEOfu-bneM/edit?usp=sharing"",""งานกองทุน!P48"")"),2363)</f>
        <v>2363</v>
      </c>
      <c r="K825" s="498">
        <f t="shared" ca="1" si="336"/>
        <v>0</v>
      </c>
      <c r="L825" s="498"/>
      <c r="M825" s="498"/>
      <c r="N825" s="498"/>
      <c r="O825" s="498"/>
      <c r="P825" s="49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</row>
    <row r="826" spans="1:26" ht="18.75">
      <c r="A826" s="744"/>
      <c r="B826" s="763"/>
      <c r="C826" s="763"/>
      <c r="D826" s="575"/>
      <c r="E826" s="763"/>
      <c r="F826" s="763"/>
      <c r="G826" s="189"/>
      <c r="H826" s="623" t="s">
        <v>35</v>
      </c>
      <c r="I826" s="270">
        <f ca="1">IFERROR(__xludf.DUMMYFUNCTION("IMPORTRANGE(""https://docs.google.com/spreadsheets/d/19vJNZY_5yjcGF2XGBMNZRCAIB0Kwfpjp8YEOfu-bneM/edit?usp=sharing"",""งานกองทุน!M48"")"),0)</f>
        <v>0</v>
      </c>
      <c r="J826" s="270">
        <f ca="1">IFERROR(__xludf.DUMMYFUNCTION("IMPORTRANGE(""https://docs.google.com/spreadsheets/d/19vJNZY_5yjcGF2XGBMNZRCAIB0Kwfpjp8YEOfu-bneM/edit?usp=sharing"",""งานกองทุน!O48"")"),2)</f>
        <v>2</v>
      </c>
      <c r="K826" s="498">
        <f t="shared" ca="1" si="336"/>
        <v>0</v>
      </c>
      <c r="L826" s="498"/>
      <c r="M826" s="498"/>
      <c r="N826" s="498"/>
      <c r="O826" s="498"/>
      <c r="P826" s="49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</row>
    <row r="827" spans="1:26" ht="18.75">
      <c r="A827" s="744"/>
      <c r="B827" s="763" t="s">
        <v>329</v>
      </c>
      <c r="C827" s="763"/>
      <c r="D827" s="575"/>
      <c r="E827" s="763"/>
      <c r="F827" s="763"/>
      <c r="G827" s="189"/>
      <c r="H827" s="623" t="s">
        <v>12</v>
      </c>
      <c r="I827" s="270">
        <f ca="1">IFERROR(__xludf.DUMMYFUNCTION("IMPORTRANGE(""https://docs.google.com/spreadsheets/d/19vJNZY_5yjcGF2XGBMNZRCAIB0Kwfpjp8YEOfu-bneM/edit?usp=sharing"",""งานกองทุน!S48"")"),4200000)</f>
        <v>4200000</v>
      </c>
      <c r="J827" s="270">
        <f ca="1">IFERROR(__xludf.DUMMYFUNCTION("IMPORTRANGE(""https://docs.google.com/spreadsheets/d/19vJNZY_5yjcGF2XGBMNZRCAIB0Kwfpjp8YEOfu-bneM/edit?usp=sharing"",""งานกองทุน!U48"")"),4200000)</f>
        <v>4200000</v>
      </c>
      <c r="K827" s="498">
        <f t="shared" ca="1" si="336"/>
        <v>100</v>
      </c>
      <c r="L827" s="498"/>
      <c r="M827" s="498"/>
      <c r="N827" s="498"/>
      <c r="O827" s="498"/>
      <c r="P827" s="49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</row>
    <row r="828" spans="1:26" ht="18.75">
      <c r="A828" s="841"/>
      <c r="B828" s="749"/>
      <c r="C828" s="749"/>
      <c r="D828" s="748"/>
      <c r="E828" s="749"/>
      <c r="F828" s="749"/>
      <c r="G828" s="842"/>
      <c r="H828" s="843" t="s">
        <v>35</v>
      </c>
      <c r="I828" s="506">
        <f ca="1">IFERROR(__xludf.DUMMYFUNCTION("IMPORTRANGE(""https://docs.google.com/spreadsheets/d/19vJNZY_5yjcGF2XGBMNZRCAIB0Kwfpjp8YEOfu-bneM/edit?usp=sharing"",""งานกองทุน!R48"")"),168)</f>
        <v>168</v>
      </c>
      <c r="J828" s="506">
        <f ca="1">IFERROR(__xludf.DUMMYFUNCTION("IMPORTRANGE(""https://docs.google.com/spreadsheets/d/19vJNZY_5yjcGF2XGBMNZRCAIB0Kwfpjp8YEOfu-bneM/edit?usp=sharing"",""งานกองทุน!T48"")"),134)</f>
        <v>134</v>
      </c>
      <c r="K828" s="507">
        <f t="shared" ca="1" si="336"/>
        <v>79.761904761904759</v>
      </c>
      <c r="L828" s="507"/>
      <c r="M828" s="507"/>
      <c r="N828" s="507"/>
      <c r="O828" s="507"/>
      <c r="P828" s="507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AAF73-2CA7-455A-B3D5-327B3936F6D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26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359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364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4509086</v>
      </c>
      <c r="M8" s="22">
        <f t="shared" ca="1" si="0"/>
        <v>4556051.92</v>
      </c>
      <c r="N8" s="22">
        <f t="shared" ca="1" si="0"/>
        <v>4556051.92</v>
      </c>
      <c r="O8" s="22">
        <f t="shared" ref="O8:O16" ca="1" si="1">IF(L8&gt;0,N8*100/L8,0)</f>
        <v>101.04158403720842</v>
      </c>
      <c r="P8" s="22">
        <f t="shared" ref="P8:P16" ca="1" si="2">IF(M8&gt;0,N8*100/M8,0)</f>
        <v>100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4509086</v>
      </c>
      <c r="M10" s="30">
        <f t="shared" ca="1" si="3"/>
        <v>4556051.92</v>
      </c>
      <c r="N10" s="30">
        <f t="shared" ca="1" si="3"/>
        <v>4556051.92</v>
      </c>
      <c r="O10" s="30">
        <f t="shared" ca="1" si="1"/>
        <v>101.04158403720842</v>
      </c>
      <c r="P10" s="30">
        <f t="shared" ca="1" si="2"/>
        <v>100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3" t="s">
        <v>12</v>
      </c>
      <c r="I11" s="270"/>
      <c r="J11" s="270"/>
      <c r="K11" s="498"/>
      <c r="L11" s="498">
        <f t="shared" ref="L11:N11" ca="1" si="4">L12+L13</f>
        <v>4413686</v>
      </c>
      <c r="M11" s="498">
        <f t="shared" ca="1" si="4"/>
        <v>4460651.92</v>
      </c>
      <c r="N11" s="498">
        <f t="shared" ca="1" si="4"/>
        <v>4460651.92</v>
      </c>
      <c r="O11" s="498">
        <f t="shared" ca="1" si="1"/>
        <v>101.06409744598959</v>
      </c>
      <c r="P11" s="498">
        <f t="shared" ca="1" si="2"/>
        <v>100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7"/>
      <c r="J12" s="617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7"/>
      <c r="J13" s="617"/>
      <c r="K13" s="93"/>
      <c r="L13" s="93">
        <f t="shared" ca="1" si="5"/>
        <v>4413686</v>
      </c>
      <c r="M13" s="93">
        <f t="shared" ca="1" si="5"/>
        <v>4460651.92</v>
      </c>
      <c r="N13" s="93">
        <f t="shared" ca="1" si="5"/>
        <v>4460651.92</v>
      </c>
      <c r="O13" s="93">
        <f t="shared" ca="1" si="1"/>
        <v>101.06409744598959</v>
      </c>
      <c r="P13" s="93">
        <f t="shared" ca="1" si="2"/>
        <v>100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3" t="s">
        <v>12</v>
      </c>
      <c r="I14" s="270"/>
      <c r="J14" s="270"/>
      <c r="K14" s="498"/>
      <c r="L14" s="498">
        <f t="shared" ref="L14:N14" ca="1" si="6">L15+L16</f>
        <v>95400</v>
      </c>
      <c r="M14" s="498">
        <f t="shared" ca="1" si="6"/>
        <v>95400</v>
      </c>
      <c r="N14" s="498">
        <f t="shared" ca="1" si="6"/>
        <v>95400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7"/>
      <c r="J15" s="617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95400</v>
      </c>
      <c r="M16" s="52">
        <f t="shared" ca="1" si="7"/>
        <v>95400</v>
      </c>
      <c r="N16" s="52">
        <f t="shared" ca="1" si="7"/>
        <v>95400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3055725</v>
      </c>
      <c r="M18" s="22">
        <f t="shared" ca="1" si="8"/>
        <v>3216120.92</v>
      </c>
      <c r="N18" s="22">
        <f t="shared" ca="1" si="8"/>
        <v>3216120.92</v>
      </c>
      <c r="O18" s="22">
        <f t="shared" ref="O18:O26" ca="1" si="9">IF(L18&gt;0,N18*100/L18,0)</f>
        <v>105.24902993561267</v>
      </c>
      <c r="P18" s="22">
        <f t="shared" ref="P18:P26" ca="1" si="10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3055725</v>
      </c>
      <c r="M20" s="30">
        <f t="shared" ca="1" si="11"/>
        <v>3216120.92</v>
      </c>
      <c r="N20" s="30">
        <f t="shared" ca="1" si="11"/>
        <v>3216120.92</v>
      </c>
      <c r="O20" s="30">
        <f t="shared" ca="1" si="9"/>
        <v>105.24902993561267</v>
      </c>
      <c r="P20" s="30">
        <f t="shared" ca="1" si="10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3" t="s">
        <v>12</v>
      </c>
      <c r="I21" s="270"/>
      <c r="J21" s="270"/>
      <c r="K21" s="498"/>
      <c r="L21" s="498">
        <f t="shared" ref="L21:N21" ca="1" si="12">L22+L23</f>
        <v>2960325</v>
      </c>
      <c r="M21" s="498">
        <f t="shared" ca="1" si="12"/>
        <v>3120720.92</v>
      </c>
      <c r="N21" s="498">
        <f t="shared" ca="1" si="12"/>
        <v>3120720.92</v>
      </c>
      <c r="O21" s="498">
        <f t="shared" ca="1" si="9"/>
        <v>105.41818617888238</v>
      </c>
      <c r="P21" s="498">
        <f t="shared" ca="1" si="10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7"/>
      <c r="J22" s="617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7"/>
      <c r="J23" s="617"/>
      <c r="K23" s="93"/>
      <c r="L23" s="93">
        <f t="shared" ca="1" si="13"/>
        <v>2960325</v>
      </c>
      <c r="M23" s="93">
        <f t="shared" ca="1" si="13"/>
        <v>3120720.92</v>
      </c>
      <c r="N23" s="93">
        <f t="shared" ca="1" si="13"/>
        <v>3120720.92</v>
      </c>
      <c r="O23" s="93">
        <f t="shared" ca="1" si="9"/>
        <v>105.41818617888238</v>
      </c>
      <c r="P23" s="93">
        <f t="shared" ca="1" si="10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3" t="s">
        <v>12</v>
      </c>
      <c r="I24" s="270"/>
      <c r="J24" s="270"/>
      <c r="K24" s="498"/>
      <c r="L24" s="498">
        <f t="shared" ref="L24:N24" ca="1" si="14">L25+L26</f>
        <v>95400</v>
      </c>
      <c r="M24" s="498">
        <f t="shared" ca="1" si="14"/>
        <v>95400</v>
      </c>
      <c r="N24" s="498">
        <f t="shared" ca="1" si="14"/>
        <v>95400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7"/>
      <c r="J25" s="617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95400</v>
      </c>
      <c r="M26" s="52">
        <f t="shared" ca="1" si="15"/>
        <v>95400</v>
      </c>
      <c r="N26" s="52">
        <f t="shared" ca="1" si="15"/>
        <v>95400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1453361</v>
      </c>
      <c r="M28" s="22">
        <f t="shared" ca="1" si="16"/>
        <v>1339931</v>
      </c>
      <c r="N28" s="22">
        <f t="shared" si="16"/>
        <v>1339931</v>
      </c>
      <c r="O28" s="22">
        <f t="shared" ref="O28:O37" ca="1" si="17">IF(L28&gt;0,N28*100/L28,0)</f>
        <v>92.195332061339201</v>
      </c>
      <c r="P28" s="22">
        <f t="shared" ref="P28:P37" ca="1" si="18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1453361</v>
      </c>
      <c r="M30" s="30">
        <f t="shared" ca="1" si="19"/>
        <v>1339931</v>
      </c>
      <c r="N30" s="30">
        <f t="shared" si="19"/>
        <v>1339931</v>
      </c>
      <c r="O30" s="30">
        <f t="shared" ca="1" si="17"/>
        <v>92.195332061339201</v>
      </c>
      <c r="P30" s="30">
        <f t="shared" ca="1" si="18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3" t="s">
        <v>12</v>
      </c>
      <c r="I31" s="270"/>
      <c r="J31" s="270"/>
      <c r="K31" s="498"/>
      <c r="L31" s="498">
        <f t="shared" ref="L31:N31" ca="1" si="20">L32+L33</f>
        <v>1453361</v>
      </c>
      <c r="M31" s="498">
        <f t="shared" ca="1" si="20"/>
        <v>1339931</v>
      </c>
      <c r="N31" s="498">
        <f t="shared" si="20"/>
        <v>1339931</v>
      </c>
      <c r="O31" s="498">
        <f t="shared" ca="1" si="17"/>
        <v>92.195332061339201</v>
      </c>
      <c r="P31" s="498">
        <f t="shared" ca="1" si="18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7"/>
      <c r="J32" s="617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7"/>
      <c r="J33" s="617"/>
      <c r="K33" s="93"/>
      <c r="L33" s="93">
        <f t="shared" ca="1" si="21"/>
        <v>1453361</v>
      </c>
      <c r="M33" s="93">
        <f t="shared" ca="1" si="21"/>
        <v>1339931</v>
      </c>
      <c r="N33" s="93">
        <f t="shared" si="21"/>
        <v>1339931</v>
      </c>
      <c r="O33" s="93">
        <f t="shared" ca="1" si="17"/>
        <v>92.195332061339201</v>
      </c>
      <c r="P33" s="93">
        <f t="shared" ca="1" si="18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3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7"/>
      <c r="J35" s="617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7" t="s">
        <v>24</v>
      </c>
      <c r="B37" s="868"/>
      <c r="C37" s="868"/>
      <c r="D37" s="868"/>
      <c r="E37" s="868"/>
      <c r="F37" s="868"/>
      <c r="G37" s="869"/>
      <c r="H37" s="870"/>
      <c r="I37" s="871"/>
      <c r="J37" s="871"/>
      <c r="K37" s="872"/>
      <c r="L37" s="873">
        <f t="shared" ref="L37:N37" ca="1" si="24">L41+L53+L66+L88+L119+L132+L149+L165+L181+L261+L277+L298+L315+L328+L345+L389+L402</f>
        <v>3055725</v>
      </c>
      <c r="M37" s="873">
        <f t="shared" ca="1" si="24"/>
        <v>3216120.92</v>
      </c>
      <c r="N37" s="873">
        <f t="shared" ca="1" si="24"/>
        <v>3216120.92</v>
      </c>
      <c r="O37" s="873">
        <f t="shared" ca="1" si="17"/>
        <v>105.24902993561267</v>
      </c>
      <c r="P37" s="873">
        <f t="shared" ca="1" si="18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440300</v>
      </c>
      <c r="M41" s="85">
        <f t="shared" ca="1" si="25"/>
        <v>412045.08</v>
      </c>
      <c r="N41" s="85">
        <f t="shared" ca="1" si="25"/>
        <v>412045.08</v>
      </c>
      <c r="O41" s="85">
        <f t="shared" ref="O41:O49" ca="1" si="26">IF(L41&gt;0,N41*100/L41,0)</f>
        <v>93.582802634567344</v>
      </c>
      <c r="P41" s="85">
        <f t="shared" ref="P41:P49" ca="1" si="27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440300</v>
      </c>
      <c r="M43" s="92">
        <f t="shared" ca="1" si="28"/>
        <v>412045.08</v>
      </c>
      <c r="N43" s="92">
        <f t="shared" ca="1" si="28"/>
        <v>412045.08</v>
      </c>
      <c r="O43" s="92">
        <f t="shared" ca="1" si="26"/>
        <v>93.582802634567344</v>
      </c>
      <c r="P43" s="92">
        <f t="shared" ca="1" si="27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3" t="s">
        <v>12</v>
      </c>
      <c r="I44" s="270"/>
      <c r="J44" s="270"/>
      <c r="K44" s="498"/>
      <c r="L44" s="498">
        <f t="shared" ref="L44:N44" ca="1" si="29">L45+L46</f>
        <v>440300</v>
      </c>
      <c r="M44" s="498">
        <f t="shared" ca="1" si="29"/>
        <v>412045.08</v>
      </c>
      <c r="N44" s="498">
        <f t="shared" ca="1" si="29"/>
        <v>412045.08</v>
      </c>
      <c r="O44" s="498">
        <f t="shared" ca="1" si="26"/>
        <v>93.582802634567344</v>
      </c>
      <c r="P44" s="498">
        <f t="shared" ca="1" si="27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7"/>
      <c r="J45" s="617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7"/>
      <c r="J46" s="617"/>
      <c r="K46" s="93"/>
      <c r="L46" s="93">
        <f ca="1">IFERROR(__xludf.DUMMYFUNCTION("IMPORTRANGE(""https://docs.google.com/spreadsheets/d/1MeEWN-I1oV_STSDYn1IFDPWt_1FKiwhDph83XaGc0o0/edit?usp=sharing"",""งบพรบ!M49"")"),440300)</f>
        <v>440300</v>
      </c>
      <c r="M46" s="93">
        <f ca="1">IFERROR(__xludf.DUMMYFUNCTION("IMPORTRANGE(""https://docs.google.com/spreadsheets/d/1MeEWN-I1oV_STSDYn1IFDPWt_1FKiwhDph83XaGc0o0/edit?usp=sharing"",""งบพรบ!R49"")"),412045.08)</f>
        <v>412045.08</v>
      </c>
      <c r="N46" s="93">
        <f ca="1">IFERROR(__xludf.DUMMYFUNCTION("IMPORTRANGE(""https://docs.google.com/spreadsheets/d/1MeEWN-I1oV_STSDYn1IFDPWt_1FKiwhDph83XaGc0o0/edit?usp=sharing"",""งบพรบ!T49"")"),412045.08)</f>
        <v>412045.08</v>
      </c>
      <c r="O46" s="93">
        <f t="shared" ca="1" si="26"/>
        <v>93.582802634567344</v>
      </c>
      <c r="P46" s="93">
        <f t="shared" ca="1" si="27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3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7"/>
      <c r="J48" s="617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IFERROR(__xludf.DUMMYFUNCTION("IMPORTRANGE(""https://docs.google.com/spreadsheets/d/1MeEWN-I1oV_STSDYn1IFDPWt_1FKiwhDph83XaGc0o0/edit?usp=sharing"",""งบพรบ!P49"")"),0)</f>
        <v>0</v>
      </c>
      <c r="M49" s="52">
        <f ca="1">IFERROR(__xludf.DUMMYFUNCTION("IMPORTRANGE(""https://docs.google.com/spreadsheets/d/1MeEWN-I1oV_STSDYn1IFDPWt_1FKiwhDph83XaGc0o0/edit?usp=sharing"",""งบพรบ!S49"")"),0)</f>
        <v>0</v>
      </c>
      <c r="N49" s="52">
        <f ca="1">IFERROR(__xludf.DUMMYFUNCTION("IMPORTRANGE(""https://docs.google.com/spreadsheets/d/1MeEWN-I1oV_STSDYn1IFDPWt_1FKiwhDph83XaGc0o0/edit?usp=sharing"",""งบพรบ!U49"")"),0)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661900</v>
      </c>
      <c r="M53" s="116">
        <f t="shared" ca="1" si="31"/>
        <v>667900.84</v>
      </c>
      <c r="N53" s="116">
        <f t="shared" ca="1" si="31"/>
        <v>667900.84</v>
      </c>
      <c r="O53" s="116">
        <f t="shared" ref="O53:O61" ca="1" si="32">IF(L53&gt;0,N53*100/L53,0)</f>
        <v>100.90660824898021</v>
      </c>
      <c r="P53" s="116">
        <f t="shared" ref="P53:P61" ca="1" si="33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661900</v>
      </c>
      <c r="M55" s="123">
        <f t="shared" ca="1" si="34"/>
        <v>667900.84</v>
      </c>
      <c r="N55" s="123">
        <f t="shared" ca="1" si="34"/>
        <v>667900.84</v>
      </c>
      <c r="O55" s="123">
        <f t="shared" ca="1" si="32"/>
        <v>100.90660824898021</v>
      </c>
      <c r="P55" s="123">
        <f t="shared" ca="1" si="33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3" t="s">
        <v>12</v>
      </c>
      <c r="I56" s="270"/>
      <c r="J56" s="270"/>
      <c r="K56" s="498"/>
      <c r="L56" s="498">
        <f t="shared" ref="L56:N56" ca="1" si="35">L57+L58</f>
        <v>661900</v>
      </c>
      <c r="M56" s="498">
        <f t="shared" ca="1" si="35"/>
        <v>667900.84</v>
      </c>
      <c r="N56" s="498">
        <f t="shared" ca="1" si="35"/>
        <v>667900.84</v>
      </c>
      <c r="O56" s="498">
        <f t="shared" ca="1" si="32"/>
        <v>100.90660824898021</v>
      </c>
      <c r="P56" s="498">
        <f t="shared" ca="1" si="33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7"/>
      <c r="J57" s="617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7"/>
      <c r="J58" s="617"/>
      <c r="K58" s="93"/>
      <c r="L58" s="93">
        <f ca="1">IFERROR(__xludf.DUMMYFUNCTION("IMPORTRANGE(""https://docs.google.com/spreadsheets/d/1MeEWN-I1oV_STSDYn1IFDPWt_1FKiwhDph83XaGc0o0/edit?usp=sharing"",""งบพรบ!W49"")"),661900)</f>
        <v>661900</v>
      </c>
      <c r="M58" s="93">
        <f ca="1">IFERROR(__xludf.DUMMYFUNCTION("IMPORTRANGE(""https://docs.google.com/spreadsheets/d/1MeEWN-I1oV_STSDYn1IFDPWt_1FKiwhDph83XaGc0o0/edit?usp=sharing"",""งบพรบ!AB49"")"),667900.84)</f>
        <v>667900.84</v>
      </c>
      <c r="N58" s="93">
        <f ca="1">IFERROR(__xludf.DUMMYFUNCTION("IMPORTRANGE(""https://docs.google.com/spreadsheets/d/1MeEWN-I1oV_STSDYn1IFDPWt_1FKiwhDph83XaGc0o0/edit?usp=sharing"",""งบพรบ!AD49"")"),667900.84)</f>
        <v>667900.84</v>
      </c>
      <c r="O58" s="93">
        <f t="shared" ca="1" si="32"/>
        <v>100.90660824898021</v>
      </c>
      <c r="P58" s="93">
        <f t="shared" ca="1" si="33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3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7"/>
      <c r="J60" s="617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IFERROR(__xludf.DUMMYFUNCTION("IMPORTRANGE(""https://docs.google.com/spreadsheets/d/1MeEWN-I1oV_STSDYn1IFDPWt_1FKiwhDph83XaGc0o0/edit?usp=sharing"",""งบพรบ!Z49"")"),0)</f>
        <v>0</v>
      </c>
      <c r="M61" s="52">
        <f ca="1">IFERROR(__xludf.DUMMYFUNCTION("IMPORTRANGE(""https://docs.google.com/spreadsheets/d/1MeEWN-I1oV_STSDYn1IFDPWt_1FKiwhDph83XaGc0o0/edit?usp=sharing"",""งบพรบ!AC49"")"),0)</f>
        <v>0</v>
      </c>
      <c r="N61" s="52">
        <f ca="1">IFERROR(__xludf.DUMMYFUNCTION("IMPORTRANGE(""https://docs.google.com/spreadsheets/d/1MeEWN-I1oV_STSDYn1IFDPWt_1FKiwhDph83XaGc0o0/edit?usp=sharing"",""งบพรบ!AE49"")"),0)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48</v>
      </c>
      <c r="J65" s="144">
        <f t="shared" si="37"/>
        <v>48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781500</v>
      </c>
      <c r="M66" s="155">
        <f t="shared" ca="1" si="39"/>
        <v>797170</v>
      </c>
      <c r="N66" s="155">
        <f t="shared" ca="1" si="39"/>
        <v>797170</v>
      </c>
      <c r="O66" s="155">
        <f t="shared" ref="O66:O74" ca="1" si="40">IF(L66&gt;0,N66*100/L66,0)</f>
        <v>102.00511836212412</v>
      </c>
      <c r="P66" s="155">
        <f t="shared" ref="P66:P74" ca="1" si="41">IF(M66&gt;0,N66*100/M66,0)</f>
        <v>100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7"/>
      <c r="J67" s="617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7"/>
      <c r="J68" s="617"/>
      <c r="K68" s="93"/>
      <c r="L68" s="93">
        <f t="shared" ca="1" si="42"/>
        <v>781500</v>
      </c>
      <c r="M68" s="93">
        <f t="shared" ca="1" si="42"/>
        <v>797170</v>
      </c>
      <c r="N68" s="93">
        <f t="shared" ca="1" si="42"/>
        <v>797170</v>
      </c>
      <c r="O68" s="93">
        <f t="shared" ca="1" si="40"/>
        <v>102.00511836212412</v>
      </c>
      <c r="P68" s="93">
        <f t="shared" ca="1" si="41"/>
        <v>100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781500</v>
      </c>
      <c r="M69" s="498">
        <f t="shared" ca="1" si="43"/>
        <v>797170</v>
      </c>
      <c r="N69" s="498">
        <f t="shared" ca="1" si="43"/>
        <v>797170</v>
      </c>
      <c r="O69" s="498">
        <f t="shared" ca="1" si="40"/>
        <v>102.00511836212412</v>
      </c>
      <c r="P69" s="498">
        <f t="shared" ca="1" si="41"/>
        <v>100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IFERROR(__xludf.DUMMYFUNCTION("IMPORTRANGE(""https://docs.google.com/spreadsheets/d/1MeEWN-I1oV_STSDYn1IFDPWt_1FKiwhDph83XaGc0o0/edit?usp=sharing"",""งบพรบ!AG49"")"),781500)</f>
        <v>781500</v>
      </c>
      <c r="M71" s="93">
        <f ca="1">IFERROR(__xludf.DUMMYFUNCTION("IMPORTRANGE(""https://docs.google.com/spreadsheets/d/1MeEWN-I1oV_STSDYn1IFDPWt_1FKiwhDph83XaGc0o0/edit?usp=sharing"",""งบพรบ!AL49"")"),797170)</f>
        <v>797170</v>
      </c>
      <c r="N71" s="93">
        <f ca="1">IFERROR(__xludf.DUMMYFUNCTION("IMPORTRANGE(""https://docs.google.com/spreadsheets/d/1MeEWN-I1oV_STSDYn1IFDPWt_1FKiwhDph83XaGc0o0/edit?usp=sharing"",""งบพรบ!AN49"")"),797170)</f>
        <v>797170</v>
      </c>
      <c r="O71" s="93">
        <f t="shared" ca="1" si="40"/>
        <v>102.00511836212412</v>
      </c>
      <c r="P71" s="93">
        <f t="shared" ca="1" si="41"/>
        <v>100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IFERROR(__xludf.DUMMYFUNCTION("IMPORTRANGE(""https://docs.google.com/spreadsheets/d/1MeEWN-I1oV_STSDYn1IFDPWt_1FKiwhDph83XaGc0o0/edit?usp=sharing"",""งบพรบ!AJ49"")"),0)</f>
        <v>0</v>
      </c>
      <c r="M74" s="93">
        <f ca="1">IFERROR(__xludf.DUMMYFUNCTION("IMPORTRANGE(""https://docs.google.com/spreadsheets/d/1MeEWN-I1oV_STSDYn1IFDPWt_1FKiwhDph83XaGc0o0/edit?usp=sharing"",""งบพรบ!AM49"")"),0)</f>
        <v>0</v>
      </c>
      <c r="N74" s="93">
        <f ca="1">IFERROR(__xludf.DUMMYFUNCTION("IMPORTRANGE(""https://docs.google.com/spreadsheets/d/1MeEWN-I1oV_STSDYn1IFDPWt_1FKiwhDph83XaGc0o0/edit?usp=sharing"",""งบพรบ!AO49"")"),0)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7" t="s">
        <v>38</v>
      </c>
      <c r="E75" s="173"/>
      <c r="F75" s="173"/>
      <c r="G75" s="174"/>
      <c r="H75" s="76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48</v>
      </c>
      <c r="J77" s="270">
        <f t="shared" si="45"/>
        <v>48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4" t="s">
        <v>34</v>
      </c>
      <c r="I78" s="184">
        <f ca="1">IFERROR(__xludf.DUMMYFUNCTION("IMPORTRANGE(""https://docs.google.com/spreadsheets/d/1QqKyyYR6Q21VydFLVH3TRQUabQu_ym0Zz7PgGX0-kHA/edit?usp=sharing"",""แผน!H49"")"),0)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4" t="s">
        <v>35</v>
      </c>
      <c r="I79" s="184">
        <f ca="1">IFERROR(__xludf.DUMMYFUNCTION("IMPORTRANGE(""https://docs.google.com/spreadsheets/d/1QqKyyYR6Q21VydFLVH3TRQUabQu_ym0Zz7PgGX0-kHA/edit?usp=sharing"",""แผน!I49"")"),0)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4" t="s">
        <v>34</v>
      </c>
      <c r="I80" s="184">
        <f ca="1">IFERROR(__xludf.DUMMYFUNCTION("IMPORTRANGE(""https://docs.google.com/spreadsheets/d/1QqKyyYR6Q21VydFLVH3TRQUabQu_ym0Zz7PgGX0-kHA/edit?usp=sharing"",""แผน!F49"")"),0)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4" t="s">
        <v>35</v>
      </c>
      <c r="I81" s="184">
        <f ca="1">IFERROR(__xludf.DUMMYFUNCTION("IMPORTRANGE(""https://docs.google.com/spreadsheets/d/1QqKyyYR6Q21VydFLVH3TRQUabQu_ym0Zz7PgGX0-kHA/edit?usp=sharing"",""แผน!G49"")"),0)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4" t="s">
        <v>34</v>
      </c>
      <c r="I82" s="184">
        <f ca="1">IFERROR(__xludf.DUMMYFUNCTION("IMPORTRANGE(""https://docs.google.com/spreadsheets/d/1QqKyyYR6Q21VydFLVH3TRQUabQu_ym0Zz7PgGX0-kHA/edit?usp=sharing"",""แผน!D49"")"),1)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4" t="s">
        <v>35</v>
      </c>
      <c r="I83" s="184">
        <f ca="1">IFERROR(__xludf.DUMMYFUNCTION("IMPORTRANGE(""https://docs.google.com/spreadsheets/d/1QqKyyYR6Q21VydFLVH3TRQUabQu_ym0Zz7PgGX0-kHA/edit?usp=sharing"",""แผน!E49"")"),48)</f>
        <v>48</v>
      </c>
      <c r="J83" s="215">
        <v>48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IFERROR(__xludf.DUMMYFUNCTION("IMPORTRANGE(""https://docs.google.com/spreadsheets/d/1QqKyyYR6Q21VydFLVH3TRQUabQu_ym0Zz7PgGX0-kHA/edit?usp=sharing"",""แผน!J49"")"),1)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56040</v>
      </c>
      <c r="M88" s="155">
        <f t="shared" ca="1" si="49"/>
        <v>92640</v>
      </c>
      <c r="N88" s="155">
        <f t="shared" ca="1" si="49"/>
        <v>92640</v>
      </c>
      <c r="O88" s="155">
        <f t="shared" ref="O88:O96" ca="1" si="50">IF(L88&gt;0,N88*100/L88,0)</f>
        <v>165.31049250535332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7"/>
      <c r="J89" s="617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7"/>
      <c r="J90" s="617"/>
      <c r="K90" s="93"/>
      <c r="L90" s="93">
        <f t="shared" ca="1" si="52"/>
        <v>56040</v>
      </c>
      <c r="M90" s="93">
        <f t="shared" ca="1" si="52"/>
        <v>92640</v>
      </c>
      <c r="N90" s="93">
        <f t="shared" ca="1" si="52"/>
        <v>92640</v>
      </c>
      <c r="O90" s="93">
        <f t="shared" ca="1" si="50"/>
        <v>165.31049250535332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56040</v>
      </c>
      <c r="M91" s="498">
        <f t="shared" ca="1" si="53"/>
        <v>92640</v>
      </c>
      <c r="N91" s="498">
        <f t="shared" ca="1" si="53"/>
        <v>92640</v>
      </c>
      <c r="O91" s="498">
        <f t="shared" ca="1" si="50"/>
        <v>165.31049250535332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IFERROR(__xludf.DUMMYFUNCTION("IMPORTRANGE(""https://docs.google.com/spreadsheets/d/1MeEWN-I1oV_STSDYn1IFDPWt_1FKiwhDph83XaGc0o0/edit?usp=sharing"",""งบพรบ!AQ49"")"),56040)</f>
        <v>56040</v>
      </c>
      <c r="M93" s="93">
        <f ca="1">IFERROR(__xludf.DUMMYFUNCTION("IMPORTRANGE(""https://docs.google.com/spreadsheets/d/1MeEWN-I1oV_STSDYn1IFDPWt_1FKiwhDph83XaGc0o0/edit?usp=sharing"",""งบพรบ!AV49"")"),92640)</f>
        <v>92640</v>
      </c>
      <c r="N93" s="93">
        <f ca="1">IFERROR(__xludf.DUMMYFUNCTION("IMPORTRANGE(""https://docs.google.com/spreadsheets/d/1MeEWN-I1oV_STSDYn1IFDPWt_1FKiwhDph83XaGc0o0/edit?usp=sharing"",""งบพรบ!AX49"")"),92640)</f>
        <v>92640</v>
      </c>
      <c r="O93" s="93">
        <f t="shared" ca="1" si="50"/>
        <v>165.31049250535332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IFERROR(__xludf.DUMMYFUNCTION("IMPORTRANGE(""https://docs.google.com/spreadsheets/d/1MeEWN-I1oV_STSDYn1IFDPWt_1FKiwhDph83XaGc0o0/edit?usp=sharing"",""งบพรบ!AT49"")"),0)</f>
        <v>0</v>
      </c>
      <c r="M96" s="93">
        <f ca="1">IFERROR(__xludf.DUMMYFUNCTION("IMPORTRANGE(""https://docs.google.com/spreadsheets/d/1MeEWN-I1oV_STSDYn1IFDPWt_1FKiwhDph83XaGc0o0/edit?usp=sharing"",""งบพรบ!AW49"")"),0)</f>
        <v>0</v>
      </c>
      <c r="N96" s="93">
        <f ca="1">IFERROR(__xludf.DUMMYFUNCTION("IMPORTRANGE(""https://docs.google.com/spreadsheets/d/1MeEWN-I1oV_STSDYn1IFDPWt_1FKiwhDph83XaGc0o0/edit?usp=sharing"",""งบพรบ!AY49"")"),0)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7" t="s">
        <v>38</v>
      </c>
      <c r="E97" s="173"/>
      <c r="F97" s="173"/>
      <c r="G97" s="174"/>
      <c r="H97" s="762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3" t="s">
        <v>46</v>
      </c>
      <c r="I98" s="270">
        <f ca="1">IFERROR(__xludf.DUMMYFUNCTION("IMPORTRANGE(""https://docs.google.com/spreadsheets/d/1QqKyyYR6Q21VydFLVH3TRQUabQu_ym0Zz7PgGX0-kHA/edit?usp=sharing"",""แผน!K49"")"),30)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3" t="s">
        <v>35</v>
      </c>
      <c r="I99" s="270">
        <f ca="1">IFERROR(__xludf.DUMMYFUNCTION("IMPORTRANGE(""https://docs.google.com/spreadsheets/d/1QqKyyYR6Q21VydFLVH3TRQUabQu_ym0Zz7PgGX0-kHA/edit?usp=sharing"",""แผน!L49"")"),10)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3" t="s">
        <v>49</v>
      </c>
      <c r="I100" s="270">
        <f ca="1">IFERROR(__xludf.DUMMYFUNCTION("IMPORTRANGE(""https://docs.google.com/spreadsheets/d/1QqKyyYR6Q21VydFLVH3TRQUabQu_ym0Zz7PgGX0-kHA/edit?usp=sharing"",""แผน!M49"")"),1)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3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6" t="s">
        <v>47</v>
      </c>
      <c r="F102" s="178"/>
      <c r="G102" s="179"/>
      <c r="H102" s="623" t="s">
        <v>46</v>
      </c>
      <c r="I102" s="270">
        <f ca="1">IFERROR(__xludf.DUMMYFUNCTION("IMPORTRANGE(""https://docs.google.com/spreadsheets/d/1QqKyyYR6Q21VydFLVH3TRQUabQu_ym0Zz7PgGX0-kHA/edit?usp=sharing"",""แผน!N49"")"),30)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3" t="s">
        <v>35</v>
      </c>
      <c r="I103" s="270">
        <f ca="1">IFERROR(__xludf.DUMMYFUNCTION("IMPORTRANGE(""https://docs.google.com/spreadsheets/d/1QqKyyYR6Q21VydFLVH3TRQUabQu_ym0Zz7PgGX0-kHA/edit?usp=sharing"",""แผน!O49"")"),10)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3" t="s">
        <v>35</v>
      </c>
      <c r="I104" s="270">
        <f ca="1">IFERROR(__xludf.DUMMYFUNCTION("IMPORTRANGE(""https://docs.google.com/spreadsheets/d/1QqKyyYR6Q21VydFLVH3TRQUabQu_ym0Zz7PgGX0-kHA/edit?usp=sharing"",""แผน!O49"")"),10)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3" t="s">
        <v>49</v>
      </c>
      <c r="I106" s="270">
        <f ca="1">IFERROR(__xludf.DUMMYFUNCTION("IMPORTRANGE(""https://docs.google.com/spreadsheets/d/1QqKyyYR6Q21VydFLVH3TRQUabQu_ym0Zz7PgGX0-kHA/edit?usp=sharing"",""แผน!P49"")"),1)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3" t="s">
        <v>49</v>
      </c>
      <c r="I107" s="270">
        <f ca="1">IFERROR(__xludf.DUMMYFUNCTION("IMPORTRANGE(""https://docs.google.com/spreadsheets/d/1QqKyyYR6Q21VydFLVH3TRQUabQu_ym0Zz7PgGX0-kHA/edit?usp=sharing"",""แผน!P49"")"),1)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3" t="s">
        <v>49</v>
      </c>
      <c r="I109" s="270">
        <f ca="1">IFERROR(__xludf.DUMMYFUNCTION("IMPORTRANGE(""https://docs.google.com/spreadsheets/d/1QqKyyYR6Q21VydFLVH3TRQUabQu_ym0Zz7PgGX0-kHA/edit?usp=sharing"",""แผน!Q49"")"),0)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3" t="s">
        <v>49</v>
      </c>
      <c r="I110" s="270">
        <f ca="1">IFERROR(__xludf.DUMMYFUNCTION("IMPORTRANGE(""https://docs.google.com/spreadsheets/d/1QqKyyYR6Q21VydFLVH3TRQUabQu_ym0Zz7PgGX0-kHA/edit?usp=sharing"",""แผน!Q49"")"),0)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7" t="s">
        <v>35</v>
      </c>
      <c r="I111" s="193">
        <f ca="1">IFERROR(__xludf.DUMMYFUNCTION("IMPORTRANGE(""https://docs.google.com/spreadsheets/d/1QqKyyYR6Q21VydFLVH3TRQUabQu_ym0Zz7PgGX0-kHA/edit?usp=sharing"",""แผน!R49"")"),10)</f>
        <v>10</v>
      </c>
      <c r="J111" s="681">
        <f>J114</f>
        <v>10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1">
        <f t="shared" si="59"/>
        <v>1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2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IFERROR(__xludf.DUMMYFUNCTION("IMPORTRANGE(""https://docs.google.com/spreadsheets/d/1QqKyyYR6Q21VydFLVH3TRQUabQu_ym0Zz7PgGX0-kHA/edit?usp=sharing"",""แผน!R49"")"),10)</f>
        <v>10</v>
      </c>
      <c r="J113" s="215">
        <v>10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IFERROR(__xludf.DUMMYFUNCTION("IMPORTRANGE(""https://docs.google.com/spreadsheets/d/1QqKyyYR6Q21VydFLVH3TRQUabQu_ym0Zz7PgGX0-kHA/edit?usp=sharing"",""แผน!R49"")"),10)</f>
        <v>10</v>
      </c>
      <c r="J114" s="215">
        <v>10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IFERROR(__xludf.DUMMYFUNCTION("IMPORTRANGE(""https://docs.google.com/spreadsheets/d/1QqKyyYR6Q21VydFLVH3TRQUabQu_ym0Zz7PgGX0-kHA/edit?usp=sharing"",""แผน!S49"")"),1)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IFERROR(__xludf.DUMMYFUNCTION("IMPORTRANGE(""https://docs.google.com/spreadsheets/d/1QqKyyYR6Q21VydFLVH3TRQUabQu_ym0Zz7PgGX0-kHA/edit?usp=sharing"",""แผน!T49"")"),0)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7"/>
      <c r="J120" s="617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7"/>
      <c r="J121" s="617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IFERROR(__xludf.DUMMYFUNCTION("IMPORTRANGE(""https://docs.google.com/spreadsheets/d/1MeEWN-I1oV_STSDYn1IFDPWt_1FKiwhDph83XaGc0o0/edit?usp=sharing"",""งบพรบ!BA49"")"),0)</f>
        <v>0</v>
      </c>
      <c r="M124" s="93">
        <f ca="1">IFERROR(__xludf.DUMMYFUNCTION("IMPORTRANGE(""https://docs.google.com/spreadsheets/d/1MeEWN-I1oV_STSDYn1IFDPWt_1FKiwhDph83XaGc0o0/edit?usp=sharing"",""งบพรบ!BF49"")"),0)</f>
        <v>0</v>
      </c>
      <c r="N124" s="93">
        <f ca="1">IFERROR(__xludf.DUMMYFUNCTION("IMPORTRANGE(""https://docs.google.com/spreadsheets/d/1MeEWN-I1oV_STSDYn1IFDPWt_1FKiwhDph83XaGc0o0/edit?usp=sharing"",""งบพรบ!BH49"")"),0)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IFERROR(__xludf.DUMMYFUNCTION("IMPORTRANGE(""https://docs.google.com/spreadsheets/d/1MeEWN-I1oV_STSDYn1IFDPWt_1FKiwhDph83XaGc0o0/edit?usp=sharing"",""งบพรบ!BD49"")"),0)</f>
        <v>0</v>
      </c>
      <c r="M127" s="93">
        <f ca="1">IFERROR(__xludf.DUMMYFUNCTION("IMPORTRANGE(""https://docs.google.com/spreadsheets/d/1MeEWN-I1oV_STSDYn1IFDPWt_1FKiwhDph83XaGc0o0/edit?usp=sharing"",""งบพรบ!BG49"")"),0)</f>
        <v>0</v>
      </c>
      <c r="N127" s="93">
        <f ca="1">IFERROR(__xludf.DUMMYFUNCTION("IMPORTRANGE(""https://docs.google.com/spreadsheets/d/1MeEWN-I1oV_STSDYn1IFDPWt_1FKiwhDph83XaGc0o0/edit?usp=sharing"",""งบพรบ!BI49"")"),0)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7"/>
      <c r="J133" s="617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7"/>
      <c r="J134" s="617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IFERROR(__xludf.DUMMYFUNCTION("IMPORTRANGE(""https://docs.google.com/spreadsheets/d/1MeEWN-I1oV_STSDYn1IFDPWt_1FKiwhDph83XaGc0o0/edit?usp=sharing"",""งบพรบ!BK49"")"),0)</f>
        <v>0</v>
      </c>
      <c r="M137" s="93">
        <f ca="1">IFERROR(__xludf.DUMMYFUNCTION("IMPORTRANGE(""https://docs.google.com/spreadsheets/d/1MeEWN-I1oV_STSDYn1IFDPWt_1FKiwhDph83XaGc0o0/edit?usp=sharing"",""งบพรบ!BP49"")"),0)</f>
        <v>0</v>
      </c>
      <c r="N137" s="93">
        <f ca="1">IFERROR(__xludf.DUMMYFUNCTION("IMPORTRANGE(""https://docs.google.com/spreadsheets/d/1MeEWN-I1oV_STSDYn1IFDPWt_1FKiwhDph83XaGc0o0/edit?usp=sharing"",""งบพรบ!BR49"")"),0)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IFERROR(__xludf.DUMMYFUNCTION("IMPORTRANGE(""https://docs.google.com/spreadsheets/d/1MeEWN-I1oV_STSDYn1IFDPWt_1FKiwhDph83XaGc0o0/edit?usp=sharing"",""งบพรบ!BN49"")"),0)</f>
        <v>0</v>
      </c>
      <c r="M140" s="93">
        <f ca="1">IFERROR(__xludf.DUMMYFUNCTION("IMPORTRANGE(""https://docs.google.com/spreadsheets/d/1MeEWN-I1oV_STSDYn1IFDPWt_1FKiwhDph83XaGc0o0/edit?usp=sharing"",""งบพรบ!BQ49"")"),0)</f>
        <v>0</v>
      </c>
      <c r="N140" s="93">
        <f ca="1">IFERROR(__xludf.DUMMYFUNCTION("IMPORTRANGE(""https://docs.google.com/spreadsheets/d/1MeEWN-I1oV_STSDYn1IFDPWt_1FKiwhDph83XaGc0o0/edit?usp=sharing"",""งบพรบ!BS49"")"),0)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IFERROR(__xludf.DUMMYFUNCTION("IMPORTRANGE(""https://docs.google.com/spreadsheets/d/1QqKyyYR6Q21VydFLVH3TRQUabQu_ym0Zz7PgGX0-kHA/edit?usp=sharing"",""แผน!U49"")"),0)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IFERROR(__xludf.DUMMYFUNCTION("IMPORTRANGE(""https://docs.google.com/spreadsheets/d/1QqKyyYR6Q21VydFLVH3TRQUabQu_ym0Zz7PgGX0-kHA/edit?usp=sharing"",""แผน!V49"")"),0)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IFERROR(__xludf.DUMMYFUNCTION("IMPORTRANGE(""https://docs.google.com/spreadsheets/d/1QqKyyYR6Q21VydFLVH3TRQUabQu_ym0Zz7PgGX0-kHA/edit?usp=sharing"",""แผน!W49"")"),0)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7"/>
      <c r="J150" s="617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7"/>
      <c r="J151" s="617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IFERROR(__xludf.DUMMYFUNCTION("IMPORTRANGE(""https://docs.google.com/spreadsheets/d/1MeEWN-I1oV_STSDYn1IFDPWt_1FKiwhDph83XaGc0o0/edit?usp=sharing"",""งบพรบ!BU49"")"),0)</f>
        <v>0</v>
      </c>
      <c r="M154" s="93">
        <f ca="1">IFERROR(__xludf.DUMMYFUNCTION("IMPORTRANGE(""https://docs.google.com/spreadsheets/d/1MeEWN-I1oV_STSDYn1IFDPWt_1FKiwhDph83XaGc0o0/edit?usp=sharing"",""งบพรบ!BZ49"")"),0)</f>
        <v>0</v>
      </c>
      <c r="N154" s="93">
        <f ca="1">IFERROR(__xludf.DUMMYFUNCTION("IMPORTRANGE(""https://docs.google.com/spreadsheets/d/1MeEWN-I1oV_STSDYn1IFDPWt_1FKiwhDph83XaGc0o0/edit?usp=sharing"",""งบพรบ!CB49"")"),0)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IFERROR(__xludf.DUMMYFUNCTION("IMPORTRANGE(""https://docs.google.com/spreadsheets/d/1MeEWN-I1oV_STSDYn1IFDPWt_1FKiwhDph83XaGc0o0/edit?usp=sharing"",""งบพรบ!BX49"")"),0)</f>
        <v>0</v>
      </c>
      <c r="M157" s="93">
        <f ca="1">IFERROR(__xludf.DUMMYFUNCTION("IMPORTRANGE(""https://docs.google.com/spreadsheets/d/1MeEWN-I1oV_STSDYn1IFDPWt_1FKiwhDph83XaGc0o0/edit?usp=sharing"",""งบพรบ!CA49"")"),0)</f>
        <v>0</v>
      </c>
      <c r="N157" s="93">
        <f ca="1">IFERROR(__xludf.DUMMYFUNCTION("IMPORTRANGE(""https://docs.google.com/spreadsheets/d/1MeEWN-I1oV_STSDYn1IFDPWt_1FKiwhDph83XaGc0o0/edit?usp=sharing"",""งบพรบ!CC49"")"),0)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IFERROR(__xludf.DUMMYFUNCTION("IMPORTRANGE(""https://docs.google.com/spreadsheets/d/1QqKyyYR6Q21VydFLVH3TRQUabQu_ym0Zz7PgGX0-kHA/edit?usp=sharing"",""แผน!X49"")"),0)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7"/>
      <c r="J160" s="617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35255</v>
      </c>
      <c r="N165" s="155">
        <f t="shared" ca="1" si="84"/>
        <v>35255</v>
      </c>
      <c r="O165" s="155">
        <f t="shared" ref="O165:O173" ca="1" si="85">IF(L165&gt;0,N165*100/L165,0)</f>
        <v>159.85037406483789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7"/>
      <c r="J166" s="617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7"/>
      <c r="J167" s="617"/>
      <c r="K167" s="93"/>
      <c r="L167" s="93">
        <f t="shared" ca="1" si="87"/>
        <v>22055</v>
      </c>
      <c r="M167" s="93">
        <f t="shared" ca="1" si="87"/>
        <v>35255</v>
      </c>
      <c r="N167" s="93">
        <f t="shared" ca="1" si="87"/>
        <v>35255</v>
      </c>
      <c r="O167" s="93">
        <f t="shared" ca="1" si="85"/>
        <v>159.85037406483789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35255</v>
      </c>
      <c r="N168" s="498">
        <f t="shared" ca="1" si="88"/>
        <v>35255</v>
      </c>
      <c r="O168" s="498">
        <f t="shared" ca="1" si="85"/>
        <v>159.85037406483789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IFERROR(__xludf.DUMMYFUNCTION("IMPORTRANGE(""https://docs.google.com/spreadsheets/d/1MeEWN-I1oV_STSDYn1IFDPWt_1FKiwhDph83XaGc0o0/edit?usp=sharing"",""งบพรบ!CE49"")"),22055)</f>
        <v>22055</v>
      </c>
      <c r="M170" s="93">
        <f ca="1">IFERROR(__xludf.DUMMYFUNCTION("IMPORTRANGE(""https://docs.google.com/spreadsheets/d/1MeEWN-I1oV_STSDYn1IFDPWt_1FKiwhDph83XaGc0o0/edit?usp=sharing"",""งบพรบ!CJ49"")"),35255)</f>
        <v>35255</v>
      </c>
      <c r="N170" s="93">
        <f ca="1">IFERROR(__xludf.DUMMYFUNCTION("IMPORTRANGE(""https://docs.google.com/spreadsheets/d/1MeEWN-I1oV_STSDYn1IFDPWt_1FKiwhDph83XaGc0o0/edit?usp=sharing"",""งบพรบ!CL49"")"),35255)</f>
        <v>35255</v>
      </c>
      <c r="O170" s="93">
        <f t="shared" ca="1" si="85"/>
        <v>159.85037406483789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IFERROR(__xludf.DUMMYFUNCTION("IMPORTRANGE(""https://docs.google.com/spreadsheets/d/1MeEWN-I1oV_STSDYn1IFDPWt_1FKiwhDph83XaGc0o0/edit?usp=sharing"",""งบพรบ!CH49"")"),0)</f>
        <v>0</v>
      </c>
      <c r="M173" s="93">
        <f ca="1">IFERROR(__xludf.DUMMYFUNCTION("IMPORTRANGE(""https://docs.google.com/spreadsheets/d/1MeEWN-I1oV_STSDYn1IFDPWt_1FKiwhDph83XaGc0o0/edit?usp=sharing"",""งบพรบ!CK49"")"),0)</f>
        <v>0</v>
      </c>
      <c r="N173" s="93">
        <f ca="1">IFERROR(__xludf.DUMMYFUNCTION("IMPORTRANGE(""https://docs.google.com/spreadsheets/d/1MeEWN-I1oV_STSDYn1IFDPWt_1FKiwhDph83XaGc0o0/edit?usp=sharing"",""งบพรบ!CM49"")"),0)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7" t="s">
        <v>38</v>
      </c>
      <c r="E175" s="173"/>
      <c r="F175" s="173"/>
      <c r="G175" s="174"/>
      <c r="H175" s="76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6" t="s">
        <v>85</v>
      </c>
      <c r="E176" s="178"/>
      <c r="F176" s="178"/>
      <c r="G176" s="179"/>
      <c r="H176" s="623" t="s">
        <v>35</v>
      </c>
      <c r="I176" s="270">
        <f ca="1">IFERROR(__xludf.DUMMYFUNCTION("IMPORTRANGE(""https://docs.google.com/spreadsheets/d/1QqKyyYR6Q21VydFLVH3TRQUabQu_ym0Zz7PgGX0-kHA/edit?usp=sharing"",""แผน!Y49"")"),11)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73600</v>
      </c>
      <c r="M181" s="155">
        <f t="shared" ca="1" si="92"/>
        <v>73600</v>
      </c>
      <c r="N181" s="155">
        <f t="shared" ca="1" si="92"/>
        <v>73600</v>
      </c>
      <c r="O181" s="155">
        <f t="shared" ref="O181:O189" ca="1" si="93">IF(L181&gt;0,N181*100/L181,0)</f>
        <v>100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7"/>
      <c r="J182" s="617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7"/>
      <c r="J183" s="617"/>
      <c r="K183" s="93"/>
      <c r="L183" s="93">
        <f t="shared" ca="1" si="95"/>
        <v>73600</v>
      </c>
      <c r="M183" s="93">
        <f t="shared" ca="1" si="95"/>
        <v>73600</v>
      </c>
      <c r="N183" s="93">
        <f t="shared" ca="1" si="95"/>
        <v>73600</v>
      </c>
      <c r="O183" s="93">
        <f t="shared" ca="1" si="93"/>
        <v>100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73600</v>
      </c>
      <c r="M184" s="498">
        <f t="shared" ca="1" si="96"/>
        <v>73600</v>
      </c>
      <c r="N184" s="498">
        <f t="shared" ca="1" si="96"/>
        <v>73600</v>
      </c>
      <c r="O184" s="498">
        <f t="shared" ca="1" si="93"/>
        <v>100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IFERROR(__xludf.DUMMYFUNCTION("IMPORTRANGE(""https://docs.google.com/spreadsheets/d/1MeEWN-I1oV_STSDYn1IFDPWt_1FKiwhDph83XaGc0o0/edit?usp=sharing"",""งบพรบ!CO49"")"),73600)</f>
        <v>73600</v>
      </c>
      <c r="M186" s="93">
        <f ca="1">IFERROR(__xludf.DUMMYFUNCTION("IMPORTRANGE(""https://docs.google.com/spreadsheets/d/1MeEWN-I1oV_STSDYn1IFDPWt_1FKiwhDph83XaGc0o0/edit?usp=sharing"",""งบพรบ!CT49"")"),73600)</f>
        <v>73600</v>
      </c>
      <c r="N186" s="93">
        <f ca="1">IFERROR(__xludf.DUMMYFUNCTION("IMPORTRANGE(""https://docs.google.com/spreadsheets/d/1MeEWN-I1oV_STSDYn1IFDPWt_1FKiwhDph83XaGc0o0/edit?usp=sharing"",""งบพรบ!CV49"")"),73600)</f>
        <v>73600</v>
      </c>
      <c r="O186" s="93">
        <f t="shared" ca="1" si="93"/>
        <v>100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IFERROR(__xludf.DUMMYFUNCTION("IMPORTRANGE(""https://docs.google.com/spreadsheets/d/1MeEWN-I1oV_STSDYn1IFDPWt_1FKiwhDph83XaGc0o0/edit?usp=sharing"",""งบพรบ!CR49"")"),0)</f>
        <v>0</v>
      </c>
      <c r="M189" s="93">
        <f ca="1">IFERROR(__xludf.DUMMYFUNCTION("IMPORTRANGE(""https://docs.google.com/spreadsheets/d/1MeEWN-I1oV_STSDYn1IFDPWt_1FKiwhDph83XaGc0o0/edit?usp=sharing"",""งบพรบ!CU49"")"),0)</f>
        <v>0</v>
      </c>
      <c r="N189" s="93">
        <f ca="1">IFERROR(__xludf.DUMMYFUNCTION("IMPORTRANGE(""https://docs.google.com/spreadsheets/d/1MeEWN-I1oV_STSDYn1IFDPWt_1FKiwhDph83XaGc0o0/edit?usp=sharing"",""งบพรบ!CW49"")"),0)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8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IFERROR(__xludf.DUMMYFUNCTION("IMPORTRANGE(""https://docs.google.com/spreadsheets/d/1QqKyyYR6Q21VydFLVH3TRQUabQu_ym0Zz7PgGX0-kHA/edit?usp=sharing"",""แผน!Z49"")"),6000)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7" t="s">
        <v>38</v>
      </c>
      <c r="E192" s="173"/>
      <c r="F192" s="173"/>
      <c r="G192" s="174"/>
      <c r="H192" s="762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4" t="s">
        <v>90</v>
      </c>
      <c r="I193" s="270">
        <f ca="1">IFERROR(__xludf.DUMMYFUNCTION("IMPORTRANGE(""https://docs.google.com/spreadsheets/d/1QqKyyYR6Q21VydFLVH3TRQUabQu_ym0Zz7PgGX0-kHA/edit?usp=sharing"",""แผน!AC49"")"),4)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69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69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8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31000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IFERROR(__xludf.DUMMYFUNCTION("IMPORTRANGE(""https://docs.google.com/spreadsheets/d/1QqKyyYR6Q21VydFLVH3TRQUabQu_ym0Zz7PgGX0-kHA/edit?usp=sharing"",""แผน!AE49"")"),2000)</f>
        <v>2000</v>
      </c>
      <c r="M199" s="498"/>
      <c r="N199" s="840">
        <v>2000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3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IFERROR(__xludf.DUMMYFUNCTION("IMPORTRANGE(""https://docs.google.com/spreadsheets/d/1QqKyyYR6Q21VydFLVH3TRQUabQu_ym0Zz7PgGX0-kHA/edit?usp=sharing"",""แผน!AF49"")"),16000)</f>
        <v>16000</v>
      </c>
      <c r="M200" s="498"/>
      <c r="N200" s="840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3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IFERROR(__xludf.DUMMYFUNCTION("IMPORTRANGE(""https://docs.google.com/spreadsheets/d/1QqKyyYR6Q21VydFLVH3TRQUabQu_ym0Zz7PgGX0-kHA/edit?usp=sharing"",""แผน!AG49"")"),8000)</f>
        <v>8000</v>
      </c>
      <c r="M201" s="498"/>
      <c r="N201" s="840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3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IFERROR(__xludf.DUMMYFUNCTION("IMPORTRANGE(""https://docs.google.com/spreadsheets/d/1QqKyyYR6Q21VydFLVH3TRQUabQu_ym0Zz7PgGX0-kHA/edit?usp=sharing"",""แผน!AH49"")"),5000)</f>
        <v>5000</v>
      </c>
      <c r="M202" s="498"/>
      <c r="N202" s="840">
        <v>5000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7" t="s">
        <v>38</v>
      </c>
      <c r="E203" s="173"/>
      <c r="F203" s="173"/>
      <c r="G203" s="174"/>
      <c r="H203" s="76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2" t="s">
        <v>96</v>
      </c>
      <c r="I204" s="270">
        <f ca="1">IFERROR(__xludf.DUMMYFUNCTION("IMPORTRANGE(""https://docs.google.com/spreadsheets/d/1QqKyyYR6Q21VydFLVH3TRQUabQu_ym0Zz7PgGX0-kHA/edit?usp=sharing"",""แผน!AI49"")"),2)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2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2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8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IFERROR(__xludf.DUMMYFUNCTION("IMPORTRANGE(""https://docs.google.com/spreadsheets/d/1QqKyyYR6Q21VydFLVH3TRQUabQu_ym0Zz7PgGX0-kHA/edit?usp=sharing"",""แผน!AK49"")"),1000)</f>
        <v>1000</v>
      </c>
      <c r="M210" s="498"/>
      <c r="N210" s="840">
        <v>1000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IFERROR(__xludf.DUMMYFUNCTION("IMPORTRANGE(""https://docs.google.com/spreadsheets/d/1QqKyyYR6Q21VydFLVH3TRQUabQu_ym0Zz7PgGX0-kHA/edit?usp=sharing"",""แผน!AL49"")"),5000)</f>
        <v>5000</v>
      </c>
      <c r="M211" s="498"/>
      <c r="N211" s="840">
        <v>5000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IFERROR(__xludf.DUMMYFUNCTION("IMPORTRANGE(""https://docs.google.com/spreadsheets/d/1QqKyyYR6Q21VydFLVH3TRQUabQu_ym0Zz7PgGX0-kHA/edit?usp=sharing"",""แผน!AM49"")"),8000)</f>
        <v>8000</v>
      </c>
      <c r="M212" s="498"/>
      <c r="N212" s="840">
        <v>8000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7" t="s">
        <v>38</v>
      </c>
      <c r="E213" s="173"/>
      <c r="F213" s="173"/>
      <c r="G213" s="174"/>
      <c r="H213" s="762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2" t="s">
        <v>96</v>
      </c>
      <c r="I214" s="270">
        <f ca="1">IFERROR(__xludf.DUMMYFUNCTION("IMPORTRANGE(""https://docs.google.com/spreadsheets/d/1QqKyyYR6Q21VydFLVH3TRQUabQu_ym0Zz7PgGX0-kHA/edit?usp=sharing"",""แผน!AN49"")"),1)</f>
        <v>1</v>
      </c>
      <c r="J214" s="215">
        <v>1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2" t="s">
        <v>96</v>
      </c>
      <c r="I215" s="270">
        <f ca="1">IFERROR(__xludf.DUMMYFUNCTION("IMPORTRANGE(""https://docs.google.com/spreadsheets/d/1QqKyyYR6Q21VydFLVH3TRQUabQu_ym0Zz7PgGX0-kHA/edit?usp=sharing"",""แผน!AN49"")"),1)</f>
        <v>1</v>
      </c>
      <c r="J215" s="215">
        <v>1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64000</v>
      </c>
      <c r="J216" s="272">
        <f t="shared" si="103"/>
        <v>64000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8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22600</v>
      </c>
      <c r="M217" s="155"/>
      <c r="N217" s="155">
        <f>N218+N219+N220</f>
        <v>22600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IFERROR(__xludf.DUMMYFUNCTION("IMPORTRANGE(""https://docs.google.com/spreadsheets/d/1QqKyyYR6Q21VydFLVH3TRQUabQu_ym0Zz7PgGX0-kHA/edit?usp=sharing"",""แผน!AP49"")"),5000)</f>
        <v>5000</v>
      </c>
      <c r="M218" s="498"/>
      <c r="N218" s="840">
        <v>5000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IFERROR(__xludf.DUMMYFUNCTION("IMPORTRANGE(""https://docs.google.com/spreadsheets/d/1QqKyyYR6Q21VydFLVH3TRQUabQu_ym0Zz7PgGX0-kHA/edit?usp=sharing"",""แผน!AQ49"")"),17600)</f>
        <v>17600</v>
      </c>
      <c r="M219" s="498"/>
      <c r="N219" s="840">
        <v>17600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IFERROR(__xludf.DUMMYFUNCTION("IMPORTRANGE(""https://docs.google.com/spreadsheets/d/1QqKyyYR6Q21VydFLVH3TRQUabQu_ym0Zz7PgGX0-kHA/edit?usp=sharing"",""แผน!AR49"")"),0)</f>
        <v>0</v>
      </c>
      <c r="M220" s="498"/>
      <c r="N220" s="840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7" t="s">
        <v>38</v>
      </c>
      <c r="E221" s="173"/>
      <c r="F221" s="173"/>
      <c r="G221" s="174"/>
      <c r="H221" s="76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4" t="s">
        <v>109</v>
      </c>
      <c r="I223" s="270">
        <f ca="1">IFERROR(__xludf.DUMMYFUNCTION("IMPORTRANGE(""https://docs.google.com/spreadsheets/d/1QqKyyYR6Q21VydFLVH3TRQUabQu_ym0Zz7PgGX0-kHA/edit?usp=sharing"",""แผน!AT49"")"),64000)</f>
        <v>64000</v>
      </c>
      <c r="J223" s="215">
        <v>64000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4" t="s">
        <v>109</v>
      </c>
      <c r="I224" s="270">
        <f ca="1">IFERROR(__xludf.DUMMYFUNCTION("IMPORTRANGE(""https://docs.google.com/spreadsheets/d/1QqKyyYR6Q21VydFLVH3TRQUabQu_ym0Zz7PgGX0-kHA/edit?usp=sharing"",""แผน!AT49"")"),64000)</f>
        <v>64000</v>
      </c>
      <c r="J224" s="215">
        <v>64000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4" t="s">
        <v>35</v>
      </c>
      <c r="I225" s="270">
        <f ca="1">IFERROR(__xludf.DUMMYFUNCTION("IMPORTRANGE(""https://docs.google.com/spreadsheets/d/1QqKyyYR6Q21VydFLVH3TRQUabQu_ym0Zz7PgGX0-kHA/edit?usp=sharing"",""แผน!AS49"")"),0)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8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2"/>
      <c r="P227" s="8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7"/>
      <c r="J229" s="617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7"/>
      <c r="J230" s="617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7"/>
      <c r="J231" s="617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7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7">
        <f t="shared" ref="I233:J233" ca="1" si="108">I244+I255</f>
        <v>0</v>
      </c>
      <c r="J233" s="617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7"/>
      <c r="J234" s="617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7">
        <f t="shared" ref="I235:J236" si="109">I246+I257</f>
        <v>0</v>
      </c>
      <c r="J235" s="617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7">
        <f t="shared" si="109"/>
        <v>0</v>
      </c>
      <c r="J236" s="617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IFERROR(__xludf.DUMMYFUNCTION("IMPORTRANGE(""https://docs.google.com/spreadsheets/d/1QqKyyYR6Q21VydFLVH3TRQUabQu_ym0Zz7PgGX0-kHA/edit?usp=sharing"",""แผน!AV49"")"),0)</f>
        <v>0</v>
      </c>
      <c r="M239" s="322"/>
      <c r="N239" s="88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IFERROR(__xludf.DUMMYFUNCTION("IMPORTRANGE(""https://docs.google.com/spreadsheets/d/1QqKyyYR6Q21VydFLVH3TRQUabQu_ym0Zz7PgGX0-kHA/edit?usp=sharing"",""แผน!AW49"")"),0)</f>
        <v>0</v>
      </c>
      <c r="M240" s="322"/>
      <c r="N240" s="88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IFERROR(__xludf.DUMMYFUNCTION("IMPORTRANGE(""https://docs.google.com/spreadsheets/d/1QqKyyYR6Q21VydFLVH3TRQUabQu_ym0Zz7PgGX0-kHA/edit?usp=sharing"",""แผน!AX49"")"),0)</f>
        <v>0</v>
      </c>
      <c r="M241" s="322"/>
      <c r="N241" s="88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IFERROR(__xludf.DUMMYFUNCTION("IMPORTRANGE(""https://docs.google.com/spreadsheets/d/1QqKyyYR6Q21VydFLVH3TRQUabQu_ym0Zz7PgGX0-kHA/edit?usp=sharing"",""แผน!AY49"")"),0)</f>
        <v>0</v>
      </c>
      <c r="M242" s="322"/>
      <c r="N242" s="88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7" t="s">
        <v>38</v>
      </c>
      <c r="E243" s="173"/>
      <c r="F243" s="173"/>
      <c r="G243" s="174"/>
      <c r="H243" s="762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4" t="s">
        <v>35</v>
      </c>
      <c r="I244" s="270">
        <f ca="1">IFERROR(__xludf.DUMMYFUNCTION("IMPORTRANGE(""https://docs.google.com/spreadsheets/d/1QqKyyYR6Q21VydFLVH3TRQUabQu_ym0Zz7PgGX0-kHA/edit?usp=sharing"",""แผน!BE49"")"),0)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4" t="s">
        <v>43</v>
      </c>
      <c r="E245" s="178"/>
      <c r="F245" s="178"/>
      <c r="G245" s="179"/>
      <c r="H245" s="764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4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4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8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IFERROR(__xludf.DUMMYFUNCTION("IMPORTRANGE(""https://docs.google.com/spreadsheets/d/1QqKyyYR6Q21VydFLVH3TRQUabQu_ym0Zz7PgGX0-kHA/edit?usp=sharing"",""แผน!AZ49"")"),0)</f>
        <v>0</v>
      </c>
      <c r="M250" s="322"/>
      <c r="N250" s="88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IFERROR(__xludf.DUMMYFUNCTION("IMPORTRANGE(""https://docs.google.com/spreadsheets/d/1QqKyyYR6Q21VydFLVH3TRQUabQu_ym0Zz7PgGX0-kHA/edit?usp=sharing"",""แผน!BA49"")"),0)</f>
        <v>0</v>
      </c>
      <c r="M251" s="322"/>
      <c r="N251" s="88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IFERROR(__xludf.DUMMYFUNCTION("IMPORTRANGE(""https://docs.google.com/spreadsheets/d/1QqKyyYR6Q21VydFLVH3TRQUabQu_ym0Zz7PgGX0-kHA/edit?usp=sharing"",""แผน!BB49"")"),0)</f>
        <v>0</v>
      </c>
      <c r="M252" s="322"/>
      <c r="N252" s="88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IFERROR(__xludf.DUMMYFUNCTION("IMPORTRANGE(""https://docs.google.com/spreadsheets/d/1QqKyyYR6Q21VydFLVH3TRQUabQu_ym0Zz7PgGX0-kHA/edit?usp=sharing"",""แผน!BC49"")"),0)</f>
        <v>0</v>
      </c>
      <c r="M253" s="322"/>
      <c r="N253" s="88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7" t="s">
        <v>38</v>
      </c>
      <c r="E254" s="173"/>
      <c r="F254" s="173"/>
      <c r="G254" s="174"/>
      <c r="H254" s="762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4" t="s">
        <v>35</v>
      </c>
      <c r="I255" s="270">
        <f ca="1">IFERROR(__xludf.DUMMYFUNCTION("IMPORTRANGE(""https://docs.google.com/spreadsheets/d/1QqKyyYR6Q21VydFLVH3TRQUabQu_ym0Zz7PgGX0-kHA/edit?usp=sharing"",""แผน!BF49"")"),0)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4" t="s">
        <v>43</v>
      </c>
      <c r="E256" s="178"/>
      <c r="F256" s="178"/>
      <c r="G256" s="179"/>
      <c r="H256" s="764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4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4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28800</v>
      </c>
      <c r="N261" s="155">
        <f t="shared" ca="1" si="116"/>
        <v>28800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7"/>
      <c r="J262" s="617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7"/>
      <c r="J263" s="617"/>
      <c r="K263" s="93"/>
      <c r="L263" s="93">
        <f t="shared" ca="1" si="119"/>
        <v>28800</v>
      </c>
      <c r="M263" s="93">
        <f t="shared" ca="1" si="119"/>
        <v>28800</v>
      </c>
      <c r="N263" s="93">
        <f t="shared" ca="1" si="119"/>
        <v>28800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28800</v>
      </c>
      <c r="M264" s="498">
        <f t="shared" ca="1" si="120"/>
        <v>28800</v>
      </c>
      <c r="N264" s="498">
        <f t="shared" ca="1" si="120"/>
        <v>28800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IFERROR(__xludf.DUMMYFUNCTION("IMPORTRANGE(""https://docs.google.com/spreadsheets/d/1MeEWN-I1oV_STSDYn1IFDPWt_1FKiwhDph83XaGc0o0/edit?usp=sharing"",""งบพรบ!CY49"")"),28800)</f>
        <v>28800</v>
      </c>
      <c r="M266" s="93">
        <f ca="1">IFERROR(__xludf.DUMMYFUNCTION("IMPORTRANGE(""https://docs.google.com/spreadsheets/d/1MeEWN-I1oV_STSDYn1IFDPWt_1FKiwhDph83XaGc0o0/edit?usp=sharing"",""งบพรบ!DD49"")"),28800)</f>
        <v>28800</v>
      </c>
      <c r="N266" s="93">
        <f ca="1">IFERROR(__xludf.DUMMYFUNCTION("IMPORTRANGE(""https://docs.google.com/spreadsheets/d/1MeEWN-I1oV_STSDYn1IFDPWt_1FKiwhDph83XaGc0o0/edit?usp=sharing"",""งบพรบ!DF49"")"),28800)</f>
        <v>28800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IFERROR(__xludf.DUMMYFUNCTION("IMPORTRANGE(""https://docs.google.com/spreadsheets/d/1MeEWN-I1oV_STSDYn1IFDPWt_1FKiwhDph83XaGc0o0/edit?usp=sharing"",""งบพรบ!DB49"")"),0)</f>
        <v>0</v>
      </c>
      <c r="M269" s="93">
        <f ca="1">IFERROR(__xludf.DUMMYFUNCTION("IMPORTRANGE(""https://docs.google.com/spreadsheets/d/1MeEWN-I1oV_STSDYn1IFDPWt_1FKiwhDph83XaGc0o0/edit?usp=sharing"",""งบพรบ!DE49"")"),0)</f>
        <v>0</v>
      </c>
      <c r="N269" s="93">
        <f ca="1">IFERROR(__xludf.DUMMYFUNCTION("IMPORTRANGE(""https://docs.google.com/spreadsheets/d/1MeEWN-I1oV_STSDYn1IFDPWt_1FKiwhDph83XaGc0o0/edit?usp=sharing"",""งบพรบ!DG49"")"),0)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7" t="s">
        <v>38</v>
      </c>
      <c r="E270" s="173"/>
      <c r="F270" s="173"/>
      <c r="G270" s="174"/>
      <c r="H270" s="76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IFERROR(__xludf.DUMMYFUNCTION("IMPORTRANGE(""https://docs.google.com/spreadsheets/d/1QqKyyYR6Q21VydFLVH3TRQUabQu_ym0Zz7PgGX0-kHA/edit?usp=sharing"",""แผน!EA49"")"),24)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6">
        <v>0</v>
      </c>
      <c r="J272" s="506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5">
        <f t="shared" ref="I276:J276" ca="1" si="124">I287</f>
        <v>0</v>
      </c>
      <c r="J276" s="885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7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7"/>
      <c r="J278" s="617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7"/>
      <c r="J279" s="617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IFERROR(__xludf.DUMMYFUNCTION("IMPORTRANGE(""https://docs.google.com/spreadsheets/d/1MeEWN-I1oV_STSDYn1IFDPWt_1FKiwhDph83XaGc0o0/edit?usp=sharing"",""งบพรบ!DI49"")"),0)</f>
        <v>0</v>
      </c>
      <c r="M282" s="93">
        <f ca="1">IFERROR(__xludf.DUMMYFUNCTION("IMPORTRANGE(""https://docs.google.com/spreadsheets/d/1MeEWN-I1oV_STSDYn1IFDPWt_1FKiwhDph83XaGc0o0/edit?usp=sharing"",""งบพรบ!DN49"")"),0)</f>
        <v>0</v>
      </c>
      <c r="N282" s="93">
        <f ca="1">IFERROR(__xludf.DUMMYFUNCTION("IMPORTRANGE(""https://docs.google.com/spreadsheets/d/1MeEWN-I1oV_STSDYn1IFDPWt_1FKiwhDph83XaGc0o0/edit?usp=sharing"",""งบพรบ!DP49"")"),0)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IFERROR(__xludf.DUMMYFUNCTION("IMPORTRANGE(""https://docs.google.com/spreadsheets/d/1MeEWN-I1oV_STSDYn1IFDPWt_1FKiwhDph83XaGc0o0/edit?usp=sharing"",""งบพรบ!DL49"")"),0)</f>
        <v>0</v>
      </c>
      <c r="M285" s="93">
        <f ca="1">IFERROR(__xludf.DUMMYFUNCTION("IMPORTRANGE(""https://docs.google.com/spreadsheets/d/1MeEWN-I1oV_STSDYn1IFDPWt_1FKiwhDph83XaGc0o0/edit?usp=sharing"",""งบพรบ!DO49"")"),0)</f>
        <v>0</v>
      </c>
      <c r="N285" s="93">
        <f ca="1">IFERROR(__xludf.DUMMYFUNCTION("IMPORTRANGE(""https://docs.google.com/spreadsheets/d/1MeEWN-I1oV_STSDYn1IFDPWt_1FKiwhDph83XaGc0o0/edit?usp=sharing"",""งบพรบ!DQ49"")"),0)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77" t="s">
        <v>38</v>
      </c>
      <c r="E286" s="173"/>
      <c r="F286" s="173"/>
      <c r="G286" s="174"/>
      <c r="H286" s="76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6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IFERROR(__xludf.DUMMYFUNCTION("IMPORTRANGE(""https://docs.google.com/spreadsheets/d/1QqKyyYR6Q21VydFLVH3TRQUabQu_ym0Zz7PgGX0-kHA/edit?usp=sharing"",""แผน!EC49"")"),0)</f>
        <v>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6" t="s">
        <v>130</v>
      </c>
      <c r="E288" s="171"/>
      <c r="F288" s="178"/>
      <c r="G288" s="179"/>
      <c r="H288" s="180" t="s">
        <v>35</v>
      </c>
      <c r="I288" s="681">
        <f ca="1">IFERROR(__xludf.DUMMYFUNCTION("IMPORTRANGE(""https://docs.google.com/spreadsheets/d/1QqKyyYR6Q21VydFLVH3TRQUabQu_ym0Zz7PgGX0-kHA/edit?usp=sharing"",""แผน!EB49"")"),0)</f>
        <v>0</v>
      </c>
      <c r="J288" s="681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4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6" t="s">
        <v>132</v>
      </c>
      <c r="F290" s="178"/>
      <c r="G290" s="179"/>
      <c r="H290" s="764" t="s">
        <v>35</v>
      </c>
      <c r="I290" s="184">
        <f ca="1">IFERROR(__xludf.DUMMYFUNCTION("IMPORTRANGE(""https://docs.google.com/spreadsheets/d/1QqKyyYR6Q21VydFLVH3TRQUabQu_ym0Zz7PgGX0-kHA/edit?usp=sharing"",""แผน!EB49"")"),0)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6" t="s">
        <v>347</v>
      </c>
      <c r="F291" s="178"/>
      <c r="G291" s="179"/>
      <c r="H291" s="764" t="s">
        <v>35</v>
      </c>
      <c r="I291" s="184">
        <f ca="1">IFERROR(__xludf.DUMMYFUNCTION("IMPORTRANGE(""https://docs.google.com/spreadsheets/d/1QqKyyYR6Q21VydFLVH3TRQUabQu_ym0Zz7PgGX0-kHA/edit?usp=sharing"",""แผน!EB49"")"),0)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6" t="s">
        <v>132</v>
      </c>
      <c r="F293" s="178"/>
      <c r="G293" s="179"/>
      <c r="H293" s="764" t="s">
        <v>35</v>
      </c>
      <c r="I293" s="184">
        <f ca="1">IFERROR(__xludf.DUMMYFUNCTION("IMPORTRANGE(""https://docs.google.com/spreadsheets/d/1QqKyyYR6Q21VydFLVH3TRQUabQu_ym0Zz7PgGX0-kHA/edit?usp=sharing"",""แผน!EB49"")"),0)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4" t="s">
        <v>347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IFERROR(__xludf.DUMMYFUNCTION("IMPORTRANGE(""https://docs.google.com/spreadsheets/d/1QqKyyYR6Q21VydFLVH3TRQUabQu_ym0Zz7PgGX0-kHA/edit?usp=sharing"",""แผน!EB49"")"),0)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7"/>
      <c r="J299" s="617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7"/>
      <c r="J300" s="617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IFERROR(__xludf.DUMMYFUNCTION("IMPORTRANGE(""https://docs.google.com/spreadsheets/d/1MeEWN-I1oV_STSDYn1IFDPWt_1FKiwhDph83XaGc0o0/edit?usp=sharing"",""งบพรบ!DS49"")"),0)</f>
        <v>0</v>
      </c>
      <c r="M303" s="93">
        <f ca="1">IFERROR(__xludf.DUMMYFUNCTION("IMPORTRANGE(""https://docs.google.com/spreadsheets/d/1MeEWN-I1oV_STSDYn1IFDPWt_1FKiwhDph83XaGc0o0/edit?usp=sharing"",""งบพรบ!DX49"")"),0)</f>
        <v>0</v>
      </c>
      <c r="N303" s="93">
        <f ca="1">IFERROR(__xludf.DUMMYFUNCTION("IMPORTRANGE(""https://docs.google.com/spreadsheets/d/1MeEWN-I1oV_STSDYn1IFDPWt_1FKiwhDph83XaGc0o0/edit?usp=sharing"",""งบพรบ!DZ49"")"),0)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IFERROR(__xludf.DUMMYFUNCTION("IMPORTRANGE(""https://docs.google.com/spreadsheets/d/1MeEWN-I1oV_STSDYn1IFDPWt_1FKiwhDph83XaGc0o0/edit?usp=sharing"",""งบพรบ!DV49"")"),0)</f>
        <v>0</v>
      </c>
      <c r="M306" s="93">
        <f ca="1">IFERROR(__xludf.DUMMYFUNCTION("IMPORTRANGE(""https://docs.google.com/spreadsheets/d/1MeEWN-I1oV_STSDYn1IFDPWt_1FKiwhDph83XaGc0o0/edit?usp=sharing"",""งบพรบ!DY49"")"),0)</f>
        <v>0</v>
      </c>
      <c r="N306" s="93">
        <f ca="1">IFERROR(__xludf.DUMMYFUNCTION("IMPORTRANGE(""https://docs.google.com/spreadsheets/d/1MeEWN-I1oV_STSDYn1IFDPWt_1FKiwhDph83XaGc0o0/edit?usp=sharing"",""งบพรบ!EA49"")"),0)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7" t="s">
        <v>38</v>
      </c>
      <c r="E307" s="173"/>
      <c r="F307" s="173"/>
      <c r="G307" s="174"/>
      <c r="H307" s="762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4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4" t="s">
        <v>35</v>
      </c>
      <c r="I309" s="270">
        <f ca="1">IFERROR(__xludf.DUMMYFUNCTION("IMPORTRANGE(""https://docs.google.com/spreadsheets/d/1QqKyyYR6Q21VydFLVH3TRQUabQu_ym0Zz7PgGX0-kHA/edit?usp=sharing"",""แผน!ED49"")"),0)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4" t="s">
        <v>35</v>
      </c>
      <c r="I310" s="270">
        <f ca="1">IFERROR(__xludf.DUMMYFUNCTION("IMPORTRANGE(""https://docs.google.com/spreadsheets/d/1QqKyyYR6Q21VydFLVH3TRQUabQu_ym0Zz7PgGX0-kHA/edit?usp=sharing"",""แผน!ED49"")"),0)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4" t="s">
        <v>35</v>
      </c>
      <c r="I311" s="270">
        <f ca="1">IFERROR(__xludf.DUMMYFUNCTION("IMPORTRANGE(""https://docs.google.com/spreadsheets/d/1QqKyyYR6Q21VydFLVH3TRQUabQu_ym0Zz7PgGX0-kHA/edit?usp=sharing"",""แผน!ED49"")"),0)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4" t="s">
        <v>35</v>
      </c>
      <c r="I312" s="270">
        <f ca="1">IFERROR(__xludf.DUMMYFUNCTION("IMPORTRANGE(""https://docs.google.com/spreadsheets/d/1QqKyyYR6Q21VydFLVH3TRQUabQu_ym0Zz7PgGX0-kHA/edit?usp=sharing"",""แผน!EE49"")"),0)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7"/>
      <c r="J316" s="617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7"/>
      <c r="J317" s="617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IFERROR(__xludf.DUMMYFUNCTION("IMPORTRANGE(""https://docs.google.com/spreadsheets/d/1MeEWN-I1oV_STSDYn1IFDPWt_1FKiwhDph83XaGc0o0/edit?usp=sharing"",""งบพรบ!EC49"")"),0)</f>
        <v>0</v>
      </c>
      <c r="M320" s="93">
        <f ca="1">IFERROR(__xludf.DUMMYFUNCTION("IMPORTRANGE(""https://docs.google.com/spreadsheets/d/1MeEWN-I1oV_STSDYn1IFDPWt_1FKiwhDph83XaGc0o0/edit?usp=sharing"",""งบพรบ!EH49"")"),0)</f>
        <v>0</v>
      </c>
      <c r="N320" s="93">
        <f ca="1">IFERROR(__xludf.DUMMYFUNCTION("IMPORTRANGE(""https://docs.google.com/spreadsheets/d/1MeEWN-I1oV_STSDYn1IFDPWt_1FKiwhDph83XaGc0o0/edit?usp=sharing"",""งบพรบ!EJ49"")"),0)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IFERROR(__xludf.DUMMYFUNCTION("IMPORTRANGE(""https://docs.google.com/spreadsheets/d/1MeEWN-I1oV_STSDYn1IFDPWt_1FKiwhDph83XaGc0o0/edit?usp=sharing"",""งบพรบ!EF49"")"),0)</f>
        <v>0</v>
      </c>
      <c r="M323" s="93">
        <f ca="1">IFERROR(__xludf.DUMMYFUNCTION("IMPORTRANGE(""https://docs.google.com/spreadsheets/d/1MeEWN-I1oV_STSDYn1IFDPWt_1FKiwhDph83XaGc0o0/edit?usp=sharing"",""งบพรบ!EI49"")"),0)</f>
        <v>0</v>
      </c>
      <c r="N323" s="93">
        <f ca="1">IFERROR(__xludf.DUMMYFUNCTION("IMPORTRANGE(""https://docs.google.com/spreadsheets/d/1MeEWN-I1oV_STSDYn1IFDPWt_1FKiwhDph83XaGc0o0/edit?usp=sharing"",""งบพรบ!EK49"")"),0)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7" t="s">
        <v>38</v>
      </c>
      <c r="E324" s="173"/>
      <c r="F324" s="173"/>
      <c r="G324" s="174"/>
      <c r="H324" s="762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3" t="s">
        <v>146</v>
      </c>
      <c r="I325" s="270">
        <f ca="1">IFERROR(__xludf.DUMMYFUNCTION("IMPORTRANGE(""https://docs.google.com/spreadsheets/d/1QqKyyYR6Q21VydFLVH3TRQUabQu_ym0Zz7PgGX0-kHA/edit?usp=sharing"",""แผน!EF49"")"),0)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IFERROR(__xludf.DUMMYFUNCTION("IMPORTRANGE(""https://docs.google.com/spreadsheets/d/1QqKyyYR6Q21VydFLVH3TRQUabQu_ym0Zz7PgGX0-kHA/edit?usp=sharing"",""แผน!EG49"")"),1900)</f>
        <v>1900</v>
      </c>
      <c r="J327" s="444">
        <f ca="1">J338+J341+J342+J343</f>
        <v>3352</v>
      </c>
      <c r="K327" s="445">
        <f ca="1">IF(I327&gt;0,J327*100/I327,0)</f>
        <v>176.42105263157896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166000</v>
      </c>
      <c r="M328" s="155">
        <f t="shared" ca="1" si="149"/>
        <v>168500</v>
      </c>
      <c r="N328" s="155">
        <f t="shared" ca="1" si="149"/>
        <v>168500</v>
      </c>
      <c r="O328" s="155">
        <f t="shared" ref="O328:O336" ca="1" si="150">IF(L328&gt;0,N328*100/L328,0)</f>
        <v>101.50602409638554</v>
      </c>
      <c r="P328" s="155">
        <f t="shared" ref="P328:P336" ca="1" si="151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7"/>
      <c r="J329" s="617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7"/>
      <c r="J330" s="617"/>
      <c r="K330" s="93"/>
      <c r="L330" s="93">
        <f t="shared" ca="1" si="152"/>
        <v>166000</v>
      </c>
      <c r="M330" s="93">
        <f t="shared" ca="1" si="152"/>
        <v>168500</v>
      </c>
      <c r="N330" s="93">
        <f t="shared" ca="1" si="152"/>
        <v>168500</v>
      </c>
      <c r="O330" s="93">
        <f t="shared" ca="1" si="150"/>
        <v>101.50602409638554</v>
      </c>
      <c r="P330" s="93">
        <f t="shared" ca="1" si="151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166000</v>
      </c>
      <c r="M331" s="498">
        <f t="shared" ca="1" si="153"/>
        <v>168500</v>
      </c>
      <c r="N331" s="498">
        <f t="shared" ca="1" si="153"/>
        <v>168500</v>
      </c>
      <c r="O331" s="498">
        <f t="shared" ca="1" si="150"/>
        <v>101.50602409638554</v>
      </c>
      <c r="P331" s="498">
        <f t="shared" ca="1" si="151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IFERROR(__xludf.DUMMYFUNCTION("IMPORTRANGE(""https://docs.google.com/spreadsheets/d/1MeEWN-I1oV_STSDYn1IFDPWt_1FKiwhDph83XaGc0o0/edit?usp=sharing"",""งบพรบ!EM49"")"),166000)</f>
        <v>166000</v>
      </c>
      <c r="M333" s="93">
        <f ca="1">IFERROR(__xludf.DUMMYFUNCTION("IMPORTRANGE(""https://docs.google.com/spreadsheets/d/1MeEWN-I1oV_STSDYn1IFDPWt_1FKiwhDph83XaGc0o0/edit?usp=sharing"",""งบพรบ!ER49"")"),168500)</f>
        <v>168500</v>
      </c>
      <c r="N333" s="93">
        <f ca="1">IFERROR(__xludf.DUMMYFUNCTION("IMPORTRANGE(""https://docs.google.com/spreadsheets/d/1MeEWN-I1oV_STSDYn1IFDPWt_1FKiwhDph83XaGc0o0/edit?usp=sharing"",""งบพรบ!ET49"")"),168500)</f>
        <v>168500</v>
      </c>
      <c r="O333" s="93">
        <f t="shared" ca="1" si="150"/>
        <v>101.50602409638554</v>
      </c>
      <c r="P333" s="93">
        <f t="shared" ca="1" si="151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IFERROR(__xludf.DUMMYFUNCTION("IMPORTRANGE(""https://docs.google.com/spreadsheets/d/1MeEWN-I1oV_STSDYn1IFDPWt_1FKiwhDph83XaGc0o0/edit?usp=sharing"",""งบพรบ!EP49"")"),0)</f>
        <v>0</v>
      </c>
      <c r="M336" s="93">
        <f ca="1">IFERROR(__xludf.DUMMYFUNCTION("IMPORTRANGE(""https://docs.google.com/spreadsheets/d/1MeEWN-I1oV_STSDYn1IFDPWt_1FKiwhDph83XaGc0o0/edit?usp=sharing"",""งบพรบ!ES49"")"),0)</f>
        <v>0</v>
      </c>
      <c r="N336" s="93">
        <f ca="1">IFERROR(__xludf.DUMMYFUNCTION("IMPORTRANGE(""https://docs.google.com/spreadsheets/d/1MeEWN-I1oV_STSDYn1IFDPWt_1FKiwhDph83XaGc0o0/edit?usp=sharing"",""งบพรบ!EU49"")"),0)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86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62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IFERROR(__xludf.DUMMYFUNCTION("IMPORTRANGE(""https://docs.google.com/spreadsheets/d/1QqKyyYR6Q21VydFLVH3TRQUabQu_ym0Zz7PgGX0-kHA/edit?usp=sharing"",""แผน!EG49"")"),1900)</f>
        <v>1900</v>
      </c>
      <c r="J338" s="270">
        <f ca="1">IFERROR(__xludf.DUMMYFUNCTION("IMPORTRANGE(""https://docs.google.com/spreadsheets/d/1kVcqe37tkHyjCSG3S0O1AXqVkqjo8mSIZil3BcpIysc/edit?usp=sharing"",""ศูนย์!D49"")"),2999)</f>
        <v>2999</v>
      </c>
      <c r="K338" s="498">
        <f ca="1">IF(I338&gt;0,J338*100/I338,0)</f>
        <v>157.84210526315789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IFERROR(__xludf.DUMMYFUNCTION("IMPORTRANGE(""https://docs.google.com/spreadsheets/d/1QqKyyYR6Q21VydFLVH3TRQUabQu_ym0Zz7PgGX0-kHA/edit?usp=sharing"",""แผน!EH49"")"),4)</f>
        <v>4</v>
      </c>
      <c r="J340" s="270">
        <f ca="1">IFERROR(__xludf.DUMMYFUNCTION("IMPORTRANGE(""https://docs.google.com/spreadsheets/d/1kVcqe37tkHyjCSG3S0O1AXqVkqjo8mSIZil3BcpIysc/edit?usp=sharing"",""ศูนย์!E49"")"),4)</f>
        <v>4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IFERROR(__xludf.DUMMYFUNCTION("IMPORTRANGE(""https://docs.google.com/spreadsheets/d/1kVcqe37tkHyjCSG3S0O1AXqVkqjo8mSIZil3BcpIysc/edit?usp=sharing"",""ศูนย์!F49"")"),219)</f>
        <v>219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IFERROR(__xludf.DUMMYFUNCTION("IMPORTRANGE(""https://docs.google.com/spreadsheets/d/1kVcqe37tkHyjCSG3S0O1AXqVkqjo8mSIZil3BcpIysc/edit?usp=sharing"",""ศูนย์!G49"")"),2)</f>
        <v>2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IFERROR(__xludf.DUMMYFUNCTION("IMPORTRANGE(""https://docs.google.com/spreadsheets/d/1kVcqe37tkHyjCSG3S0O1AXqVkqjo8mSIZil3BcpIysc/edit?usp=sharing"",""ศูนย์!H49"")"),132)</f>
        <v>132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825530</v>
      </c>
      <c r="M345" s="155">
        <f t="shared" ca="1" si="155"/>
        <v>940210</v>
      </c>
      <c r="N345" s="155">
        <f t="shared" ca="1" si="155"/>
        <v>940210</v>
      </c>
      <c r="O345" s="155">
        <f t="shared" ref="O345:O353" ca="1" si="156">IF(L345&gt;0,N345*100/L345,0)</f>
        <v>113.89168170750912</v>
      </c>
      <c r="P345" s="155">
        <f t="shared" ref="P345:P353" ca="1" si="157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7"/>
      <c r="J346" s="617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7"/>
      <c r="J347" s="617"/>
      <c r="K347" s="93"/>
      <c r="L347" s="93">
        <f t="shared" ca="1" si="158"/>
        <v>825530</v>
      </c>
      <c r="M347" s="93">
        <f t="shared" ca="1" si="158"/>
        <v>940210</v>
      </c>
      <c r="N347" s="93">
        <f t="shared" ca="1" si="158"/>
        <v>940210</v>
      </c>
      <c r="O347" s="93">
        <f t="shared" ca="1" si="156"/>
        <v>113.89168170750912</v>
      </c>
      <c r="P347" s="93">
        <f t="shared" ca="1" si="157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730130</v>
      </c>
      <c r="M348" s="498">
        <f t="shared" ca="1" si="159"/>
        <v>844810</v>
      </c>
      <c r="N348" s="498">
        <f t="shared" ca="1" si="159"/>
        <v>844810</v>
      </c>
      <c r="O348" s="498">
        <f t="shared" ca="1" si="156"/>
        <v>115.70679194116116</v>
      </c>
      <c r="P348" s="498">
        <f t="shared" ca="1" si="157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IFERROR(__xludf.DUMMYFUNCTION("IMPORTRANGE(""https://docs.google.com/spreadsheets/d/1MeEWN-I1oV_STSDYn1IFDPWt_1FKiwhDph83XaGc0o0/edit?usp=sharing"",""งบพรบ!EW49"")"),730130)</f>
        <v>730130</v>
      </c>
      <c r="M350" s="93">
        <f ca="1">IFERROR(__xludf.DUMMYFUNCTION("IMPORTRANGE(""https://docs.google.com/spreadsheets/d/1MeEWN-I1oV_STSDYn1IFDPWt_1FKiwhDph83XaGc0o0/edit?usp=sharing"",""งบพรบ!FB49"")"),844810)</f>
        <v>844810</v>
      </c>
      <c r="N350" s="93">
        <f ca="1">IFERROR(__xludf.DUMMYFUNCTION("IMPORTRANGE(""https://docs.google.com/spreadsheets/d/1MeEWN-I1oV_STSDYn1IFDPWt_1FKiwhDph83XaGc0o0/edit?usp=sharing"",""งบพรบ!FD49"")"),844810)</f>
        <v>844810</v>
      </c>
      <c r="O350" s="93">
        <f t="shared" ca="1" si="156"/>
        <v>115.70679194116116</v>
      </c>
      <c r="P350" s="93">
        <f t="shared" ca="1" si="157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95400</v>
      </c>
      <c r="M351" s="498">
        <f t="shared" ca="1" si="160"/>
        <v>95400</v>
      </c>
      <c r="N351" s="498">
        <f t="shared" ca="1" si="160"/>
        <v>95400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IFERROR(__xludf.DUMMYFUNCTION("IMPORTRANGE(""https://docs.google.com/spreadsheets/d/1MeEWN-I1oV_STSDYn1IFDPWt_1FKiwhDph83XaGc0o0/edit?usp=sharing"",""งบพรบ!EZ49"")"),95400)</f>
        <v>95400</v>
      </c>
      <c r="M353" s="93">
        <f ca="1">IFERROR(__xludf.DUMMYFUNCTION("IMPORTRANGE(""https://docs.google.com/spreadsheets/d/1MeEWN-I1oV_STSDYn1IFDPWt_1FKiwhDph83XaGc0o0/edit?usp=sharing"",""งบพรบ!FC49"")"),95400)</f>
        <v>95400</v>
      </c>
      <c r="N353" s="93">
        <f ca="1">IFERROR(__xludf.DUMMYFUNCTION("IMPORTRANGE(""https://docs.google.com/spreadsheets/d/1MeEWN-I1oV_STSDYn1IFDPWt_1FKiwhDph83XaGc0o0/edit?usp=sharing"",""งบพรบ!FE49"")"),95400)</f>
        <v>95400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8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IFERROR(__xludf.DUMMYFUNCTION("IMPORTRANGE(""https://docs.google.com/spreadsheets/d/1QqKyyYR6Q21VydFLVH3TRQUabQu_ym0Zz7PgGX0-kHA/edit?usp=sharing"",""แผน!EP49"")"),210)</f>
        <v>210</v>
      </c>
      <c r="J355" s="465">
        <f ca="1">J362</f>
        <v>298</v>
      </c>
      <c r="K355" s="466">
        <f ca="1">IF(I355&gt;0,J355*100/I355,0)</f>
        <v>141.9047619047619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77" t="s">
        <v>38</v>
      </c>
      <c r="E357" s="173"/>
      <c r="F357" s="173"/>
      <c r="G357" s="174"/>
      <c r="H357" s="762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IFERROR(__xludf.DUMMYFUNCTION("IMPORTRANGE(""https://docs.google.com/spreadsheets/d/1XWAQStnk-4SwqDmLtmXYiTMKHgktTP8We1SCoS47DrQ/edit?usp=sharing"",""จัดที่ดิน!W49"")"),311)</f>
        <v>311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IFERROR(__xludf.DUMMYFUNCTION("IMPORTRANGE(""https://docs.google.com/spreadsheets/d/1QqKyyYR6Q21VydFLVH3TRQUabQu_ym0Zz7PgGX0-kHA/edit?usp=sharing"",""แผน!EO49"")"),2000)</f>
        <v>2000</v>
      </c>
      <c r="J359" s="270">
        <f ca="1">IFERROR(__xludf.DUMMYFUNCTION("IMPORTRANGE(""https://docs.google.com/spreadsheets/d/1XWAQStnk-4SwqDmLtmXYiTMKHgktTP8We1SCoS47DrQ/edit?usp=sharing"",""จัดที่ดิน!X49"")"),2447.5)</f>
        <v>2447.5</v>
      </c>
      <c r="K359" s="498">
        <f t="shared" ca="1" si="161"/>
        <v>122.375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4" t="s">
        <v>35</v>
      </c>
      <c r="I360" s="270">
        <f ca="1">IFERROR(__xludf.DUMMYFUNCTION("IMPORTRANGE(""https://docs.google.com/spreadsheets/d/1QqKyyYR6Q21VydFLVH3TRQUabQu_ym0Zz7PgGX0-kHA/edit?usp=sharing"",""แผน!EP49"")"),210)</f>
        <v>210</v>
      </c>
      <c r="J360" s="270">
        <f ca="1">IFERROR(__xludf.DUMMYFUNCTION("IMPORTRANGE(""https://docs.google.com/spreadsheets/d/1XWAQStnk-4SwqDmLtmXYiTMKHgktTP8We1SCoS47DrQ/edit?usp=sharing"",""จัดที่ดิน!Y49"")"),300)</f>
        <v>300</v>
      </c>
      <c r="K360" s="498">
        <f t="shared" ca="1" si="161"/>
        <v>142.85714285714286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IFERROR(__xludf.DUMMYFUNCTION("IMPORTRANGE(""https://docs.google.com/spreadsheets/d/1XWAQStnk-4SwqDmLtmXYiTMKHgktTP8We1SCoS47DrQ/edit?usp=sharing"",""จัดที่ดิน!Z49"")"),2231.47)</f>
        <v>2231.4699999999998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4" t="s">
        <v>35</v>
      </c>
      <c r="I362" s="270">
        <f ca="1">IFERROR(__xludf.DUMMYFUNCTION("IMPORTRANGE(""https://docs.google.com/spreadsheets/d/1QqKyyYR6Q21VydFLVH3TRQUabQu_ym0Zz7PgGX0-kHA/edit?usp=sharing"",""แผน!EP49"")"),210)</f>
        <v>210</v>
      </c>
      <c r="J362" s="270">
        <f ca="1">IFERROR(__xludf.DUMMYFUNCTION("IMPORTRANGE(""https://docs.google.com/spreadsheets/d/1XWAQStnk-4SwqDmLtmXYiTMKHgktTP8We1SCoS47DrQ/edit?usp=sharing"",""จัดที่ดิน!AA49"")"),298)</f>
        <v>298</v>
      </c>
      <c r="K362" s="498">
        <f t="shared" ca="1" si="161"/>
        <v>141.9047619047619</v>
      </c>
      <c r="L362" s="163"/>
      <c r="M362" s="163"/>
      <c r="N362" s="163"/>
      <c r="O362" s="163"/>
      <c r="P362" s="163"/>
    </row>
    <row r="363" spans="1:26" ht="18.75" hidden="1">
      <c r="A363" s="499" t="s">
        <v>169</v>
      </c>
      <c r="B363" s="178"/>
      <c r="C363" s="171"/>
      <c r="D363" s="178"/>
      <c r="E363" s="447"/>
      <c r="F363" s="178"/>
      <c r="G363" s="179"/>
      <c r="H363" s="76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IFERROR(__xludf.DUMMYFUNCTION("IMPORTRANGE(""https://docs.google.com/spreadsheets/d/1XWAQStnk-4SwqDmLtmXYiTMKHgktTP8We1SCoS47DrQ/edit?usp=sharing"",""จัดที่ดิน!AB49"")"),2214.81)</f>
        <v>2214.81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t="shared" ref="I364:J364" ca="1" si="162">I365+I374</f>
        <v>610</v>
      </c>
      <c r="J364" s="479">
        <f t="shared" ca="1" si="162"/>
        <v>729</v>
      </c>
      <c r="K364" s="480">
        <f t="shared" ca="1" si="161"/>
        <v>119.50819672131148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IFERROR(__xludf.DUMMYFUNCTION("IMPORTRANGE(""https://docs.google.com/spreadsheets/d/1QqKyyYR6Q21VydFLVH3TRQUabQu_ym0Zz7PgGX0-kHA/edit?usp=sharing"",""แผน!EJ49"")"),60)</f>
        <v>60</v>
      </c>
      <c r="J365" s="491">
        <f ca="1">J372</f>
        <v>94</v>
      </c>
      <c r="K365" s="492">
        <f t="shared" ca="1" si="161"/>
        <v>156.66666666666666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77" t="s">
        <v>38</v>
      </c>
      <c r="E367" s="173"/>
      <c r="F367" s="173"/>
      <c r="G367" s="174"/>
      <c r="H367" s="762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IFERROR(__xludf.DUMMYFUNCTION("IMPORTRANGE(""https://docs.google.com/spreadsheets/d/1XWAQStnk-4SwqDmLtmXYiTMKHgktTP8We1SCoS47DrQ/edit?usp=sharing"",""จัดที่ดิน!E49"")"),105)</f>
        <v>105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IFERROR(__xludf.DUMMYFUNCTION("IMPORTRANGE(""https://docs.google.com/spreadsheets/d/1QqKyyYR6Q21VydFLVH3TRQUabQu_ym0Zz7PgGX0-kHA/edit?usp=sharing"",""แผน!EI49"")"),500)</f>
        <v>500</v>
      </c>
      <c r="J369" s="270">
        <f ca="1">IFERROR(__xludf.DUMMYFUNCTION("IMPORTRANGE(""https://docs.google.com/spreadsheets/d/1XWAQStnk-4SwqDmLtmXYiTMKHgktTP8We1SCoS47DrQ/edit?usp=sharing"",""จัดที่ดิน!F49"")"),752.59)</f>
        <v>752.59</v>
      </c>
      <c r="K369" s="498">
        <f t="shared" ca="1" si="163"/>
        <v>150.518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4" t="s">
        <v>35</v>
      </c>
      <c r="I370" s="270">
        <f ca="1">IFERROR(__xludf.DUMMYFUNCTION("IMPORTRANGE(""https://docs.google.com/spreadsheets/d/1QqKyyYR6Q21VydFLVH3TRQUabQu_ym0Zz7PgGX0-kHA/edit?usp=sharing"",""แผน!EJ49"")"),60)</f>
        <v>60</v>
      </c>
      <c r="J370" s="270">
        <f ca="1">IFERROR(__xludf.DUMMYFUNCTION("IMPORTRANGE(""https://docs.google.com/spreadsheets/d/1XWAQStnk-4SwqDmLtmXYiTMKHgktTP8We1SCoS47DrQ/edit?usp=sharing"",""จัดที่ดิน!G49"")"),94)</f>
        <v>94</v>
      </c>
      <c r="K370" s="498">
        <f t="shared" ca="1" si="163"/>
        <v>156.66666666666666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IFERROR(__xludf.DUMMYFUNCTION("IMPORTRANGE(""https://docs.google.com/spreadsheets/d/1XWAQStnk-4SwqDmLtmXYiTMKHgktTP8We1SCoS47DrQ/edit?usp=sharing"",""จัดที่ดิน!H49"")"),536.56)</f>
        <v>536.55999999999995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4" t="s">
        <v>35</v>
      </c>
      <c r="I372" s="270">
        <f ca="1">IFERROR(__xludf.DUMMYFUNCTION("IMPORTRANGE(""https://docs.google.com/spreadsheets/d/1QqKyyYR6Q21VydFLVH3TRQUabQu_ym0Zz7PgGX0-kHA/edit?usp=sharing"",""แผน!EJ49"")"),60)</f>
        <v>60</v>
      </c>
      <c r="J372" s="270">
        <f ca="1">IFERROR(__xludf.DUMMYFUNCTION("IMPORTRANGE(""https://docs.google.com/spreadsheets/d/1XWAQStnk-4SwqDmLtmXYiTMKHgktTP8We1SCoS47DrQ/edit?usp=sharing"",""จัดที่ดิน!I49"")"),94)</f>
        <v>94</v>
      </c>
      <c r="K372" s="498">
        <f t="shared" ca="1" si="163"/>
        <v>156.66666666666666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8"/>
      <c r="C373" s="171"/>
      <c r="D373" s="178"/>
      <c r="E373" s="447"/>
      <c r="F373" s="178"/>
      <c r="G373" s="179"/>
      <c r="H373" s="76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IFERROR(__xludf.DUMMYFUNCTION("IMPORTRANGE(""https://docs.google.com/spreadsheets/d/1XWAQStnk-4SwqDmLtmXYiTMKHgktTP8We1SCoS47DrQ/edit?usp=sharing"",""จัดที่ดิน!J49"")"),536.56)</f>
        <v>536.55999999999995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IFERROR(__xludf.DUMMYFUNCTION("IMPORTRANGE(""https://docs.google.com/spreadsheets/d/1QqKyyYR6Q21VydFLVH3TRQUabQu_ym0Zz7PgGX0-kHA/edit?usp=sharing"",""แผน!EU49"")"),550)</f>
        <v>550</v>
      </c>
      <c r="J374" s="491">
        <f ca="1">J381</f>
        <v>635</v>
      </c>
      <c r="K374" s="492">
        <f t="shared" ca="1" si="163"/>
        <v>115.45454545454545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77" t="s">
        <v>38</v>
      </c>
      <c r="E376" s="173"/>
      <c r="F376" s="173"/>
      <c r="G376" s="174"/>
      <c r="H376" s="762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IFERROR(__xludf.DUMMYFUNCTION("IMPORTRANGE(""https://docs.google.com/spreadsheets/d/1XWAQStnk-4SwqDmLtmXYiTMKHgktTP8We1SCoS47DrQ/edit?usp=sharing"",""จัดที่ดิน!AH49"")"),206)</f>
        <v>206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IFERROR(__xludf.DUMMYFUNCTION("IMPORTRANGE(""https://docs.google.com/spreadsheets/d/1QqKyyYR6Q21VydFLVH3TRQUabQu_ym0Zz7PgGX0-kHA/edit?usp=sharing"",""แผน!ET49"")"),1500)</f>
        <v>1500</v>
      </c>
      <c r="J378" s="270">
        <f ca="1">IFERROR(__xludf.DUMMYFUNCTION("IMPORTRANGE(""https://docs.google.com/spreadsheets/d/1XWAQStnk-4SwqDmLtmXYiTMKHgktTP8We1SCoS47DrQ/edit?usp=sharing"",""จัดที่ดิน!AI49"")"),1694.91)</f>
        <v>1694.91</v>
      </c>
      <c r="K378" s="498">
        <f t="shared" ca="1" si="164"/>
        <v>112.994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4" t="s">
        <v>35</v>
      </c>
      <c r="I379" s="270">
        <f ca="1">IFERROR(__xludf.DUMMYFUNCTION("IMPORTRANGE(""https://docs.google.com/spreadsheets/d/1QqKyyYR6Q21VydFLVH3TRQUabQu_ym0Zz7PgGX0-kHA/edit?usp=sharing"",""แผน!EU49"")"),550)</f>
        <v>550</v>
      </c>
      <c r="J379" s="270">
        <f ca="1">IFERROR(__xludf.DUMMYFUNCTION("IMPORTRANGE(""https://docs.google.com/spreadsheets/d/1XWAQStnk-4SwqDmLtmXYiTMKHgktTP8We1SCoS47DrQ/edit?usp=sharing"",""จัดที่ดิน!AJ49"")"),637)</f>
        <v>637</v>
      </c>
      <c r="K379" s="498">
        <f t="shared" ca="1" si="164"/>
        <v>115.81818181818181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IFERROR(__xludf.DUMMYFUNCTION("IMPORTRANGE(""https://docs.google.com/spreadsheets/d/1XWAQStnk-4SwqDmLtmXYiTMKHgktTP8We1SCoS47DrQ/edit?usp=sharing"",""จัดที่ดิน!AK49"")"),5788.41)</f>
        <v>5788.41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4" t="s">
        <v>35</v>
      </c>
      <c r="I381" s="270">
        <f ca="1">IFERROR(__xludf.DUMMYFUNCTION("IMPORTRANGE(""https://docs.google.com/spreadsheets/d/1QqKyyYR6Q21VydFLVH3TRQUabQu_ym0Zz7PgGX0-kHA/edit?usp=sharing"",""แผน!EU49"")"),550)</f>
        <v>550</v>
      </c>
      <c r="J381" s="270">
        <f ca="1">IFERROR(__xludf.DUMMYFUNCTION("IMPORTRANGE(""https://docs.google.com/spreadsheets/d/1XWAQStnk-4SwqDmLtmXYiTMKHgktTP8We1SCoS47DrQ/edit?usp=sharing"",""จัดที่ดิน!AL49"")"),635)</f>
        <v>635</v>
      </c>
      <c r="K381" s="498">
        <f t="shared" ca="1" si="164"/>
        <v>115.45454545454545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8"/>
      <c r="C382" s="171"/>
      <c r="D382" s="178"/>
      <c r="E382" s="447"/>
      <c r="F382" s="178"/>
      <c r="G382" s="179"/>
      <c r="H382" s="76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IFERROR(__xludf.DUMMYFUNCTION("IMPORTRANGE(""https://docs.google.com/spreadsheets/d/1XWAQStnk-4SwqDmLtmXYiTMKHgktTP8We1SCoS47DrQ/edit?usp=sharing"",""จัดที่ดิน!AM49"")"),5771.75)</f>
        <v>5771.75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500"/>
      <c r="B383" s="501"/>
      <c r="C383" s="291"/>
      <c r="D383" s="889" t="s">
        <v>170</v>
      </c>
      <c r="E383" s="291"/>
      <c r="F383" s="291"/>
      <c r="G383" s="503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86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62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4" t="s">
        <v>171</v>
      </c>
      <c r="F385" s="381"/>
      <c r="G385" s="382"/>
      <c r="H385" s="505" t="s">
        <v>35</v>
      </c>
      <c r="I385" s="506">
        <f ca="1">IFERROR(__xludf.DUMMYFUNCTION("IMPORTRANGE(""https://docs.google.com/spreadsheets/d/1QqKyyYR6Q21VydFLVH3TRQUabQu_ym0Zz7PgGX0-kHA/edit?usp=sharing"",""แผน!EW49"")"),30)</f>
        <v>30</v>
      </c>
      <c r="J385" s="506">
        <f ca="1">IFERROR(__xludf.DUMMYFUNCTION("IMPORTRANGE(""https://docs.google.com/spreadsheets/d/1XWAQStnk-4SwqDmLtmXYiTMKHgktTP8We1SCoS47DrQ/edit?usp=sharing"",""จัดที่ดิน!AP49"")"),32)</f>
        <v>32</v>
      </c>
      <c r="K385" s="507">
        <f ca="1">IF(I385&gt;0,J385*100/I385,0)</f>
        <v>106.66666666666667</v>
      </c>
      <c r="L385" s="385"/>
      <c r="M385" s="385"/>
      <c r="N385" s="385"/>
      <c r="O385" s="385"/>
      <c r="P385" s="385"/>
    </row>
    <row r="386" spans="1:26" ht="19.5" hidden="1">
      <c r="A386" s="508" t="s">
        <v>172</v>
      </c>
      <c r="B386" s="509"/>
      <c r="C386" s="509"/>
      <c r="D386" s="509"/>
      <c r="E386" s="510"/>
      <c r="F386" s="510"/>
      <c r="G386" s="511"/>
      <c r="H386" s="512"/>
      <c r="I386" s="513"/>
      <c r="J386" s="513"/>
      <c r="K386" s="514"/>
      <c r="L386" s="514"/>
      <c r="M386" s="514"/>
      <c r="N386" s="514"/>
      <c r="O386" s="514"/>
      <c r="P386" s="514"/>
    </row>
    <row r="387" spans="1:26" ht="19.5" hidden="1">
      <c r="A387" s="515" t="s">
        <v>173</v>
      </c>
      <c r="B387" s="516"/>
      <c r="C387" s="516"/>
      <c r="D387" s="517"/>
      <c r="E387" s="516"/>
      <c r="F387" s="516"/>
      <c r="G387" s="516"/>
      <c r="H387" s="518"/>
      <c r="I387" s="519"/>
      <c r="J387" s="519"/>
      <c r="K387" s="520"/>
      <c r="L387" s="520"/>
      <c r="M387" s="520"/>
      <c r="N387" s="520"/>
      <c r="O387" s="520"/>
      <c r="P387" s="520"/>
    </row>
    <row r="388" spans="1:26" ht="19.5" hidden="1">
      <c r="A388" s="521"/>
      <c r="B388" s="522" t="s">
        <v>174</v>
      </c>
      <c r="C388" s="523"/>
      <c r="D388" s="524"/>
      <c r="E388" s="524"/>
      <c r="F388" s="524"/>
      <c r="G388" s="525"/>
      <c r="H388" s="526" t="s">
        <v>66</v>
      </c>
      <c r="I388" s="527">
        <f t="shared" ref="I388:J388" si="165">I400</f>
        <v>0</v>
      </c>
      <c r="J388" s="527">
        <f t="shared" si="165"/>
        <v>0</v>
      </c>
      <c r="K388" s="528">
        <f>IF(I388&gt;0,J388*100/I388,0)</f>
        <v>0</v>
      </c>
      <c r="L388" s="529"/>
      <c r="M388" s="529"/>
      <c r="N388" s="529"/>
      <c r="O388" s="529"/>
      <c r="P388" s="529"/>
    </row>
    <row r="389" spans="1:26" ht="19.5" hidden="1">
      <c r="A389" s="147"/>
      <c r="B389" s="148"/>
      <c r="C389" s="149" t="s">
        <v>16</v>
      </c>
      <c r="D389" s="87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7"/>
      <c r="J390" s="617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7"/>
      <c r="J391" s="617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IFERROR(__xludf.DUMMYFUNCTION("IMPORTRANGE(""https://docs.google.com/spreadsheets/d/1MeEWN-I1oV_STSDYn1IFDPWt_1FKiwhDph83XaGc0o0/edit?usp=sharing"",""งบพรบ!FG49"")"),0)</f>
        <v>0</v>
      </c>
      <c r="M394" s="93">
        <f ca="1">IFERROR(__xludf.DUMMYFUNCTION("IMPORTRANGE(""https://docs.google.com/spreadsheets/d/1MeEWN-I1oV_STSDYn1IFDPWt_1FKiwhDph83XaGc0o0/edit?usp=sharing"",""งบพรบ!FL49"")"),0)</f>
        <v>0</v>
      </c>
      <c r="N394" s="93">
        <f ca="1">IFERROR(__xludf.DUMMYFUNCTION("IMPORTRANGE(""https://docs.google.com/spreadsheets/d/1MeEWN-I1oV_STSDYn1IFDPWt_1FKiwhDph83XaGc0o0/edit?usp=sharing"",""งบพรบ!FN49"")"),0)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IFERROR(__xludf.DUMMYFUNCTION("IMPORTRANGE(""https://docs.google.com/spreadsheets/d/1MeEWN-I1oV_STSDYn1IFDPWt_1FKiwhDph83XaGc0o0/edit?usp=sharing"",""งบพรบ!FJ49"")"),0)</f>
        <v>0</v>
      </c>
      <c r="M397" s="93">
        <f ca="1">IFERROR(__xludf.DUMMYFUNCTION("IMPORTRANGE(""https://docs.google.com/spreadsheets/d/1MeEWN-I1oV_STSDYn1IFDPWt_1FKiwhDph83XaGc0o0/edit?usp=sharing"",""งบพรบ!FM49"")"),0)</f>
        <v>0</v>
      </c>
      <c r="N397" s="93">
        <f ca="1">IFERROR(__xludf.DUMMYFUNCTION("IMPORTRANGE(""https://docs.google.com/spreadsheets/d/1MeEWN-I1oV_STSDYn1IFDPWt_1FKiwhDph83XaGc0o0/edit?usp=sharing"",""งบพรบ!FO49"")"),0)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7" t="s">
        <v>38</v>
      </c>
      <c r="E398" s="173"/>
      <c r="F398" s="173"/>
      <c r="G398" s="174"/>
      <c r="H398" s="762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30"/>
      <c r="B399" s="148"/>
      <c r="C399" s="531"/>
      <c r="D399" s="532" t="s">
        <v>175</v>
      </c>
      <c r="E399" s="415"/>
      <c r="F399" s="148"/>
      <c r="G399" s="151"/>
      <c r="H399" s="533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4"/>
      <c r="M399" s="534"/>
      <c r="N399" s="534"/>
      <c r="O399" s="534"/>
      <c r="P399" s="534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1"/>
      <c r="B401" s="522" t="s">
        <v>177</v>
      </c>
      <c r="C401" s="523"/>
      <c r="D401" s="524"/>
      <c r="E401" s="524"/>
      <c r="F401" s="524"/>
      <c r="G401" s="525"/>
      <c r="H401" s="526" t="s">
        <v>66</v>
      </c>
      <c r="I401" s="527">
        <f t="shared" ref="I401:J401" si="173">I412</f>
        <v>0</v>
      </c>
      <c r="J401" s="527">
        <f t="shared" si="173"/>
        <v>0</v>
      </c>
      <c r="K401" s="528">
        <f t="shared" si="172"/>
        <v>0</v>
      </c>
      <c r="L401" s="529"/>
      <c r="M401" s="529"/>
      <c r="N401" s="529"/>
      <c r="O401" s="529"/>
      <c r="P401" s="529"/>
    </row>
    <row r="402" spans="1:26" ht="19.5" hidden="1">
      <c r="A402" s="147"/>
      <c r="B402" s="148"/>
      <c r="C402" s="149" t="s">
        <v>16</v>
      </c>
      <c r="D402" s="87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7"/>
      <c r="J403" s="617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7"/>
      <c r="J404" s="617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IFERROR(__xludf.DUMMYFUNCTION("IMPORTRANGE(""https://docs.google.com/spreadsheets/d/1MeEWN-I1oV_STSDYn1IFDPWt_1FKiwhDph83XaGc0o0/edit?usp=sharing"",""งบพรบ!FQ49"")"),0)</f>
        <v>0</v>
      </c>
      <c r="M407" s="93">
        <f ca="1">IFERROR(__xludf.DUMMYFUNCTION("IMPORTRANGE(""https://docs.google.com/spreadsheets/d/1MeEWN-I1oV_STSDYn1IFDPWt_1FKiwhDph83XaGc0o0/edit?usp=sharing"",""งบพรบ!FV49"")"),0)</f>
        <v>0</v>
      </c>
      <c r="N407" s="93">
        <f ca="1">IFERROR(__xludf.DUMMYFUNCTION("IMPORTRANGE(""https://docs.google.com/spreadsheets/d/1MeEWN-I1oV_STSDYn1IFDPWt_1FKiwhDph83XaGc0o0/edit?usp=sharing"",""งบพรบ!FX49"")"),0)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IFERROR(__xludf.DUMMYFUNCTION("IMPORTRANGE(""https://docs.google.com/spreadsheets/d/1MeEWN-I1oV_STSDYn1IFDPWt_1FKiwhDph83XaGc0o0/edit?usp=sharing"",""งบพรบ!FT49"")"),0)</f>
        <v>0</v>
      </c>
      <c r="M410" s="93">
        <f ca="1">IFERROR(__xludf.DUMMYFUNCTION("IMPORTRANGE(""https://docs.google.com/spreadsheets/d/1MeEWN-I1oV_STSDYn1IFDPWt_1FKiwhDph83XaGc0o0/edit?usp=sharing"",""งบพรบ!FW49"")"),0)</f>
        <v>0</v>
      </c>
      <c r="N410" s="93">
        <f ca="1">IFERROR(__xludf.DUMMYFUNCTION("IMPORTRANGE(""https://docs.google.com/spreadsheets/d/1MeEWN-I1oV_STSDYn1IFDPWt_1FKiwhDph83XaGc0o0/edit?usp=sharing"",""งบพรบ!FY49"")"),0)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90" t="s">
        <v>38</v>
      </c>
      <c r="E411" s="536"/>
      <c r="F411" s="536"/>
      <c r="G411" s="537"/>
      <c r="H411" s="762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8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9"/>
      <c r="B413" s="540"/>
      <c r="C413" s="540"/>
      <c r="D413" s="541" t="s">
        <v>179</v>
      </c>
      <c r="E413" s="540"/>
      <c r="F413" s="540"/>
      <c r="G413" s="542"/>
      <c r="H413" s="543" t="s">
        <v>180</v>
      </c>
      <c r="I413" s="544">
        <v>0</v>
      </c>
      <c r="J413" s="545">
        <v>0</v>
      </c>
      <c r="K413" s="546">
        <f t="shared" si="180"/>
        <v>0</v>
      </c>
      <c r="L413" s="547"/>
      <c r="M413" s="547"/>
      <c r="N413" s="547"/>
      <c r="O413" s="547"/>
      <c r="P413" s="547"/>
    </row>
    <row r="414" spans="1:26" ht="19.5">
      <c r="A414" s="548" t="s">
        <v>181</v>
      </c>
      <c r="B414" s="549"/>
      <c r="C414" s="549"/>
      <c r="D414" s="549"/>
      <c r="E414" s="549"/>
      <c r="F414" s="549"/>
      <c r="G414" s="550"/>
      <c r="H414" s="551"/>
      <c r="I414" s="552"/>
      <c r="J414" s="552"/>
      <c r="K414" s="553"/>
      <c r="L414" s="554">
        <f t="shared" ref="L414:N414" ca="1" si="181">L419+L444+L467+L502+L523+L544+L629+L655+L685+L737+L754+L770+L786+L805</f>
        <v>1453361</v>
      </c>
      <c r="M414" s="554">
        <f t="shared" ca="1" si="181"/>
        <v>1339931</v>
      </c>
      <c r="N414" s="554">
        <f t="shared" si="181"/>
        <v>1339931</v>
      </c>
      <c r="O414" s="554">
        <f ca="1">IF(L414&gt;0,N414*100/L414,0)</f>
        <v>92.195332061339201</v>
      </c>
      <c r="P414" s="554">
        <f ca="1">IF(M414&gt;0,N414*100/M414,0)</f>
        <v>100</v>
      </c>
    </row>
    <row r="415" spans="1:26" ht="19.5">
      <c r="A415" s="555" t="s">
        <v>182</v>
      </c>
      <c r="B415" s="556"/>
      <c r="C415" s="556"/>
      <c r="D415" s="556"/>
      <c r="E415" s="556"/>
      <c r="F415" s="556"/>
      <c r="G415" s="556"/>
      <c r="H415" s="557"/>
      <c r="I415" s="558"/>
      <c r="J415" s="558"/>
      <c r="K415" s="559"/>
      <c r="L415" s="560"/>
      <c r="M415" s="560"/>
      <c r="N415" s="560"/>
      <c r="O415" s="560"/>
      <c r="P415" s="560"/>
    </row>
    <row r="416" spans="1:26" ht="19.5">
      <c r="A416" s="555" t="s">
        <v>183</v>
      </c>
      <c r="B416" s="556"/>
      <c r="C416" s="556"/>
      <c r="D416" s="556"/>
      <c r="E416" s="556"/>
      <c r="F416" s="556"/>
      <c r="G416" s="561"/>
      <c r="H416" s="562"/>
      <c r="I416" s="563"/>
      <c r="J416" s="563"/>
      <c r="K416" s="560"/>
      <c r="L416" s="560"/>
      <c r="M416" s="560"/>
      <c r="N416" s="560"/>
      <c r="O416" s="560"/>
      <c r="P416" s="560"/>
    </row>
    <row r="417" spans="1:26" ht="39">
      <c r="A417" s="564">
        <v>1</v>
      </c>
      <c r="B417" s="566" t="s">
        <v>184</v>
      </c>
      <c r="C417" s="566"/>
      <c r="D417" s="567"/>
      <c r="E417" s="567"/>
      <c r="F417" s="567"/>
      <c r="G417" s="568"/>
      <c r="H417" s="569" t="s">
        <v>35</v>
      </c>
      <c r="I417" s="570">
        <f t="shared" ref="I417:J418" ca="1" si="182">I433</f>
        <v>20</v>
      </c>
      <c r="J417" s="570">
        <f t="shared" ca="1" si="182"/>
        <v>20</v>
      </c>
      <c r="K417" s="571">
        <f t="shared" ref="K417:K418" ca="1" si="183">IF(I417&gt;0,J417*100/I417,0)</f>
        <v>100</v>
      </c>
      <c r="L417" s="572"/>
      <c r="M417" s="572"/>
      <c r="N417" s="572"/>
      <c r="O417" s="572"/>
      <c r="P417" s="572"/>
    </row>
    <row r="418" spans="1:26" ht="19.5">
      <c r="A418" s="573"/>
      <c r="B418" s="564"/>
      <c r="C418" s="566"/>
      <c r="D418" s="567"/>
      <c r="E418" s="567"/>
      <c r="F418" s="567"/>
      <c r="G418" s="568"/>
      <c r="H418" s="569" t="s">
        <v>49</v>
      </c>
      <c r="I418" s="570">
        <f t="shared" ca="1" si="182"/>
        <v>1</v>
      </c>
      <c r="J418" s="570">
        <f t="shared" si="182"/>
        <v>1</v>
      </c>
      <c r="K418" s="571">
        <f t="shared" ca="1" si="183"/>
        <v>100</v>
      </c>
      <c r="L418" s="572"/>
      <c r="M418" s="572"/>
      <c r="N418" s="572"/>
      <c r="O418" s="572"/>
      <c r="P418" s="572"/>
    </row>
    <row r="419" spans="1:26" ht="19.5">
      <c r="A419" s="147"/>
      <c r="B419" s="148"/>
      <c r="C419" s="148" t="s">
        <v>16</v>
      </c>
      <c r="D419" s="891" t="s">
        <v>17</v>
      </c>
      <c r="E419" s="862"/>
      <c r="F419" s="86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115620</v>
      </c>
      <c r="N419" s="155">
        <f t="shared" si="184"/>
        <v>115620</v>
      </c>
      <c r="O419" s="155">
        <f t="shared" ref="O419:O424" ca="1" si="185">IF(L419&gt;0,N419*100/L419,0)</f>
        <v>146.98703279938977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7"/>
      <c r="J420" s="617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7"/>
      <c r="J421" s="617"/>
      <c r="K421" s="93"/>
      <c r="L421" s="93">
        <f t="shared" ca="1" si="187"/>
        <v>78660</v>
      </c>
      <c r="M421" s="93">
        <f t="shared" ca="1" si="187"/>
        <v>115620</v>
      </c>
      <c r="N421" s="93">
        <f t="shared" si="187"/>
        <v>115620</v>
      </c>
      <c r="O421" s="93">
        <f t="shared" ca="1" si="185"/>
        <v>146.98703279938977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115620</v>
      </c>
      <c r="N422" s="498">
        <f t="shared" si="188"/>
        <v>115620</v>
      </c>
      <c r="O422" s="498">
        <f t="shared" ca="1" si="185"/>
        <v>146.98703279938977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7"/>
      <c r="J423" s="617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7"/>
      <c r="J424" s="617"/>
      <c r="K424" s="93"/>
      <c r="L424" s="93">
        <f ca="1">IFERROR(__xludf.DUMMYFUNCTION("IMPORTRANGE(""https://docs.google.com/spreadsheets/d/1QqKyyYR6Q21VydFLVH3TRQUabQu_ym0Zz7PgGX0-kHA/edit?usp=sharing"",""แผน!EY49"")"),78660)</f>
        <v>78660</v>
      </c>
      <c r="M424" s="93">
        <f ca="1">L424-1940+38900</f>
        <v>115620</v>
      </c>
      <c r="N424" s="93">
        <f>N425+N426+N427+N428</f>
        <v>115620</v>
      </c>
      <c r="O424" s="93">
        <f t="shared" ca="1" si="185"/>
        <v>146.98703279938977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4"/>
      <c r="B425" s="575"/>
      <c r="C425" s="763"/>
      <c r="D425" s="763"/>
      <c r="E425" s="763"/>
      <c r="F425" s="763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40">
        <v>48400</v>
      </c>
      <c r="O425" s="498"/>
      <c r="P425" s="49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</row>
    <row r="426" spans="1:26" ht="18.75">
      <c r="A426" s="574"/>
      <c r="B426" s="575"/>
      <c r="C426" s="763"/>
      <c r="D426" s="763"/>
      <c r="E426" s="763"/>
      <c r="F426" s="763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40">
        <v>0</v>
      </c>
      <c r="O426" s="498"/>
      <c r="P426" s="49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</row>
    <row r="427" spans="1:26" ht="18.75">
      <c r="A427" s="574"/>
      <c r="B427" s="575"/>
      <c r="C427" s="763"/>
      <c r="D427" s="763"/>
      <c r="E427" s="763"/>
      <c r="F427" s="763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40">
        <v>0</v>
      </c>
      <c r="O427" s="498"/>
      <c r="P427" s="49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40">
        <v>67220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92" t="s">
        <v>38</v>
      </c>
      <c r="E432" s="580"/>
      <c r="F432" s="580"/>
      <c r="G432" s="581"/>
      <c r="H432" s="582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1">
        <f ca="1">I435</f>
        <v>20</v>
      </c>
      <c r="J433" s="681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1">
        <f t="shared" ref="I434:J434" ca="1" si="193">I438+I440</f>
        <v>1</v>
      </c>
      <c r="J434" s="681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3" t="s">
        <v>35</v>
      </c>
      <c r="I435" s="583">
        <f ca="1">IFERROR(__xludf.DUMMYFUNCTION("IMPORTRANGE(""https://docs.google.com/spreadsheets/d/1QqKyyYR6Q21VydFLVH3TRQUabQu_ym0Zz7PgGX0-kHA/edit?usp=sharing"",""แผน!FC49"")"),20)</f>
        <v>20</v>
      </c>
      <c r="J435" s="584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3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3" t="s">
        <v>35</v>
      </c>
      <c r="I437" s="583">
        <f ca="1">IFERROR(__xludf.DUMMYFUNCTION("IMPORTRANGE(""https://docs.google.com/spreadsheets/d/1QqKyyYR6Q21VydFLVH3TRQUabQu_ym0Zz7PgGX0-kHA/edit?usp=sharing"",""แผน!FD49"")"),0)</f>
        <v>0</v>
      </c>
      <c r="J437" s="584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3" t="s">
        <v>49</v>
      </c>
      <c r="I438" s="270">
        <f ca="1">IFERROR(__xludf.DUMMYFUNCTION("IMPORTRANGE(""https://docs.google.com/spreadsheets/d/1QqKyyYR6Q21VydFLVH3TRQUabQu_ym0Zz7PgGX0-kHA/edit?usp=sharing"",""แผน!FE49"")"),0)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3" t="s">
        <v>35</v>
      </c>
      <c r="I439" s="583">
        <f ca="1">IFERROR(__xludf.DUMMYFUNCTION("IMPORTRANGE(""https://docs.google.com/spreadsheets/d/1QqKyyYR6Q21VydFLVH3TRQUabQu_ym0Zz7PgGX0-kHA/edit?usp=sharing"",""แผน!FF49"")"),20)</f>
        <v>20</v>
      </c>
      <c r="J439" s="584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3" t="s">
        <v>49</v>
      </c>
      <c r="I440" s="270">
        <f ca="1">IFERROR(__xludf.DUMMYFUNCTION("IMPORTRANGE(""https://docs.google.com/spreadsheets/d/1QqKyyYR6Q21VydFLVH3TRQUabQu_ym0Zz7PgGX0-kHA/edit?usp=sharing"",""แผน!FG49"")"),1)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3" t="s">
        <v>35</v>
      </c>
      <c r="I441" s="270">
        <f ca="1">IFERROR(__xludf.DUMMYFUNCTION("IMPORTRANGE(""https://docs.google.com/spreadsheets/d/1QqKyyYR6Q21VydFLVH3TRQUabQu_ym0Zz7PgGX0-kHA/edit?usp=sharing"",""แผน!FH49"")"),0)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5">
        <v>2</v>
      </c>
      <c r="B442" s="586" t="s">
        <v>200</v>
      </c>
      <c r="C442" s="587"/>
      <c r="D442" s="587"/>
      <c r="E442" s="587"/>
      <c r="F442" s="587"/>
      <c r="G442" s="588"/>
      <c r="H442" s="589" t="s">
        <v>35</v>
      </c>
      <c r="I442" s="590">
        <f t="shared" ref="I442:J442" ca="1" si="195">I460</f>
        <v>30</v>
      </c>
      <c r="J442" s="590">
        <f t="shared" si="195"/>
        <v>30</v>
      </c>
      <c r="K442" s="591">
        <f t="shared" ca="1" si="194"/>
        <v>100</v>
      </c>
      <c r="L442" s="592"/>
      <c r="M442" s="592"/>
      <c r="N442" s="592"/>
      <c r="O442" s="592"/>
      <c r="P442" s="592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</row>
    <row r="443" spans="1:26" ht="19.5">
      <c r="A443" s="593"/>
      <c r="B443" s="594"/>
      <c r="C443" s="595"/>
      <c r="D443" s="595"/>
      <c r="E443" s="595"/>
      <c r="F443" s="595"/>
      <c r="G443" s="596"/>
      <c r="H443" s="569" t="s">
        <v>46</v>
      </c>
      <c r="I443" s="570">
        <f t="shared" ref="I443:J443" ca="1" si="196">I462</f>
        <v>150</v>
      </c>
      <c r="J443" s="570">
        <f t="shared" si="196"/>
        <v>150</v>
      </c>
      <c r="K443" s="571">
        <f t="shared" ca="1" si="194"/>
        <v>100</v>
      </c>
      <c r="L443" s="572"/>
      <c r="M443" s="572"/>
      <c r="N443" s="572"/>
      <c r="O443" s="572"/>
      <c r="P443" s="572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</row>
    <row r="444" spans="1:26" ht="19.5">
      <c r="A444" s="597"/>
      <c r="B444" s="763"/>
      <c r="C444" s="763" t="s">
        <v>16</v>
      </c>
      <c r="D444" s="863" t="s">
        <v>17</v>
      </c>
      <c r="E444" s="857"/>
      <c r="F444" s="857"/>
      <c r="G444" s="189"/>
      <c r="H444" s="598" t="s">
        <v>12</v>
      </c>
      <c r="I444" s="270"/>
      <c r="J444" s="270"/>
      <c r="K444" s="498"/>
      <c r="L444" s="195">
        <f t="shared" ref="L444:N444" ca="1" si="197">L445+L446</f>
        <v>211480</v>
      </c>
      <c r="M444" s="195">
        <f t="shared" ca="1" si="197"/>
        <v>211480</v>
      </c>
      <c r="N444" s="195">
        <f t="shared" si="197"/>
        <v>211480</v>
      </c>
      <c r="O444" s="195">
        <f t="shared" ref="O444:O449" ca="1" si="198">IF(L444&gt;0,N444*100/L444,0)</f>
        <v>100</v>
      </c>
      <c r="P444" s="195">
        <f t="shared" ref="P444:P449" ca="1" si="199">IF(M444&gt;0,N444*100/M444,0)</f>
        <v>100</v>
      </c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</row>
    <row r="445" spans="1:26" ht="18.75" hidden="1">
      <c r="A445" s="599"/>
      <c r="B445" s="759"/>
      <c r="C445" s="759"/>
      <c r="D445" s="720"/>
      <c r="E445" s="759" t="s">
        <v>185</v>
      </c>
      <c r="F445" s="759"/>
      <c r="G445" s="603"/>
      <c r="H445" s="165" t="s">
        <v>12</v>
      </c>
      <c r="I445" s="617"/>
      <c r="J445" s="617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4"/>
      <c r="R445" s="604"/>
      <c r="S445" s="604"/>
      <c r="T445" s="604"/>
      <c r="U445" s="604"/>
      <c r="V445" s="604"/>
      <c r="W445" s="604"/>
      <c r="X445" s="604"/>
      <c r="Y445" s="604"/>
      <c r="Z445" s="604"/>
    </row>
    <row r="446" spans="1:26" ht="18.75" hidden="1">
      <c r="A446" s="599"/>
      <c r="B446" s="607"/>
      <c r="C446" s="759"/>
      <c r="D446" s="720"/>
      <c r="E446" s="759" t="s">
        <v>186</v>
      </c>
      <c r="F446" s="759"/>
      <c r="G446" s="603"/>
      <c r="H446" s="165" t="s">
        <v>12</v>
      </c>
      <c r="I446" s="617"/>
      <c r="J446" s="617"/>
      <c r="K446" s="93"/>
      <c r="L446" s="93">
        <f t="shared" ca="1" si="200"/>
        <v>211480</v>
      </c>
      <c r="M446" s="93">
        <f t="shared" ca="1" si="200"/>
        <v>211480</v>
      </c>
      <c r="N446" s="93">
        <f t="shared" si="200"/>
        <v>211480</v>
      </c>
      <c r="O446" s="93">
        <f t="shared" ca="1" si="198"/>
        <v>100</v>
      </c>
      <c r="P446" s="93">
        <f t="shared" ca="1" si="199"/>
        <v>100</v>
      </c>
      <c r="Q446" s="604"/>
      <c r="R446" s="604"/>
      <c r="S446" s="604"/>
      <c r="T446" s="604"/>
      <c r="U446" s="604"/>
      <c r="V446" s="604"/>
      <c r="W446" s="604"/>
      <c r="X446" s="604"/>
      <c r="Y446" s="604"/>
      <c r="Z446" s="604"/>
    </row>
    <row r="447" spans="1:26" ht="18.75">
      <c r="A447" s="597"/>
      <c r="B447" s="575"/>
      <c r="C447" s="763"/>
      <c r="D447" s="606" t="s">
        <v>20</v>
      </c>
      <c r="E447" s="763"/>
      <c r="F447" s="763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211480</v>
      </c>
      <c r="M447" s="498">
        <f t="shared" ca="1" si="201"/>
        <v>211480</v>
      </c>
      <c r="N447" s="498">
        <f t="shared" si="201"/>
        <v>211480</v>
      </c>
      <c r="O447" s="498">
        <f t="shared" ca="1" si="198"/>
        <v>100</v>
      </c>
      <c r="P447" s="498">
        <f t="shared" ca="1" si="199"/>
        <v>100</v>
      </c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</row>
    <row r="448" spans="1:26" ht="18.75" hidden="1">
      <c r="A448" s="599"/>
      <c r="B448" s="607"/>
      <c r="C448" s="759"/>
      <c r="D448" s="720"/>
      <c r="E448" s="759" t="s">
        <v>185</v>
      </c>
      <c r="F448" s="759"/>
      <c r="G448" s="603"/>
      <c r="H448" s="165" t="s">
        <v>12</v>
      </c>
      <c r="I448" s="617"/>
      <c r="J448" s="617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</row>
    <row r="449" spans="1:26" ht="18.75" hidden="1">
      <c r="A449" s="599"/>
      <c r="B449" s="607"/>
      <c r="C449" s="759"/>
      <c r="D449" s="720"/>
      <c r="E449" s="759" t="s">
        <v>186</v>
      </c>
      <c r="F449" s="759"/>
      <c r="G449" s="603"/>
      <c r="H449" s="165" t="s">
        <v>12</v>
      </c>
      <c r="I449" s="617"/>
      <c r="J449" s="617"/>
      <c r="K449" s="93"/>
      <c r="L449" s="93">
        <f ca="1">IFERROR(__xludf.DUMMYFUNCTION("IMPORTRANGE(""https://docs.google.com/spreadsheets/d/1QqKyyYR6Q21VydFLVH3TRQUabQu_ym0Zz7PgGX0-kHA/edit?usp=sharing"",""แผน!FJ49"")"),211480)</f>
        <v>211480</v>
      </c>
      <c r="M449" s="93">
        <f ca="1">L449</f>
        <v>211480</v>
      </c>
      <c r="N449" s="93">
        <f>N450+N451+N452+N453</f>
        <v>211480</v>
      </c>
      <c r="O449" s="93">
        <f t="shared" ca="1" si="198"/>
        <v>100</v>
      </c>
      <c r="P449" s="93">
        <f t="shared" ca="1" si="199"/>
        <v>100</v>
      </c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</row>
    <row r="450" spans="1:26" ht="18.75">
      <c r="A450" s="574"/>
      <c r="B450" s="575"/>
      <c r="C450" s="763"/>
      <c r="D450" s="763"/>
      <c r="E450" s="763"/>
      <c r="F450" s="763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40">
        <v>42000</v>
      </c>
      <c r="O450" s="498"/>
      <c r="P450" s="49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</row>
    <row r="451" spans="1:26" ht="18.75">
      <c r="A451" s="574"/>
      <c r="B451" s="575"/>
      <c r="C451" s="763"/>
      <c r="D451" s="763"/>
      <c r="E451" s="763"/>
      <c r="F451" s="763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40">
        <v>130000</v>
      </c>
      <c r="O451" s="498"/>
      <c r="P451" s="49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</row>
    <row r="452" spans="1:26" ht="18.75">
      <c r="A452" s="574"/>
      <c r="B452" s="575"/>
      <c r="C452" s="575"/>
      <c r="D452" s="575"/>
      <c r="E452" s="575"/>
      <c r="F452" s="763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40">
        <v>5000</v>
      </c>
      <c r="O452" s="498"/>
      <c r="P452" s="49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</row>
    <row r="453" spans="1:26" ht="18.75">
      <c r="A453" s="574"/>
      <c r="B453" s="575"/>
      <c r="C453" s="575"/>
      <c r="D453" s="575"/>
      <c r="E453" s="575"/>
      <c r="F453" s="763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40">
        <v>34480</v>
      </c>
      <c r="O453" s="498"/>
      <c r="P453" s="49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</row>
    <row r="454" spans="1:26" ht="18.75">
      <c r="A454" s="597"/>
      <c r="B454" s="575"/>
      <c r="C454" s="575"/>
      <c r="D454" s="606" t="s">
        <v>21</v>
      </c>
      <c r="E454" s="575"/>
      <c r="F454" s="763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</row>
    <row r="455" spans="1:26" ht="18.75" hidden="1">
      <c r="A455" s="599"/>
      <c r="B455" s="607"/>
      <c r="C455" s="607"/>
      <c r="D455" s="607"/>
      <c r="E455" s="607" t="s">
        <v>18</v>
      </c>
      <c r="F455" s="759"/>
      <c r="G455" s="603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4"/>
      <c r="R455" s="604"/>
      <c r="S455" s="604"/>
      <c r="T455" s="604"/>
      <c r="U455" s="604"/>
      <c r="V455" s="604"/>
      <c r="W455" s="604"/>
      <c r="X455" s="604"/>
      <c r="Y455" s="604"/>
      <c r="Z455" s="604"/>
    </row>
    <row r="456" spans="1:26" ht="18.75" hidden="1">
      <c r="A456" s="599"/>
      <c r="B456" s="607"/>
      <c r="C456" s="607"/>
      <c r="D456" s="607"/>
      <c r="E456" s="607" t="s">
        <v>19</v>
      </c>
      <c r="F456" s="759"/>
      <c r="G456" s="603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4"/>
      <c r="R456" s="604"/>
      <c r="S456" s="604"/>
      <c r="T456" s="604"/>
      <c r="U456" s="604"/>
      <c r="V456" s="604"/>
      <c r="W456" s="604"/>
      <c r="X456" s="604"/>
      <c r="Y456" s="604"/>
      <c r="Z456" s="604"/>
    </row>
    <row r="457" spans="1:26" ht="19.5">
      <c r="A457" s="608"/>
      <c r="B457" s="618"/>
      <c r="C457" s="575" t="s">
        <v>16</v>
      </c>
      <c r="D457" s="893" t="s">
        <v>38</v>
      </c>
      <c r="E457" s="611"/>
      <c r="F457" s="761"/>
      <c r="G457" s="613"/>
      <c r="H457" s="762"/>
      <c r="I457" s="270"/>
      <c r="J457" s="270"/>
      <c r="K457" s="498"/>
      <c r="L457" s="498"/>
      <c r="M457" s="498"/>
      <c r="N457" s="498"/>
      <c r="O457" s="498"/>
      <c r="P457" s="49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</row>
    <row r="458" spans="1:26" ht="18.75" hidden="1">
      <c r="A458" s="614"/>
      <c r="B458" s="616"/>
      <c r="C458" s="616"/>
      <c r="D458" s="616" t="s">
        <v>201</v>
      </c>
      <c r="E458" s="616"/>
      <c r="F458" s="720"/>
      <c r="G458" s="366"/>
      <c r="H458" s="370" t="s">
        <v>35</v>
      </c>
      <c r="I458" s="617">
        <v>0</v>
      </c>
      <c r="J458" s="617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4"/>
      <c r="R458" s="604"/>
      <c r="S458" s="604"/>
      <c r="T458" s="604"/>
      <c r="U458" s="604"/>
      <c r="V458" s="604"/>
      <c r="W458" s="604"/>
      <c r="X458" s="604"/>
      <c r="Y458" s="604"/>
      <c r="Z458" s="604"/>
    </row>
    <row r="459" spans="1:26" ht="18.75" hidden="1">
      <c r="A459" s="614"/>
      <c r="B459" s="616"/>
      <c r="C459" s="616"/>
      <c r="D459" s="616" t="s">
        <v>202</v>
      </c>
      <c r="E459" s="616"/>
      <c r="F459" s="720"/>
      <c r="G459" s="366"/>
      <c r="H459" s="370"/>
      <c r="I459" s="617"/>
      <c r="J459" s="617"/>
      <c r="K459" s="93"/>
      <c r="L459" s="93"/>
      <c r="M459" s="93"/>
      <c r="N459" s="93"/>
      <c r="O459" s="93"/>
      <c r="P459" s="93"/>
      <c r="Q459" s="604"/>
      <c r="R459" s="604"/>
      <c r="S459" s="604"/>
      <c r="T459" s="604"/>
      <c r="U459" s="604"/>
      <c r="V459" s="604"/>
      <c r="W459" s="604"/>
      <c r="X459" s="604"/>
      <c r="Y459" s="604"/>
      <c r="Z459" s="604"/>
    </row>
    <row r="460" spans="1:26" ht="18.75">
      <c r="A460" s="608"/>
      <c r="B460" s="618"/>
      <c r="C460" s="618"/>
      <c r="D460" s="618" t="s">
        <v>203</v>
      </c>
      <c r="E460" s="618"/>
      <c r="F460" s="626"/>
      <c r="G460" s="762"/>
      <c r="H460" s="764" t="s">
        <v>35</v>
      </c>
      <c r="I460" s="270">
        <f ca="1">IFERROR(__xludf.DUMMYFUNCTION("IMPORTRANGE(""https://docs.google.com/spreadsheets/d/1QqKyyYR6Q21VydFLVH3TRQUabQu_ym0Zz7PgGX0-kHA/edit?usp=sharing"",""แผน!FN49"")"),30)</f>
        <v>30</v>
      </c>
      <c r="J460" s="215">
        <v>30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</row>
    <row r="461" spans="1:26" ht="18.75">
      <c r="A461" s="608"/>
      <c r="B461" s="618"/>
      <c r="C461" s="618"/>
      <c r="D461" s="618" t="s">
        <v>204</v>
      </c>
      <c r="E461" s="626"/>
      <c r="F461" s="626"/>
      <c r="G461" s="762"/>
      <c r="H461" s="764"/>
      <c r="I461" s="270"/>
      <c r="J461" s="270"/>
      <c r="K461" s="498"/>
      <c r="L461" s="498"/>
      <c r="M461" s="498"/>
      <c r="N461" s="498"/>
      <c r="O461" s="498"/>
      <c r="P461" s="49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</row>
    <row r="462" spans="1:26" ht="18.75">
      <c r="A462" s="608"/>
      <c r="B462" s="618"/>
      <c r="C462" s="618"/>
      <c r="D462" s="618" t="s">
        <v>205</v>
      </c>
      <c r="E462" s="626"/>
      <c r="F462" s="626"/>
      <c r="G462" s="762"/>
      <c r="H462" s="764" t="s">
        <v>46</v>
      </c>
      <c r="I462" s="270">
        <f ca="1">IFERROR(__xludf.DUMMYFUNCTION("IMPORTRANGE(""https://docs.google.com/spreadsheets/d/1QqKyyYR6Q21VydFLVH3TRQUabQu_ym0Zz7PgGX0-kHA/edit?usp=sharing"",""แผน!FO49"")"),150)</f>
        <v>150</v>
      </c>
      <c r="J462" s="215">
        <v>150</v>
      </c>
      <c r="K462" s="498">
        <f t="shared" ref="K462:K466" ca="1" si="205">IF(I462&gt;0,J462*100/I462,0)</f>
        <v>100</v>
      </c>
      <c r="L462" s="498"/>
      <c r="M462" s="498"/>
      <c r="N462" s="498"/>
      <c r="O462" s="498"/>
      <c r="P462" s="49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</row>
    <row r="463" spans="1:26" ht="18.75">
      <c r="A463" s="608"/>
      <c r="B463" s="618"/>
      <c r="C463" s="618"/>
      <c r="D463" s="618" t="s">
        <v>59</v>
      </c>
      <c r="E463" s="626"/>
      <c r="F463" s="763"/>
      <c r="G463" s="189"/>
      <c r="H463" s="764" t="s">
        <v>46</v>
      </c>
      <c r="I463" s="270">
        <f ca="1">IFERROR(__xludf.DUMMYFUNCTION("IMPORTRANGE(""https://docs.google.com/spreadsheets/d/1QqKyyYR6Q21VydFLVH3TRQUabQu_ym0Zz7PgGX0-kHA/edit?usp=sharing"",""แผน!FO49"")"),150)</f>
        <v>150</v>
      </c>
      <c r="J463" s="215">
        <v>150</v>
      </c>
      <c r="K463" s="498">
        <f t="shared" ca="1" si="205"/>
        <v>100</v>
      </c>
      <c r="L463" s="498"/>
      <c r="M463" s="498"/>
      <c r="N463" s="498"/>
      <c r="O463" s="498"/>
      <c r="P463" s="49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</row>
    <row r="464" spans="1:26" ht="19.5">
      <c r="A464" s="608"/>
      <c r="B464" s="618"/>
      <c r="C464" s="618"/>
      <c r="D464" s="618"/>
      <c r="E464" s="626"/>
      <c r="F464" s="626"/>
      <c r="G464" s="620"/>
      <c r="H464" s="764" t="s">
        <v>35</v>
      </c>
      <c r="I464" s="270">
        <f ca="1">IFERROR(__xludf.DUMMYFUNCTION("IMPORTRANGE(""https://docs.google.com/spreadsheets/d/1QqKyyYR6Q21VydFLVH3TRQUabQu_ym0Zz7PgGX0-kHA/edit?usp=sharing"",""แผน!FN49"")"),30)</f>
        <v>30</v>
      </c>
      <c r="J464" s="215">
        <v>30</v>
      </c>
      <c r="K464" s="498">
        <f t="shared" ca="1" si="205"/>
        <v>100</v>
      </c>
      <c r="L464" s="498"/>
      <c r="M464" s="498"/>
      <c r="N464" s="498"/>
      <c r="O464" s="498"/>
      <c r="P464" s="49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</row>
    <row r="465" spans="1:26" ht="19.5">
      <c r="A465" s="585">
        <v>3</v>
      </c>
      <c r="B465" s="586" t="s">
        <v>206</v>
      </c>
      <c r="C465" s="587"/>
      <c r="D465" s="587"/>
      <c r="E465" s="587"/>
      <c r="F465" s="587"/>
      <c r="G465" s="588"/>
      <c r="H465" s="589" t="s">
        <v>35</v>
      </c>
      <c r="I465" s="590">
        <f ca="1">IFERROR(__xludf.DUMMYFUNCTION("IMPORTRANGE(""https://docs.google.com/spreadsheets/d/1QqKyyYR6Q21VydFLVH3TRQUabQu_ym0Zz7PgGX0-kHA/edit?usp=sharing"",""แผน!FX49"")"),51)</f>
        <v>51</v>
      </c>
      <c r="J465" s="590">
        <f>J485+J489+J492</f>
        <v>51</v>
      </c>
      <c r="K465" s="591">
        <f t="shared" ca="1" si="205"/>
        <v>100</v>
      </c>
      <c r="L465" s="592"/>
      <c r="M465" s="592"/>
      <c r="N465" s="592"/>
      <c r="O465" s="592"/>
      <c r="P465" s="592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</row>
    <row r="466" spans="1:26" ht="19.5">
      <c r="A466" s="593"/>
      <c r="B466" s="594"/>
      <c r="C466" s="595"/>
      <c r="D466" s="595"/>
      <c r="E466" s="595"/>
      <c r="F466" s="595"/>
      <c r="G466" s="596"/>
      <c r="H466" s="569" t="s">
        <v>46</v>
      </c>
      <c r="I466" s="570">
        <f ca="1">IFERROR(__xludf.DUMMYFUNCTION("IMPORTRANGE(""https://docs.google.com/spreadsheets/d/1QqKyyYR6Q21VydFLVH3TRQUabQu_ym0Zz7PgGX0-kHA/edit?usp=sharing"",""แผน!FW49"")"),500)</f>
        <v>500</v>
      </c>
      <c r="J466" s="570">
        <f>J495+J498</f>
        <v>500</v>
      </c>
      <c r="K466" s="571">
        <f t="shared" ca="1" si="205"/>
        <v>100</v>
      </c>
      <c r="L466" s="572"/>
      <c r="M466" s="572"/>
      <c r="N466" s="572"/>
      <c r="O466" s="572"/>
      <c r="P466" s="572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</row>
    <row r="467" spans="1:26" ht="19.5">
      <c r="A467" s="597"/>
      <c r="B467" s="763"/>
      <c r="C467" s="763" t="s">
        <v>16</v>
      </c>
      <c r="D467" s="863" t="s">
        <v>17</v>
      </c>
      <c r="E467" s="857"/>
      <c r="F467" s="857"/>
      <c r="G467" s="189"/>
      <c r="H467" s="598" t="s">
        <v>12</v>
      </c>
      <c r="I467" s="270"/>
      <c r="J467" s="270"/>
      <c r="K467" s="498"/>
      <c r="L467" s="195">
        <f t="shared" ref="L467:N467" ca="1" si="206">L468+L469</f>
        <v>403983</v>
      </c>
      <c r="M467" s="195">
        <f t="shared" ca="1" si="206"/>
        <v>412603</v>
      </c>
      <c r="N467" s="195">
        <f t="shared" si="206"/>
        <v>412603</v>
      </c>
      <c r="O467" s="195">
        <f t="shared" ref="O467:O472" ca="1" si="207">IF(L467&gt;0,N467*100/L467,0)</f>
        <v>102.13375315297921</v>
      </c>
      <c r="P467" s="195">
        <f t="shared" ref="P467:P472" ca="1" si="208">IF(M467&gt;0,N467*100/M467,0)</f>
        <v>100</v>
      </c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</row>
    <row r="468" spans="1:26" ht="18.75" hidden="1">
      <c r="A468" s="599"/>
      <c r="B468" s="759"/>
      <c r="C468" s="759"/>
      <c r="D468" s="720"/>
      <c r="E468" s="759" t="s">
        <v>185</v>
      </c>
      <c r="F468" s="759"/>
      <c r="G468" s="603"/>
      <c r="H468" s="165" t="s">
        <v>12</v>
      </c>
      <c r="I468" s="617"/>
      <c r="J468" s="617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4"/>
      <c r="R468" s="604"/>
      <c r="S468" s="604"/>
      <c r="T468" s="604"/>
      <c r="U468" s="604"/>
      <c r="V468" s="604"/>
      <c r="W468" s="604"/>
      <c r="X468" s="604"/>
      <c r="Y468" s="604"/>
      <c r="Z468" s="604"/>
    </row>
    <row r="469" spans="1:26" ht="18.75" hidden="1">
      <c r="A469" s="599"/>
      <c r="B469" s="607"/>
      <c r="C469" s="759"/>
      <c r="D469" s="720"/>
      <c r="E469" s="759" t="s">
        <v>186</v>
      </c>
      <c r="F469" s="759"/>
      <c r="G469" s="603"/>
      <c r="H469" s="165" t="s">
        <v>12</v>
      </c>
      <c r="I469" s="617"/>
      <c r="J469" s="617"/>
      <c r="K469" s="93"/>
      <c r="L469" s="93">
        <f t="shared" ca="1" si="209"/>
        <v>403983</v>
      </c>
      <c r="M469" s="93">
        <f t="shared" ca="1" si="209"/>
        <v>412603</v>
      </c>
      <c r="N469" s="93">
        <f t="shared" si="209"/>
        <v>412603</v>
      </c>
      <c r="O469" s="93">
        <f t="shared" ca="1" si="207"/>
        <v>102.13375315297921</v>
      </c>
      <c r="P469" s="93">
        <f t="shared" ca="1" si="208"/>
        <v>100</v>
      </c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</row>
    <row r="470" spans="1:26" ht="18.75">
      <c r="A470" s="597"/>
      <c r="B470" s="575"/>
      <c r="C470" s="763"/>
      <c r="D470" s="606" t="s">
        <v>20</v>
      </c>
      <c r="E470" s="763"/>
      <c r="F470" s="763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403983</v>
      </c>
      <c r="M470" s="498">
        <f t="shared" ca="1" si="210"/>
        <v>412603</v>
      </c>
      <c r="N470" s="498">
        <f t="shared" si="210"/>
        <v>412603</v>
      </c>
      <c r="O470" s="498">
        <f t="shared" ca="1" si="207"/>
        <v>102.13375315297921</v>
      </c>
      <c r="P470" s="498">
        <f t="shared" ca="1" si="208"/>
        <v>100</v>
      </c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</row>
    <row r="471" spans="1:26" ht="18.75" hidden="1">
      <c r="A471" s="599"/>
      <c r="B471" s="607"/>
      <c r="C471" s="759"/>
      <c r="D471" s="720"/>
      <c r="E471" s="759" t="s">
        <v>185</v>
      </c>
      <c r="F471" s="759"/>
      <c r="G471" s="603"/>
      <c r="H471" s="165" t="s">
        <v>12</v>
      </c>
      <c r="I471" s="617"/>
      <c r="J471" s="617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4"/>
      <c r="R471" s="604"/>
      <c r="S471" s="604"/>
      <c r="T471" s="604"/>
      <c r="U471" s="604"/>
      <c r="V471" s="604"/>
      <c r="W471" s="604"/>
      <c r="X471" s="604"/>
      <c r="Y471" s="604"/>
      <c r="Z471" s="604"/>
    </row>
    <row r="472" spans="1:26" ht="18.75" hidden="1">
      <c r="A472" s="599"/>
      <c r="B472" s="607"/>
      <c r="C472" s="759"/>
      <c r="D472" s="720"/>
      <c r="E472" s="759" t="s">
        <v>186</v>
      </c>
      <c r="F472" s="759"/>
      <c r="G472" s="603"/>
      <c r="H472" s="165" t="s">
        <v>12</v>
      </c>
      <c r="I472" s="617"/>
      <c r="J472" s="617"/>
      <c r="K472" s="93"/>
      <c r="L472" s="93">
        <f ca="1">IFERROR(__xludf.DUMMYFUNCTION("IMPORTRANGE(""https://docs.google.com/spreadsheets/d/1QqKyyYR6Q21VydFLVH3TRQUabQu_ym0Zz7PgGX0-kHA/edit?usp=sharing"",""แผน!FS49"")"),403983)</f>
        <v>403983</v>
      </c>
      <c r="M472" s="93">
        <f ca="1">L472+10800-2180</f>
        <v>412603</v>
      </c>
      <c r="N472" s="93">
        <f>N473+N474+N475+N476</f>
        <v>412603</v>
      </c>
      <c r="O472" s="93">
        <f t="shared" ca="1" si="207"/>
        <v>102.13375315297921</v>
      </c>
      <c r="P472" s="93">
        <f t="shared" ca="1" si="208"/>
        <v>100</v>
      </c>
      <c r="Q472" s="604"/>
      <c r="R472" s="604"/>
      <c r="S472" s="604"/>
      <c r="T472" s="604"/>
      <c r="U472" s="604"/>
      <c r="V472" s="604"/>
      <c r="W472" s="604"/>
      <c r="X472" s="604"/>
      <c r="Y472" s="604"/>
      <c r="Z472" s="604"/>
    </row>
    <row r="473" spans="1:26" ht="18.75">
      <c r="A473" s="574"/>
      <c r="B473" s="575"/>
      <c r="C473" s="763"/>
      <c r="D473" s="763"/>
      <c r="E473" s="763"/>
      <c r="F473" s="763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40">
        <v>60453</v>
      </c>
      <c r="O473" s="498"/>
      <c r="P473" s="49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</row>
    <row r="474" spans="1:26" ht="18.75">
      <c r="A474" s="574"/>
      <c r="B474" s="575"/>
      <c r="C474" s="763"/>
      <c r="D474" s="763"/>
      <c r="E474" s="763"/>
      <c r="F474" s="763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40">
        <v>314000</v>
      </c>
      <c r="O474" s="498"/>
      <c r="P474" s="49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</row>
    <row r="475" spans="1:26" ht="18.75">
      <c r="A475" s="574"/>
      <c r="B475" s="575"/>
      <c r="C475" s="575"/>
      <c r="D475" s="575"/>
      <c r="E475" s="575"/>
      <c r="F475" s="763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40">
        <v>3000</v>
      </c>
      <c r="O475" s="498"/>
      <c r="P475" s="49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</row>
    <row r="476" spans="1:26" ht="18.75">
      <c r="A476" s="574"/>
      <c r="B476" s="575"/>
      <c r="C476" s="575"/>
      <c r="D476" s="575"/>
      <c r="E476" s="575"/>
      <c r="F476" s="763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40">
        <v>35150</v>
      </c>
      <c r="O476" s="498"/>
      <c r="P476" s="49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</row>
    <row r="477" spans="1:26" ht="18.75">
      <c r="A477" s="597"/>
      <c r="B477" s="575"/>
      <c r="C477" s="575"/>
      <c r="D477" s="606" t="s">
        <v>21</v>
      </c>
      <c r="E477" s="575"/>
      <c r="F477" s="575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</row>
    <row r="478" spans="1:26" ht="18.75" hidden="1">
      <c r="A478" s="599"/>
      <c r="B478" s="607"/>
      <c r="C478" s="607"/>
      <c r="D478" s="607"/>
      <c r="E478" s="607" t="s">
        <v>18</v>
      </c>
      <c r="F478" s="607"/>
      <c r="G478" s="603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4"/>
      <c r="R478" s="604"/>
      <c r="S478" s="604"/>
      <c r="T478" s="604"/>
      <c r="U478" s="604"/>
      <c r="V478" s="604"/>
      <c r="W478" s="604"/>
      <c r="X478" s="604"/>
      <c r="Y478" s="604"/>
      <c r="Z478" s="604"/>
    </row>
    <row r="479" spans="1:26" ht="18.75" hidden="1">
      <c r="A479" s="599"/>
      <c r="B479" s="607"/>
      <c r="C479" s="607"/>
      <c r="D479" s="607"/>
      <c r="E479" s="607" t="s">
        <v>19</v>
      </c>
      <c r="F479" s="607"/>
      <c r="G479" s="603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4"/>
      <c r="R479" s="604"/>
      <c r="S479" s="604"/>
      <c r="T479" s="604"/>
      <c r="U479" s="604"/>
      <c r="V479" s="604"/>
      <c r="W479" s="604"/>
      <c r="X479" s="604"/>
      <c r="Y479" s="604"/>
      <c r="Z479" s="604"/>
    </row>
    <row r="480" spans="1:26" ht="19.5">
      <c r="A480" s="608"/>
      <c r="B480" s="618"/>
      <c r="C480" s="575" t="s">
        <v>16</v>
      </c>
      <c r="D480" s="894" t="s">
        <v>38</v>
      </c>
      <c r="E480" s="611"/>
      <c r="F480" s="761"/>
      <c r="G480" s="613"/>
      <c r="H480" s="762"/>
      <c r="I480" s="270"/>
      <c r="J480" s="270"/>
      <c r="K480" s="498"/>
      <c r="L480" s="498"/>
      <c r="M480" s="498"/>
      <c r="N480" s="498"/>
      <c r="O480" s="498"/>
      <c r="P480" s="49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</row>
    <row r="481" spans="1:26" ht="19.5">
      <c r="A481" s="608"/>
      <c r="B481" s="618"/>
      <c r="C481" s="618"/>
      <c r="D481" s="625" t="s">
        <v>207</v>
      </c>
      <c r="E481" s="618"/>
      <c r="F481" s="618"/>
      <c r="G481" s="762"/>
      <c r="H481" s="189"/>
      <c r="I481" s="270"/>
      <c r="J481" s="270"/>
      <c r="K481" s="498"/>
      <c r="L481" s="498"/>
      <c r="M481" s="498"/>
      <c r="N481" s="498"/>
      <c r="O481" s="498"/>
      <c r="P481" s="49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</row>
    <row r="482" spans="1:26" ht="18.75">
      <c r="A482" s="608"/>
      <c r="B482" s="618"/>
      <c r="C482" s="618"/>
      <c r="D482" s="618"/>
      <c r="E482" s="618" t="s">
        <v>208</v>
      </c>
      <c r="F482" s="618"/>
      <c r="G482" s="762"/>
      <c r="H482" s="189"/>
      <c r="I482" s="270"/>
      <c r="J482" s="270"/>
      <c r="K482" s="498"/>
      <c r="L482" s="498"/>
      <c r="M482" s="498"/>
      <c r="N482" s="498"/>
      <c r="O482" s="498"/>
      <c r="P482" s="49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</row>
    <row r="483" spans="1:26" ht="18.75">
      <c r="A483" s="608"/>
      <c r="B483" s="618"/>
      <c r="C483" s="618"/>
      <c r="D483" s="618"/>
      <c r="E483" s="618"/>
      <c r="F483" s="618" t="s">
        <v>209</v>
      </c>
      <c r="G483" s="762"/>
      <c r="H483" s="623" t="s">
        <v>46</v>
      </c>
      <c r="I483" s="270">
        <f ca="1">IFERROR(__xludf.DUMMYFUNCTION("IMPORTRANGE(""https://docs.google.com/spreadsheets/d/1QqKyyYR6Q21VydFLVH3TRQUabQu_ym0Zz7PgGX0-kHA/edit?usp=sharing"",""แผน!FY49"")"),450)</f>
        <v>450</v>
      </c>
      <c r="J483" s="215">
        <v>450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</row>
    <row r="484" spans="1:26" ht="18.75">
      <c r="A484" s="608"/>
      <c r="B484" s="618"/>
      <c r="C484" s="618"/>
      <c r="D484" s="618"/>
      <c r="E484" s="618"/>
      <c r="F484" s="618" t="s">
        <v>210</v>
      </c>
      <c r="G484" s="762"/>
      <c r="H484" s="623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</row>
    <row r="485" spans="1:26" ht="18.75">
      <c r="A485" s="608"/>
      <c r="B485" s="618"/>
      <c r="C485" s="618"/>
      <c r="D485" s="618"/>
      <c r="E485" s="618"/>
      <c r="F485" s="618" t="s">
        <v>211</v>
      </c>
      <c r="G485" s="762"/>
      <c r="H485" s="623" t="s">
        <v>35</v>
      </c>
      <c r="I485" s="270">
        <f ca="1">IFERROR(__xludf.DUMMYFUNCTION("IMPORTRANGE(""https://docs.google.com/spreadsheets/d/1QqKyyYR6Q21VydFLVH3TRQUabQu_ym0Zz7PgGX0-kHA/edit?usp=sharing"",""แผน!FZ49"")"),45)</f>
        <v>45</v>
      </c>
      <c r="J485" s="215">
        <v>45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</row>
    <row r="486" spans="1:26" ht="18.75">
      <c r="A486" s="608"/>
      <c r="B486" s="618"/>
      <c r="C486" s="618"/>
      <c r="D486" s="618"/>
      <c r="E486" s="618" t="s">
        <v>62</v>
      </c>
      <c r="F486" s="618"/>
      <c r="G486" s="762"/>
      <c r="H486" s="623"/>
      <c r="I486" s="270"/>
      <c r="J486" s="270"/>
      <c r="K486" s="498"/>
      <c r="L486" s="498"/>
      <c r="M486" s="498"/>
      <c r="N486" s="498"/>
      <c r="O486" s="498"/>
      <c r="P486" s="49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</row>
    <row r="487" spans="1:26" ht="18.75">
      <c r="A487" s="608"/>
      <c r="B487" s="618"/>
      <c r="C487" s="618"/>
      <c r="D487" s="618"/>
      <c r="E487" s="618"/>
      <c r="F487" s="618" t="s">
        <v>209</v>
      </c>
      <c r="G487" s="762"/>
      <c r="H487" s="623" t="s">
        <v>46</v>
      </c>
      <c r="I487" s="270">
        <f ca="1">IFERROR(__xludf.DUMMYFUNCTION("IMPORTRANGE(""https://docs.google.com/spreadsheets/d/1QqKyyYR6Q21VydFLVH3TRQUabQu_ym0Zz7PgGX0-kHA/edit?usp=sharing"",""แผน!GA49"")"),50)</f>
        <v>50</v>
      </c>
      <c r="J487" s="215">
        <v>50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</row>
    <row r="488" spans="1:26" ht="18.75">
      <c r="A488" s="608"/>
      <c r="B488" s="618"/>
      <c r="C488" s="618"/>
      <c r="D488" s="618"/>
      <c r="E488" s="618"/>
      <c r="F488" s="618" t="s">
        <v>212</v>
      </c>
      <c r="G488" s="762"/>
      <c r="H488" s="623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</row>
    <row r="489" spans="1:26" ht="18.75">
      <c r="A489" s="608"/>
      <c r="B489" s="618"/>
      <c r="C489" s="618"/>
      <c r="D489" s="618"/>
      <c r="E489" s="618"/>
      <c r="F489" s="618" t="s">
        <v>213</v>
      </c>
      <c r="G489" s="762"/>
      <c r="H489" s="623" t="s">
        <v>35</v>
      </c>
      <c r="I489" s="270">
        <f ca="1">IFERROR(__xludf.DUMMYFUNCTION("IMPORTRANGE(""https://docs.google.com/spreadsheets/d/1QqKyyYR6Q21VydFLVH3TRQUabQu_ym0Zz7PgGX0-kHA/edit?usp=sharing"",""แผน!GB49"")"),5)</f>
        <v>5</v>
      </c>
      <c r="J489" s="215">
        <v>5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</row>
    <row r="490" spans="1:26" ht="18.75">
      <c r="A490" s="608"/>
      <c r="B490" s="618"/>
      <c r="C490" s="618"/>
      <c r="D490" s="618"/>
      <c r="E490" s="618" t="s">
        <v>63</v>
      </c>
      <c r="F490" s="626"/>
      <c r="G490" s="762"/>
      <c r="H490" s="623"/>
      <c r="I490" s="270"/>
      <c r="J490" s="270"/>
      <c r="K490" s="498"/>
      <c r="L490" s="498"/>
      <c r="M490" s="498"/>
      <c r="N490" s="498"/>
      <c r="O490" s="498"/>
      <c r="P490" s="49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</row>
    <row r="491" spans="1:26" ht="18.75">
      <c r="A491" s="608"/>
      <c r="B491" s="618"/>
      <c r="C491" s="618"/>
      <c r="D491" s="618"/>
      <c r="E491" s="618"/>
      <c r="F491" s="618" t="s">
        <v>214</v>
      </c>
      <c r="G491" s="762"/>
      <c r="H491" s="623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</row>
    <row r="492" spans="1:26" ht="18.75">
      <c r="A492" s="608"/>
      <c r="B492" s="618"/>
      <c r="C492" s="618"/>
      <c r="D492" s="618"/>
      <c r="E492" s="618"/>
      <c r="F492" s="618" t="s">
        <v>215</v>
      </c>
      <c r="G492" s="762"/>
      <c r="H492" s="623" t="s">
        <v>35</v>
      </c>
      <c r="I492" s="270">
        <f ca="1">IFERROR(__xludf.DUMMYFUNCTION("IMPORTRANGE(""https://docs.google.com/spreadsheets/d/1QqKyyYR6Q21VydFLVH3TRQUabQu_ym0Zz7PgGX0-kHA/edit?usp=sharing"",""แผน!GC49"")"),1)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</row>
    <row r="493" spans="1:26" ht="19.5">
      <c r="A493" s="608"/>
      <c r="B493" s="618"/>
      <c r="C493" s="618"/>
      <c r="D493" s="625" t="s">
        <v>59</v>
      </c>
      <c r="E493" s="618"/>
      <c r="F493" s="626"/>
      <c r="G493" s="762"/>
      <c r="H493" s="189"/>
      <c r="I493" s="270"/>
      <c r="J493" s="270"/>
      <c r="K493" s="498"/>
      <c r="L493" s="498"/>
      <c r="M493" s="498"/>
      <c r="N493" s="498"/>
      <c r="O493" s="498"/>
      <c r="P493" s="49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</row>
    <row r="494" spans="1:26" ht="18.75">
      <c r="A494" s="608"/>
      <c r="B494" s="618"/>
      <c r="C494" s="618"/>
      <c r="D494" s="618"/>
      <c r="E494" s="618" t="s">
        <v>208</v>
      </c>
      <c r="F494" s="626"/>
      <c r="G494" s="762"/>
      <c r="H494" s="189"/>
      <c r="I494" s="270"/>
      <c r="J494" s="270"/>
      <c r="K494" s="498"/>
      <c r="L494" s="498"/>
      <c r="M494" s="498"/>
      <c r="N494" s="498"/>
      <c r="O494" s="498"/>
      <c r="P494" s="49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</row>
    <row r="495" spans="1:26" ht="18.75">
      <c r="A495" s="608"/>
      <c r="B495" s="618"/>
      <c r="C495" s="618"/>
      <c r="D495" s="618"/>
      <c r="E495" s="618"/>
      <c r="F495" s="626" t="s">
        <v>216</v>
      </c>
      <c r="G495" s="762"/>
      <c r="H495" s="623" t="s">
        <v>46</v>
      </c>
      <c r="I495" s="270">
        <f ca="1">IFERROR(__xludf.DUMMYFUNCTION("IMPORTRANGE(""https://docs.google.com/spreadsheets/d/1QqKyyYR6Q21VydFLVH3TRQUabQu_ym0Zz7PgGX0-kHA/edit?usp=sharing"",""แผน!FY49"")"),450)</f>
        <v>450</v>
      </c>
      <c r="J495" s="215">
        <v>450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</row>
    <row r="496" spans="1:26" ht="18.75">
      <c r="A496" s="608"/>
      <c r="B496" s="618"/>
      <c r="C496" s="618"/>
      <c r="D496" s="618"/>
      <c r="E496" s="618"/>
      <c r="F496" s="626" t="s">
        <v>217</v>
      </c>
      <c r="G496" s="762"/>
      <c r="H496" s="623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</row>
    <row r="497" spans="1:26" ht="18.75">
      <c r="A497" s="608"/>
      <c r="B497" s="618"/>
      <c r="C497" s="618"/>
      <c r="D497" s="618"/>
      <c r="E497" s="618" t="s">
        <v>62</v>
      </c>
      <c r="F497" s="626"/>
      <c r="G497" s="762"/>
      <c r="H497" s="189"/>
      <c r="I497" s="270"/>
      <c r="J497" s="270"/>
      <c r="K497" s="498"/>
      <c r="L497" s="498"/>
      <c r="M497" s="498"/>
      <c r="N497" s="498"/>
      <c r="O497" s="498"/>
      <c r="P497" s="49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</row>
    <row r="498" spans="1:26" ht="18.75">
      <c r="A498" s="608"/>
      <c r="B498" s="618"/>
      <c r="C498" s="618"/>
      <c r="D498" s="618"/>
      <c r="E498" s="626"/>
      <c r="F498" s="626" t="s">
        <v>218</v>
      </c>
      <c r="G498" s="762"/>
      <c r="H498" s="623" t="s">
        <v>46</v>
      </c>
      <c r="I498" s="270">
        <f ca="1">IFERROR(__xludf.DUMMYFUNCTION("IMPORTRANGE(""https://docs.google.com/spreadsheets/d/1QqKyyYR6Q21VydFLVH3TRQUabQu_ym0Zz7PgGX0-kHA/edit?usp=sharing"",""แผน!GA49"")"),50)</f>
        <v>50</v>
      </c>
      <c r="J498" s="215">
        <v>50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</row>
    <row r="499" spans="1:26" ht="18.75">
      <c r="A499" s="608"/>
      <c r="B499" s="618"/>
      <c r="C499" s="618"/>
      <c r="D499" s="618"/>
      <c r="E499" s="626"/>
      <c r="F499" s="626" t="s">
        <v>219</v>
      </c>
      <c r="G499" s="762"/>
      <c r="H499" s="623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</row>
    <row r="500" spans="1:26" ht="19.5" hidden="1">
      <c r="A500" s="627">
        <v>4</v>
      </c>
      <c r="B500" s="628" t="s">
        <v>220</v>
      </c>
      <c r="C500" s="629"/>
      <c r="D500" s="630"/>
      <c r="E500" s="630"/>
      <c r="F500" s="630"/>
      <c r="G500" s="631"/>
      <c r="H500" s="632" t="s">
        <v>109</v>
      </c>
      <c r="I500" s="633"/>
      <c r="J500" s="633">
        <f t="shared" ref="J500:J501" si="214">J516</f>
        <v>0</v>
      </c>
      <c r="K500" s="634">
        <f t="shared" ref="K500:K501" si="215">IF(I500&gt;0,J500*100/I500,0)</f>
        <v>0</v>
      </c>
      <c r="L500" s="635"/>
      <c r="M500" s="635"/>
      <c r="N500" s="635"/>
      <c r="O500" s="635"/>
      <c r="P500" s="635"/>
      <c r="Q500" s="604"/>
      <c r="R500" s="604"/>
      <c r="S500" s="604"/>
      <c r="T500" s="604"/>
      <c r="U500" s="604"/>
      <c r="V500" s="604"/>
      <c r="W500" s="604"/>
      <c r="X500" s="604"/>
      <c r="Y500" s="604"/>
      <c r="Z500" s="604"/>
    </row>
    <row r="501" spans="1:26" ht="19.5" hidden="1">
      <c r="A501" s="636"/>
      <c r="B501" s="638" t="s">
        <v>221</v>
      </c>
      <c r="C501" s="638"/>
      <c r="D501" s="639"/>
      <c r="E501" s="639"/>
      <c r="F501" s="639"/>
      <c r="G501" s="640"/>
      <c r="H501" s="641" t="s">
        <v>35</v>
      </c>
      <c r="I501" s="642"/>
      <c r="J501" s="642">
        <f t="shared" si="214"/>
        <v>0</v>
      </c>
      <c r="K501" s="643">
        <f t="shared" si="215"/>
        <v>0</v>
      </c>
      <c r="L501" s="644"/>
      <c r="M501" s="644"/>
      <c r="N501" s="644"/>
      <c r="O501" s="644"/>
      <c r="P501" s="64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</row>
    <row r="502" spans="1:26" ht="19.5" hidden="1">
      <c r="A502" s="599"/>
      <c r="B502" s="759"/>
      <c r="C502" s="759" t="s">
        <v>16</v>
      </c>
      <c r="D502" s="864" t="s">
        <v>17</v>
      </c>
      <c r="E502" s="857"/>
      <c r="F502" s="857"/>
      <c r="G502" s="603"/>
      <c r="H502" s="646" t="s">
        <v>12</v>
      </c>
      <c r="I502" s="617"/>
      <c r="J502" s="617"/>
      <c r="K502" s="93"/>
      <c r="L502" s="647">
        <f t="shared" ref="L502:N502" si="216">L503+L504</f>
        <v>0</v>
      </c>
      <c r="M502" s="647">
        <f t="shared" si="216"/>
        <v>0</v>
      </c>
      <c r="N502" s="647">
        <f t="shared" si="216"/>
        <v>0</v>
      </c>
      <c r="O502" s="647">
        <f t="shared" ref="O502:O507" si="217">IF(L502&gt;0,N502*100/L502,0)</f>
        <v>0</v>
      </c>
      <c r="P502" s="647">
        <f t="shared" ref="P502:P507" si="218">IF(M502&gt;0,N502*100/M502,0)</f>
        <v>0</v>
      </c>
      <c r="Q502" s="604"/>
      <c r="R502" s="604"/>
      <c r="S502" s="604"/>
      <c r="T502" s="604"/>
      <c r="U502" s="604"/>
      <c r="V502" s="604"/>
      <c r="W502" s="604"/>
      <c r="X502" s="604"/>
      <c r="Y502" s="604"/>
      <c r="Z502" s="604"/>
    </row>
    <row r="503" spans="1:26" ht="18.75" hidden="1">
      <c r="A503" s="599"/>
      <c r="B503" s="759"/>
      <c r="C503" s="759"/>
      <c r="D503" s="720"/>
      <c r="E503" s="759" t="s">
        <v>185</v>
      </c>
      <c r="F503" s="759"/>
      <c r="G503" s="603"/>
      <c r="H503" s="165" t="s">
        <v>12</v>
      </c>
      <c r="I503" s="617"/>
      <c r="J503" s="617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4"/>
      <c r="R503" s="604"/>
      <c r="S503" s="604"/>
      <c r="T503" s="604"/>
      <c r="U503" s="604"/>
      <c r="V503" s="604"/>
      <c r="W503" s="604"/>
      <c r="X503" s="604"/>
      <c r="Y503" s="604"/>
      <c r="Z503" s="604"/>
    </row>
    <row r="504" spans="1:26" ht="18.75" hidden="1">
      <c r="A504" s="599"/>
      <c r="B504" s="607"/>
      <c r="C504" s="759"/>
      <c r="D504" s="720"/>
      <c r="E504" s="759" t="s">
        <v>186</v>
      </c>
      <c r="F504" s="759"/>
      <c r="G504" s="603"/>
      <c r="H504" s="165" t="s">
        <v>12</v>
      </c>
      <c r="I504" s="617"/>
      <c r="J504" s="617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4"/>
      <c r="R504" s="604"/>
      <c r="S504" s="604"/>
      <c r="T504" s="604"/>
      <c r="U504" s="604"/>
      <c r="V504" s="604"/>
      <c r="W504" s="604"/>
      <c r="X504" s="604"/>
      <c r="Y504" s="604"/>
      <c r="Z504" s="604"/>
    </row>
    <row r="505" spans="1:26" ht="18.75" hidden="1">
      <c r="A505" s="599"/>
      <c r="B505" s="607"/>
      <c r="C505" s="759"/>
      <c r="D505" s="648" t="s">
        <v>20</v>
      </c>
      <c r="E505" s="759"/>
      <c r="F505" s="759"/>
      <c r="G505" s="603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4"/>
      <c r="R505" s="604"/>
      <c r="S505" s="604"/>
      <c r="T505" s="604"/>
      <c r="U505" s="604"/>
      <c r="V505" s="604"/>
      <c r="W505" s="604"/>
      <c r="X505" s="604"/>
      <c r="Y505" s="604"/>
      <c r="Z505" s="604"/>
    </row>
    <row r="506" spans="1:26" ht="18.75" hidden="1">
      <c r="A506" s="599"/>
      <c r="B506" s="607"/>
      <c r="C506" s="759"/>
      <c r="D506" s="720"/>
      <c r="E506" s="759" t="s">
        <v>185</v>
      </c>
      <c r="F506" s="759"/>
      <c r="G506" s="603"/>
      <c r="H506" s="165" t="s">
        <v>12</v>
      </c>
      <c r="I506" s="617"/>
      <c r="J506" s="617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4"/>
      <c r="R506" s="604"/>
      <c r="S506" s="604"/>
      <c r="T506" s="604"/>
      <c r="U506" s="604"/>
      <c r="V506" s="604"/>
      <c r="W506" s="604"/>
      <c r="X506" s="604"/>
      <c r="Y506" s="604"/>
      <c r="Z506" s="604"/>
    </row>
    <row r="507" spans="1:26" ht="18.75" hidden="1">
      <c r="A507" s="599"/>
      <c r="B507" s="607"/>
      <c r="C507" s="759"/>
      <c r="D507" s="720"/>
      <c r="E507" s="759" t="s">
        <v>186</v>
      </c>
      <c r="F507" s="759"/>
      <c r="G507" s="603"/>
      <c r="H507" s="165" t="s">
        <v>12</v>
      </c>
      <c r="I507" s="617"/>
      <c r="J507" s="617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4"/>
      <c r="R507" s="604"/>
      <c r="S507" s="604"/>
      <c r="T507" s="604"/>
      <c r="U507" s="604"/>
      <c r="V507" s="604"/>
      <c r="W507" s="604"/>
      <c r="X507" s="604"/>
      <c r="Y507" s="604"/>
      <c r="Z507" s="604"/>
    </row>
    <row r="508" spans="1:26" ht="18.75" hidden="1">
      <c r="A508" s="649"/>
      <c r="B508" s="607"/>
      <c r="C508" s="759"/>
      <c r="D508" s="759"/>
      <c r="E508" s="759"/>
      <c r="F508" s="759" t="s">
        <v>187</v>
      </c>
      <c r="G508" s="603"/>
      <c r="H508" s="165" t="s">
        <v>12</v>
      </c>
      <c r="I508" s="617"/>
      <c r="J508" s="617"/>
      <c r="K508" s="93"/>
      <c r="L508" s="93"/>
      <c r="M508" s="93"/>
      <c r="N508" s="93">
        <v>0</v>
      </c>
      <c r="O508" s="93"/>
      <c r="P508" s="93"/>
      <c r="Q508" s="604"/>
      <c r="R508" s="604"/>
      <c r="S508" s="604"/>
      <c r="T508" s="604"/>
      <c r="U508" s="604"/>
      <c r="V508" s="604"/>
      <c r="W508" s="604"/>
      <c r="X508" s="604"/>
      <c r="Y508" s="604"/>
      <c r="Z508" s="604"/>
    </row>
    <row r="509" spans="1:26" ht="18.75" hidden="1">
      <c r="A509" s="649"/>
      <c r="B509" s="607"/>
      <c r="C509" s="759"/>
      <c r="D509" s="759"/>
      <c r="E509" s="759"/>
      <c r="F509" s="759" t="s">
        <v>188</v>
      </c>
      <c r="G509" s="603"/>
      <c r="H509" s="165" t="s">
        <v>12</v>
      </c>
      <c r="I509" s="617"/>
      <c r="J509" s="617"/>
      <c r="K509" s="93"/>
      <c r="L509" s="93"/>
      <c r="M509" s="93"/>
      <c r="N509" s="93">
        <v>0</v>
      </c>
      <c r="O509" s="93"/>
      <c r="P509" s="93"/>
      <c r="Q509" s="604"/>
      <c r="R509" s="604"/>
      <c r="S509" s="604"/>
      <c r="T509" s="604"/>
      <c r="U509" s="604"/>
      <c r="V509" s="604"/>
      <c r="W509" s="604"/>
      <c r="X509" s="604"/>
      <c r="Y509" s="604"/>
      <c r="Z509" s="604"/>
    </row>
    <row r="510" spans="1:26" ht="18.75" hidden="1">
      <c r="A510" s="649"/>
      <c r="B510" s="607"/>
      <c r="C510" s="607"/>
      <c r="D510" s="607"/>
      <c r="E510" s="759"/>
      <c r="F510" s="759" t="s">
        <v>189</v>
      </c>
      <c r="G510" s="603"/>
      <c r="H510" s="165" t="s">
        <v>12</v>
      </c>
      <c r="I510" s="617"/>
      <c r="J510" s="617"/>
      <c r="K510" s="93"/>
      <c r="L510" s="93"/>
      <c r="M510" s="93"/>
      <c r="N510" s="93">
        <v>0</v>
      </c>
      <c r="O510" s="93"/>
      <c r="P510" s="93"/>
      <c r="Q510" s="604"/>
      <c r="R510" s="604"/>
      <c r="S510" s="604"/>
      <c r="T510" s="604"/>
      <c r="U510" s="604"/>
      <c r="V510" s="604"/>
      <c r="W510" s="604"/>
      <c r="X510" s="604"/>
      <c r="Y510" s="604"/>
      <c r="Z510" s="604"/>
    </row>
    <row r="511" spans="1:26" ht="18.75" hidden="1">
      <c r="A511" s="649"/>
      <c r="B511" s="607"/>
      <c r="C511" s="607"/>
      <c r="D511" s="607"/>
      <c r="E511" s="759"/>
      <c r="F511" s="759" t="s">
        <v>190</v>
      </c>
      <c r="G511" s="603"/>
      <c r="H511" s="165" t="s">
        <v>12</v>
      </c>
      <c r="I511" s="617"/>
      <c r="J511" s="617"/>
      <c r="K511" s="93"/>
      <c r="L511" s="93"/>
      <c r="M511" s="93"/>
      <c r="N511" s="93">
        <v>0</v>
      </c>
      <c r="O511" s="93"/>
      <c r="P511" s="93"/>
      <c r="Q511" s="604"/>
      <c r="R511" s="604"/>
      <c r="S511" s="604"/>
      <c r="T511" s="604"/>
      <c r="U511" s="604"/>
      <c r="V511" s="604"/>
      <c r="W511" s="604"/>
      <c r="X511" s="604"/>
      <c r="Y511" s="604"/>
      <c r="Z511" s="604"/>
    </row>
    <row r="512" spans="1:26" ht="18.75" hidden="1">
      <c r="A512" s="599"/>
      <c r="B512" s="607"/>
      <c r="C512" s="607"/>
      <c r="D512" s="648" t="s">
        <v>21</v>
      </c>
      <c r="E512" s="607"/>
      <c r="F512" s="759"/>
      <c r="G512" s="603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4"/>
      <c r="R512" s="604"/>
      <c r="S512" s="604"/>
      <c r="T512" s="604"/>
      <c r="U512" s="604"/>
      <c r="V512" s="604"/>
      <c r="W512" s="604"/>
      <c r="X512" s="604"/>
      <c r="Y512" s="604"/>
      <c r="Z512" s="604"/>
    </row>
    <row r="513" spans="1:26" ht="18.75" hidden="1">
      <c r="A513" s="599"/>
      <c r="B513" s="607"/>
      <c r="C513" s="607"/>
      <c r="D513" s="607"/>
      <c r="E513" s="607" t="s">
        <v>18</v>
      </c>
      <c r="F513" s="759"/>
      <c r="G513" s="603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4"/>
      <c r="R513" s="604"/>
      <c r="S513" s="604"/>
      <c r="T513" s="604"/>
      <c r="U513" s="604"/>
      <c r="V513" s="604"/>
      <c r="W513" s="604"/>
      <c r="X513" s="604"/>
      <c r="Y513" s="604"/>
      <c r="Z513" s="604"/>
    </row>
    <row r="514" spans="1:26" ht="18.75" hidden="1">
      <c r="A514" s="599"/>
      <c r="B514" s="607"/>
      <c r="C514" s="607"/>
      <c r="D514" s="759"/>
      <c r="E514" s="607" t="s">
        <v>19</v>
      </c>
      <c r="F514" s="759"/>
      <c r="G514" s="603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4"/>
      <c r="R514" s="604"/>
      <c r="S514" s="604"/>
      <c r="T514" s="604"/>
      <c r="U514" s="604"/>
      <c r="V514" s="604"/>
      <c r="W514" s="604"/>
      <c r="X514" s="604"/>
      <c r="Y514" s="604"/>
      <c r="Z514" s="604"/>
    </row>
    <row r="515" spans="1:26" ht="19.5" hidden="1">
      <c r="A515" s="614"/>
      <c r="B515" s="616"/>
      <c r="C515" s="607" t="s">
        <v>16</v>
      </c>
      <c r="D515" s="895" t="s">
        <v>38</v>
      </c>
      <c r="E515" s="651"/>
      <c r="F515" s="651"/>
      <c r="G515" s="652"/>
      <c r="H515" s="366"/>
      <c r="I515" s="166"/>
      <c r="J515" s="166"/>
      <c r="K515" s="167"/>
      <c r="L515" s="167"/>
      <c r="M515" s="167"/>
      <c r="N515" s="167"/>
      <c r="O515" s="167"/>
      <c r="P515" s="167"/>
      <c r="Q515" s="604"/>
      <c r="R515" s="604"/>
      <c r="S515" s="604"/>
      <c r="T515" s="604"/>
      <c r="U515" s="604"/>
      <c r="V515" s="604"/>
      <c r="W515" s="604"/>
      <c r="X515" s="604"/>
      <c r="Y515" s="604"/>
      <c r="Z515" s="604"/>
    </row>
    <row r="516" spans="1:26" ht="18.75" hidden="1">
      <c r="A516" s="614"/>
      <c r="B516" s="616"/>
      <c r="C516" s="616"/>
      <c r="D516" s="616" t="s">
        <v>222</v>
      </c>
      <c r="E516" s="720"/>
      <c r="F516" s="720"/>
      <c r="G516" s="366"/>
      <c r="H516" s="653" t="s">
        <v>109</v>
      </c>
      <c r="I516" s="617"/>
      <c r="J516" s="617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4"/>
      <c r="R516" s="604"/>
      <c r="S516" s="604"/>
      <c r="T516" s="604"/>
      <c r="U516" s="604"/>
      <c r="V516" s="604"/>
      <c r="W516" s="604"/>
      <c r="X516" s="604"/>
      <c r="Y516" s="604"/>
      <c r="Z516" s="604"/>
    </row>
    <row r="517" spans="1:26" ht="19.5" hidden="1">
      <c r="A517" s="614"/>
      <c r="B517" s="616"/>
      <c r="C517" s="616"/>
      <c r="D517" s="616" t="s">
        <v>223</v>
      </c>
      <c r="E517" s="720"/>
      <c r="F517" s="720"/>
      <c r="G517" s="366"/>
      <c r="H517" s="654" t="s">
        <v>35</v>
      </c>
      <c r="I517" s="655"/>
      <c r="J517" s="655">
        <f>J518+J519</f>
        <v>0</v>
      </c>
      <c r="K517" s="656">
        <f t="shared" si="224"/>
        <v>0</v>
      </c>
      <c r="L517" s="167"/>
      <c r="M517" s="167"/>
      <c r="N517" s="167"/>
      <c r="O517" s="167"/>
      <c r="P517" s="167"/>
      <c r="Q517" s="604"/>
      <c r="R517" s="604"/>
      <c r="S517" s="604"/>
      <c r="T517" s="604"/>
      <c r="U517" s="604"/>
      <c r="V517" s="604"/>
      <c r="W517" s="604"/>
      <c r="X517" s="604"/>
      <c r="Y517" s="604"/>
      <c r="Z517" s="604"/>
    </row>
    <row r="518" spans="1:26" ht="18.75" hidden="1">
      <c r="A518" s="614"/>
      <c r="B518" s="616"/>
      <c r="C518" s="616"/>
      <c r="D518" s="616"/>
      <c r="E518" s="616" t="s">
        <v>224</v>
      </c>
      <c r="F518" s="720"/>
      <c r="G518" s="366"/>
      <c r="H518" s="370" t="s">
        <v>35</v>
      </c>
      <c r="I518" s="617"/>
      <c r="J518" s="617"/>
      <c r="K518" s="167"/>
      <c r="L518" s="167"/>
      <c r="M518" s="167"/>
      <c r="N518" s="167"/>
      <c r="O518" s="167"/>
      <c r="P518" s="167"/>
      <c r="Q518" s="604"/>
      <c r="R518" s="604"/>
      <c r="S518" s="604"/>
      <c r="T518" s="604"/>
      <c r="U518" s="604"/>
      <c r="V518" s="604"/>
      <c r="W518" s="604"/>
      <c r="X518" s="604"/>
      <c r="Y518" s="604"/>
      <c r="Z518" s="604"/>
    </row>
    <row r="519" spans="1:26" ht="18.75" hidden="1">
      <c r="A519" s="614"/>
      <c r="B519" s="616"/>
      <c r="C519" s="616"/>
      <c r="D519" s="616"/>
      <c r="E519" s="616" t="s">
        <v>225</v>
      </c>
      <c r="F519" s="720"/>
      <c r="G519" s="366"/>
      <c r="H519" s="653" t="s">
        <v>35</v>
      </c>
      <c r="I519" s="617"/>
      <c r="J519" s="617"/>
      <c r="K519" s="167"/>
      <c r="L519" s="167"/>
      <c r="M519" s="167"/>
      <c r="N519" s="167"/>
      <c r="O519" s="167"/>
      <c r="P519" s="167"/>
      <c r="Q519" s="604"/>
      <c r="R519" s="604"/>
      <c r="S519" s="604"/>
      <c r="T519" s="604"/>
      <c r="U519" s="604"/>
      <c r="V519" s="604"/>
      <c r="W519" s="604"/>
      <c r="X519" s="604"/>
      <c r="Y519" s="604"/>
      <c r="Z519" s="604"/>
    </row>
    <row r="520" spans="1:26" ht="19.5">
      <c r="A520" s="657" t="s">
        <v>137</v>
      </c>
      <c r="B520" s="658"/>
      <c r="C520" s="658"/>
      <c r="D520" s="659"/>
      <c r="E520" s="659"/>
      <c r="F520" s="659"/>
      <c r="G520" s="660"/>
      <c r="H520" s="661"/>
      <c r="I520" s="662"/>
      <c r="J520" s="662"/>
      <c r="K520" s="663"/>
      <c r="L520" s="663"/>
      <c r="M520" s="663"/>
      <c r="N520" s="663"/>
      <c r="O520" s="663"/>
      <c r="P520" s="663"/>
    </row>
    <row r="521" spans="1:26" ht="19.5" hidden="1">
      <c r="A521" s="664">
        <v>5</v>
      </c>
      <c r="B521" s="665" t="s">
        <v>226</v>
      </c>
      <c r="C521" s="666"/>
      <c r="D521" s="667"/>
      <c r="E521" s="667"/>
      <c r="F521" s="667"/>
      <c r="G521" s="667"/>
      <c r="H521" s="668"/>
      <c r="I521" s="669"/>
      <c r="J521" s="669"/>
      <c r="K521" s="670"/>
      <c r="L521" s="670"/>
      <c r="M521" s="670"/>
      <c r="N521" s="670"/>
      <c r="O521" s="670"/>
      <c r="P521" s="670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</row>
    <row r="522" spans="1:26" ht="19.5" hidden="1">
      <c r="A522" s="671"/>
      <c r="B522" s="672" t="s">
        <v>227</v>
      </c>
      <c r="C522" s="673"/>
      <c r="D522" s="673"/>
      <c r="E522" s="673"/>
      <c r="F522" s="673"/>
      <c r="G522" s="674"/>
      <c r="H522" s="675" t="s">
        <v>35</v>
      </c>
      <c r="I522" s="708">
        <f t="shared" ref="I522:J522" ca="1" si="225">I537</f>
        <v>0</v>
      </c>
      <c r="J522" s="708">
        <f t="shared" ca="1" si="225"/>
        <v>0</v>
      </c>
      <c r="K522" s="677">
        <f ca="1">IF(I522&gt;0,J522*100/I522,0)</f>
        <v>0</v>
      </c>
      <c r="L522" s="678"/>
      <c r="M522" s="678"/>
      <c r="N522" s="678"/>
      <c r="O522" s="678"/>
      <c r="P522" s="6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</row>
    <row r="523" spans="1:26" ht="19.5" hidden="1">
      <c r="A523" s="597"/>
      <c r="B523" s="763"/>
      <c r="C523" s="763" t="s">
        <v>16</v>
      </c>
      <c r="D523" s="863" t="s">
        <v>17</v>
      </c>
      <c r="E523" s="857"/>
      <c r="F523" s="857"/>
      <c r="G523" s="189"/>
      <c r="H523" s="598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</row>
    <row r="524" spans="1:26" ht="18.75" hidden="1">
      <c r="A524" s="599"/>
      <c r="B524" s="759"/>
      <c r="C524" s="759"/>
      <c r="D524" s="720"/>
      <c r="E524" s="759" t="s">
        <v>185</v>
      </c>
      <c r="F524" s="759"/>
      <c r="G524" s="603"/>
      <c r="H524" s="165" t="s">
        <v>12</v>
      </c>
      <c r="I524" s="617"/>
      <c r="J524" s="617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4"/>
      <c r="R524" s="604"/>
      <c r="S524" s="604"/>
      <c r="T524" s="604"/>
      <c r="U524" s="604"/>
      <c r="V524" s="604"/>
      <c r="W524" s="604"/>
      <c r="X524" s="604"/>
      <c r="Y524" s="604"/>
      <c r="Z524" s="604"/>
    </row>
    <row r="525" spans="1:26" ht="18.75" hidden="1">
      <c r="A525" s="599"/>
      <c r="B525" s="607"/>
      <c r="C525" s="759"/>
      <c r="D525" s="720"/>
      <c r="E525" s="759" t="s">
        <v>186</v>
      </c>
      <c r="F525" s="759"/>
      <c r="G525" s="603"/>
      <c r="H525" s="165" t="s">
        <v>12</v>
      </c>
      <c r="I525" s="617"/>
      <c r="J525" s="617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4"/>
      <c r="R525" s="604"/>
      <c r="S525" s="604"/>
      <c r="T525" s="604"/>
      <c r="U525" s="604"/>
      <c r="V525" s="604"/>
      <c r="W525" s="604"/>
      <c r="X525" s="604"/>
      <c r="Y525" s="604"/>
      <c r="Z525" s="604"/>
    </row>
    <row r="526" spans="1:26" ht="18.75" hidden="1">
      <c r="A526" s="597"/>
      <c r="B526" s="575"/>
      <c r="C526" s="763"/>
      <c r="D526" s="606" t="s">
        <v>20</v>
      </c>
      <c r="E526" s="763"/>
      <c r="F526" s="763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</row>
    <row r="527" spans="1:26" ht="18.75" hidden="1">
      <c r="A527" s="599"/>
      <c r="B527" s="607"/>
      <c r="C527" s="759"/>
      <c r="D527" s="720"/>
      <c r="E527" s="759" t="s">
        <v>185</v>
      </c>
      <c r="F527" s="759"/>
      <c r="G527" s="603"/>
      <c r="H527" s="165" t="s">
        <v>12</v>
      </c>
      <c r="I527" s="617"/>
      <c r="J527" s="617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4"/>
      <c r="R527" s="604"/>
      <c r="S527" s="604"/>
      <c r="T527" s="604"/>
      <c r="U527" s="604"/>
      <c r="V527" s="604"/>
      <c r="W527" s="604"/>
      <c r="X527" s="604"/>
      <c r="Y527" s="604"/>
      <c r="Z527" s="604"/>
    </row>
    <row r="528" spans="1:26" ht="18.75" hidden="1">
      <c r="A528" s="599"/>
      <c r="B528" s="607"/>
      <c r="C528" s="759"/>
      <c r="D528" s="720"/>
      <c r="E528" s="759" t="s">
        <v>186</v>
      </c>
      <c r="F528" s="759"/>
      <c r="G528" s="603"/>
      <c r="H528" s="165" t="s">
        <v>12</v>
      </c>
      <c r="I528" s="617"/>
      <c r="J528" s="617"/>
      <c r="K528" s="93"/>
      <c r="L528" s="93">
        <f ca="1">IFERROR(__xludf.DUMMYFUNCTION("IMPORTRANGE(""https://docs.google.com/spreadsheets/d/1QqKyyYR6Q21VydFLVH3TRQUabQu_ym0Zz7PgGX0-kHA/edit?usp=sharing"",""แผน!GQ49"")"),0)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4"/>
      <c r="R528" s="604"/>
      <c r="S528" s="604"/>
      <c r="T528" s="604"/>
      <c r="U528" s="604"/>
      <c r="V528" s="604"/>
      <c r="W528" s="604"/>
      <c r="X528" s="604"/>
      <c r="Y528" s="604"/>
      <c r="Z528" s="604"/>
    </row>
    <row r="529" spans="1:26" ht="18.75" hidden="1">
      <c r="A529" s="574"/>
      <c r="B529" s="575"/>
      <c r="C529" s="763"/>
      <c r="D529" s="763"/>
      <c r="E529" s="763"/>
      <c r="F529" s="763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40">
        <v>0</v>
      </c>
      <c r="O529" s="498"/>
      <c r="P529" s="49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</row>
    <row r="530" spans="1:26" ht="18.75" hidden="1">
      <c r="A530" s="574"/>
      <c r="B530" s="575"/>
      <c r="C530" s="763"/>
      <c r="D530" s="763"/>
      <c r="E530" s="763"/>
      <c r="F530" s="763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40">
        <v>0</v>
      </c>
      <c r="O530" s="498"/>
      <c r="P530" s="49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</row>
    <row r="531" spans="1:26" ht="18.75" hidden="1">
      <c r="A531" s="574"/>
      <c r="B531" s="575"/>
      <c r="C531" s="763"/>
      <c r="D531" s="763"/>
      <c r="E531" s="763"/>
      <c r="F531" s="763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40">
        <v>0</v>
      </c>
      <c r="O531" s="498"/>
      <c r="P531" s="49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</row>
    <row r="532" spans="1:26" ht="18.75" hidden="1">
      <c r="A532" s="574"/>
      <c r="B532" s="575"/>
      <c r="C532" s="763"/>
      <c r="D532" s="763"/>
      <c r="E532" s="763"/>
      <c r="F532" s="763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40">
        <v>0</v>
      </c>
      <c r="O532" s="498"/>
      <c r="P532" s="49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</row>
    <row r="533" spans="1:26" ht="18.75" hidden="1">
      <c r="A533" s="597"/>
      <c r="B533" s="575"/>
      <c r="C533" s="763"/>
      <c r="D533" s="606" t="s">
        <v>21</v>
      </c>
      <c r="E533" s="763"/>
      <c r="F533" s="763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</row>
    <row r="534" spans="1:26" ht="18.75" hidden="1">
      <c r="A534" s="599"/>
      <c r="B534" s="607"/>
      <c r="C534" s="759"/>
      <c r="D534" s="759"/>
      <c r="E534" s="759" t="s">
        <v>18</v>
      </c>
      <c r="F534" s="759"/>
      <c r="G534" s="603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4"/>
      <c r="R534" s="604"/>
      <c r="S534" s="604"/>
      <c r="T534" s="604"/>
      <c r="U534" s="604"/>
      <c r="V534" s="604"/>
      <c r="W534" s="604"/>
      <c r="X534" s="604"/>
      <c r="Y534" s="604"/>
      <c r="Z534" s="604"/>
    </row>
    <row r="535" spans="1:26" ht="18.75" hidden="1">
      <c r="A535" s="599"/>
      <c r="B535" s="607"/>
      <c r="C535" s="759"/>
      <c r="D535" s="759"/>
      <c r="E535" s="759" t="s">
        <v>19</v>
      </c>
      <c r="F535" s="759"/>
      <c r="G535" s="603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4"/>
      <c r="R535" s="604"/>
      <c r="S535" s="604"/>
      <c r="T535" s="604"/>
      <c r="U535" s="604"/>
      <c r="V535" s="604"/>
      <c r="W535" s="604"/>
      <c r="X535" s="604"/>
      <c r="Y535" s="604"/>
      <c r="Z535" s="604"/>
    </row>
    <row r="536" spans="1:26" ht="19.5" hidden="1">
      <c r="A536" s="608"/>
      <c r="B536" s="618"/>
      <c r="C536" s="763" t="s">
        <v>16</v>
      </c>
      <c r="D536" s="896" t="s">
        <v>38</v>
      </c>
      <c r="E536" s="761"/>
      <c r="F536" s="761"/>
      <c r="G536" s="613"/>
      <c r="H536" s="762"/>
      <c r="I536" s="184"/>
      <c r="J536" s="184"/>
      <c r="K536" s="163"/>
      <c r="L536" s="163"/>
      <c r="M536" s="163"/>
      <c r="N536" s="163"/>
      <c r="O536" s="163"/>
      <c r="P536" s="163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</row>
    <row r="537" spans="1:26" ht="19.5" hidden="1">
      <c r="A537" s="574"/>
      <c r="B537" s="575"/>
      <c r="C537" s="763"/>
      <c r="D537" s="763" t="s">
        <v>228</v>
      </c>
      <c r="E537" s="763"/>
      <c r="F537" s="763"/>
      <c r="G537" s="189"/>
      <c r="H537" s="623" t="s">
        <v>35</v>
      </c>
      <c r="I537" s="681">
        <f ca="1">IFERROR(__xludf.DUMMYFUNCTION("IMPORTRANGE(""https://docs.google.com/spreadsheets/d/1QqKyyYR6Q21VydFLVH3TRQUabQu_ym0Zz7PgGX0-kHA/edit?usp=sharing"",""แผน!GU49"")"),0)</f>
        <v>0</v>
      </c>
      <c r="J537" s="681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2"/>
      <c r="R537" s="682"/>
      <c r="S537" s="682"/>
      <c r="T537" s="682"/>
      <c r="U537" s="682"/>
      <c r="V537" s="682"/>
      <c r="W537" s="682"/>
      <c r="X537" s="682"/>
      <c r="Y537" s="682"/>
      <c r="Z537" s="682"/>
    </row>
    <row r="538" spans="1:26" ht="18.75" hidden="1">
      <c r="A538" s="574"/>
      <c r="B538" s="575"/>
      <c r="C538" s="763"/>
      <c r="D538" s="763"/>
      <c r="E538" s="763" t="s">
        <v>229</v>
      </c>
      <c r="F538" s="763"/>
      <c r="G538" s="189"/>
      <c r="H538" s="623" t="s">
        <v>35</v>
      </c>
      <c r="I538" s="270">
        <f ca="1">IFERROR(__xludf.DUMMYFUNCTION("IMPORTRANGE(""https://docs.google.com/spreadsheets/d/1QqKyyYR6Q21VydFLVH3TRQUabQu_ym0Zz7PgGX0-kHA/edit?usp=sharing"",""แผน!GV49"")"),0)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2"/>
      <c r="R538" s="682"/>
      <c r="S538" s="682"/>
      <c r="T538" s="682"/>
      <c r="U538" s="682"/>
      <c r="V538" s="682"/>
      <c r="W538" s="682"/>
      <c r="X538" s="682"/>
      <c r="Y538" s="682"/>
      <c r="Z538" s="682"/>
    </row>
    <row r="539" spans="1:26" ht="18.75" hidden="1">
      <c r="A539" s="574"/>
      <c r="B539" s="575"/>
      <c r="C539" s="763"/>
      <c r="D539" s="763"/>
      <c r="E539" s="763" t="s">
        <v>230</v>
      </c>
      <c r="F539" s="763"/>
      <c r="G539" s="189"/>
      <c r="H539" s="623" t="s">
        <v>35</v>
      </c>
      <c r="I539" s="270">
        <f ca="1">IFERROR(__xludf.DUMMYFUNCTION("IMPORTRANGE(""https://docs.google.com/spreadsheets/d/1QqKyyYR6Q21VydFLVH3TRQUabQu_ym0Zz7PgGX0-kHA/edit?usp=sharing"",""แผน!GW49"")"),0)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2"/>
      <c r="R539" s="682"/>
      <c r="S539" s="682"/>
      <c r="T539" s="682"/>
      <c r="U539" s="682"/>
      <c r="V539" s="682"/>
      <c r="W539" s="682"/>
      <c r="X539" s="682"/>
      <c r="Y539" s="682"/>
      <c r="Z539" s="682"/>
    </row>
    <row r="540" spans="1:26" ht="18.75" hidden="1">
      <c r="A540" s="574"/>
      <c r="B540" s="575"/>
      <c r="C540" s="763"/>
      <c r="D540" s="763"/>
      <c r="E540" s="763" t="s">
        <v>231</v>
      </c>
      <c r="F540" s="763"/>
      <c r="G540" s="189"/>
      <c r="H540" s="623" t="s">
        <v>35</v>
      </c>
      <c r="I540" s="270">
        <f ca="1">IFERROR(__xludf.DUMMYFUNCTION("IMPORTRANGE(""https://docs.google.com/spreadsheets/d/1QqKyyYR6Q21VydFLVH3TRQUabQu_ym0Zz7PgGX0-kHA/edit?usp=sharing"",""แผน!GX49"")"),0)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2"/>
      <c r="R540" s="682"/>
      <c r="S540" s="682"/>
      <c r="T540" s="682"/>
      <c r="U540" s="682"/>
      <c r="V540" s="682"/>
      <c r="W540" s="682"/>
      <c r="X540" s="682"/>
      <c r="Y540" s="682"/>
      <c r="Z540" s="682"/>
    </row>
    <row r="541" spans="1:26" ht="18.75" hidden="1">
      <c r="A541" s="574"/>
      <c r="B541" s="575"/>
      <c r="C541" s="763"/>
      <c r="D541" s="763"/>
      <c r="E541" s="769" t="s">
        <v>232</v>
      </c>
      <c r="F541" s="763"/>
      <c r="G541" s="189"/>
      <c r="H541" s="623" t="s">
        <v>35</v>
      </c>
      <c r="I541" s="270">
        <f ca="1">IFERROR(__xludf.DUMMYFUNCTION("IMPORTRANGE(""https://docs.google.com/spreadsheets/d/1QqKyyYR6Q21VydFLVH3TRQUabQu_ym0Zz7PgGX0-kHA/edit?usp=sharing"",""แผน!GY49"")"),0)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2"/>
      <c r="R541" s="682"/>
      <c r="S541" s="682"/>
      <c r="T541" s="682"/>
      <c r="U541" s="682"/>
      <c r="V541" s="682"/>
      <c r="W541" s="682"/>
      <c r="X541" s="682"/>
      <c r="Y541" s="682"/>
      <c r="Z541" s="682"/>
    </row>
    <row r="542" spans="1:26" ht="18.75" hidden="1">
      <c r="A542" s="574"/>
      <c r="B542" s="575"/>
      <c r="C542" s="763"/>
      <c r="D542" s="763" t="s">
        <v>59</v>
      </c>
      <c r="E542" s="763"/>
      <c r="F542" s="763"/>
      <c r="G542" s="189"/>
      <c r="H542" s="623" t="s">
        <v>35</v>
      </c>
      <c r="I542" s="270">
        <f ca="1">IFERROR(__xludf.DUMMYFUNCTION("IMPORTRANGE(""https://docs.google.com/spreadsheets/d/1QqKyyYR6Q21VydFLVH3TRQUabQu_ym0Zz7PgGX0-kHA/edit?usp=sharing"",""แผน!GZ49"")"),0)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2"/>
      <c r="R542" s="682"/>
      <c r="S542" s="682"/>
      <c r="T542" s="682"/>
      <c r="U542" s="682"/>
      <c r="V542" s="682"/>
      <c r="W542" s="682"/>
      <c r="X542" s="682"/>
      <c r="Y542" s="682"/>
      <c r="Z542" s="682"/>
    </row>
    <row r="543" spans="1:26" ht="19.5">
      <c r="A543" s="664">
        <v>6</v>
      </c>
      <c r="B543" s="685" t="s">
        <v>233</v>
      </c>
      <c r="C543" s="667"/>
      <c r="D543" s="667"/>
      <c r="E543" s="667"/>
      <c r="F543" s="667"/>
      <c r="G543" s="668"/>
      <c r="H543" s="686" t="s">
        <v>46</v>
      </c>
      <c r="I543" s="687">
        <f t="shared" ref="I543:J543" ca="1" si="235">I559</f>
        <v>22152.447499999998</v>
      </c>
      <c r="J543" s="687">
        <f t="shared" si="235"/>
        <v>22152.447499999998</v>
      </c>
      <c r="K543" s="688">
        <f t="shared" ca="1" si="234"/>
        <v>100.00000000000001</v>
      </c>
      <c r="L543" s="670"/>
      <c r="M543" s="670"/>
      <c r="N543" s="670"/>
      <c r="O543" s="670"/>
      <c r="P543" s="670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</row>
    <row r="544" spans="1:26" ht="19.5">
      <c r="A544" s="689"/>
      <c r="B544" s="690"/>
      <c r="C544" s="690" t="s">
        <v>16</v>
      </c>
      <c r="D544" s="897" t="s">
        <v>17</v>
      </c>
      <c r="E544" s="862"/>
      <c r="F544" s="862"/>
      <c r="G544" s="691"/>
      <c r="H544" s="275" t="s">
        <v>12</v>
      </c>
      <c r="I544" s="420"/>
      <c r="J544" s="420"/>
      <c r="K544" s="154"/>
      <c r="L544" s="155">
        <f t="shared" ref="L544:N544" ca="1" si="236">L545+L546</f>
        <v>397413</v>
      </c>
      <c r="M544" s="155">
        <f t="shared" ca="1" si="236"/>
        <v>297501</v>
      </c>
      <c r="N544" s="155">
        <f t="shared" si="236"/>
        <v>297501</v>
      </c>
      <c r="O544" s="155">
        <f t="shared" ref="O544:O549" ca="1" si="237">IF(L544&gt;0,N544*100/L544,0)</f>
        <v>74.859403190132184</v>
      </c>
      <c r="P544" s="155">
        <f t="shared" ref="P544:P549" ca="1" si="238">IF(M544&gt;0,N544*100/M544,0)</f>
        <v>100</v>
      </c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</row>
    <row r="545" spans="1:26" ht="18.75" hidden="1">
      <c r="A545" s="599"/>
      <c r="B545" s="759"/>
      <c r="C545" s="759"/>
      <c r="D545" s="759"/>
      <c r="E545" s="759" t="s">
        <v>185</v>
      </c>
      <c r="F545" s="759"/>
      <c r="G545" s="603"/>
      <c r="H545" s="165" t="s">
        <v>12</v>
      </c>
      <c r="I545" s="617"/>
      <c r="J545" s="617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4"/>
      <c r="R545" s="604"/>
      <c r="S545" s="604"/>
      <c r="T545" s="604"/>
      <c r="U545" s="604"/>
      <c r="V545" s="604"/>
      <c r="W545" s="604"/>
      <c r="X545" s="604"/>
      <c r="Y545" s="604"/>
      <c r="Z545" s="604"/>
    </row>
    <row r="546" spans="1:26" ht="18.75" hidden="1">
      <c r="A546" s="599"/>
      <c r="B546" s="607"/>
      <c r="C546" s="759"/>
      <c r="D546" s="759"/>
      <c r="E546" s="759" t="s">
        <v>186</v>
      </c>
      <c r="F546" s="759"/>
      <c r="G546" s="603"/>
      <c r="H546" s="165" t="s">
        <v>12</v>
      </c>
      <c r="I546" s="617"/>
      <c r="J546" s="617"/>
      <c r="K546" s="93"/>
      <c r="L546" s="93">
        <f t="shared" ca="1" si="239"/>
        <v>397413</v>
      </c>
      <c r="M546" s="93">
        <f t="shared" ca="1" si="240"/>
        <v>297501</v>
      </c>
      <c r="N546" s="93">
        <f t="shared" si="240"/>
        <v>297501</v>
      </c>
      <c r="O546" s="93">
        <f t="shared" ca="1" si="237"/>
        <v>74.859403190132184</v>
      </c>
      <c r="P546" s="93">
        <f t="shared" ca="1" si="238"/>
        <v>100</v>
      </c>
      <c r="Q546" s="604"/>
      <c r="R546" s="604"/>
      <c r="S546" s="604"/>
      <c r="T546" s="604"/>
      <c r="U546" s="604"/>
      <c r="V546" s="604"/>
      <c r="W546" s="604"/>
      <c r="X546" s="604"/>
      <c r="Y546" s="604"/>
      <c r="Z546" s="604"/>
    </row>
    <row r="547" spans="1:26" ht="18.75">
      <c r="A547" s="597"/>
      <c r="B547" s="575"/>
      <c r="C547" s="763"/>
      <c r="D547" s="606" t="s">
        <v>20</v>
      </c>
      <c r="E547" s="763"/>
      <c r="F547" s="763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397413</v>
      </c>
      <c r="M547" s="498">
        <f t="shared" ca="1" si="241"/>
        <v>297501</v>
      </c>
      <c r="N547" s="498">
        <f t="shared" si="241"/>
        <v>297501</v>
      </c>
      <c r="O547" s="498">
        <f t="shared" ca="1" si="237"/>
        <v>74.859403190132184</v>
      </c>
      <c r="P547" s="498">
        <f t="shared" ca="1" si="238"/>
        <v>100</v>
      </c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</row>
    <row r="548" spans="1:26" ht="18.75" hidden="1">
      <c r="A548" s="599"/>
      <c r="B548" s="607"/>
      <c r="C548" s="759"/>
      <c r="D548" s="720"/>
      <c r="E548" s="759" t="s">
        <v>185</v>
      </c>
      <c r="F548" s="759"/>
      <c r="G548" s="603"/>
      <c r="H548" s="165" t="s">
        <v>12</v>
      </c>
      <c r="I548" s="617"/>
      <c r="J548" s="617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4"/>
      <c r="R548" s="604"/>
      <c r="S548" s="604"/>
      <c r="T548" s="604"/>
      <c r="U548" s="604"/>
      <c r="V548" s="604"/>
      <c r="W548" s="604"/>
      <c r="X548" s="604"/>
      <c r="Y548" s="604"/>
      <c r="Z548" s="604"/>
    </row>
    <row r="549" spans="1:26" ht="18.75" hidden="1">
      <c r="A549" s="599"/>
      <c r="B549" s="607"/>
      <c r="C549" s="759"/>
      <c r="D549" s="720"/>
      <c r="E549" s="759" t="s">
        <v>186</v>
      </c>
      <c r="F549" s="759"/>
      <c r="G549" s="603"/>
      <c r="H549" s="165" t="s">
        <v>12</v>
      </c>
      <c r="I549" s="617"/>
      <c r="J549" s="617"/>
      <c r="K549" s="93"/>
      <c r="L549" s="93">
        <f ca="1">IFERROR(__xludf.DUMMYFUNCTION("IMPORTRANGE(""https://docs.google.com/spreadsheets/d/1QqKyyYR6Q21VydFLVH3TRQUabQu_ym0Zz7PgGX0-kHA/edit?usp=sharing"",""แผน!HB49"")"),397413)</f>
        <v>397413</v>
      </c>
      <c r="M549" s="93">
        <f ca="1">L549-99912</f>
        <v>297501</v>
      </c>
      <c r="N549" s="93">
        <f>N550+N551+N552+N553+N554</f>
        <v>297501</v>
      </c>
      <c r="O549" s="93">
        <f t="shared" ca="1" si="237"/>
        <v>74.859403190132184</v>
      </c>
      <c r="P549" s="93">
        <f t="shared" ca="1" si="238"/>
        <v>100</v>
      </c>
      <c r="Q549" s="604"/>
      <c r="R549" s="604"/>
      <c r="S549" s="604"/>
      <c r="T549" s="604"/>
      <c r="U549" s="604"/>
      <c r="V549" s="604"/>
      <c r="W549" s="604"/>
      <c r="X549" s="604"/>
      <c r="Y549" s="604"/>
      <c r="Z549" s="604"/>
    </row>
    <row r="550" spans="1:26" ht="18.75">
      <c r="A550" s="574"/>
      <c r="B550" s="575"/>
      <c r="C550" s="763"/>
      <c r="D550" s="763"/>
      <c r="E550" s="763"/>
      <c r="F550" s="763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40">
        <v>0</v>
      </c>
      <c r="O550" s="498"/>
      <c r="P550" s="49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</row>
    <row r="551" spans="1:26" ht="18.75">
      <c r="A551" s="574"/>
      <c r="B551" s="575"/>
      <c r="C551" s="575"/>
      <c r="D551" s="575"/>
      <c r="E551" s="763"/>
      <c r="F551" s="763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40">
        <v>0</v>
      </c>
      <c r="O551" s="498"/>
      <c r="P551" s="49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</row>
    <row r="552" spans="1:26" ht="18.75">
      <c r="A552" s="574"/>
      <c r="B552" s="575"/>
      <c r="C552" s="763"/>
      <c r="D552" s="763"/>
      <c r="E552" s="763"/>
      <c r="F552" s="763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40">
        <v>143650</v>
      </c>
      <c r="O552" s="498"/>
      <c r="P552" s="498"/>
      <c r="Q552" s="578"/>
      <c r="R552" s="578"/>
      <c r="S552" s="578"/>
      <c r="T552" s="578"/>
      <c r="U552" s="578"/>
      <c r="V552" s="578"/>
      <c r="W552" s="578"/>
      <c r="X552" s="578"/>
      <c r="Y552" s="578"/>
      <c r="Z552" s="578"/>
    </row>
    <row r="553" spans="1:26" ht="18.75">
      <c r="A553" s="574"/>
      <c r="B553" s="575"/>
      <c r="C553" s="575"/>
      <c r="D553" s="575"/>
      <c r="E553" s="763"/>
      <c r="F553" s="763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40">
        <v>153851</v>
      </c>
      <c r="O553" s="498"/>
      <c r="P553" s="49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</row>
    <row r="554" spans="1:26" ht="18.75">
      <c r="A554" s="574"/>
      <c r="B554" s="575"/>
      <c r="C554" s="575"/>
      <c r="D554" s="575"/>
      <c r="E554" s="763"/>
      <c r="F554" s="763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40">
        <v>0</v>
      </c>
      <c r="O554" s="498"/>
      <c r="P554" s="49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</row>
    <row r="555" spans="1:26" ht="18.75">
      <c r="A555" s="597"/>
      <c r="B555" s="575"/>
      <c r="C555" s="575"/>
      <c r="D555" s="606" t="s">
        <v>21</v>
      </c>
      <c r="E555" s="763"/>
      <c r="F555" s="763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</row>
    <row r="556" spans="1:26" ht="18.75" hidden="1">
      <c r="A556" s="599"/>
      <c r="B556" s="607"/>
      <c r="C556" s="607"/>
      <c r="D556" s="759"/>
      <c r="E556" s="759" t="s">
        <v>18</v>
      </c>
      <c r="F556" s="759"/>
      <c r="G556" s="603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4"/>
      <c r="R556" s="604"/>
      <c r="S556" s="604"/>
      <c r="T556" s="604"/>
      <c r="U556" s="604"/>
      <c r="V556" s="604"/>
      <c r="W556" s="604"/>
      <c r="X556" s="604"/>
      <c r="Y556" s="604"/>
      <c r="Z556" s="604"/>
    </row>
    <row r="557" spans="1:26" ht="18.75" hidden="1">
      <c r="A557" s="599"/>
      <c r="B557" s="607"/>
      <c r="C557" s="607"/>
      <c r="D557" s="759"/>
      <c r="E557" s="759" t="s">
        <v>19</v>
      </c>
      <c r="F557" s="759"/>
      <c r="G557" s="603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4"/>
      <c r="R557" s="604"/>
      <c r="S557" s="604"/>
      <c r="T557" s="604"/>
      <c r="U557" s="604"/>
      <c r="V557" s="604"/>
      <c r="W557" s="604"/>
      <c r="X557" s="604"/>
      <c r="Y557" s="604"/>
      <c r="Z557" s="604"/>
    </row>
    <row r="558" spans="1:26" ht="19.5">
      <c r="A558" s="608"/>
      <c r="B558" s="618"/>
      <c r="C558" s="575" t="s">
        <v>16</v>
      </c>
      <c r="D558" s="896" t="s">
        <v>38</v>
      </c>
      <c r="E558" s="761"/>
      <c r="F558" s="761"/>
      <c r="G558" s="613"/>
      <c r="H558" s="762"/>
      <c r="I558" s="184"/>
      <c r="J558" s="184"/>
      <c r="K558" s="163"/>
      <c r="L558" s="163"/>
      <c r="M558" s="163"/>
      <c r="N558" s="163"/>
      <c r="O558" s="163"/>
      <c r="P558" s="163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</row>
    <row r="559" spans="1:26" ht="19.5">
      <c r="A559" s="692"/>
      <c r="B559" s="693" t="s">
        <v>235</v>
      </c>
      <c r="C559" s="694"/>
      <c r="D559" s="694"/>
      <c r="E559" s="673"/>
      <c r="F559" s="673"/>
      <c r="G559" s="674"/>
      <c r="H559" s="695" t="s">
        <v>46</v>
      </c>
      <c r="I559" s="708">
        <f t="shared" ref="I559:J559" ca="1" si="245">I576</f>
        <v>22152.447499999998</v>
      </c>
      <c r="J559" s="708">
        <f t="shared" si="245"/>
        <v>22152.447499999998</v>
      </c>
      <c r="K559" s="677">
        <f t="shared" ref="K559:K561" ca="1" si="246">IF(I559&gt;0,J559*100/I559,0)</f>
        <v>100.00000000000001</v>
      </c>
      <c r="L559" s="678"/>
      <c r="M559" s="678"/>
      <c r="N559" s="678"/>
      <c r="O559" s="678"/>
      <c r="P559" s="6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</row>
    <row r="560" spans="1:26" ht="19.5">
      <c r="A560" s="608"/>
      <c r="B560" s="618"/>
      <c r="C560" s="625" t="s">
        <v>236</v>
      </c>
      <c r="D560" s="618"/>
      <c r="E560" s="626"/>
      <c r="F560" s="626"/>
      <c r="G560" s="762"/>
      <c r="H560" s="767" t="s">
        <v>46</v>
      </c>
      <c r="I560" s="193">
        <f ca="1">IFERROR(__xludf.DUMMYFUNCTION("IMPORTRANGE(""https://docs.google.com/spreadsheets/d/1QqKyyYR6Q21VydFLVH3TRQUabQu_ym0Zz7PgGX0-kHA/edit?usp=sharing"",""แผน!HH49"")"),22152.4475)</f>
        <v>22152.447499999998</v>
      </c>
      <c r="J560" s="193">
        <f t="shared" ref="J560:J561" si="247">J562+J564+J566</f>
        <v>22152</v>
      </c>
      <c r="K560" s="411">
        <f t="shared" ca="1" si="246"/>
        <v>99.997979907186334</v>
      </c>
      <c r="L560" s="163"/>
      <c r="M560" s="163"/>
      <c r="N560" s="163"/>
      <c r="O560" s="163"/>
      <c r="P560" s="163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</row>
    <row r="561" spans="1:26" ht="19.5">
      <c r="A561" s="608"/>
      <c r="B561" s="618"/>
      <c r="C561" s="618"/>
      <c r="D561" s="626"/>
      <c r="E561" s="626"/>
      <c r="F561" s="626"/>
      <c r="G561" s="762"/>
      <c r="H561" s="767" t="s">
        <v>34</v>
      </c>
      <c r="I561" s="193">
        <f ca="1">IFERROR(__xludf.DUMMYFUNCTION("IMPORTRANGE(""https://docs.google.com/spreadsheets/d/1QqKyyYR6Q21VydFLVH3TRQUabQu_ym0Zz7PgGX0-kHA/edit?usp=sharing"",""แผน!HG49"")"),1801)</f>
        <v>1801</v>
      </c>
      <c r="J561" s="193">
        <f t="shared" si="247"/>
        <v>1801</v>
      </c>
      <c r="K561" s="411">
        <f t="shared" ca="1" si="246"/>
        <v>100</v>
      </c>
      <c r="L561" s="163"/>
      <c r="M561" s="163"/>
      <c r="N561" s="163"/>
      <c r="O561" s="163"/>
      <c r="P561" s="163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</row>
    <row r="562" spans="1:26" ht="18.75">
      <c r="A562" s="608"/>
      <c r="B562" s="618"/>
      <c r="C562" s="618"/>
      <c r="D562" s="626" t="s">
        <v>237</v>
      </c>
      <c r="E562" s="626"/>
      <c r="F562" s="626"/>
      <c r="G562" s="762"/>
      <c r="H562" s="764" t="s">
        <v>46</v>
      </c>
      <c r="I562" s="184"/>
      <c r="J562" s="215">
        <v>19211</v>
      </c>
      <c r="K562" s="163"/>
      <c r="L562" s="163"/>
      <c r="M562" s="163"/>
      <c r="N562" s="163"/>
      <c r="O562" s="163"/>
      <c r="P562" s="163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</row>
    <row r="563" spans="1:26" ht="18.75">
      <c r="A563" s="608"/>
      <c r="B563" s="618"/>
      <c r="C563" s="618"/>
      <c r="D563" s="618"/>
      <c r="E563" s="626"/>
      <c r="F563" s="626"/>
      <c r="G563" s="762"/>
      <c r="H563" s="764" t="s">
        <v>34</v>
      </c>
      <c r="I563" s="184"/>
      <c r="J563" s="215">
        <v>1574</v>
      </c>
      <c r="K563" s="163"/>
      <c r="L563" s="163"/>
      <c r="M563" s="163"/>
      <c r="N563" s="163"/>
      <c r="O563" s="163"/>
      <c r="P563" s="163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</row>
    <row r="564" spans="1:26" ht="18.75">
      <c r="A564" s="608"/>
      <c r="B564" s="618"/>
      <c r="C564" s="618"/>
      <c r="D564" s="626" t="s">
        <v>238</v>
      </c>
      <c r="E564" s="626"/>
      <c r="F564" s="626"/>
      <c r="G564" s="762"/>
      <c r="H564" s="764" t="s">
        <v>46</v>
      </c>
      <c r="I564" s="184"/>
      <c r="J564" s="215">
        <v>2002</v>
      </c>
      <c r="K564" s="163"/>
      <c r="L564" s="163"/>
      <c r="M564" s="163"/>
      <c r="N564" s="163"/>
      <c r="O564" s="163"/>
      <c r="P564" s="163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</row>
    <row r="565" spans="1:26" ht="18.75">
      <c r="A565" s="608"/>
      <c r="B565" s="618"/>
      <c r="C565" s="618"/>
      <c r="D565" s="626"/>
      <c r="E565" s="626"/>
      <c r="F565" s="626"/>
      <c r="G565" s="762"/>
      <c r="H565" s="764" t="s">
        <v>34</v>
      </c>
      <c r="I565" s="184"/>
      <c r="J565" s="215">
        <v>156</v>
      </c>
      <c r="K565" s="163"/>
      <c r="L565" s="163"/>
      <c r="M565" s="163"/>
      <c r="N565" s="163"/>
      <c r="O565" s="163"/>
      <c r="P565" s="163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</row>
    <row r="566" spans="1:26" ht="18.75">
      <c r="A566" s="608"/>
      <c r="B566" s="618"/>
      <c r="C566" s="618"/>
      <c r="D566" s="626" t="s">
        <v>239</v>
      </c>
      <c r="E566" s="626"/>
      <c r="F566" s="626"/>
      <c r="G566" s="762"/>
      <c r="H566" s="764" t="s">
        <v>46</v>
      </c>
      <c r="I566" s="184"/>
      <c r="J566" s="215">
        <v>939</v>
      </c>
      <c r="K566" s="163"/>
      <c r="L566" s="163"/>
      <c r="M566" s="163"/>
      <c r="N566" s="163"/>
      <c r="O566" s="163"/>
      <c r="P566" s="163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</row>
    <row r="567" spans="1:26" ht="18.75">
      <c r="A567" s="608"/>
      <c r="B567" s="618"/>
      <c r="C567" s="618"/>
      <c r="D567" s="626"/>
      <c r="E567" s="626"/>
      <c r="F567" s="626"/>
      <c r="G567" s="762"/>
      <c r="H567" s="764" t="s">
        <v>34</v>
      </c>
      <c r="I567" s="184"/>
      <c r="J567" s="215">
        <v>71</v>
      </c>
      <c r="K567" s="163"/>
      <c r="L567" s="163"/>
      <c r="M567" s="163"/>
      <c r="N567" s="163"/>
      <c r="O567" s="163"/>
      <c r="P567" s="163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</row>
    <row r="568" spans="1:26" ht="19.5">
      <c r="A568" s="608"/>
      <c r="B568" s="618"/>
      <c r="C568" s="625" t="s">
        <v>240</v>
      </c>
      <c r="D568" s="626"/>
      <c r="E568" s="626"/>
      <c r="F568" s="626"/>
      <c r="G568" s="762"/>
      <c r="H568" s="767" t="s">
        <v>46</v>
      </c>
      <c r="I568" s="193">
        <f ca="1">IFERROR(__xludf.DUMMYFUNCTION("IMPORTRANGE(""https://docs.google.com/spreadsheets/d/1QqKyyYR6Q21VydFLVH3TRQUabQu_ym0Zz7PgGX0-kHA/edit?usp=sharing"",""แผน!HH49"")"),22152.4475)</f>
        <v>22152.447499999998</v>
      </c>
      <c r="J568" s="681">
        <f t="shared" ref="J568:J569" si="248">J570+J572+J574</f>
        <v>22152.48</v>
      </c>
      <c r="K568" s="411">
        <f t="shared" ref="K568:K569" ca="1" si="249">IF(I568&gt;0,J568*100/I568,0)</f>
        <v>100.00014671065128</v>
      </c>
      <c r="L568" s="163"/>
      <c r="M568" s="163"/>
      <c r="N568" s="163"/>
      <c r="O568" s="163"/>
      <c r="P568" s="163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</row>
    <row r="569" spans="1:26" ht="19.5">
      <c r="A569" s="608"/>
      <c r="B569" s="618"/>
      <c r="C569" s="618"/>
      <c r="D569" s="618"/>
      <c r="E569" s="626"/>
      <c r="F569" s="626"/>
      <c r="G569" s="762"/>
      <c r="H569" s="767" t="s">
        <v>34</v>
      </c>
      <c r="I569" s="193">
        <f ca="1">IFERROR(__xludf.DUMMYFUNCTION("IMPORTRANGE(""https://docs.google.com/spreadsheets/d/1QqKyyYR6Q21VydFLVH3TRQUabQu_ym0Zz7PgGX0-kHA/edit?usp=sharing"",""แผน!HG49"")"),1801)</f>
        <v>1801</v>
      </c>
      <c r="J569" s="681">
        <f t="shared" si="248"/>
        <v>1801</v>
      </c>
      <c r="K569" s="411">
        <f t="shared" ca="1" si="249"/>
        <v>100</v>
      </c>
      <c r="L569" s="163"/>
      <c r="M569" s="163"/>
      <c r="N569" s="163"/>
      <c r="O569" s="163"/>
      <c r="P569" s="163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</row>
    <row r="570" spans="1:26" ht="18.75">
      <c r="A570" s="608"/>
      <c r="B570" s="618"/>
      <c r="C570" s="618"/>
      <c r="D570" s="626" t="s">
        <v>241</v>
      </c>
      <c r="E570" s="618"/>
      <c r="F570" s="626"/>
      <c r="G570" s="762"/>
      <c r="H570" s="764" t="s">
        <v>46</v>
      </c>
      <c r="I570" s="184"/>
      <c r="J570" s="215">
        <v>20272.32</v>
      </c>
      <c r="K570" s="163"/>
      <c r="L570" s="163"/>
      <c r="M570" s="163"/>
      <c r="N570" s="163"/>
      <c r="O570" s="163"/>
      <c r="P570" s="163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</row>
    <row r="571" spans="1:26" ht="18.75">
      <c r="A571" s="608"/>
      <c r="B571" s="618"/>
      <c r="C571" s="618"/>
      <c r="D571" s="618"/>
      <c r="E571" s="626"/>
      <c r="F571" s="626"/>
      <c r="G571" s="762"/>
      <c r="H571" s="764" t="s">
        <v>34</v>
      </c>
      <c r="I571" s="184"/>
      <c r="J571" s="215">
        <v>1656</v>
      </c>
      <c r="K571" s="163"/>
      <c r="L571" s="163"/>
      <c r="M571" s="163"/>
      <c r="N571" s="163"/>
      <c r="O571" s="163"/>
      <c r="P571" s="163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</row>
    <row r="572" spans="1:26" ht="18.75">
      <c r="A572" s="608"/>
      <c r="B572" s="618"/>
      <c r="C572" s="618"/>
      <c r="D572" s="626" t="s">
        <v>242</v>
      </c>
      <c r="E572" s="626"/>
      <c r="F572" s="626"/>
      <c r="G572" s="762"/>
      <c r="H572" s="764" t="s">
        <v>46</v>
      </c>
      <c r="I572" s="184"/>
      <c r="J572" s="215">
        <v>1087</v>
      </c>
      <c r="K572" s="163"/>
      <c r="L572" s="163"/>
      <c r="M572" s="163"/>
      <c r="N572" s="163"/>
      <c r="O572" s="163"/>
      <c r="P572" s="163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</row>
    <row r="573" spans="1:26" ht="18.75">
      <c r="A573" s="608"/>
      <c r="B573" s="618"/>
      <c r="C573" s="618"/>
      <c r="D573" s="626"/>
      <c r="E573" s="626"/>
      <c r="F573" s="626"/>
      <c r="G573" s="762"/>
      <c r="H573" s="764" t="s">
        <v>34</v>
      </c>
      <c r="I573" s="184"/>
      <c r="J573" s="215">
        <v>83</v>
      </c>
      <c r="K573" s="163"/>
      <c r="L573" s="163"/>
      <c r="M573" s="163"/>
      <c r="N573" s="163"/>
      <c r="O573" s="163"/>
      <c r="P573" s="163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</row>
    <row r="574" spans="1:26" ht="18.75">
      <c r="A574" s="608"/>
      <c r="B574" s="618"/>
      <c r="C574" s="618"/>
      <c r="D574" s="626" t="s">
        <v>243</v>
      </c>
      <c r="E574" s="626"/>
      <c r="F574" s="626"/>
      <c r="G574" s="762"/>
      <c r="H574" s="764" t="s">
        <v>46</v>
      </c>
      <c r="I574" s="184"/>
      <c r="J574" s="215">
        <v>793.16</v>
      </c>
      <c r="K574" s="163"/>
      <c r="L574" s="163"/>
      <c r="M574" s="163"/>
      <c r="N574" s="163"/>
      <c r="O574" s="163"/>
      <c r="P574" s="163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</row>
    <row r="575" spans="1:26" ht="18.75">
      <c r="A575" s="608"/>
      <c r="B575" s="618"/>
      <c r="C575" s="618"/>
      <c r="D575" s="618"/>
      <c r="E575" s="626"/>
      <c r="F575" s="626"/>
      <c r="G575" s="762"/>
      <c r="H575" s="764" t="s">
        <v>34</v>
      </c>
      <c r="I575" s="184"/>
      <c r="J575" s="215">
        <v>62</v>
      </c>
      <c r="K575" s="163"/>
      <c r="L575" s="163"/>
      <c r="M575" s="163"/>
      <c r="N575" s="163"/>
      <c r="O575" s="163"/>
      <c r="P575" s="163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</row>
    <row r="576" spans="1:26" ht="19.5">
      <c r="A576" s="608"/>
      <c r="B576" s="618"/>
      <c r="C576" s="625" t="s">
        <v>244</v>
      </c>
      <c r="D576" s="618"/>
      <c r="E576" s="618"/>
      <c r="F576" s="626"/>
      <c r="G576" s="762"/>
      <c r="H576" s="767" t="s">
        <v>46</v>
      </c>
      <c r="I576" s="193">
        <f ca="1">IFERROR(__xludf.DUMMYFUNCTION("IMPORTRANGE(""https://docs.google.com/spreadsheets/d/1QqKyyYR6Q21VydFLVH3TRQUabQu_ym0Zz7PgGX0-kHA/edit?usp=sharing"",""แผน!HH49"")"),22152.4475)</f>
        <v>22152.447499999998</v>
      </c>
      <c r="J576" s="681">
        <f t="shared" ref="J576:J577" si="250">J578+J580+J582+J588+J590</f>
        <v>22152.447499999998</v>
      </c>
      <c r="K576" s="411">
        <f t="shared" ref="K576:K577" ca="1" si="251">IF(I576&gt;0,J576*100/I576,0)</f>
        <v>100.00000000000001</v>
      </c>
      <c r="L576" s="163"/>
      <c r="M576" s="163"/>
      <c r="N576" s="163"/>
      <c r="O576" s="163"/>
      <c r="P576" s="163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</row>
    <row r="577" spans="1:26" ht="19.5">
      <c r="A577" s="608"/>
      <c r="B577" s="618"/>
      <c r="C577" s="618"/>
      <c r="D577" s="618"/>
      <c r="E577" s="626"/>
      <c r="F577" s="626"/>
      <c r="G577" s="762"/>
      <c r="H577" s="767" t="s">
        <v>34</v>
      </c>
      <c r="I577" s="193">
        <f ca="1">IFERROR(__xludf.DUMMYFUNCTION("IMPORTRANGE(""https://docs.google.com/spreadsheets/d/1QqKyyYR6Q21VydFLVH3TRQUabQu_ym0Zz7PgGX0-kHA/edit?usp=sharing"",""แผน!HG49"")"),1801)</f>
        <v>1801</v>
      </c>
      <c r="J577" s="681">
        <f t="shared" si="250"/>
        <v>1801</v>
      </c>
      <c r="K577" s="411">
        <f t="shared" ca="1" si="251"/>
        <v>100</v>
      </c>
      <c r="L577" s="163"/>
      <c r="M577" s="163"/>
      <c r="N577" s="163"/>
      <c r="O577" s="163"/>
      <c r="P577" s="163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</row>
    <row r="578" spans="1:26" ht="18.75">
      <c r="A578" s="608"/>
      <c r="B578" s="618"/>
      <c r="C578" s="618"/>
      <c r="D578" s="626" t="s">
        <v>245</v>
      </c>
      <c r="E578" s="626"/>
      <c r="F578" s="626"/>
      <c r="G578" s="762"/>
      <c r="H578" s="764" t="s">
        <v>46</v>
      </c>
      <c r="I578" s="184"/>
      <c r="J578" s="215">
        <v>20782.28</v>
      </c>
      <c r="K578" s="163"/>
      <c r="L578" s="163"/>
      <c r="M578" s="163"/>
      <c r="N578" s="163"/>
      <c r="O578" s="163"/>
      <c r="P578" s="163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</row>
    <row r="579" spans="1:26" ht="18.75">
      <c r="A579" s="608"/>
      <c r="B579" s="618"/>
      <c r="C579" s="618"/>
      <c r="D579" s="618"/>
      <c r="E579" s="626"/>
      <c r="F579" s="626"/>
      <c r="G579" s="762"/>
      <c r="H579" s="764" t="s">
        <v>34</v>
      </c>
      <c r="I579" s="184"/>
      <c r="J579" s="215">
        <v>1648</v>
      </c>
      <c r="K579" s="163"/>
      <c r="L579" s="163"/>
      <c r="M579" s="163"/>
      <c r="N579" s="163"/>
      <c r="O579" s="163"/>
      <c r="P579" s="163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</row>
    <row r="580" spans="1:26" ht="18.75">
      <c r="A580" s="608"/>
      <c r="B580" s="618"/>
      <c r="C580" s="618"/>
      <c r="D580" s="626" t="s">
        <v>246</v>
      </c>
      <c r="E580" s="626"/>
      <c r="F580" s="626"/>
      <c r="G580" s="762"/>
      <c r="H580" s="764" t="s">
        <v>46</v>
      </c>
      <c r="I580" s="184"/>
      <c r="J580" s="215">
        <v>21.74</v>
      </c>
      <c r="K580" s="163"/>
      <c r="L580" s="163"/>
      <c r="M580" s="163"/>
      <c r="N580" s="163"/>
      <c r="O580" s="163"/>
      <c r="P580" s="163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</row>
    <row r="581" spans="1:26" ht="18.75">
      <c r="A581" s="608"/>
      <c r="B581" s="618"/>
      <c r="C581" s="618"/>
      <c r="D581" s="618"/>
      <c r="E581" s="626"/>
      <c r="F581" s="626"/>
      <c r="G581" s="762"/>
      <c r="H581" s="764" t="s">
        <v>34</v>
      </c>
      <c r="I581" s="184"/>
      <c r="J581" s="215">
        <v>47</v>
      </c>
      <c r="K581" s="163"/>
      <c r="L581" s="163"/>
      <c r="M581" s="163"/>
      <c r="N581" s="163"/>
      <c r="O581" s="163"/>
      <c r="P581" s="163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</row>
    <row r="582" spans="1:26" ht="19.5">
      <c r="A582" s="608"/>
      <c r="B582" s="618"/>
      <c r="C582" s="618"/>
      <c r="D582" s="626" t="s">
        <v>247</v>
      </c>
      <c r="E582" s="626"/>
      <c r="F582" s="626"/>
      <c r="G582" s="762"/>
      <c r="H582" s="764" t="s">
        <v>46</v>
      </c>
      <c r="I582" s="184"/>
      <c r="J582" s="681">
        <f t="shared" ref="J582:J583" si="252">J584+J586</f>
        <v>741.54250000000002</v>
      </c>
      <c r="K582" s="411"/>
      <c r="L582" s="163"/>
      <c r="M582" s="163"/>
      <c r="N582" s="163"/>
      <c r="O582" s="163"/>
      <c r="P582" s="163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</row>
    <row r="583" spans="1:26" ht="19.5">
      <c r="A583" s="608"/>
      <c r="B583" s="618"/>
      <c r="C583" s="618"/>
      <c r="D583" s="618"/>
      <c r="E583" s="626"/>
      <c r="F583" s="626"/>
      <c r="G583" s="762"/>
      <c r="H583" s="764" t="s">
        <v>34</v>
      </c>
      <c r="I583" s="184"/>
      <c r="J583" s="681">
        <f t="shared" si="252"/>
        <v>58</v>
      </c>
      <c r="K583" s="411"/>
      <c r="L583" s="163"/>
      <c r="M583" s="163"/>
      <c r="N583" s="163"/>
      <c r="O583" s="163"/>
      <c r="P583" s="163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</row>
    <row r="584" spans="1:26" ht="18.75">
      <c r="A584" s="608"/>
      <c r="B584" s="618"/>
      <c r="C584" s="618"/>
      <c r="D584" s="618"/>
      <c r="E584" s="626" t="s">
        <v>248</v>
      </c>
      <c r="F584" s="626"/>
      <c r="G584" s="762"/>
      <c r="H584" s="764" t="s">
        <v>46</v>
      </c>
      <c r="I584" s="184"/>
      <c r="J584" s="215">
        <v>741.27750000000003</v>
      </c>
      <c r="K584" s="163"/>
      <c r="L584" s="163"/>
      <c r="M584" s="163"/>
      <c r="N584" s="163"/>
      <c r="O584" s="163"/>
      <c r="P584" s="163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</row>
    <row r="585" spans="1:26" ht="18.75">
      <c r="A585" s="608"/>
      <c r="B585" s="618"/>
      <c r="C585" s="618"/>
      <c r="D585" s="618"/>
      <c r="E585" s="626"/>
      <c r="F585" s="626"/>
      <c r="G585" s="762"/>
      <c r="H585" s="764" t="s">
        <v>34</v>
      </c>
      <c r="I585" s="184"/>
      <c r="J585" s="215">
        <v>57</v>
      </c>
      <c r="K585" s="163"/>
      <c r="L585" s="163"/>
      <c r="M585" s="163"/>
      <c r="N585" s="163"/>
      <c r="O585" s="163"/>
      <c r="P585" s="163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</row>
    <row r="586" spans="1:26" ht="18.75">
      <c r="A586" s="608"/>
      <c r="B586" s="618"/>
      <c r="C586" s="618"/>
      <c r="D586" s="618"/>
      <c r="E586" s="626" t="s">
        <v>249</v>
      </c>
      <c r="F586" s="626"/>
      <c r="G586" s="762"/>
      <c r="H586" s="764" t="s">
        <v>46</v>
      </c>
      <c r="I586" s="184"/>
      <c r="J586" s="919">
        <v>0.26500000000000001</v>
      </c>
      <c r="K586" s="163"/>
      <c r="L586" s="163"/>
      <c r="M586" s="163"/>
      <c r="N586" s="163"/>
      <c r="O586" s="163"/>
      <c r="P586" s="163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</row>
    <row r="587" spans="1:26" ht="18.75">
      <c r="A587" s="608"/>
      <c r="B587" s="618"/>
      <c r="C587" s="618"/>
      <c r="D587" s="618"/>
      <c r="E587" s="618"/>
      <c r="F587" s="626"/>
      <c r="G587" s="762"/>
      <c r="H587" s="764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</row>
    <row r="588" spans="1:26" ht="18.75">
      <c r="A588" s="608"/>
      <c r="B588" s="618"/>
      <c r="C588" s="618"/>
      <c r="D588" s="626" t="s">
        <v>250</v>
      </c>
      <c r="E588" s="626"/>
      <c r="F588" s="626"/>
      <c r="G588" s="762"/>
      <c r="H588" s="764" t="s">
        <v>46</v>
      </c>
      <c r="I588" s="184"/>
      <c r="J588" s="215">
        <v>606.88499999999999</v>
      </c>
      <c r="K588" s="163"/>
      <c r="L588" s="163"/>
      <c r="M588" s="163"/>
      <c r="N588" s="163"/>
      <c r="O588" s="163"/>
      <c r="P588" s="163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</row>
    <row r="589" spans="1:26" ht="18.75">
      <c r="A589" s="608"/>
      <c r="B589" s="618"/>
      <c r="C589" s="618"/>
      <c r="D589" s="618"/>
      <c r="E589" s="618"/>
      <c r="F589" s="626"/>
      <c r="G589" s="762"/>
      <c r="H589" s="764" t="s">
        <v>34</v>
      </c>
      <c r="I589" s="184"/>
      <c r="J589" s="215">
        <v>48</v>
      </c>
      <c r="K589" s="163"/>
      <c r="L589" s="163"/>
      <c r="M589" s="163"/>
      <c r="N589" s="163"/>
      <c r="O589" s="163"/>
      <c r="P589" s="163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</row>
    <row r="590" spans="1:26" ht="18.75">
      <c r="A590" s="608"/>
      <c r="B590" s="618"/>
      <c r="C590" s="618"/>
      <c r="D590" s="626" t="s">
        <v>251</v>
      </c>
      <c r="E590" s="626"/>
      <c r="F590" s="626"/>
      <c r="G590" s="762"/>
      <c r="H590" s="76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</row>
    <row r="591" spans="1:26" ht="18.75">
      <c r="A591" s="696"/>
      <c r="B591" s="697"/>
      <c r="C591" s="697"/>
      <c r="D591" s="697"/>
      <c r="E591" s="578"/>
      <c r="F591" s="578"/>
      <c r="G591" s="698"/>
      <c r="H591" s="699" t="s">
        <v>34</v>
      </c>
      <c r="I591" s="700"/>
      <c r="J591" s="701">
        <v>0</v>
      </c>
      <c r="K591" s="702"/>
      <c r="L591" s="702"/>
      <c r="M591" s="702"/>
      <c r="N591" s="702"/>
      <c r="O591" s="702"/>
      <c r="P591" s="702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</row>
    <row r="592" spans="1:26" ht="19.5">
      <c r="A592" s="692"/>
      <c r="B592" s="693" t="s">
        <v>252</v>
      </c>
      <c r="C592" s="694"/>
      <c r="D592" s="694"/>
      <c r="E592" s="673"/>
      <c r="F592" s="673"/>
      <c r="G592" s="674"/>
      <c r="H592" s="695" t="s">
        <v>46</v>
      </c>
      <c r="I592" s="703">
        <f t="shared" ref="I592:J592" ca="1" si="253">I593</f>
        <v>1063.5999999999999</v>
      </c>
      <c r="J592" s="708">
        <f t="shared" si="253"/>
        <v>1063.5974999999999</v>
      </c>
      <c r="K592" s="677">
        <f t="shared" ref="K592:K594" ca="1" si="254">IF(I592&gt;0,J592*100/I592,0)</f>
        <v>99.999764949229032</v>
      </c>
      <c r="L592" s="678"/>
      <c r="M592" s="678"/>
      <c r="N592" s="678"/>
      <c r="O592" s="678"/>
      <c r="P592" s="6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</row>
    <row r="593" spans="1:26" ht="19.5">
      <c r="A593" s="608"/>
      <c r="B593" s="618"/>
      <c r="C593" s="625" t="s">
        <v>253</v>
      </c>
      <c r="D593" s="618"/>
      <c r="E593" s="618"/>
      <c r="F593" s="626"/>
      <c r="G593" s="762"/>
      <c r="H593" s="767" t="s">
        <v>46</v>
      </c>
      <c r="I593" s="704">
        <f ca="1">IFERROR(__xludf.DUMMYFUNCTION("IMPORTRANGE(""https://docs.google.com/spreadsheets/d/1QqKyyYR6Q21VydFLVH3TRQUabQu_ym0Zz7PgGX0-kHA/edit?usp=sharing"",""แผน!HJ49"")"),1063.6)</f>
        <v>1063.5999999999999</v>
      </c>
      <c r="J593" s="193">
        <f t="shared" ref="J593:J594" si="255">J595+J603+J609</f>
        <v>1063.5974999999999</v>
      </c>
      <c r="K593" s="411">
        <f t="shared" ca="1" si="254"/>
        <v>99.999764949229032</v>
      </c>
      <c r="L593" s="163"/>
      <c r="M593" s="163"/>
      <c r="N593" s="163"/>
      <c r="O593" s="163"/>
      <c r="P593" s="163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</row>
    <row r="594" spans="1:26" ht="19.5">
      <c r="A594" s="608"/>
      <c r="B594" s="618"/>
      <c r="C594" s="618"/>
      <c r="D594" s="618"/>
      <c r="E594" s="626"/>
      <c r="F594" s="626"/>
      <c r="G594" s="762"/>
      <c r="H594" s="767" t="s">
        <v>34</v>
      </c>
      <c r="I594" s="193">
        <f ca="1">IFERROR(__xludf.DUMMYFUNCTION("IMPORTRANGE(""https://docs.google.com/spreadsheets/d/1QqKyyYR6Q21VydFLVH3TRQUabQu_ym0Zz7PgGX0-kHA/edit?usp=sharing"",""แผน!HI49"")"),385)</f>
        <v>385</v>
      </c>
      <c r="J594" s="193">
        <f t="shared" si="255"/>
        <v>385</v>
      </c>
      <c r="K594" s="411">
        <f t="shared" ca="1" si="254"/>
        <v>100</v>
      </c>
      <c r="L594" s="163"/>
      <c r="M594" s="163"/>
      <c r="N594" s="163"/>
      <c r="O594" s="163"/>
      <c r="P594" s="163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</row>
    <row r="595" spans="1:26" ht="18.75">
      <c r="A595" s="608"/>
      <c r="B595" s="618"/>
      <c r="C595" s="618" t="s">
        <v>254</v>
      </c>
      <c r="D595" s="618"/>
      <c r="E595" s="618"/>
      <c r="F595" s="626"/>
      <c r="G595" s="762"/>
      <c r="H595" s="764" t="s">
        <v>46</v>
      </c>
      <c r="I595" s="184"/>
      <c r="J595" s="184">
        <f t="shared" ref="J595:J596" si="256">J597+J599</f>
        <v>991.92499999999995</v>
      </c>
      <c r="K595" s="163"/>
      <c r="L595" s="163"/>
      <c r="M595" s="163"/>
      <c r="N595" s="163"/>
      <c r="O595" s="163"/>
      <c r="P595" s="163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</row>
    <row r="596" spans="1:26" ht="18.75">
      <c r="A596" s="608"/>
      <c r="B596" s="618"/>
      <c r="C596" s="618"/>
      <c r="D596" s="618"/>
      <c r="E596" s="626"/>
      <c r="F596" s="626"/>
      <c r="G596" s="762"/>
      <c r="H596" s="764" t="s">
        <v>34</v>
      </c>
      <c r="I596" s="184"/>
      <c r="J596" s="184">
        <f t="shared" si="256"/>
        <v>368</v>
      </c>
      <c r="K596" s="163"/>
      <c r="L596" s="163"/>
      <c r="M596" s="163"/>
      <c r="N596" s="163"/>
      <c r="O596" s="163"/>
      <c r="P596" s="163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</row>
    <row r="597" spans="1:26" ht="18.75">
      <c r="A597" s="608"/>
      <c r="B597" s="618"/>
      <c r="C597" s="618"/>
      <c r="D597" s="746" t="s">
        <v>255</v>
      </c>
      <c r="E597" s="626"/>
      <c r="F597" s="626"/>
      <c r="G597" s="762"/>
      <c r="H597" s="764" t="s">
        <v>46</v>
      </c>
      <c r="I597" s="184"/>
      <c r="J597" s="919">
        <v>991.92499999999995</v>
      </c>
      <c r="K597" s="163"/>
      <c r="L597" s="163"/>
      <c r="M597" s="163"/>
      <c r="N597" s="163"/>
      <c r="O597" s="163"/>
      <c r="P597" s="163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</row>
    <row r="598" spans="1:26" ht="18.75">
      <c r="A598" s="608"/>
      <c r="B598" s="618"/>
      <c r="C598" s="618"/>
      <c r="D598" s="618"/>
      <c r="E598" s="626"/>
      <c r="F598" s="626"/>
      <c r="G598" s="762"/>
      <c r="H598" s="764" t="s">
        <v>34</v>
      </c>
      <c r="I598" s="270"/>
      <c r="J598" s="215">
        <v>368</v>
      </c>
      <c r="K598" s="163"/>
      <c r="L598" s="163"/>
      <c r="M598" s="163"/>
      <c r="N598" s="163"/>
      <c r="O598" s="163"/>
      <c r="P598" s="163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</row>
    <row r="599" spans="1:26" ht="18.75">
      <c r="A599" s="608"/>
      <c r="B599" s="618"/>
      <c r="C599" s="618"/>
      <c r="D599" s="746" t="s">
        <v>256</v>
      </c>
      <c r="E599" s="626"/>
      <c r="F599" s="626"/>
      <c r="G599" s="762"/>
      <c r="H599" s="764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</row>
    <row r="600" spans="1:26" ht="18.75">
      <c r="A600" s="608"/>
      <c r="B600" s="618"/>
      <c r="C600" s="618"/>
      <c r="D600" s="618"/>
      <c r="E600" s="626"/>
      <c r="F600" s="626"/>
      <c r="G600" s="762"/>
      <c r="H600" s="764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</row>
    <row r="601" spans="1:26" ht="18.75">
      <c r="A601" s="608"/>
      <c r="B601" s="618"/>
      <c r="C601" s="618"/>
      <c r="D601" s="746" t="s">
        <v>257</v>
      </c>
      <c r="E601" s="626"/>
      <c r="F601" s="626"/>
      <c r="G601" s="762"/>
      <c r="H601" s="76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</row>
    <row r="602" spans="1:26" ht="18.75">
      <c r="A602" s="608"/>
      <c r="B602" s="618"/>
      <c r="C602" s="618"/>
      <c r="D602" s="618"/>
      <c r="E602" s="626"/>
      <c r="F602" s="626"/>
      <c r="G602" s="762"/>
      <c r="H602" s="76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</row>
    <row r="603" spans="1:26" ht="18.75">
      <c r="A603" s="608"/>
      <c r="B603" s="618"/>
      <c r="C603" s="705" t="s">
        <v>258</v>
      </c>
      <c r="D603" s="618"/>
      <c r="E603" s="618"/>
      <c r="F603" s="626"/>
      <c r="G603" s="762"/>
      <c r="H603" s="764" t="s">
        <v>46</v>
      </c>
      <c r="I603" s="270"/>
      <c r="J603" s="270">
        <f t="shared" ref="J603:J604" si="257">J605+J607</f>
        <v>71.672499999999999</v>
      </c>
      <c r="K603" s="163"/>
      <c r="L603" s="163"/>
      <c r="M603" s="163"/>
      <c r="N603" s="163"/>
      <c r="O603" s="163"/>
      <c r="P603" s="163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</row>
    <row r="604" spans="1:26" ht="18.75">
      <c r="A604" s="608"/>
      <c r="B604" s="618"/>
      <c r="C604" s="618"/>
      <c r="D604" s="618"/>
      <c r="E604" s="626"/>
      <c r="F604" s="626"/>
      <c r="G604" s="762"/>
      <c r="H604" s="764" t="s">
        <v>34</v>
      </c>
      <c r="I604" s="270"/>
      <c r="J604" s="270">
        <f t="shared" si="257"/>
        <v>17</v>
      </c>
      <c r="K604" s="163"/>
      <c r="L604" s="163"/>
      <c r="M604" s="163"/>
      <c r="N604" s="163"/>
      <c r="O604" s="163"/>
      <c r="P604" s="163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</row>
    <row r="605" spans="1:26" ht="18.75">
      <c r="A605" s="608"/>
      <c r="B605" s="618"/>
      <c r="C605" s="618"/>
      <c r="D605" s="705" t="s">
        <v>259</v>
      </c>
      <c r="E605" s="626"/>
      <c r="F605" s="626"/>
      <c r="G605" s="762"/>
      <c r="H605" s="764" t="s">
        <v>46</v>
      </c>
      <c r="I605" s="270"/>
      <c r="J605" s="919">
        <v>71.672499999999999</v>
      </c>
      <c r="K605" s="163"/>
      <c r="L605" s="163"/>
      <c r="M605" s="163"/>
      <c r="N605" s="163"/>
      <c r="O605" s="163"/>
      <c r="P605" s="163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</row>
    <row r="606" spans="1:26" ht="18.75">
      <c r="A606" s="608"/>
      <c r="B606" s="618"/>
      <c r="C606" s="618"/>
      <c r="D606" s="618"/>
      <c r="E606" s="618"/>
      <c r="F606" s="626"/>
      <c r="G606" s="762"/>
      <c r="H606" s="764" t="s">
        <v>34</v>
      </c>
      <c r="I606" s="270"/>
      <c r="J606" s="215">
        <v>17</v>
      </c>
      <c r="K606" s="163"/>
      <c r="L606" s="163"/>
      <c r="M606" s="163"/>
      <c r="N606" s="163"/>
      <c r="O606" s="163"/>
      <c r="P606" s="163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</row>
    <row r="607" spans="1:26" ht="18.75">
      <c r="A607" s="608"/>
      <c r="B607" s="618"/>
      <c r="C607" s="618"/>
      <c r="D607" s="705" t="s">
        <v>260</v>
      </c>
      <c r="E607" s="618"/>
      <c r="F607" s="626"/>
      <c r="G607" s="762"/>
      <c r="H607" s="764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</row>
    <row r="608" spans="1:26" ht="18.75">
      <c r="A608" s="608"/>
      <c r="B608" s="618"/>
      <c r="C608" s="618"/>
      <c r="D608" s="618"/>
      <c r="E608" s="626"/>
      <c r="F608" s="626"/>
      <c r="G608" s="762"/>
      <c r="H608" s="764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</row>
    <row r="609" spans="1:26" ht="18.75">
      <c r="A609" s="608"/>
      <c r="B609" s="618"/>
      <c r="C609" s="618" t="s">
        <v>261</v>
      </c>
      <c r="D609" s="618"/>
      <c r="E609" s="618"/>
      <c r="F609" s="626"/>
      <c r="G609" s="762"/>
      <c r="H609" s="764" t="s">
        <v>46</v>
      </c>
      <c r="I609" s="270"/>
      <c r="J609" s="919">
        <v>0</v>
      </c>
      <c r="K609" s="163"/>
      <c r="L609" s="163"/>
      <c r="M609" s="163"/>
      <c r="N609" s="163"/>
      <c r="O609" s="163"/>
      <c r="P609" s="163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</row>
    <row r="610" spans="1:26" ht="18.75">
      <c r="A610" s="608"/>
      <c r="B610" s="618"/>
      <c r="C610" s="618"/>
      <c r="D610" s="618"/>
      <c r="E610" s="626"/>
      <c r="F610" s="626"/>
      <c r="G610" s="762"/>
      <c r="H610" s="764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</row>
    <row r="611" spans="1:26" ht="19.5">
      <c r="A611" s="692"/>
      <c r="B611" s="706" t="s">
        <v>262</v>
      </c>
      <c r="C611" s="694"/>
      <c r="D611" s="694"/>
      <c r="E611" s="673"/>
      <c r="F611" s="673"/>
      <c r="G611" s="674"/>
      <c r="H611" s="707" t="s">
        <v>46</v>
      </c>
      <c r="I611" s="708">
        <v>0</v>
      </c>
      <c r="J611" s="708">
        <f>J614+J616</f>
        <v>0</v>
      </c>
      <c r="K611" s="677">
        <f t="shared" ref="K611:K613" si="258">IF(I611&gt;0,J611*100/I611,0)</f>
        <v>0</v>
      </c>
      <c r="L611" s="678"/>
      <c r="M611" s="678"/>
      <c r="N611" s="678"/>
      <c r="O611" s="678"/>
      <c r="P611" s="6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</row>
    <row r="612" spans="1:26" ht="19.5" hidden="1">
      <c r="A612" s="709"/>
      <c r="B612" s="719"/>
      <c r="C612" s="711" t="s">
        <v>263</v>
      </c>
      <c r="D612" s="719"/>
      <c r="E612" s="719"/>
      <c r="F612" s="712"/>
      <c r="G612" s="713"/>
      <c r="H612" s="714" t="s">
        <v>46</v>
      </c>
      <c r="I612" s="716">
        <v>0</v>
      </c>
      <c r="J612" s="716">
        <f t="shared" ref="J612:J613" si="259">J614+J616</f>
        <v>0</v>
      </c>
      <c r="K612" s="717">
        <f t="shared" si="258"/>
        <v>0</v>
      </c>
      <c r="L612" s="718"/>
      <c r="M612" s="718"/>
      <c r="N612" s="718"/>
      <c r="O612" s="718"/>
      <c r="P612" s="718"/>
      <c r="Q612" s="604"/>
      <c r="R612" s="604"/>
      <c r="S612" s="604"/>
      <c r="T612" s="604"/>
      <c r="U612" s="604"/>
      <c r="V612" s="604"/>
      <c r="W612" s="604"/>
      <c r="X612" s="604"/>
      <c r="Y612" s="604"/>
      <c r="Z612" s="604"/>
    </row>
    <row r="613" spans="1:26" ht="19.5" hidden="1">
      <c r="A613" s="709"/>
      <c r="B613" s="719"/>
      <c r="C613" s="719" t="s">
        <v>264</v>
      </c>
      <c r="D613" s="719"/>
      <c r="E613" s="719"/>
      <c r="F613" s="712"/>
      <c r="G613" s="713"/>
      <c r="H613" s="714" t="s">
        <v>34</v>
      </c>
      <c r="I613" s="716">
        <v>0</v>
      </c>
      <c r="J613" s="716">
        <f t="shared" si="259"/>
        <v>0</v>
      </c>
      <c r="K613" s="717">
        <f t="shared" si="258"/>
        <v>0</v>
      </c>
      <c r="L613" s="718"/>
      <c r="M613" s="718"/>
      <c r="N613" s="718"/>
      <c r="O613" s="718"/>
      <c r="P613" s="718"/>
      <c r="Q613" s="604"/>
      <c r="R613" s="604"/>
      <c r="S613" s="604"/>
      <c r="T613" s="604"/>
      <c r="U613" s="604"/>
      <c r="V613" s="604"/>
      <c r="W613" s="604"/>
      <c r="X613" s="604"/>
      <c r="Y613" s="604"/>
      <c r="Z613" s="604"/>
    </row>
    <row r="614" spans="1:26" ht="18.75" hidden="1">
      <c r="A614" s="614"/>
      <c r="B614" s="616"/>
      <c r="C614" s="616"/>
      <c r="D614" s="720" t="s">
        <v>265</v>
      </c>
      <c r="E614" s="616"/>
      <c r="F614" s="720"/>
      <c r="G614" s="366"/>
      <c r="H614" s="370" t="s">
        <v>46</v>
      </c>
      <c r="I614" s="617"/>
      <c r="J614" s="617">
        <v>0</v>
      </c>
      <c r="K614" s="167"/>
      <c r="L614" s="167"/>
      <c r="M614" s="167"/>
      <c r="N614" s="167"/>
      <c r="O614" s="167"/>
      <c r="P614" s="167"/>
      <c r="Q614" s="604"/>
      <c r="R614" s="604"/>
      <c r="S614" s="604"/>
      <c r="T614" s="604"/>
      <c r="U614" s="604"/>
      <c r="V614" s="604"/>
      <c r="W614" s="604"/>
      <c r="X614" s="604"/>
      <c r="Y614" s="604"/>
      <c r="Z614" s="604"/>
    </row>
    <row r="615" spans="1:26" ht="18.75" hidden="1">
      <c r="A615" s="614"/>
      <c r="B615" s="616"/>
      <c r="C615" s="616"/>
      <c r="D615" s="616"/>
      <c r="E615" s="616"/>
      <c r="F615" s="720"/>
      <c r="G615" s="366"/>
      <c r="H615" s="370" t="s">
        <v>34</v>
      </c>
      <c r="I615" s="617"/>
      <c r="J615" s="617">
        <v>0</v>
      </c>
      <c r="K615" s="167"/>
      <c r="L615" s="167"/>
      <c r="M615" s="167"/>
      <c r="N615" s="167"/>
      <c r="O615" s="167"/>
      <c r="P615" s="167"/>
      <c r="Q615" s="604"/>
      <c r="R615" s="604"/>
      <c r="S615" s="604"/>
      <c r="T615" s="604"/>
      <c r="U615" s="604"/>
      <c r="V615" s="604"/>
      <c r="W615" s="604"/>
      <c r="X615" s="604"/>
      <c r="Y615" s="604"/>
      <c r="Z615" s="604"/>
    </row>
    <row r="616" spans="1:26" ht="18.75" hidden="1">
      <c r="A616" s="614"/>
      <c r="B616" s="616"/>
      <c r="C616" s="616"/>
      <c r="D616" s="721" t="s">
        <v>265</v>
      </c>
      <c r="E616" s="720"/>
      <c r="F616" s="720"/>
      <c r="G616" s="366"/>
      <c r="H616" s="370" t="s">
        <v>46</v>
      </c>
      <c r="I616" s="617"/>
      <c r="J616" s="617">
        <v>0</v>
      </c>
      <c r="K616" s="167"/>
      <c r="L616" s="167"/>
      <c r="M616" s="167"/>
      <c r="N616" s="167"/>
      <c r="O616" s="167"/>
      <c r="P616" s="167"/>
      <c r="Q616" s="604"/>
      <c r="R616" s="604"/>
      <c r="S616" s="604"/>
      <c r="T616" s="604"/>
      <c r="U616" s="604"/>
      <c r="V616" s="604"/>
      <c r="W616" s="604"/>
      <c r="X616" s="604"/>
      <c r="Y616" s="604"/>
      <c r="Z616" s="604"/>
    </row>
    <row r="617" spans="1:26" ht="18.75" hidden="1">
      <c r="A617" s="614"/>
      <c r="B617" s="616"/>
      <c r="C617" s="616"/>
      <c r="D617" s="616"/>
      <c r="E617" s="720"/>
      <c r="F617" s="720"/>
      <c r="G617" s="366"/>
      <c r="H617" s="370" t="s">
        <v>34</v>
      </c>
      <c r="I617" s="617"/>
      <c r="J617" s="617">
        <v>0</v>
      </c>
      <c r="K617" s="167"/>
      <c r="L617" s="167"/>
      <c r="M617" s="167"/>
      <c r="N617" s="167"/>
      <c r="O617" s="167"/>
      <c r="P617" s="167"/>
      <c r="Q617" s="604"/>
      <c r="R617" s="604"/>
      <c r="S617" s="604"/>
      <c r="T617" s="604"/>
      <c r="U617" s="604"/>
      <c r="V617" s="604"/>
      <c r="W617" s="604"/>
      <c r="X617" s="604"/>
      <c r="Y617" s="604"/>
      <c r="Z617" s="604"/>
    </row>
    <row r="618" spans="1:26" ht="18.75" hidden="1">
      <c r="A618" s="614"/>
      <c r="B618" s="616"/>
      <c r="C618" s="616"/>
      <c r="D618" s="721" t="s">
        <v>266</v>
      </c>
      <c r="E618" s="720"/>
      <c r="F618" s="720"/>
      <c r="G618" s="366"/>
      <c r="H618" s="370" t="s">
        <v>46</v>
      </c>
      <c r="I618" s="617"/>
      <c r="J618" s="617">
        <v>0</v>
      </c>
      <c r="K618" s="167"/>
      <c r="L618" s="167"/>
      <c r="M618" s="167"/>
      <c r="N618" s="167"/>
      <c r="O618" s="167"/>
      <c r="P618" s="167"/>
      <c r="Q618" s="604"/>
      <c r="R618" s="604"/>
      <c r="S618" s="604"/>
      <c r="T618" s="604"/>
      <c r="U618" s="604"/>
      <c r="V618" s="604"/>
      <c r="W618" s="604"/>
      <c r="X618" s="604"/>
      <c r="Y618" s="604"/>
      <c r="Z618" s="604"/>
    </row>
    <row r="619" spans="1:26" ht="18.75" hidden="1">
      <c r="A619" s="614"/>
      <c r="B619" s="616"/>
      <c r="C619" s="616"/>
      <c r="D619" s="616"/>
      <c r="E619" s="720"/>
      <c r="F619" s="720"/>
      <c r="G619" s="366"/>
      <c r="H619" s="370" t="s">
        <v>34</v>
      </c>
      <c r="I619" s="617"/>
      <c r="J619" s="617">
        <v>0</v>
      </c>
      <c r="K619" s="167"/>
      <c r="L619" s="167"/>
      <c r="M619" s="167"/>
      <c r="N619" s="167"/>
      <c r="O619" s="167"/>
      <c r="P619" s="167"/>
      <c r="Q619" s="604"/>
      <c r="R619" s="604"/>
      <c r="S619" s="604"/>
      <c r="T619" s="604"/>
      <c r="U619" s="604"/>
      <c r="V619" s="604"/>
      <c r="W619" s="604"/>
      <c r="X619" s="604"/>
      <c r="Y619" s="604"/>
      <c r="Z619" s="604"/>
    </row>
    <row r="620" spans="1:26" ht="19.5">
      <c r="A620" s="722"/>
      <c r="B620" s="731"/>
      <c r="C620" s="724" t="s">
        <v>267</v>
      </c>
      <c r="D620" s="731"/>
      <c r="E620" s="731"/>
      <c r="F620" s="725"/>
      <c r="G620" s="726"/>
      <c r="H620" s="727" t="s">
        <v>46</v>
      </c>
      <c r="I620" s="728">
        <f ca="1">IFERROR(__xludf.DUMMYFUNCTION("IMPORTRANGE(""https://docs.google.com/spreadsheets/d/1QqKyyYR6Q21VydFLVH3TRQUabQu_ym0Zz7PgGX0-kHA/edit?usp=sharing"",""แผน!HL49"")"),0)</f>
        <v>0</v>
      </c>
      <c r="J620" s="728">
        <f t="shared" ref="J620:J621" si="260">J622+J624+J626</f>
        <v>0</v>
      </c>
      <c r="K620" s="729">
        <f t="shared" ref="K620:K621" ca="1" si="261">IF(I620&gt;0,J620*100/I620,0)</f>
        <v>0</v>
      </c>
      <c r="L620" s="730"/>
      <c r="M620" s="730"/>
      <c r="N620" s="730"/>
      <c r="O620" s="730"/>
      <c r="P620" s="730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</row>
    <row r="621" spans="1:26" ht="19.5">
      <c r="A621" s="722"/>
      <c r="B621" s="731"/>
      <c r="C621" s="731" t="s">
        <v>268</v>
      </c>
      <c r="D621" s="731"/>
      <c r="E621" s="731"/>
      <c r="F621" s="725"/>
      <c r="G621" s="726"/>
      <c r="H621" s="727" t="s">
        <v>34</v>
      </c>
      <c r="I621" s="728">
        <f ca="1">IFERROR(__xludf.DUMMYFUNCTION("IMPORTRANGE(""https://docs.google.com/spreadsheets/d/1QqKyyYR6Q21VydFLVH3TRQUabQu_ym0Zz7PgGX0-kHA/edit?usp=sharing"",""แผน!HK49"")"),0)</f>
        <v>0</v>
      </c>
      <c r="J621" s="728">
        <f t="shared" si="260"/>
        <v>0</v>
      </c>
      <c r="K621" s="729">
        <f t="shared" ca="1" si="261"/>
        <v>0</v>
      </c>
      <c r="L621" s="730"/>
      <c r="M621" s="730"/>
      <c r="N621" s="730"/>
      <c r="O621" s="730"/>
      <c r="P621" s="730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</row>
    <row r="622" spans="1:26" ht="18.75">
      <c r="A622" s="608"/>
      <c r="B622" s="618"/>
      <c r="C622" s="618"/>
      <c r="D622" s="746" t="s">
        <v>269</v>
      </c>
      <c r="E622" s="626"/>
      <c r="F622" s="626"/>
      <c r="G622" s="762"/>
      <c r="H622" s="764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</row>
    <row r="623" spans="1:26" ht="18.75">
      <c r="A623" s="608"/>
      <c r="B623" s="618"/>
      <c r="C623" s="618"/>
      <c r="D623" s="618"/>
      <c r="E623" s="626"/>
      <c r="F623" s="626"/>
      <c r="G623" s="762"/>
      <c r="H623" s="764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</row>
    <row r="624" spans="1:26" ht="18.75">
      <c r="A624" s="608"/>
      <c r="B624" s="618"/>
      <c r="C624" s="618"/>
      <c r="D624" s="746" t="s">
        <v>265</v>
      </c>
      <c r="E624" s="626"/>
      <c r="F624" s="626"/>
      <c r="G624" s="762"/>
      <c r="H624" s="764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</row>
    <row r="625" spans="1:26" ht="18.75">
      <c r="A625" s="608"/>
      <c r="B625" s="618"/>
      <c r="C625" s="618"/>
      <c r="D625" s="618"/>
      <c r="E625" s="626"/>
      <c r="F625" s="626"/>
      <c r="G625" s="762"/>
      <c r="H625" s="764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</row>
    <row r="626" spans="1:26" ht="18.75">
      <c r="A626" s="608"/>
      <c r="B626" s="618"/>
      <c r="C626" s="618"/>
      <c r="D626" s="746" t="s">
        <v>270</v>
      </c>
      <c r="E626" s="626"/>
      <c r="F626" s="626"/>
      <c r="G626" s="762"/>
      <c r="H626" s="76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</row>
    <row r="627" spans="1:26" ht="18.75">
      <c r="A627" s="732"/>
      <c r="B627" s="733"/>
      <c r="C627" s="733"/>
      <c r="D627" s="733"/>
      <c r="E627" s="734"/>
      <c r="F627" s="734"/>
      <c r="G627" s="735"/>
      <c r="H627" s="422" t="s">
        <v>34</v>
      </c>
      <c r="I627" s="506"/>
      <c r="J627" s="424">
        <v>0</v>
      </c>
      <c r="K627" s="385"/>
      <c r="L627" s="385"/>
      <c r="M627" s="385"/>
      <c r="N627" s="385"/>
      <c r="O627" s="385"/>
      <c r="P627" s="385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</row>
    <row r="628" spans="1:26" ht="19.5">
      <c r="A628" s="736">
        <v>7</v>
      </c>
      <c r="B628" s="737" t="s">
        <v>271</v>
      </c>
      <c r="C628" s="738"/>
      <c r="D628" s="738"/>
      <c r="E628" s="738"/>
      <c r="F628" s="738"/>
      <c r="G628" s="739"/>
      <c r="H628" s="740" t="s">
        <v>35</v>
      </c>
      <c r="I628" s="741">
        <f t="shared" ref="I628:J628" ca="1" si="262">I651</f>
        <v>90</v>
      </c>
      <c r="J628" s="741">
        <f t="shared" ca="1" si="262"/>
        <v>114</v>
      </c>
      <c r="K628" s="742">
        <f ca="1">IF(I628&gt;0,J628*100/I628,0)</f>
        <v>126.66666666666667</v>
      </c>
      <c r="L628" s="743"/>
      <c r="M628" s="743"/>
      <c r="N628" s="743"/>
      <c r="O628" s="743"/>
      <c r="P628" s="743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</row>
    <row r="629" spans="1:26" ht="19.5">
      <c r="A629" s="597"/>
      <c r="B629" s="763"/>
      <c r="C629" s="763" t="s">
        <v>16</v>
      </c>
      <c r="D629" s="863" t="s">
        <v>17</v>
      </c>
      <c r="E629" s="857"/>
      <c r="F629" s="857"/>
      <c r="G629" s="189"/>
      <c r="H629" s="598" t="s">
        <v>12</v>
      </c>
      <c r="I629" s="270"/>
      <c r="J629" s="270"/>
      <c r="K629" s="498"/>
      <c r="L629" s="195">
        <f t="shared" ref="L629:N629" ca="1" si="263">L630+L631</f>
        <v>349485</v>
      </c>
      <c r="M629" s="195">
        <f t="shared" ca="1" si="263"/>
        <v>299727</v>
      </c>
      <c r="N629" s="195">
        <f t="shared" si="263"/>
        <v>299727</v>
      </c>
      <c r="O629" s="195">
        <f t="shared" ref="O629:O634" ca="1" si="264">IF(L629&gt;0,N629*100/L629,0)</f>
        <v>85.762479076355206</v>
      </c>
      <c r="P629" s="195">
        <f t="shared" ref="P629:P634" ca="1" si="265">IF(M629&gt;0,N629*100/M629,0)</f>
        <v>100</v>
      </c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</row>
    <row r="630" spans="1:26" ht="18.75" hidden="1">
      <c r="A630" s="599"/>
      <c r="B630" s="759"/>
      <c r="C630" s="759"/>
      <c r="D630" s="720"/>
      <c r="E630" s="759" t="s">
        <v>185</v>
      </c>
      <c r="F630" s="759"/>
      <c r="G630" s="603"/>
      <c r="H630" s="165" t="s">
        <v>12</v>
      </c>
      <c r="I630" s="617"/>
      <c r="J630" s="617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4"/>
      <c r="R630" s="604"/>
      <c r="S630" s="604"/>
      <c r="T630" s="604"/>
      <c r="U630" s="604"/>
      <c r="V630" s="604"/>
      <c r="W630" s="604"/>
      <c r="X630" s="604"/>
      <c r="Y630" s="604"/>
      <c r="Z630" s="604"/>
    </row>
    <row r="631" spans="1:26" ht="18.75" hidden="1">
      <c r="A631" s="599"/>
      <c r="B631" s="607"/>
      <c r="C631" s="759"/>
      <c r="D631" s="720"/>
      <c r="E631" s="759" t="s">
        <v>186</v>
      </c>
      <c r="F631" s="759"/>
      <c r="G631" s="603"/>
      <c r="H631" s="165" t="s">
        <v>12</v>
      </c>
      <c r="I631" s="617"/>
      <c r="J631" s="617"/>
      <c r="K631" s="93"/>
      <c r="L631" s="93">
        <f t="shared" ca="1" si="266"/>
        <v>349485</v>
      </c>
      <c r="M631" s="93">
        <f t="shared" ca="1" si="266"/>
        <v>299727</v>
      </c>
      <c r="N631" s="93">
        <f t="shared" si="266"/>
        <v>299727</v>
      </c>
      <c r="O631" s="93">
        <f t="shared" ca="1" si="264"/>
        <v>85.762479076355206</v>
      </c>
      <c r="P631" s="93">
        <f t="shared" ca="1" si="265"/>
        <v>100</v>
      </c>
      <c r="Q631" s="604"/>
      <c r="R631" s="604"/>
      <c r="S631" s="604"/>
      <c r="T631" s="604"/>
      <c r="U631" s="604"/>
      <c r="V631" s="604"/>
      <c r="W631" s="604"/>
      <c r="X631" s="604"/>
      <c r="Y631" s="604"/>
      <c r="Z631" s="604"/>
    </row>
    <row r="632" spans="1:26" ht="18.75">
      <c r="A632" s="597"/>
      <c r="B632" s="575"/>
      <c r="C632" s="763"/>
      <c r="D632" s="606" t="s">
        <v>20</v>
      </c>
      <c r="E632" s="763"/>
      <c r="F632" s="763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349485</v>
      </c>
      <c r="M632" s="498">
        <f t="shared" ca="1" si="267"/>
        <v>299727</v>
      </c>
      <c r="N632" s="498">
        <f t="shared" si="267"/>
        <v>299727</v>
      </c>
      <c r="O632" s="498">
        <f t="shared" ca="1" si="264"/>
        <v>85.762479076355206</v>
      </c>
      <c r="P632" s="498">
        <f t="shared" ca="1" si="265"/>
        <v>100</v>
      </c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</row>
    <row r="633" spans="1:26" ht="18.75" hidden="1">
      <c r="A633" s="599"/>
      <c r="B633" s="607"/>
      <c r="C633" s="759"/>
      <c r="D633" s="720"/>
      <c r="E633" s="759" t="s">
        <v>185</v>
      </c>
      <c r="F633" s="759"/>
      <c r="G633" s="603"/>
      <c r="H633" s="165" t="s">
        <v>12</v>
      </c>
      <c r="I633" s="617"/>
      <c r="J633" s="617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4"/>
      <c r="R633" s="604"/>
      <c r="S633" s="604"/>
      <c r="T633" s="604"/>
      <c r="U633" s="604"/>
      <c r="V633" s="604"/>
      <c r="W633" s="604"/>
      <c r="X633" s="604"/>
      <c r="Y633" s="604"/>
      <c r="Z633" s="604"/>
    </row>
    <row r="634" spans="1:26" ht="18.75" hidden="1">
      <c r="A634" s="599"/>
      <c r="B634" s="607"/>
      <c r="C634" s="759"/>
      <c r="D634" s="720"/>
      <c r="E634" s="759" t="s">
        <v>186</v>
      </c>
      <c r="F634" s="759"/>
      <c r="G634" s="603"/>
      <c r="H634" s="165" t="s">
        <v>12</v>
      </c>
      <c r="I634" s="617"/>
      <c r="J634" s="617"/>
      <c r="K634" s="93"/>
      <c r="L634" s="93">
        <f ca="1">IFERROR(__xludf.DUMMYFUNCTION("IMPORTRANGE(""https://docs.google.com/spreadsheets/d/1QqKyyYR6Q21VydFLVH3TRQUabQu_ym0Zz7PgGX0-kHA/edit?usp=sharing"",""แผน!HN49"")"),349485)</f>
        <v>349485</v>
      </c>
      <c r="M634" s="93">
        <f ca="1">L634-49758</f>
        <v>299727</v>
      </c>
      <c r="N634" s="93">
        <f>N635+N636+N637+N638</f>
        <v>299727</v>
      </c>
      <c r="O634" s="93">
        <f t="shared" ca="1" si="264"/>
        <v>85.762479076355206</v>
      </c>
      <c r="P634" s="93">
        <f t="shared" ca="1" si="265"/>
        <v>100</v>
      </c>
      <c r="Q634" s="604"/>
      <c r="R634" s="604"/>
      <c r="S634" s="604"/>
      <c r="T634" s="604"/>
      <c r="U634" s="604"/>
      <c r="V634" s="604"/>
      <c r="W634" s="604"/>
      <c r="X634" s="604"/>
      <c r="Y634" s="604"/>
      <c r="Z634" s="604"/>
    </row>
    <row r="635" spans="1:26" ht="18.75">
      <c r="A635" s="574"/>
      <c r="B635" s="575"/>
      <c r="C635" s="763"/>
      <c r="D635" s="763"/>
      <c r="E635" s="763"/>
      <c r="F635" s="763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40">
        <v>0</v>
      </c>
      <c r="O635" s="498"/>
      <c r="P635" s="49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</row>
    <row r="636" spans="1:26" ht="18.75">
      <c r="A636" s="574"/>
      <c r="B636" s="575"/>
      <c r="C636" s="763"/>
      <c r="D636" s="763"/>
      <c r="E636" s="763"/>
      <c r="F636" s="763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40">
        <v>0</v>
      </c>
      <c r="O636" s="498"/>
      <c r="P636" s="49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</row>
    <row r="637" spans="1:26" ht="18.75">
      <c r="A637" s="574"/>
      <c r="B637" s="575"/>
      <c r="C637" s="763"/>
      <c r="D637" s="763"/>
      <c r="E637" s="763"/>
      <c r="F637" s="763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40">
        <v>143000</v>
      </c>
      <c r="O637" s="498"/>
      <c r="P637" s="498"/>
      <c r="Q637" s="578"/>
      <c r="R637" s="578"/>
      <c r="S637" s="578"/>
      <c r="T637" s="578"/>
      <c r="U637" s="578"/>
      <c r="V637" s="578"/>
      <c r="W637" s="578"/>
      <c r="X637" s="578"/>
      <c r="Y637" s="578"/>
      <c r="Z637" s="578"/>
    </row>
    <row r="638" spans="1:26" ht="18.75">
      <c r="A638" s="574"/>
      <c r="B638" s="575"/>
      <c r="C638" s="763"/>
      <c r="D638" s="763"/>
      <c r="E638" s="763"/>
      <c r="F638" s="763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40">
        <v>156727</v>
      </c>
      <c r="O638" s="498"/>
      <c r="P638" s="49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</row>
    <row r="639" spans="1:26" ht="18.75">
      <c r="A639" s="597"/>
      <c r="B639" s="575"/>
      <c r="C639" s="763"/>
      <c r="D639" s="606" t="s">
        <v>21</v>
      </c>
      <c r="E639" s="763"/>
      <c r="F639" s="763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</row>
    <row r="640" spans="1:26" ht="18.75" hidden="1">
      <c r="A640" s="599"/>
      <c r="B640" s="607"/>
      <c r="C640" s="759"/>
      <c r="D640" s="759"/>
      <c r="E640" s="759" t="s">
        <v>18</v>
      </c>
      <c r="F640" s="759"/>
      <c r="G640" s="603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4"/>
      <c r="R640" s="604"/>
      <c r="S640" s="604"/>
      <c r="T640" s="604"/>
      <c r="U640" s="604"/>
      <c r="V640" s="604"/>
      <c r="W640" s="604"/>
      <c r="X640" s="604"/>
      <c r="Y640" s="604"/>
      <c r="Z640" s="604"/>
    </row>
    <row r="641" spans="1:26" ht="18.75" hidden="1">
      <c r="A641" s="599"/>
      <c r="B641" s="607"/>
      <c r="C641" s="759"/>
      <c r="D641" s="759"/>
      <c r="E641" s="759" t="s">
        <v>19</v>
      </c>
      <c r="F641" s="759"/>
      <c r="G641" s="603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4"/>
      <c r="R641" s="604"/>
      <c r="S641" s="604"/>
      <c r="T641" s="604"/>
      <c r="U641" s="604"/>
      <c r="V641" s="604"/>
      <c r="W641" s="604"/>
      <c r="X641" s="604"/>
      <c r="Y641" s="604"/>
      <c r="Z641" s="604"/>
    </row>
    <row r="642" spans="1:26" ht="19.5">
      <c r="A642" s="608"/>
      <c r="B642" s="618"/>
      <c r="C642" s="763" t="s">
        <v>16</v>
      </c>
      <c r="D642" s="896" t="s">
        <v>38</v>
      </c>
      <c r="E642" s="761"/>
      <c r="F642" s="761"/>
      <c r="G642" s="613"/>
      <c r="H642" s="762"/>
      <c r="I642" s="184"/>
      <c r="J642" s="184"/>
      <c r="K642" s="163"/>
      <c r="L642" s="163"/>
      <c r="M642" s="163"/>
      <c r="N642" s="163"/>
      <c r="O642" s="163"/>
      <c r="P642" s="163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</row>
    <row r="643" spans="1:26" ht="18.75">
      <c r="A643" s="744"/>
      <c r="B643" s="575"/>
      <c r="C643" s="763"/>
      <c r="D643" s="626"/>
      <c r="E643" s="746" t="s">
        <v>272</v>
      </c>
      <c r="F643" s="626"/>
      <c r="G643" s="762"/>
      <c r="H643" s="764" t="s">
        <v>273</v>
      </c>
      <c r="I643" s="270">
        <f ca="1">IFERROR(__xludf.DUMMYFUNCTION("IMPORTRANGE(""https://docs.google.com/spreadsheets/d/1QqKyyYR6Q21VydFLVH3TRQUabQu_ym0Zz7PgGX0-kHA/edit?usp=sharing"",""แผน!HR49"")"),0)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</row>
    <row r="644" spans="1:26" ht="18.75">
      <c r="A644" s="744"/>
      <c r="B644" s="575"/>
      <c r="C644" s="763"/>
      <c r="D644" s="626"/>
      <c r="E644" s="746" t="s">
        <v>274</v>
      </c>
      <c r="F644" s="626"/>
      <c r="G644" s="762"/>
      <c r="H644" s="764" t="s">
        <v>275</v>
      </c>
      <c r="I644" s="270">
        <f ca="1">IFERROR(__xludf.DUMMYFUNCTION("IMPORTRANGE(""https://docs.google.com/spreadsheets/d/1QqKyyYR6Q21VydFLVH3TRQUabQu_ym0Zz7PgGX0-kHA/edit?usp=sharing"",""แผน!HR49"")"),0)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</row>
    <row r="645" spans="1:26" ht="18.75">
      <c r="A645" s="744"/>
      <c r="B645" s="575"/>
      <c r="C645" s="763"/>
      <c r="D645" s="626"/>
      <c r="E645" s="746" t="s">
        <v>276</v>
      </c>
      <c r="F645" s="626"/>
      <c r="G645" s="762"/>
      <c r="H645" s="76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IFERROR(__xludf.DUMMYFUNCTION("IMPORTRANGE(""https://docs.google.com/spreadsheets/d/1XWAQStnk-4SwqDmLtmXYiTMKHgktTP8We1SCoS47DrQ/edit?usp=sharing"",""จัดที่ดิน!AS49"")"),100)</f>
        <v>100</v>
      </c>
      <c r="K645" s="163">
        <f t="shared" si="271"/>
        <v>0</v>
      </c>
      <c r="L645" s="163"/>
      <c r="M645" s="163"/>
      <c r="N645" s="498"/>
      <c r="O645" s="163"/>
      <c r="P645" s="163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</row>
    <row r="646" spans="1:26" ht="18.75">
      <c r="A646" s="744"/>
      <c r="B646" s="575"/>
      <c r="C646" s="763"/>
      <c r="D646" s="626"/>
      <c r="E646" s="626"/>
      <c r="F646" s="626"/>
      <c r="G646" s="762"/>
      <c r="H646" s="76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IFERROR(__xludf.DUMMYFUNCTION("IMPORTRANGE(""https://docs.google.com/spreadsheets/d/1XWAQStnk-4SwqDmLtmXYiTMKHgktTP8We1SCoS47DrQ/edit?usp=sharing"",""จัดที่ดิน!AT49"")"),39.38)</f>
        <v>39.380000000000003</v>
      </c>
      <c r="K646" s="498">
        <f t="shared" si="271"/>
        <v>0</v>
      </c>
      <c r="L646" s="163"/>
      <c r="M646" s="163"/>
      <c r="N646" s="498"/>
      <c r="O646" s="163"/>
      <c r="P646" s="163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</row>
    <row r="647" spans="1:26" ht="18.75">
      <c r="A647" s="744"/>
      <c r="B647" s="575"/>
      <c r="C647" s="763"/>
      <c r="D647" s="626"/>
      <c r="E647" s="746" t="s">
        <v>162</v>
      </c>
      <c r="F647" s="626"/>
      <c r="G647" s="762"/>
      <c r="H647" s="764" t="s">
        <v>35</v>
      </c>
      <c r="I647" s="270">
        <f ca="1">IFERROR(__xludf.DUMMYFUNCTION("IMPORTRANGE(""https://docs.google.com/spreadsheets/d/1QqKyyYR6Q21VydFLVH3TRQUabQu_ym0Zz7PgGX0-kHA/edit?usp=sharing"",""แผน!HS49"")"),90)</f>
        <v>90</v>
      </c>
      <c r="J647" s="270">
        <f ca="1">IFERROR(__xludf.DUMMYFUNCTION("IMPORTRANGE(""https://docs.google.com/spreadsheets/d/1XWAQStnk-4SwqDmLtmXYiTMKHgktTP8We1SCoS47DrQ/edit?usp=sharing"",""จัดที่ดิน!AU49"")"),116)</f>
        <v>116</v>
      </c>
      <c r="K647" s="163">
        <f t="shared" ca="1" si="271"/>
        <v>128.88888888888889</v>
      </c>
      <c r="L647" s="163"/>
      <c r="M647" s="163"/>
      <c r="N647" s="163"/>
      <c r="O647" s="163"/>
      <c r="P647" s="163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</row>
    <row r="648" spans="1:26" ht="18.75">
      <c r="A648" s="744"/>
      <c r="B648" s="575"/>
      <c r="C648" s="763"/>
      <c r="D648" s="626"/>
      <c r="E648" s="626"/>
      <c r="F648" s="626"/>
      <c r="G648" s="762"/>
      <c r="H648" s="76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IFERROR(__xludf.DUMMYFUNCTION("IMPORTRANGE(""https://docs.google.com/spreadsheets/d/1XWAQStnk-4SwqDmLtmXYiTMKHgktTP8We1SCoS47DrQ/edit?usp=sharing"",""จัดที่ดิน!AV49"")"),47.42)</f>
        <v>47.42</v>
      </c>
      <c r="K648" s="498">
        <f t="shared" si="271"/>
        <v>0</v>
      </c>
      <c r="L648" s="163"/>
      <c r="M648" s="163"/>
      <c r="N648" s="163"/>
      <c r="O648" s="163"/>
      <c r="P648" s="163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</row>
    <row r="649" spans="1:26" ht="18.75">
      <c r="A649" s="744"/>
      <c r="B649" s="575"/>
      <c r="C649" s="763"/>
      <c r="D649" s="626"/>
      <c r="E649" s="746" t="s">
        <v>277</v>
      </c>
      <c r="F649" s="626"/>
      <c r="G649" s="762"/>
      <c r="H649" s="764" t="s">
        <v>35</v>
      </c>
      <c r="I649" s="270">
        <f ca="1">IFERROR(__xludf.DUMMYFUNCTION("IMPORTRANGE(""https://docs.google.com/spreadsheets/d/1QqKyyYR6Q21VydFLVH3TRQUabQu_ym0Zz7PgGX0-kHA/edit?usp=sharing"",""แผน!HS49"")"),90)</f>
        <v>90</v>
      </c>
      <c r="J649" s="270">
        <f ca="1">IFERROR(__xludf.DUMMYFUNCTION("IMPORTRANGE(""https://docs.google.com/spreadsheets/d/1XWAQStnk-4SwqDmLtmXYiTMKHgktTP8We1SCoS47DrQ/edit?usp=sharing"",""จัดที่ดิน!AW49"")"),115)</f>
        <v>115</v>
      </c>
      <c r="K649" s="163">
        <f t="shared" ca="1" si="271"/>
        <v>127.77777777777777</v>
      </c>
      <c r="L649" s="163"/>
      <c r="M649" s="163"/>
      <c r="N649" s="163"/>
      <c r="O649" s="163"/>
      <c r="P649" s="163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</row>
    <row r="650" spans="1:26" ht="18.75">
      <c r="A650" s="744"/>
      <c r="B650" s="575"/>
      <c r="C650" s="763"/>
      <c r="D650" s="626"/>
      <c r="E650" s="626"/>
      <c r="F650" s="626"/>
      <c r="G650" s="762"/>
      <c r="H650" s="76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IFERROR(__xludf.DUMMYFUNCTION("IMPORTRANGE(""https://docs.google.com/spreadsheets/d/1XWAQStnk-4SwqDmLtmXYiTMKHgktTP8We1SCoS47DrQ/edit?usp=sharing"",""จัดที่ดิน!AX49"")"),46.94)</f>
        <v>46.94</v>
      </c>
      <c r="K650" s="498">
        <f t="shared" si="271"/>
        <v>0</v>
      </c>
      <c r="L650" s="163"/>
      <c r="M650" s="163"/>
      <c r="N650" s="163"/>
      <c r="O650" s="163"/>
      <c r="P650" s="163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</row>
    <row r="651" spans="1:26" ht="18.75">
      <c r="A651" s="744"/>
      <c r="B651" s="575"/>
      <c r="C651" s="763"/>
      <c r="D651" s="626"/>
      <c r="E651" s="746" t="s">
        <v>278</v>
      </c>
      <c r="F651" s="626"/>
      <c r="G651" s="762"/>
      <c r="H651" s="764" t="s">
        <v>35</v>
      </c>
      <c r="I651" s="270">
        <f ca="1">IFERROR(__xludf.DUMMYFUNCTION("IMPORTRANGE(""https://docs.google.com/spreadsheets/d/1QqKyyYR6Q21VydFLVH3TRQUabQu_ym0Zz7PgGX0-kHA/edit?usp=sharing"",""แผน!HS49"")"),90)</f>
        <v>90</v>
      </c>
      <c r="J651" s="270">
        <f ca="1">IFERROR(__xludf.DUMMYFUNCTION("IMPORTRANGE(""https://docs.google.com/spreadsheets/d/1XWAQStnk-4SwqDmLtmXYiTMKHgktTP8We1SCoS47DrQ/edit?usp=sharing"",""จัดที่ดิน!AY49"")"),114)</f>
        <v>114</v>
      </c>
      <c r="K651" s="163">
        <f t="shared" ca="1" si="271"/>
        <v>126.66666666666667</v>
      </c>
      <c r="L651" s="163"/>
      <c r="M651" s="163"/>
      <c r="N651" s="163"/>
      <c r="O651" s="163"/>
      <c r="P651" s="163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</row>
    <row r="652" spans="1:26" ht="18.75">
      <c r="A652" s="74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8"/>
      <c r="C652" s="749"/>
      <c r="D652" s="734"/>
      <c r="E652" s="734"/>
      <c r="F652" s="734"/>
      <c r="G652" s="735"/>
      <c r="H652" s="505" t="s">
        <v>46</v>
      </c>
      <c r="I652" s="506">
        <v>0</v>
      </c>
      <c r="J652" s="506">
        <f ca="1">IFERROR(__xludf.DUMMYFUNCTION("IMPORTRANGE(""https://docs.google.com/spreadsheets/d/1XWAQStnk-4SwqDmLtmXYiTMKHgktTP8We1SCoS47DrQ/edit?usp=sharing"",""จัดที่ดิน!AZ49"")"),46.2125)</f>
        <v>46.212499999999999</v>
      </c>
      <c r="K652" s="507">
        <f t="shared" si="271"/>
        <v>0</v>
      </c>
      <c r="L652" s="385"/>
      <c r="M652" s="385"/>
      <c r="N652" s="385"/>
      <c r="O652" s="385"/>
      <c r="P652" s="385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</row>
    <row r="653" spans="1:26" ht="19.5">
      <c r="A653" s="750">
        <v>8</v>
      </c>
      <c r="B653" s="737" t="s">
        <v>279</v>
      </c>
      <c r="C653" s="738"/>
      <c r="D653" s="738"/>
      <c r="E653" s="738"/>
      <c r="F653" s="738"/>
      <c r="G653" s="739"/>
      <c r="H653" s="739"/>
      <c r="I653" s="751"/>
      <c r="J653" s="751"/>
      <c r="K653" s="743"/>
      <c r="L653" s="743"/>
      <c r="M653" s="743"/>
      <c r="N653" s="743"/>
      <c r="O653" s="743"/>
      <c r="P653" s="743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</row>
    <row r="654" spans="1:26" ht="19.5">
      <c r="A654" s="673"/>
      <c r="B654" s="672" t="s">
        <v>280</v>
      </c>
      <c r="C654" s="673"/>
      <c r="D654" s="673"/>
      <c r="E654" s="673"/>
      <c r="F654" s="673"/>
      <c r="G654" s="674"/>
      <c r="H654" s="707" t="s">
        <v>46</v>
      </c>
      <c r="I654" s="708">
        <f t="shared" ref="I654:J654" ca="1" si="272">I669</f>
        <v>50</v>
      </c>
      <c r="J654" s="708">
        <f t="shared" si="272"/>
        <v>0</v>
      </c>
      <c r="K654" s="677">
        <f ca="1">IF(I654&gt;0,J654*100/I654,0)</f>
        <v>0</v>
      </c>
      <c r="L654" s="678"/>
      <c r="M654" s="678"/>
      <c r="N654" s="678"/>
      <c r="O654" s="678"/>
      <c r="P654" s="6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</row>
    <row r="655" spans="1:26" ht="19.5">
      <c r="A655" s="597"/>
      <c r="B655" s="763"/>
      <c r="C655" s="763" t="s">
        <v>16</v>
      </c>
      <c r="D655" s="863" t="s">
        <v>17</v>
      </c>
      <c r="E655" s="857"/>
      <c r="F655" s="857"/>
      <c r="G655" s="189"/>
      <c r="H655" s="598" t="s">
        <v>12</v>
      </c>
      <c r="I655" s="270"/>
      <c r="J655" s="270"/>
      <c r="K655" s="498"/>
      <c r="L655" s="195">
        <f t="shared" ref="L655:N655" ca="1" si="273">L656+L657</f>
        <v>9400</v>
      </c>
      <c r="M655" s="195">
        <f t="shared" ca="1" si="273"/>
        <v>3000</v>
      </c>
      <c r="N655" s="195">
        <f t="shared" si="273"/>
        <v>3000</v>
      </c>
      <c r="O655" s="195">
        <f t="shared" ref="O655:O660" ca="1" si="274">IF(L655&gt;0,N655*100/L655,0)</f>
        <v>31.914893617021278</v>
      </c>
      <c r="P655" s="195">
        <f t="shared" ref="P655:P660" ca="1" si="275">IF(M655&gt;0,N655*100/M655,0)</f>
        <v>100</v>
      </c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</row>
    <row r="656" spans="1:26" ht="18.75" hidden="1">
      <c r="A656" s="599"/>
      <c r="B656" s="759"/>
      <c r="C656" s="759"/>
      <c r="D656" s="720"/>
      <c r="E656" s="759" t="s">
        <v>185</v>
      </c>
      <c r="F656" s="759"/>
      <c r="G656" s="603"/>
      <c r="H656" s="165" t="s">
        <v>12</v>
      </c>
      <c r="I656" s="617"/>
      <c r="J656" s="617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4"/>
      <c r="R656" s="604"/>
      <c r="S656" s="604"/>
      <c r="T656" s="604"/>
      <c r="U656" s="604"/>
      <c r="V656" s="604"/>
      <c r="W656" s="604"/>
      <c r="X656" s="604"/>
      <c r="Y656" s="604"/>
      <c r="Z656" s="604"/>
    </row>
    <row r="657" spans="1:26" ht="18.75" hidden="1">
      <c r="A657" s="599"/>
      <c r="B657" s="607"/>
      <c r="C657" s="759"/>
      <c r="D657" s="720"/>
      <c r="E657" s="759" t="s">
        <v>186</v>
      </c>
      <c r="F657" s="759"/>
      <c r="G657" s="603"/>
      <c r="H657" s="165" t="s">
        <v>12</v>
      </c>
      <c r="I657" s="617"/>
      <c r="J657" s="617"/>
      <c r="K657" s="93"/>
      <c r="L657" s="93">
        <f t="shared" ca="1" si="276"/>
        <v>9400</v>
      </c>
      <c r="M657" s="93">
        <f t="shared" ca="1" si="276"/>
        <v>3000</v>
      </c>
      <c r="N657" s="93">
        <f t="shared" si="276"/>
        <v>3000</v>
      </c>
      <c r="O657" s="93">
        <f t="shared" ca="1" si="274"/>
        <v>31.914893617021278</v>
      </c>
      <c r="P657" s="93">
        <f t="shared" ca="1" si="275"/>
        <v>100</v>
      </c>
      <c r="Q657" s="604"/>
      <c r="R657" s="604"/>
      <c r="S657" s="604"/>
      <c r="T657" s="604"/>
      <c r="U657" s="604"/>
      <c r="V657" s="604"/>
      <c r="W657" s="604"/>
      <c r="X657" s="604"/>
      <c r="Y657" s="604"/>
      <c r="Z657" s="604"/>
    </row>
    <row r="658" spans="1:26" ht="18.75">
      <c r="A658" s="597"/>
      <c r="B658" s="575"/>
      <c r="C658" s="763"/>
      <c r="D658" s="606" t="s">
        <v>20</v>
      </c>
      <c r="E658" s="763"/>
      <c r="F658" s="763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9400</v>
      </c>
      <c r="M658" s="498">
        <f t="shared" ca="1" si="277"/>
        <v>3000</v>
      </c>
      <c r="N658" s="498">
        <f t="shared" si="277"/>
        <v>3000</v>
      </c>
      <c r="O658" s="498">
        <f t="shared" ca="1" si="274"/>
        <v>31.914893617021278</v>
      </c>
      <c r="P658" s="498">
        <f t="shared" ca="1" si="275"/>
        <v>100</v>
      </c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</row>
    <row r="659" spans="1:26" ht="18.75" hidden="1">
      <c r="A659" s="599"/>
      <c r="B659" s="607"/>
      <c r="C659" s="759"/>
      <c r="D659" s="720"/>
      <c r="E659" s="759" t="s">
        <v>185</v>
      </c>
      <c r="F659" s="759"/>
      <c r="G659" s="603"/>
      <c r="H659" s="165" t="s">
        <v>12</v>
      </c>
      <c r="I659" s="617"/>
      <c r="J659" s="617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4"/>
      <c r="R659" s="604"/>
      <c r="S659" s="604"/>
      <c r="T659" s="604"/>
      <c r="U659" s="604"/>
      <c r="V659" s="604"/>
      <c r="W659" s="604"/>
      <c r="X659" s="604"/>
      <c r="Y659" s="604"/>
      <c r="Z659" s="604"/>
    </row>
    <row r="660" spans="1:26" ht="18.75" hidden="1">
      <c r="A660" s="599"/>
      <c r="B660" s="607"/>
      <c r="C660" s="759"/>
      <c r="D660" s="720"/>
      <c r="E660" s="759" t="s">
        <v>186</v>
      </c>
      <c r="F660" s="759"/>
      <c r="G660" s="603"/>
      <c r="H660" s="165" t="s">
        <v>12</v>
      </c>
      <c r="I660" s="617"/>
      <c r="J660" s="617"/>
      <c r="K660" s="93"/>
      <c r="L660" s="93">
        <f ca="1">IFERROR(__xludf.DUMMYFUNCTION("IMPORTRANGE(""https://docs.google.com/spreadsheets/d/1QqKyyYR6Q21VydFLVH3TRQUabQu_ym0Zz7PgGX0-kHA/edit?usp=sharing"",""แผน!HV49"")"),9400)</f>
        <v>9400</v>
      </c>
      <c r="M660" s="93">
        <f ca="1">L660-6400</f>
        <v>3000</v>
      </c>
      <c r="N660" s="93">
        <f>N661+N662+N663+N664</f>
        <v>3000</v>
      </c>
      <c r="O660" s="93">
        <f t="shared" ca="1" si="274"/>
        <v>31.914893617021278</v>
      </c>
      <c r="P660" s="93">
        <f t="shared" ca="1" si="275"/>
        <v>100</v>
      </c>
      <c r="Q660" s="604"/>
      <c r="R660" s="604"/>
      <c r="S660" s="604"/>
      <c r="T660" s="604"/>
      <c r="U660" s="604"/>
      <c r="V660" s="604"/>
      <c r="W660" s="604"/>
      <c r="X660" s="604"/>
      <c r="Y660" s="604"/>
      <c r="Z660" s="604"/>
    </row>
    <row r="661" spans="1:26" ht="18.75">
      <c r="A661" s="574"/>
      <c r="B661" s="575"/>
      <c r="C661" s="763"/>
      <c r="D661" s="763"/>
      <c r="E661" s="763"/>
      <c r="F661" s="763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40">
        <v>0</v>
      </c>
      <c r="O661" s="498"/>
      <c r="P661" s="49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</row>
    <row r="662" spans="1:26" ht="18.75">
      <c r="A662" s="574"/>
      <c r="B662" s="575"/>
      <c r="C662" s="763"/>
      <c r="D662" s="763"/>
      <c r="E662" s="763"/>
      <c r="F662" s="763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40">
        <v>0</v>
      </c>
      <c r="O662" s="498"/>
      <c r="P662" s="49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</row>
    <row r="663" spans="1:26" ht="18.75">
      <c r="A663" s="574"/>
      <c r="B663" s="575"/>
      <c r="C663" s="575"/>
      <c r="D663" s="763"/>
      <c r="E663" s="763"/>
      <c r="F663" s="763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40">
        <v>3000</v>
      </c>
      <c r="O663" s="498"/>
      <c r="P663" s="49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</row>
    <row r="664" spans="1:26" ht="18.75">
      <c r="A664" s="574"/>
      <c r="B664" s="575"/>
      <c r="C664" s="575"/>
      <c r="D664" s="575"/>
      <c r="E664" s="763"/>
      <c r="F664" s="763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40">
        <v>0</v>
      </c>
      <c r="O664" s="498"/>
      <c r="P664" s="49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</row>
    <row r="665" spans="1:26" ht="18.75">
      <c r="A665" s="597"/>
      <c r="B665" s="575"/>
      <c r="C665" s="575"/>
      <c r="D665" s="606" t="s">
        <v>21</v>
      </c>
      <c r="E665" s="763"/>
      <c r="F665" s="763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</row>
    <row r="666" spans="1:26" ht="18.75" hidden="1">
      <c r="A666" s="599"/>
      <c r="B666" s="607"/>
      <c r="C666" s="607"/>
      <c r="D666" s="607"/>
      <c r="E666" s="759" t="s">
        <v>18</v>
      </c>
      <c r="F666" s="759"/>
      <c r="G666" s="603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4"/>
      <c r="R666" s="604"/>
      <c r="S666" s="604"/>
      <c r="T666" s="604"/>
      <c r="U666" s="604"/>
      <c r="V666" s="604"/>
      <c r="W666" s="604"/>
      <c r="X666" s="604"/>
      <c r="Y666" s="604"/>
      <c r="Z666" s="604"/>
    </row>
    <row r="667" spans="1:26" ht="18.75" hidden="1">
      <c r="A667" s="599"/>
      <c r="B667" s="607"/>
      <c r="C667" s="607"/>
      <c r="D667" s="607"/>
      <c r="E667" s="759" t="s">
        <v>19</v>
      </c>
      <c r="F667" s="759"/>
      <c r="G667" s="603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4"/>
      <c r="R667" s="604"/>
      <c r="S667" s="604"/>
      <c r="T667" s="604"/>
      <c r="U667" s="604"/>
      <c r="V667" s="604"/>
      <c r="W667" s="604"/>
      <c r="X667" s="604"/>
      <c r="Y667" s="604"/>
      <c r="Z667" s="604"/>
    </row>
    <row r="668" spans="1:26" ht="19.5">
      <c r="A668" s="608"/>
      <c r="B668" s="618"/>
      <c r="C668" s="575" t="s">
        <v>16</v>
      </c>
      <c r="D668" s="893" t="s">
        <v>38</v>
      </c>
      <c r="E668" s="761"/>
      <c r="F668" s="761"/>
      <c r="G668" s="613"/>
      <c r="H668" s="762"/>
      <c r="I668" s="184"/>
      <c r="J668" s="184"/>
      <c r="K668" s="163"/>
      <c r="L668" s="163"/>
      <c r="M668" s="163"/>
      <c r="N668" s="163"/>
      <c r="O668" s="163"/>
      <c r="P668" s="163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</row>
    <row r="669" spans="1:26" ht="19.5">
      <c r="A669" s="608"/>
      <c r="B669" s="618"/>
      <c r="C669" s="618"/>
      <c r="D669" s="618" t="s">
        <v>281</v>
      </c>
      <c r="E669" s="626"/>
      <c r="F669" s="626"/>
      <c r="G669" s="762"/>
      <c r="H669" s="767" t="s">
        <v>46</v>
      </c>
      <c r="I669" s="681">
        <f ca="1">IFERROR(__xludf.DUMMYFUNCTION("IMPORTRANGE(""https://docs.google.com/spreadsheets/d/1QqKyyYR6Q21VydFLVH3TRQUabQu_ym0Zz7PgGX0-kHA/edit?usp=sharing"",""แผน!IA49"")"),50)</f>
        <v>50</v>
      </c>
      <c r="J669" s="681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</row>
    <row r="670" spans="1:26" ht="18.75">
      <c r="A670" s="608"/>
      <c r="B670" s="618"/>
      <c r="C670" s="618"/>
      <c r="D670" s="618"/>
      <c r="E670" s="626" t="s">
        <v>282</v>
      </c>
      <c r="F670" s="626"/>
      <c r="G670" s="762"/>
      <c r="H670" s="764" t="s">
        <v>66</v>
      </c>
      <c r="I670" s="270">
        <f ca="1">IFERROR(__xludf.DUMMYFUNCTION("IMPORTRANGE(""https://docs.google.com/spreadsheets/d/1QqKyyYR6Q21VydFLVH3TRQUabQu_ym0Zz7PgGX0-kHA/edit?usp=sharing"",""แผน!HZ49"")"),4)</f>
        <v>4</v>
      </c>
      <c r="J670" s="215">
        <v>4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</row>
    <row r="671" spans="1:26" ht="18.75">
      <c r="A671" s="608"/>
      <c r="B671" s="618"/>
      <c r="C671" s="618"/>
      <c r="D671" s="618"/>
      <c r="E671" s="626" t="s">
        <v>283</v>
      </c>
      <c r="F671" s="626"/>
      <c r="G671" s="762"/>
      <c r="H671" s="764" t="s">
        <v>66</v>
      </c>
      <c r="I671" s="270">
        <f ca="1">IFERROR(__xludf.DUMMYFUNCTION("IMPORTRANGE(""https://docs.google.com/spreadsheets/d/1QqKyyYR6Q21VydFLVH3TRQUabQu_ym0Zz7PgGX0-kHA/edit?usp=sharing"",""แผน!HZ49"")"),4)</f>
        <v>4</v>
      </c>
      <c r="J671" s="215">
        <v>4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</row>
    <row r="672" spans="1:26" ht="18.75">
      <c r="A672" s="608"/>
      <c r="B672" s="618"/>
      <c r="C672" s="618"/>
      <c r="D672" s="618"/>
      <c r="E672" s="626" t="s">
        <v>284</v>
      </c>
      <c r="F672" s="626"/>
      <c r="G672" s="762"/>
      <c r="H672" s="764" t="s">
        <v>46</v>
      </c>
      <c r="I672" s="270"/>
      <c r="J672" s="215">
        <v>183.75</v>
      </c>
      <c r="K672" s="498">
        <f t="shared" ref="K672:K675" ca="1" si="281">IF(I$669&gt;0,J672*100/I$669,0)</f>
        <v>367.5</v>
      </c>
      <c r="L672" s="163"/>
      <c r="M672" s="163"/>
      <c r="N672" s="163"/>
      <c r="O672" s="163"/>
      <c r="P672" s="163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</row>
    <row r="673" spans="1:26" ht="18.75">
      <c r="A673" s="608"/>
      <c r="B673" s="618"/>
      <c r="C673" s="618"/>
      <c r="D673" s="618"/>
      <c r="E673" s="626" t="s">
        <v>285</v>
      </c>
      <c r="F673" s="626"/>
      <c r="G673" s="762"/>
      <c r="H673" s="764" t="s">
        <v>46</v>
      </c>
      <c r="I673" s="270"/>
      <c r="J673" s="215">
        <v>184</v>
      </c>
      <c r="K673" s="498">
        <f t="shared" ca="1" si="281"/>
        <v>368</v>
      </c>
      <c r="L673" s="163"/>
      <c r="M673" s="163"/>
      <c r="N673" s="163"/>
      <c r="O673" s="163"/>
      <c r="P673" s="163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</row>
    <row r="674" spans="1:26" ht="18.75">
      <c r="A674" s="608"/>
      <c r="B674" s="618"/>
      <c r="C674" s="618"/>
      <c r="D674" s="618"/>
      <c r="E674" s="626" t="s">
        <v>286</v>
      </c>
      <c r="F674" s="626"/>
      <c r="G674" s="762"/>
      <c r="H674" s="764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</row>
    <row r="675" spans="1:26" ht="19.5">
      <c r="A675" s="608"/>
      <c r="B675" s="618"/>
      <c r="C675" s="618"/>
      <c r="D675" s="618"/>
      <c r="E675" s="626" t="s">
        <v>287</v>
      </c>
      <c r="F675" s="626"/>
      <c r="G675" s="762"/>
      <c r="H675" s="764" t="s">
        <v>46</v>
      </c>
      <c r="I675" s="270"/>
      <c r="J675" s="681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</row>
    <row r="676" spans="1:26" ht="18.75">
      <c r="A676" s="608"/>
      <c r="B676" s="618"/>
      <c r="C676" s="618"/>
      <c r="D676" s="618"/>
      <c r="E676" s="626"/>
      <c r="F676" s="626" t="s">
        <v>288</v>
      </c>
      <c r="G676" s="762"/>
      <c r="H676" s="764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</row>
    <row r="677" spans="1:26" ht="18.75">
      <c r="A677" s="608"/>
      <c r="B677" s="618"/>
      <c r="C677" s="618"/>
      <c r="D677" s="618"/>
      <c r="E677" s="626"/>
      <c r="F677" s="626" t="s">
        <v>289</v>
      </c>
      <c r="G677" s="762"/>
      <c r="H677" s="764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</row>
    <row r="678" spans="1:26" ht="19.5">
      <c r="A678" s="608"/>
      <c r="B678" s="618"/>
      <c r="C678" s="618"/>
      <c r="D678" s="618" t="s">
        <v>290</v>
      </c>
      <c r="E678" s="626"/>
      <c r="F678" s="626"/>
      <c r="G678" s="762"/>
      <c r="H678" s="764" t="s">
        <v>46</v>
      </c>
      <c r="I678" s="681">
        <f ca="1">IFERROR(__xludf.DUMMYFUNCTION("IMPORTRANGE(""https://docs.google.com/spreadsheets/d/1QqKyyYR6Q21VydFLVH3TRQUabQu_ym0Zz7PgGX0-kHA/edit?usp=sharing"",""แผน!IB49"")"),0)</f>
        <v>0</v>
      </c>
      <c r="J678" s="681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</row>
    <row r="679" spans="1:26" ht="18.75">
      <c r="A679" s="608"/>
      <c r="B679" s="618"/>
      <c r="C679" s="618"/>
      <c r="D679" s="618"/>
      <c r="E679" s="626" t="s">
        <v>291</v>
      </c>
      <c r="F679" s="626"/>
      <c r="G679" s="762"/>
      <c r="H679" s="764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</row>
    <row r="680" spans="1:26" ht="18.75">
      <c r="A680" s="608"/>
      <c r="B680" s="618"/>
      <c r="C680" s="618"/>
      <c r="D680" s="618"/>
      <c r="E680" s="626"/>
      <c r="F680" s="626" t="s">
        <v>288</v>
      </c>
      <c r="G680" s="762"/>
      <c r="H680" s="764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</row>
    <row r="681" spans="1:26" ht="18.75">
      <c r="A681" s="608"/>
      <c r="B681" s="618"/>
      <c r="C681" s="618"/>
      <c r="D681" s="618"/>
      <c r="E681" s="626"/>
      <c r="F681" s="626" t="s">
        <v>289</v>
      </c>
      <c r="G681" s="762"/>
      <c r="H681" s="764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</row>
    <row r="682" spans="1:26" ht="18.75">
      <c r="A682" s="608"/>
      <c r="B682" s="618"/>
      <c r="C682" s="618"/>
      <c r="D682" s="618"/>
      <c r="E682" s="626" t="s">
        <v>292</v>
      </c>
      <c r="F682" s="626"/>
      <c r="G682" s="762"/>
      <c r="H682" s="764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</row>
    <row r="683" spans="1:26" ht="18.75">
      <c r="A683" s="608"/>
      <c r="B683" s="618"/>
      <c r="C683" s="618"/>
      <c r="D683" s="618"/>
      <c r="E683" s="626"/>
      <c r="F683" s="626" t="s">
        <v>293</v>
      </c>
      <c r="G683" s="762"/>
      <c r="H683" s="764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</row>
    <row r="684" spans="1:26" ht="19.5">
      <c r="A684" s="753"/>
      <c r="B684" s="754" t="s">
        <v>294</v>
      </c>
      <c r="C684" s="753"/>
      <c r="D684" s="753"/>
      <c r="E684" s="753"/>
      <c r="F684" s="753"/>
      <c r="G684" s="755"/>
      <c r="H684" s="755"/>
      <c r="I684" s="756"/>
      <c r="J684" s="756"/>
      <c r="K684" s="757"/>
      <c r="L684" s="757"/>
      <c r="M684" s="757"/>
      <c r="N684" s="757"/>
      <c r="O684" s="757"/>
      <c r="P684" s="757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</row>
    <row r="685" spans="1:26" ht="19.5">
      <c r="A685" s="597"/>
      <c r="B685" s="763"/>
      <c r="C685" s="763" t="s">
        <v>16</v>
      </c>
      <c r="D685" s="863" t="s">
        <v>17</v>
      </c>
      <c r="E685" s="857"/>
      <c r="F685" s="857"/>
      <c r="G685" s="189"/>
      <c r="H685" s="598" t="s">
        <v>12</v>
      </c>
      <c r="I685" s="270"/>
      <c r="J685" s="270"/>
      <c r="K685" s="498"/>
      <c r="L685" s="195">
        <f t="shared" ref="L685:N685" ca="1" si="282">L686+L687</f>
        <v>2940</v>
      </c>
      <c r="M685" s="195">
        <f t="shared" ca="1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</row>
    <row r="686" spans="1:26" ht="18.75" hidden="1">
      <c r="A686" s="599"/>
      <c r="B686" s="759"/>
      <c r="C686" s="759"/>
      <c r="D686" s="720"/>
      <c r="E686" s="759" t="s">
        <v>185</v>
      </c>
      <c r="F686" s="759"/>
      <c r="G686" s="603"/>
      <c r="H686" s="165" t="s">
        <v>12</v>
      </c>
      <c r="I686" s="617"/>
      <c r="J686" s="617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4"/>
      <c r="R686" s="604"/>
      <c r="S686" s="604"/>
      <c r="T686" s="604"/>
      <c r="U686" s="604"/>
      <c r="V686" s="604"/>
      <c r="W686" s="604"/>
      <c r="X686" s="604"/>
      <c r="Y686" s="604"/>
      <c r="Z686" s="604"/>
    </row>
    <row r="687" spans="1:26" ht="18.75" hidden="1">
      <c r="A687" s="599"/>
      <c r="B687" s="607"/>
      <c r="C687" s="759"/>
      <c r="D687" s="720"/>
      <c r="E687" s="759" t="s">
        <v>186</v>
      </c>
      <c r="F687" s="759"/>
      <c r="G687" s="603"/>
      <c r="H687" s="165" t="s">
        <v>12</v>
      </c>
      <c r="I687" s="617"/>
      <c r="J687" s="617"/>
      <c r="K687" s="93"/>
      <c r="L687" s="93">
        <f t="shared" ca="1" si="285"/>
        <v>2940</v>
      </c>
      <c r="M687" s="93">
        <f t="shared" ca="1" si="285"/>
        <v>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4"/>
      <c r="R687" s="604"/>
      <c r="S687" s="604"/>
      <c r="T687" s="604"/>
      <c r="U687" s="604"/>
      <c r="V687" s="604"/>
      <c r="W687" s="604"/>
      <c r="X687" s="604"/>
      <c r="Y687" s="604"/>
      <c r="Z687" s="604"/>
    </row>
    <row r="688" spans="1:26" ht="18.75">
      <c r="A688" s="597"/>
      <c r="B688" s="575"/>
      <c r="C688" s="763"/>
      <c r="D688" s="606" t="s">
        <v>20</v>
      </c>
      <c r="E688" s="763"/>
      <c r="F688" s="763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2940</v>
      </c>
      <c r="M688" s="498">
        <f t="shared" ca="1" si="286"/>
        <v>0</v>
      </c>
      <c r="N688" s="498">
        <f t="shared" si="286"/>
        <v>0</v>
      </c>
      <c r="O688" s="498">
        <f t="shared" ca="1" si="283"/>
        <v>0</v>
      </c>
      <c r="P688" s="498">
        <f t="shared" ca="1" si="284"/>
        <v>0</v>
      </c>
      <c r="Q688" s="578"/>
      <c r="R688" s="578"/>
      <c r="S688" s="578"/>
      <c r="T688" s="578"/>
      <c r="U688" s="578"/>
      <c r="V688" s="578"/>
      <c r="W688" s="578"/>
      <c r="X688" s="578"/>
      <c r="Y688" s="578"/>
      <c r="Z688" s="578"/>
    </row>
    <row r="689" spans="1:26" ht="18.75" hidden="1">
      <c r="A689" s="599"/>
      <c r="B689" s="607"/>
      <c r="C689" s="759"/>
      <c r="D689" s="720"/>
      <c r="E689" s="759" t="s">
        <v>185</v>
      </c>
      <c r="F689" s="759"/>
      <c r="G689" s="603"/>
      <c r="H689" s="165" t="s">
        <v>12</v>
      </c>
      <c r="I689" s="617"/>
      <c r="J689" s="617"/>
      <c r="K689" s="93"/>
      <c r="L689" s="93">
        <v>0</v>
      </c>
      <c r="M689" s="93">
        <v>0</v>
      </c>
      <c r="N689" s="93">
        <v>0</v>
      </c>
      <c r="O689" s="93"/>
      <c r="P689" s="93"/>
      <c r="Q689" s="604"/>
      <c r="R689" s="604"/>
      <c r="S689" s="604"/>
      <c r="T689" s="604"/>
      <c r="U689" s="604"/>
      <c r="V689" s="604"/>
      <c r="W689" s="604"/>
      <c r="X689" s="604"/>
      <c r="Y689" s="604"/>
      <c r="Z689" s="604"/>
    </row>
    <row r="690" spans="1:26" ht="18.75" hidden="1">
      <c r="A690" s="599"/>
      <c r="B690" s="607"/>
      <c r="C690" s="759"/>
      <c r="D690" s="720"/>
      <c r="E690" s="759" t="s">
        <v>186</v>
      </c>
      <c r="F690" s="759"/>
      <c r="G690" s="603"/>
      <c r="H690" s="165" t="s">
        <v>12</v>
      </c>
      <c r="I690" s="617"/>
      <c r="J690" s="617"/>
      <c r="K690" s="93"/>
      <c r="L690" s="93">
        <f ca="1">IFERROR(__xludf.DUMMYFUNCTION("IMPORTRANGE(""https://docs.google.com/spreadsheets/d/1QqKyyYR6Q21VydFLVH3TRQUabQu_ym0Zz7PgGX0-kHA/edit?usp=sharing"",""แผน!HW49"")"),2940)</f>
        <v>2940</v>
      </c>
      <c r="M690" s="93">
        <f ca="1">L690-2940</f>
        <v>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4"/>
      <c r="R690" s="604"/>
      <c r="S690" s="604"/>
      <c r="T690" s="604"/>
      <c r="U690" s="604"/>
      <c r="V690" s="604"/>
      <c r="W690" s="604"/>
      <c r="X690" s="604"/>
      <c r="Y690" s="604"/>
      <c r="Z690" s="604"/>
    </row>
    <row r="691" spans="1:26" ht="18.75">
      <c r="A691" s="574"/>
      <c r="B691" s="575"/>
      <c r="C691" s="763"/>
      <c r="D691" s="763"/>
      <c r="E691" s="763"/>
      <c r="F691" s="763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40">
        <v>0</v>
      </c>
      <c r="O691" s="498"/>
      <c r="P691" s="49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</row>
    <row r="692" spans="1:26" ht="18.75">
      <c r="A692" s="574"/>
      <c r="B692" s="575"/>
      <c r="C692" s="763"/>
      <c r="D692" s="763"/>
      <c r="E692" s="763"/>
      <c r="F692" s="763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40">
        <v>0</v>
      </c>
      <c r="O692" s="498"/>
      <c r="P692" s="49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</row>
    <row r="693" spans="1:26" ht="18.75">
      <c r="A693" s="574"/>
      <c r="B693" s="575"/>
      <c r="C693" s="763"/>
      <c r="D693" s="763"/>
      <c r="E693" s="763"/>
      <c r="F693" s="763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40">
        <v>0</v>
      </c>
      <c r="O693" s="498"/>
      <c r="P693" s="49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</row>
    <row r="694" spans="1:26" ht="18.75">
      <c r="A694" s="574"/>
      <c r="B694" s="575"/>
      <c r="C694" s="763"/>
      <c r="D694" s="763"/>
      <c r="E694" s="763"/>
      <c r="F694" s="763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40">
        <v>0</v>
      </c>
      <c r="O694" s="498"/>
      <c r="P694" s="49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</row>
    <row r="695" spans="1:26" ht="18.75">
      <c r="A695" s="597"/>
      <c r="B695" s="575"/>
      <c r="C695" s="763"/>
      <c r="D695" s="606" t="s">
        <v>21</v>
      </c>
      <c r="E695" s="763"/>
      <c r="F695" s="763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</row>
    <row r="696" spans="1:26" ht="18.75" hidden="1">
      <c r="A696" s="599"/>
      <c r="B696" s="607"/>
      <c r="C696" s="759"/>
      <c r="D696" s="759"/>
      <c r="E696" s="759" t="s">
        <v>18</v>
      </c>
      <c r="F696" s="759"/>
      <c r="G696" s="603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4"/>
      <c r="R696" s="604"/>
      <c r="S696" s="604"/>
      <c r="T696" s="604"/>
      <c r="U696" s="604"/>
      <c r="V696" s="604"/>
      <c r="W696" s="604"/>
      <c r="X696" s="604"/>
      <c r="Y696" s="604"/>
      <c r="Z696" s="604"/>
    </row>
    <row r="697" spans="1:26" ht="18.75" hidden="1">
      <c r="A697" s="599"/>
      <c r="B697" s="607"/>
      <c r="C697" s="759"/>
      <c r="D697" s="759"/>
      <c r="E697" s="759" t="s">
        <v>19</v>
      </c>
      <c r="F697" s="759"/>
      <c r="G697" s="603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4"/>
      <c r="R697" s="604"/>
      <c r="S697" s="604"/>
      <c r="T697" s="604"/>
      <c r="U697" s="604"/>
      <c r="V697" s="604"/>
      <c r="W697" s="604"/>
      <c r="X697" s="604"/>
      <c r="Y697" s="604"/>
      <c r="Z697" s="604"/>
    </row>
    <row r="698" spans="1:26" ht="19.5">
      <c r="A698" s="608"/>
      <c r="B698" s="618"/>
      <c r="C698" s="763" t="s">
        <v>16</v>
      </c>
      <c r="D698" s="898" t="s">
        <v>38</v>
      </c>
      <c r="E698" s="761"/>
      <c r="F698" s="761"/>
      <c r="G698" s="613"/>
      <c r="H698" s="762"/>
      <c r="I698" s="184"/>
      <c r="J698" s="184"/>
      <c r="K698" s="163"/>
      <c r="L698" s="163"/>
      <c r="M698" s="163"/>
      <c r="N698" s="163"/>
      <c r="O698" s="163"/>
      <c r="P698" s="163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</row>
    <row r="699" spans="1:26" ht="18.75">
      <c r="A699" s="744"/>
      <c r="B699" s="763"/>
      <c r="C699" s="763"/>
      <c r="D699" s="763" t="s">
        <v>295</v>
      </c>
      <c r="E699" s="763"/>
      <c r="F699" s="763"/>
      <c r="G699" s="189"/>
      <c r="H699" s="764" t="s">
        <v>46</v>
      </c>
      <c r="I699" s="765">
        <f ca="1">IFERROR(__xludf.DUMMYFUNCTION("IMPORTRANGE(""https://docs.google.com/spreadsheets/d/1QqKyyYR6Q21VydFLVH3TRQUabQu_ym0Zz7PgGX0-kHA/edit?usp=sharing"",""แผน!IC49"")"),18)</f>
        <v>18</v>
      </c>
      <c r="J699" s="270">
        <f ca="1">IFERROR(__xludf.DUMMYFUNCTION("IMPORTRANGE(""https://docs.google.com/spreadsheets/d/1XWAQStnk-4SwqDmLtmXYiTMKHgktTP8We1SCoS47DrQ/edit?usp=sharing"",""จัดที่ดิน!BB49"")"),0)</f>
        <v>0</v>
      </c>
      <c r="K699" s="498">
        <f t="shared" ref="K699:K701" ca="1" si="290">IF(I699&gt;0,J699*100/I699,0)</f>
        <v>0</v>
      </c>
      <c r="L699" s="498"/>
      <c r="M699" s="189"/>
      <c r="N699" s="766"/>
      <c r="O699" s="498"/>
      <c r="P699" s="49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</row>
    <row r="700" spans="1:26" ht="18.75">
      <c r="A700" s="744"/>
      <c r="B700" s="763"/>
      <c r="C700" s="763"/>
      <c r="D700" s="763" t="s">
        <v>296</v>
      </c>
      <c r="E700" s="763"/>
      <c r="F700" s="763"/>
      <c r="G700" s="189"/>
      <c r="H700" s="764" t="s">
        <v>35</v>
      </c>
      <c r="I700" s="765">
        <f ca="1">IFERROR(__xludf.DUMMYFUNCTION("IMPORTRANGE(""https://docs.google.com/spreadsheets/d/1QqKyyYR6Q21VydFLVH3TRQUabQu_ym0Zz7PgGX0-kHA/edit?usp=sharing"",""แผน!ID49"")"),0)</f>
        <v>0</v>
      </c>
      <c r="J700" s="270">
        <f ca="1">IFERROR(__xludf.DUMMYFUNCTION("IMPORTRANGE(""https://docs.google.com/spreadsheets/d/1XWAQStnk-4SwqDmLtmXYiTMKHgktTP8We1SCoS47DrQ/edit?usp=sharing"",""จัดที่ดิน!BD49"")"),0)</f>
        <v>0</v>
      </c>
      <c r="K700" s="498">
        <f t="shared" ca="1" si="290"/>
        <v>0</v>
      </c>
      <c r="L700" s="498"/>
      <c r="M700" s="189"/>
      <c r="N700" s="766"/>
      <c r="O700" s="498"/>
      <c r="P700" s="49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</row>
    <row r="701" spans="1:26" ht="19.5">
      <c r="A701" s="744"/>
      <c r="B701" s="763"/>
      <c r="C701" s="763"/>
      <c r="D701" s="763" t="s">
        <v>297</v>
      </c>
      <c r="E701" s="763"/>
      <c r="F701" s="763"/>
      <c r="G701" s="189"/>
      <c r="H701" s="767" t="s">
        <v>46</v>
      </c>
      <c r="I701" s="768">
        <f ca="1">IFERROR(__xludf.DUMMYFUNCTION("IMPORTRANGE(""https://docs.google.com/spreadsheets/d/1QqKyyYR6Q21VydFLVH3TRQUabQu_ym0Zz7PgGX0-kHA/edit?usp=sharing"",""แผน!IE49"")"),0)</f>
        <v>0</v>
      </c>
      <c r="J701" s="681">
        <f>J704+J707</f>
        <v>0</v>
      </c>
      <c r="K701" s="195">
        <f t="shared" ca="1" si="290"/>
        <v>0</v>
      </c>
      <c r="L701" s="498"/>
      <c r="M701" s="189"/>
      <c r="N701" s="766"/>
      <c r="O701" s="498"/>
      <c r="P701" s="49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</row>
    <row r="702" spans="1:26" ht="18.75">
      <c r="A702" s="744"/>
      <c r="B702" s="763"/>
      <c r="C702" s="763"/>
      <c r="D702" s="763"/>
      <c r="E702" s="763" t="s">
        <v>298</v>
      </c>
      <c r="F702" s="763"/>
      <c r="G702" s="189"/>
      <c r="H702" s="764" t="s">
        <v>35</v>
      </c>
      <c r="I702" s="765"/>
      <c r="J702" s="215">
        <v>0</v>
      </c>
      <c r="K702" s="498"/>
      <c r="L702" s="498"/>
      <c r="M702" s="189"/>
      <c r="N702" s="766"/>
      <c r="O702" s="498"/>
      <c r="P702" s="49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</row>
    <row r="703" spans="1:26" ht="18.75">
      <c r="A703" s="744"/>
      <c r="B703" s="763"/>
      <c r="C703" s="763"/>
      <c r="D703" s="763"/>
      <c r="E703" s="763"/>
      <c r="F703" s="763"/>
      <c r="G703" s="189"/>
      <c r="H703" s="764" t="s">
        <v>34</v>
      </c>
      <c r="I703" s="765"/>
      <c r="J703" s="215">
        <v>0</v>
      </c>
      <c r="K703" s="498"/>
      <c r="L703" s="498"/>
      <c r="M703" s="189"/>
      <c r="N703" s="766"/>
      <c r="O703" s="498"/>
      <c r="P703" s="49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</row>
    <row r="704" spans="1:26" ht="18.75">
      <c r="A704" s="744"/>
      <c r="B704" s="763"/>
      <c r="C704" s="763"/>
      <c r="D704" s="763"/>
      <c r="E704" s="763"/>
      <c r="F704" s="763"/>
      <c r="G704" s="189"/>
      <c r="H704" s="764" t="s">
        <v>46</v>
      </c>
      <c r="I704" s="765">
        <f ca="1">IFERROR(__xludf.DUMMYFUNCTION("IMPORTRANGE(""https://docs.google.com/spreadsheets/d/1QqKyyYR6Q21VydFLVH3TRQUabQu_ym0Zz7PgGX0-kHA/edit?usp=sharing"",""แผน!IF49"")"),0)</f>
        <v>0</v>
      </c>
      <c r="J704" s="215">
        <v>0</v>
      </c>
      <c r="K704" s="498"/>
      <c r="L704" s="498"/>
      <c r="M704" s="189"/>
      <c r="N704" s="766"/>
      <c r="O704" s="498"/>
      <c r="P704" s="49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</row>
    <row r="705" spans="1:26" ht="18.75">
      <c r="A705" s="744"/>
      <c r="B705" s="763"/>
      <c r="C705" s="763"/>
      <c r="D705" s="763"/>
      <c r="E705" s="763" t="s">
        <v>299</v>
      </c>
      <c r="F705" s="763"/>
      <c r="G705" s="189"/>
      <c r="H705" s="764" t="s">
        <v>35</v>
      </c>
      <c r="I705" s="765"/>
      <c r="J705" s="215">
        <v>0</v>
      </c>
      <c r="K705" s="498"/>
      <c r="L705" s="498"/>
      <c r="M705" s="189"/>
      <c r="N705" s="766"/>
      <c r="O705" s="498"/>
      <c r="P705" s="49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</row>
    <row r="706" spans="1:26" ht="18.75">
      <c r="A706" s="744"/>
      <c r="B706" s="763"/>
      <c r="C706" s="763"/>
      <c r="D706" s="763"/>
      <c r="E706" s="763"/>
      <c r="F706" s="763"/>
      <c r="G706" s="189"/>
      <c r="H706" s="764" t="s">
        <v>34</v>
      </c>
      <c r="I706" s="765"/>
      <c r="J706" s="215">
        <v>0</v>
      </c>
      <c r="K706" s="498"/>
      <c r="L706" s="498"/>
      <c r="M706" s="189"/>
      <c r="N706" s="766"/>
      <c r="O706" s="498"/>
      <c r="P706" s="49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</row>
    <row r="707" spans="1:26" ht="18.75">
      <c r="A707" s="744"/>
      <c r="B707" s="763"/>
      <c r="C707" s="763"/>
      <c r="D707" s="763"/>
      <c r="E707" s="763"/>
      <c r="F707" s="763"/>
      <c r="G707" s="189"/>
      <c r="H707" s="764" t="s">
        <v>46</v>
      </c>
      <c r="I707" s="765">
        <f ca="1">IFERROR(__xludf.DUMMYFUNCTION("IMPORTRANGE(""https://docs.google.com/spreadsheets/d/1QqKyyYR6Q21VydFLVH3TRQUabQu_ym0Zz7PgGX0-kHA/edit?usp=sharing"",""แผน!IG49"")"),0)</f>
        <v>0</v>
      </c>
      <c r="J707" s="215">
        <v>0</v>
      </c>
      <c r="K707" s="498"/>
      <c r="L707" s="498"/>
      <c r="M707" s="189"/>
      <c r="N707" s="766"/>
      <c r="O707" s="498"/>
      <c r="P707" s="49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</row>
    <row r="708" spans="1:26" ht="19.5">
      <c r="A708" s="744"/>
      <c r="B708" s="763"/>
      <c r="C708" s="763"/>
      <c r="D708" s="769" t="s">
        <v>300</v>
      </c>
      <c r="E708" s="763"/>
      <c r="F708" s="763"/>
      <c r="G708" s="189"/>
      <c r="H708" s="767" t="s">
        <v>46</v>
      </c>
      <c r="I708" s="768">
        <f ca="1">IFERROR(__xludf.DUMMYFUNCTION("IMPORTRANGE(""https://docs.google.com/spreadsheets/d/1QqKyyYR6Q21VydFLVH3TRQUabQu_ym0Zz7PgGX0-kHA/edit?usp=sharing"",""แผน!IH49"")"),7)</f>
        <v>7</v>
      </c>
      <c r="J708" s="681">
        <f>J714+J717</f>
        <v>0</v>
      </c>
      <c r="K708" s="195">
        <f ca="1">IF(I708&gt;0,J708*100/I708,0)</f>
        <v>0</v>
      </c>
      <c r="L708" s="498"/>
      <c r="M708" s="189"/>
      <c r="N708" s="766"/>
      <c r="O708" s="498"/>
      <c r="P708" s="49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</row>
    <row r="709" spans="1:26" ht="18.75">
      <c r="A709" s="744"/>
      <c r="B709" s="763"/>
      <c r="C709" s="763"/>
      <c r="D709" s="763"/>
      <c r="E709" s="763" t="s">
        <v>301</v>
      </c>
      <c r="F709" s="763"/>
      <c r="G709" s="189"/>
      <c r="H709" s="764" t="s">
        <v>34</v>
      </c>
      <c r="I709" s="765"/>
      <c r="J709" s="215">
        <v>0</v>
      </c>
      <c r="K709" s="498"/>
      <c r="L709" s="766"/>
      <c r="M709" s="189"/>
      <c r="N709" s="766"/>
      <c r="O709" s="498"/>
      <c r="P709" s="49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</row>
    <row r="710" spans="1:26" ht="18.75">
      <c r="A710" s="744"/>
      <c r="B710" s="763"/>
      <c r="C710" s="763"/>
      <c r="D710" s="763"/>
      <c r="E710" s="763"/>
      <c r="F710" s="763"/>
      <c r="G710" s="189"/>
      <c r="H710" s="764" t="s">
        <v>46</v>
      </c>
      <c r="I710" s="765"/>
      <c r="J710" s="215">
        <v>0</v>
      </c>
      <c r="K710" s="498"/>
      <c r="L710" s="766"/>
      <c r="M710" s="189"/>
      <c r="N710" s="766"/>
      <c r="O710" s="498"/>
      <c r="P710" s="49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</row>
    <row r="711" spans="1:26" ht="18.75">
      <c r="A711" s="744"/>
      <c r="B711" s="763"/>
      <c r="C711" s="763"/>
      <c r="D711" s="763"/>
      <c r="E711" s="763" t="s">
        <v>302</v>
      </c>
      <c r="F711" s="763"/>
      <c r="G711" s="189"/>
      <c r="H711" s="762"/>
      <c r="I711" s="765"/>
      <c r="J711" s="270"/>
      <c r="K711" s="498"/>
      <c r="L711" s="766"/>
      <c r="M711" s="189"/>
      <c r="N711" s="766"/>
      <c r="O711" s="498"/>
      <c r="P711" s="49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</row>
    <row r="712" spans="1:26" ht="18.75">
      <c r="A712" s="744"/>
      <c r="B712" s="763"/>
      <c r="C712" s="763"/>
      <c r="D712" s="763"/>
      <c r="E712" s="763"/>
      <c r="F712" s="763" t="s">
        <v>303</v>
      </c>
      <c r="G712" s="189"/>
      <c r="H712" s="764" t="s">
        <v>35</v>
      </c>
      <c r="I712" s="765"/>
      <c r="J712" s="215">
        <v>0</v>
      </c>
      <c r="K712" s="498"/>
      <c r="L712" s="766"/>
      <c r="M712" s="189"/>
      <c r="N712" s="766"/>
      <c r="O712" s="498"/>
      <c r="P712" s="49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</row>
    <row r="713" spans="1:26" ht="18.75">
      <c r="A713" s="744"/>
      <c r="B713" s="763"/>
      <c r="C713" s="763"/>
      <c r="D713" s="763"/>
      <c r="E713" s="763"/>
      <c r="F713" s="763"/>
      <c r="G713" s="189"/>
      <c r="H713" s="764" t="s">
        <v>34</v>
      </c>
      <c r="I713" s="765"/>
      <c r="J713" s="215">
        <v>0</v>
      </c>
      <c r="K713" s="498"/>
      <c r="L713" s="766"/>
      <c r="M713" s="189"/>
      <c r="N713" s="766"/>
      <c r="O713" s="498"/>
      <c r="P713" s="49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</row>
    <row r="714" spans="1:26" ht="18.75">
      <c r="A714" s="744"/>
      <c r="B714" s="763"/>
      <c r="C714" s="763"/>
      <c r="D714" s="763"/>
      <c r="E714" s="763"/>
      <c r="F714" s="763"/>
      <c r="G714" s="189"/>
      <c r="H714" s="764" t="s">
        <v>46</v>
      </c>
      <c r="I714" s="765"/>
      <c r="J714" s="215">
        <v>0</v>
      </c>
      <c r="K714" s="498"/>
      <c r="L714" s="766"/>
      <c r="M714" s="189"/>
      <c r="N714" s="766"/>
      <c r="O714" s="498"/>
      <c r="P714" s="49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</row>
    <row r="715" spans="1:26" ht="18.75">
      <c r="A715" s="744"/>
      <c r="B715" s="763"/>
      <c r="C715" s="763"/>
      <c r="D715" s="763"/>
      <c r="E715" s="763"/>
      <c r="F715" s="763" t="s">
        <v>304</v>
      </c>
      <c r="G715" s="189"/>
      <c r="H715" s="764" t="s">
        <v>35</v>
      </c>
      <c r="I715" s="765"/>
      <c r="J715" s="215">
        <v>0</v>
      </c>
      <c r="K715" s="498"/>
      <c r="L715" s="766"/>
      <c r="M715" s="189"/>
      <c r="N715" s="766"/>
      <c r="O715" s="498"/>
      <c r="P715" s="49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</row>
    <row r="716" spans="1:26" ht="18.75">
      <c r="A716" s="744"/>
      <c r="B716" s="763"/>
      <c r="C716" s="763"/>
      <c r="D716" s="763"/>
      <c r="E716" s="763"/>
      <c r="F716" s="763"/>
      <c r="G716" s="189"/>
      <c r="H716" s="764" t="s">
        <v>34</v>
      </c>
      <c r="I716" s="765"/>
      <c r="J716" s="215">
        <v>0</v>
      </c>
      <c r="K716" s="498"/>
      <c r="L716" s="766"/>
      <c r="M716" s="189"/>
      <c r="N716" s="766"/>
      <c r="O716" s="498"/>
      <c r="P716" s="49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</row>
    <row r="717" spans="1:26" ht="18.75">
      <c r="A717" s="744"/>
      <c r="B717" s="763"/>
      <c r="C717" s="763"/>
      <c r="D717" s="763"/>
      <c r="E717" s="763"/>
      <c r="F717" s="763"/>
      <c r="G717" s="189"/>
      <c r="H717" s="764" t="s">
        <v>46</v>
      </c>
      <c r="I717" s="765"/>
      <c r="J717" s="215">
        <v>0</v>
      </c>
      <c r="K717" s="498"/>
      <c r="L717" s="766"/>
      <c r="M717" s="189"/>
      <c r="N717" s="766"/>
      <c r="O717" s="498"/>
      <c r="P717" s="49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</row>
    <row r="718" spans="1:26" ht="18.75">
      <c r="A718" s="744"/>
      <c r="B718" s="763"/>
      <c r="C718" s="763"/>
      <c r="D718" s="763" t="s">
        <v>305</v>
      </c>
      <c r="E718" s="763"/>
      <c r="F718" s="763"/>
      <c r="G718" s="189"/>
      <c r="H718" s="764" t="s">
        <v>35</v>
      </c>
      <c r="I718" s="765"/>
      <c r="J718" s="270">
        <f ca="1">IFERROR(__xludf.DUMMYFUNCTION("IMPORTRANGE(""https://docs.google.com/spreadsheets/d/1XWAQStnk-4SwqDmLtmXYiTMKHgktTP8We1SCoS47DrQ/edit?usp=sharing"",""จัดที่ดิน!BF49"")"),0)</f>
        <v>0</v>
      </c>
      <c r="K718" s="498"/>
      <c r="L718" s="498"/>
      <c r="M718" s="189"/>
      <c r="N718" s="766"/>
      <c r="O718" s="498"/>
      <c r="P718" s="49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</row>
    <row r="719" spans="1:26" ht="18.75">
      <c r="A719" s="744"/>
      <c r="B719" s="763"/>
      <c r="C719" s="763"/>
      <c r="D719" s="763"/>
      <c r="E719" s="763"/>
      <c r="F719" s="763"/>
      <c r="G719" s="189"/>
      <c r="H719" s="764" t="s">
        <v>34</v>
      </c>
      <c r="I719" s="765"/>
      <c r="J719" s="270">
        <f ca="1">IFERROR(__xludf.DUMMYFUNCTION("IMPORTRANGE(""https://docs.google.com/spreadsheets/d/1XWAQStnk-4SwqDmLtmXYiTMKHgktTP8We1SCoS47DrQ/edit?usp=sharing"",""จัดที่ดิน!BG49"")"),0)</f>
        <v>0</v>
      </c>
      <c r="K719" s="498"/>
      <c r="L719" s="766"/>
      <c r="M719" s="189"/>
      <c r="N719" s="766"/>
      <c r="O719" s="498"/>
      <c r="P719" s="49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</row>
    <row r="720" spans="1:26" ht="18.75">
      <c r="A720" s="744"/>
      <c r="B720" s="763"/>
      <c r="C720" s="763"/>
      <c r="D720" s="763"/>
      <c r="E720" s="763"/>
      <c r="F720" s="763"/>
      <c r="G720" s="189"/>
      <c r="H720" s="764" t="s">
        <v>46</v>
      </c>
      <c r="I720" s="765">
        <f ca="1">IFERROR(__xludf.DUMMYFUNCTION("IMPORTRANGE(""https://docs.google.com/spreadsheets/d/1QqKyyYR6Q21VydFLVH3TRQUabQu_ym0Zz7PgGX0-kHA/edit?usp=sharing"",""แผน!II49"")"),0)</f>
        <v>0</v>
      </c>
      <c r="J720" s="270">
        <f ca="1">IFERROR(__xludf.DUMMYFUNCTION("IMPORTRANGE(""https://docs.google.com/spreadsheets/d/1XWAQStnk-4SwqDmLtmXYiTMKHgktTP8We1SCoS47DrQ/edit?usp=sharing"",""จัดที่ดิน!BH49"")"),0)</f>
        <v>0</v>
      </c>
      <c r="K720" s="498">
        <f t="shared" ref="K720:K723" ca="1" si="291">IF(I720&gt;0,J720*100/I720,0)</f>
        <v>0</v>
      </c>
      <c r="L720" s="766"/>
      <c r="M720" s="189"/>
      <c r="N720" s="766"/>
      <c r="O720" s="498"/>
      <c r="P720" s="49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</row>
    <row r="721" spans="1:26" ht="19.5">
      <c r="A721" s="744"/>
      <c r="B721" s="763"/>
      <c r="C721" s="763"/>
      <c r="D721" s="763" t="s">
        <v>306</v>
      </c>
      <c r="E721" s="763"/>
      <c r="F721" s="763"/>
      <c r="G721" s="189"/>
      <c r="H721" s="767" t="s">
        <v>35</v>
      </c>
      <c r="I721" s="768">
        <f ca="1">IFERROR(__xludf.DUMMYFUNCTION("IMPORTRANGE(""https://docs.google.com/spreadsheets/d/1QqKyyYR6Q21VydFLVH3TRQUabQu_ym0Zz7PgGX0-kHA/edit?usp=sharing"",""แผน!IJ49"")"),0)</f>
        <v>0</v>
      </c>
      <c r="J721" s="681">
        <f ca="1">J723+J726</f>
        <v>0</v>
      </c>
      <c r="K721" s="195">
        <f t="shared" ca="1" si="291"/>
        <v>0</v>
      </c>
      <c r="L721" s="766"/>
      <c r="M721" s="189"/>
      <c r="N721" s="766"/>
      <c r="O721" s="498"/>
      <c r="P721" s="49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</row>
    <row r="722" spans="1:26" ht="19.5">
      <c r="A722" s="744"/>
      <c r="B722" s="763"/>
      <c r="C722" s="763"/>
      <c r="D722" s="763"/>
      <c r="E722" s="763"/>
      <c r="F722" s="763"/>
      <c r="G722" s="189"/>
      <c r="H722" s="767" t="s">
        <v>46</v>
      </c>
      <c r="I722" s="768">
        <f ca="1">IFERROR(__xludf.DUMMYFUNCTION("IMPORTRANGE(""https://docs.google.com/spreadsheets/d/1QqKyyYR6Q21VydFLVH3TRQUabQu_ym0Zz7PgGX0-kHA/edit?usp=sharing"",""แผน!IK49"")"),0)</f>
        <v>0</v>
      </c>
      <c r="J722" s="681">
        <f ca="1">J725+J728</f>
        <v>0</v>
      </c>
      <c r="K722" s="195">
        <f t="shared" ca="1" si="291"/>
        <v>0</v>
      </c>
      <c r="L722" s="498"/>
      <c r="M722" s="189"/>
      <c r="N722" s="766"/>
      <c r="O722" s="498"/>
      <c r="P722" s="49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</row>
    <row r="723" spans="1:26" ht="18.75">
      <c r="A723" s="744"/>
      <c r="B723" s="763"/>
      <c r="C723" s="763"/>
      <c r="D723" s="763"/>
      <c r="E723" s="763" t="s">
        <v>307</v>
      </c>
      <c r="F723" s="763"/>
      <c r="G723" s="189"/>
      <c r="H723" s="764" t="s">
        <v>35</v>
      </c>
      <c r="I723" s="765">
        <f ca="1">IFERROR(__xludf.DUMMYFUNCTION("IMPORTRANGE(""https://docs.google.com/spreadsheets/d/1QqKyyYR6Q21VydFLVH3TRQUabQu_ym0Zz7PgGX0-kHA/edit?usp=sharing"",""แผน!IL49"")"),0)</f>
        <v>0</v>
      </c>
      <c r="J723" s="270">
        <f ca="1">IFERROR(__xludf.DUMMYFUNCTION("IMPORTRANGE(""https://docs.google.com/spreadsheets/d/1XWAQStnk-4SwqDmLtmXYiTMKHgktTP8We1SCoS47DrQ/edit?usp=sharing"",""จัดที่ดิน!BM49"")"),0)</f>
        <v>0</v>
      </c>
      <c r="K723" s="498">
        <f t="shared" ca="1" si="291"/>
        <v>0</v>
      </c>
      <c r="L723" s="498"/>
      <c r="M723" s="189"/>
      <c r="N723" s="766"/>
      <c r="O723" s="498"/>
      <c r="P723" s="49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</row>
    <row r="724" spans="1:26" ht="18.75">
      <c r="A724" s="744"/>
      <c r="B724" s="763"/>
      <c r="C724" s="763"/>
      <c r="D724" s="763"/>
      <c r="E724" s="763"/>
      <c r="F724" s="763"/>
      <c r="G724" s="189"/>
      <c r="H724" s="764" t="s">
        <v>34</v>
      </c>
      <c r="I724" s="765"/>
      <c r="J724" s="270">
        <f ca="1">IFERROR(__xludf.DUMMYFUNCTION("IMPORTRANGE(""https://docs.google.com/spreadsheets/d/1XWAQStnk-4SwqDmLtmXYiTMKHgktTP8We1SCoS47DrQ/edit?usp=sharing"",""จัดที่ดิน!BN49"")"),0)</f>
        <v>0</v>
      </c>
      <c r="K724" s="498"/>
      <c r="L724" s="766"/>
      <c r="M724" s="189"/>
      <c r="N724" s="766"/>
      <c r="O724" s="498"/>
      <c r="P724" s="49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</row>
    <row r="725" spans="1:26" ht="18.75">
      <c r="A725" s="744"/>
      <c r="B725" s="763"/>
      <c r="C725" s="763"/>
      <c r="D725" s="763"/>
      <c r="E725" s="763"/>
      <c r="F725" s="763"/>
      <c r="G725" s="189"/>
      <c r="H725" s="764" t="s">
        <v>46</v>
      </c>
      <c r="I725" s="765">
        <f ca="1">IFERROR(__xludf.DUMMYFUNCTION("IMPORTRANGE(""https://docs.google.com/spreadsheets/d/1QqKyyYR6Q21VydFLVH3TRQUabQu_ym0Zz7PgGX0-kHA/edit?usp=sharing"",""แผน!IM49"")"),0)</f>
        <v>0</v>
      </c>
      <c r="J725" s="270">
        <f ca="1">IFERROR(__xludf.DUMMYFUNCTION("IMPORTRANGE(""https://docs.google.com/spreadsheets/d/1XWAQStnk-4SwqDmLtmXYiTMKHgktTP8We1SCoS47DrQ/edit?usp=sharing"",""จัดที่ดิน!BO49"")"),0)</f>
        <v>0</v>
      </c>
      <c r="K725" s="498">
        <f t="shared" ref="K725:K726" ca="1" si="292">IF(I725&gt;0,J725*100/I725,0)</f>
        <v>0</v>
      </c>
      <c r="L725" s="766"/>
      <c r="M725" s="189"/>
      <c r="N725" s="766"/>
      <c r="O725" s="498"/>
      <c r="P725" s="49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</row>
    <row r="726" spans="1:26" ht="18.75">
      <c r="A726" s="744"/>
      <c r="B726" s="763"/>
      <c r="C726" s="763"/>
      <c r="D726" s="763"/>
      <c r="E726" s="763" t="s">
        <v>308</v>
      </c>
      <c r="F726" s="763"/>
      <c r="G726" s="189"/>
      <c r="H726" s="764" t="s">
        <v>35</v>
      </c>
      <c r="I726" s="765">
        <f ca="1">IFERROR(__xludf.DUMMYFUNCTION("IMPORTRANGE(""https://docs.google.com/spreadsheets/d/1QqKyyYR6Q21VydFLVH3TRQUabQu_ym0Zz7PgGX0-kHA/edit?usp=sharing"",""แผน!IN49"")"),0)</f>
        <v>0</v>
      </c>
      <c r="J726" s="270">
        <f ca="1">IFERROR(__xludf.DUMMYFUNCTION("IMPORTRANGE(""https://docs.google.com/spreadsheets/d/1XWAQStnk-4SwqDmLtmXYiTMKHgktTP8We1SCoS47DrQ/edit?usp=sharing"",""จัดที่ดิน!BR49"")"),0)</f>
        <v>0</v>
      </c>
      <c r="K726" s="498">
        <f t="shared" ca="1" si="292"/>
        <v>0</v>
      </c>
      <c r="L726" s="498"/>
      <c r="M726" s="189"/>
      <c r="N726" s="766"/>
      <c r="O726" s="498"/>
      <c r="P726" s="49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</row>
    <row r="727" spans="1:26" ht="18.75">
      <c r="A727" s="744"/>
      <c r="B727" s="763"/>
      <c r="C727" s="763"/>
      <c r="D727" s="763"/>
      <c r="E727" s="763"/>
      <c r="F727" s="763"/>
      <c r="G727" s="189"/>
      <c r="H727" s="764" t="s">
        <v>34</v>
      </c>
      <c r="I727" s="765"/>
      <c r="J727" s="270">
        <f ca="1">IFERROR(__xludf.DUMMYFUNCTION("IMPORTRANGE(""https://docs.google.com/spreadsheets/d/1XWAQStnk-4SwqDmLtmXYiTMKHgktTP8We1SCoS47DrQ/edit?usp=sharing"",""จัดที่ดิน!BS49"")"),0)</f>
        <v>0</v>
      </c>
      <c r="K727" s="498"/>
      <c r="L727" s="766"/>
      <c r="M727" s="189"/>
      <c r="N727" s="766"/>
      <c r="O727" s="498"/>
      <c r="P727" s="49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</row>
    <row r="728" spans="1:26" ht="18.75">
      <c r="A728" s="744"/>
      <c r="B728" s="763"/>
      <c r="C728" s="763"/>
      <c r="D728" s="763"/>
      <c r="E728" s="763"/>
      <c r="F728" s="763"/>
      <c r="G728" s="189"/>
      <c r="H728" s="764" t="s">
        <v>46</v>
      </c>
      <c r="I728" s="765">
        <f ca="1">IFERROR(__xludf.DUMMYFUNCTION("IMPORTRANGE(""https://docs.google.com/spreadsheets/d/1QqKyyYR6Q21VydFLVH3TRQUabQu_ym0Zz7PgGX0-kHA/edit?usp=sharing"",""แผน!IO49"")"),0)</f>
        <v>0</v>
      </c>
      <c r="J728" s="270">
        <f ca="1">IFERROR(__xludf.DUMMYFUNCTION("IMPORTRANGE(""https://docs.google.com/spreadsheets/d/1XWAQStnk-4SwqDmLtmXYiTMKHgktTP8We1SCoS47DrQ/edit?usp=sharing"",""จัดที่ดิน!BT49"")"),0)</f>
        <v>0</v>
      </c>
      <c r="K728" s="498">
        <f t="shared" ref="K728:K729" ca="1" si="293">IF(I728&gt;0,J728*100/I728,0)</f>
        <v>0</v>
      </c>
      <c r="L728" s="766"/>
      <c r="M728" s="189"/>
      <c r="N728" s="766"/>
      <c r="O728" s="498"/>
      <c r="P728" s="49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</row>
    <row r="729" spans="1:26" ht="19.5">
      <c r="A729" s="744"/>
      <c r="B729" s="763"/>
      <c r="C729" s="763"/>
      <c r="D729" s="763" t="s">
        <v>309</v>
      </c>
      <c r="E729" s="763"/>
      <c r="F729" s="763"/>
      <c r="G729" s="189"/>
      <c r="H729" s="767" t="s">
        <v>46</v>
      </c>
      <c r="I729" s="768">
        <f ca="1">IFERROR(__xludf.DUMMYFUNCTION("IMPORTRANGE(""https://docs.google.com/spreadsheets/d/1QqKyyYR6Q21VydFLVH3TRQUabQu_ym0Zz7PgGX0-kHA/edit?usp=sharing"",""แผน!IP49"")"),0)</f>
        <v>0</v>
      </c>
      <c r="J729" s="681">
        <f>J732+J735</f>
        <v>0</v>
      </c>
      <c r="K729" s="195">
        <f t="shared" ca="1" si="293"/>
        <v>0</v>
      </c>
      <c r="L729" s="498"/>
      <c r="M729" s="189"/>
      <c r="N729" s="766"/>
      <c r="O729" s="498"/>
      <c r="P729" s="49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</row>
    <row r="730" spans="1:26" ht="18.75">
      <c r="A730" s="744"/>
      <c r="B730" s="763"/>
      <c r="C730" s="763"/>
      <c r="D730" s="763"/>
      <c r="E730" s="763" t="s">
        <v>310</v>
      </c>
      <c r="F730" s="763"/>
      <c r="G730" s="189"/>
      <c r="H730" s="764" t="s">
        <v>35</v>
      </c>
      <c r="I730" s="765"/>
      <c r="J730" s="215">
        <v>0</v>
      </c>
      <c r="K730" s="498"/>
      <c r="L730" s="766"/>
      <c r="M730" s="498"/>
      <c r="N730" s="766"/>
      <c r="O730" s="498"/>
      <c r="P730" s="49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</row>
    <row r="731" spans="1:26" ht="18.75">
      <c r="A731" s="744"/>
      <c r="B731" s="763"/>
      <c r="C731" s="763"/>
      <c r="D731" s="763"/>
      <c r="E731" s="763"/>
      <c r="F731" s="763"/>
      <c r="G731" s="189"/>
      <c r="H731" s="764" t="s">
        <v>34</v>
      </c>
      <c r="I731" s="765"/>
      <c r="J731" s="215">
        <v>0</v>
      </c>
      <c r="K731" s="498"/>
      <c r="L731" s="766"/>
      <c r="M731" s="498"/>
      <c r="N731" s="766"/>
      <c r="O731" s="498"/>
      <c r="P731" s="49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</row>
    <row r="732" spans="1:26" ht="18.75">
      <c r="A732" s="744"/>
      <c r="B732" s="763"/>
      <c r="C732" s="763"/>
      <c r="D732" s="763"/>
      <c r="E732" s="763"/>
      <c r="F732" s="763"/>
      <c r="G732" s="189"/>
      <c r="H732" s="764" t="s">
        <v>46</v>
      </c>
      <c r="I732" s="765"/>
      <c r="J732" s="215">
        <v>0</v>
      </c>
      <c r="K732" s="498"/>
      <c r="L732" s="766"/>
      <c r="M732" s="498"/>
      <c r="N732" s="766"/>
      <c r="O732" s="498"/>
      <c r="P732" s="49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</row>
    <row r="733" spans="1:26" ht="18.75">
      <c r="A733" s="744"/>
      <c r="B733" s="763"/>
      <c r="C733" s="763"/>
      <c r="D733" s="763"/>
      <c r="E733" s="763" t="s">
        <v>311</v>
      </c>
      <c r="F733" s="763"/>
      <c r="G733" s="189"/>
      <c r="H733" s="764" t="s">
        <v>35</v>
      </c>
      <c r="I733" s="765"/>
      <c r="J733" s="215">
        <v>0</v>
      </c>
      <c r="K733" s="498"/>
      <c r="L733" s="766"/>
      <c r="M733" s="498"/>
      <c r="N733" s="766"/>
      <c r="O733" s="498"/>
      <c r="P733" s="49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</row>
    <row r="734" spans="1:26" ht="18.75">
      <c r="A734" s="744"/>
      <c r="B734" s="763"/>
      <c r="C734" s="763"/>
      <c r="D734" s="763"/>
      <c r="E734" s="763"/>
      <c r="F734" s="763"/>
      <c r="G734" s="189"/>
      <c r="H734" s="764" t="s">
        <v>34</v>
      </c>
      <c r="I734" s="765"/>
      <c r="J734" s="215">
        <v>0</v>
      </c>
      <c r="K734" s="498"/>
      <c r="L734" s="766"/>
      <c r="M734" s="498"/>
      <c r="N734" s="766"/>
      <c r="O734" s="498"/>
      <c r="P734" s="49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</row>
    <row r="735" spans="1:26" ht="19.5">
      <c r="A735" s="770"/>
      <c r="B735" s="771" t="s">
        <v>312</v>
      </c>
      <c r="C735" s="734"/>
      <c r="D735" s="734"/>
      <c r="E735" s="734"/>
      <c r="F735" s="734"/>
      <c r="G735" s="735"/>
      <c r="H735" s="422" t="s">
        <v>46</v>
      </c>
      <c r="I735" s="772"/>
      <c r="J735" s="424">
        <v>0</v>
      </c>
      <c r="K735" s="507"/>
      <c r="L735" s="773"/>
      <c r="M735" s="507"/>
      <c r="N735" s="773"/>
      <c r="O735" s="507"/>
      <c r="P735" s="507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</row>
    <row r="736" spans="1:26" ht="19.5" hidden="1">
      <c r="A736" s="774">
        <v>9</v>
      </c>
      <c r="B736" s="775" t="s">
        <v>313</v>
      </c>
      <c r="C736" s="776"/>
      <c r="D736" s="776"/>
      <c r="E736" s="776"/>
      <c r="F736" s="776"/>
      <c r="G736" s="777"/>
      <c r="H736" s="778" t="s">
        <v>46</v>
      </c>
      <c r="I736" s="779"/>
      <c r="J736" s="779">
        <f>J751</f>
        <v>0</v>
      </c>
      <c r="K736" s="780">
        <f>IF(I736&gt;0,J736*100/I736,0)</f>
        <v>0</v>
      </c>
      <c r="L736" s="781"/>
      <c r="M736" s="781"/>
      <c r="N736" s="781"/>
      <c r="O736" s="781"/>
      <c r="P736" s="781"/>
      <c r="Q736" s="604"/>
      <c r="R736" s="604"/>
      <c r="S736" s="604"/>
      <c r="T736" s="604"/>
      <c r="U736" s="604"/>
      <c r="V736" s="604"/>
      <c r="W736" s="604"/>
      <c r="X736" s="604"/>
      <c r="Y736" s="604"/>
      <c r="Z736" s="604"/>
    </row>
    <row r="737" spans="1:26" ht="19.5" hidden="1">
      <c r="A737" s="599"/>
      <c r="B737" s="759"/>
      <c r="C737" s="759" t="s">
        <v>16</v>
      </c>
      <c r="D737" s="864" t="s">
        <v>17</v>
      </c>
      <c r="E737" s="857"/>
      <c r="F737" s="857"/>
      <c r="G737" s="603"/>
      <c r="H737" s="646" t="s">
        <v>12</v>
      </c>
      <c r="I737" s="617"/>
      <c r="J737" s="617"/>
      <c r="K737" s="93"/>
      <c r="L737" s="647">
        <f t="shared" ref="L737:N737" si="294">L738+L739</f>
        <v>0</v>
      </c>
      <c r="M737" s="647">
        <f t="shared" si="294"/>
        <v>0</v>
      </c>
      <c r="N737" s="647">
        <f t="shared" si="294"/>
        <v>0</v>
      </c>
      <c r="O737" s="647">
        <f t="shared" ref="O737:O742" si="295">IF(L737&gt;0,N737*100/L737,0)</f>
        <v>0</v>
      </c>
      <c r="P737" s="647">
        <f t="shared" ref="P737:P742" si="296">IF(M737&gt;0,N737*100/M737,0)</f>
        <v>0</v>
      </c>
      <c r="Q737" s="604"/>
      <c r="R737" s="604"/>
      <c r="S737" s="604"/>
      <c r="T737" s="604"/>
      <c r="U737" s="604"/>
      <c r="V737" s="604"/>
      <c r="W737" s="604"/>
      <c r="X737" s="604"/>
      <c r="Y737" s="604"/>
      <c r="Z737" s="604"/>
    </row>
    <row r="738" spans="1:26" ht="18.75" hidden="1">
      <c r="A738" s="599"/>
      <c r="B738" s="759"/>
      <c r="C738" s="759"/>
      <c r="D738" s="720"/>
      <c r="E738" s="759" t="s">
        <v>185</v>
      </c>
      <c r="F738" s="759"/>
      <c r="G738" s="603"/>
      <c r="H738" s="165" t="s">
        <v>12</v>
      </c>
      <c r="I738" s="617"/>
      <c r="J738" s="617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4"/>
      <c r="R738" s="604"/>
      <c r="S738" s="604"/>
      <c r="T738" s="604"/>
      <c r="U738" s="604"/>
      <c r="V738" s="604"/>
      <c r="W738" s="604"/>
      <c r="X738" s="604"/>
      <c r="Y738" s="604"/>
      <c r="Z738" s="604"/>
    </row>
    <row r="739" spans="1:26" ht="18.75" hidden="1">
      <c r="A739" s="599"/>
      <c r="B739" s="607"/>
      <c r="C739" s="759"/>
      <c r="D739" s="720"/>
      <c r="E739" s="759" t="s">
        <v>186</v>
      </c>
      <c r="F739" s="759"/>
      <c r="G739" s="603"/>
      <c r="H739" s="165" t="s">
        <v>12</v>
      </c>
      <c r="I739" s="617"/>
      <c r="J739" s="617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4"/>
      <c r="R739" s="604"/>
      <c r="S739" s="604"/>
      <c r="T739" s="604"/>
      <c r="U739" s="604"/>
      <c r="V739" s="604"/>
      <c r="W739" s="604"/>
      <c r="X739" s="604"/>
      <c r="Y739" s="604"/>
      <c r="Z739" s="604"/>
    </row>
    <row r="740" spans="1:26" ht="19.5" hidden="1">
      <c r="A740" s="599"/>
      <c r="B740" s="607"/>
      <c r="C740" s="759"/>
      <c r="D740" s="645" t="s">
        <v>20</v>
      </c>
      <c r="E740" s="759"/>
      <c r="F740" s="759"/>
      <c r="G740" s="603"/>
      <c r="H740" s="646" t="s">
        <v>12</v>
      </c>
      <c r="I740" s="166"/>
      <c r="J740" s="166"/>
      <c r="K740" s="167"/>
      <c r="L740" s="647">
        <f t="shared" ref="L740:N740" si="298">L741+L742</f>
        <v>0</v>
      </c>
      <c r="M740" s="647">
        <f t="shared" si="298"/>
        <v>0</v>
      </c>
      <c r="N740" s="647">
        <f t="shared" si="298"/>
        <v>0</v>
      </c>
      <c r="O740" s="647">
        <f t="shared" si="295"/>
        <v>0</v>
      </c>
      <c r="P740" s="647">
        <f t="shared" si="296"/>
        <v>0</v>
      </c>
      <c r="Q740" s="604"/>
      <c r="R740" s="604"/>
      <c r="S740" s="604"/>
      <c r="T740" s="604"/>
      <c r="U740" s="604"/>
      <c r="V740" s="604"/>
      <c r="W740" s="604"/>
      <c r="X740" s="604"/>
      <c r="Y740" s="604"/>
      <c r="Z740" s="604"/>
    </row>
    <row r="741" spans="1:26" ht="18.75" hidden="1">
      <c r="A741" s="599"/>
      <c r="B741" s="607"/>
      <c r="C741" s="759"/>
      <c r="D741" s="720"/>
      <c r="E741" s="759" t="s">
        <v>185</v>
      </c>
      <c r="F741" s="759"/>
      <c r="G741" s="603"/>
      <c r="H741" s="165" t="s">
        <v>12</v>
      </c>
      <c r="I741" s="617"/>
      <c r="J741" s="617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4"/>
      <c r="R741" s="604"/>
      <c r="S741" s="604"/>
      <c r="T741" s="604"/>
      <c r="U741" s="604"/>
      <c r="V741" s="604"/>
      <c r="W741" s="604"/>
      <c r="X741" s="604"/>
      <c r="Y741" s="604"/>
      <c r="Z741" s="604"/>
    </row>
    <row r="742" spans="1:26" ht="18.75" hidden="1">
      <c r="A742" s="599"/>
      <c r="B742" s="607"/>
      <c r="C742" s="759"/>
      <c r="D742" s="720"/>
      <c r="E742" s="759" t="s">
        <v>186</v>
      </c>
      <c r="F742" s="759"/>
      <c r="G742" s="603"/>
      <c r="H742" s="165" t="s">
        <v>12</v>
      </c>
      <c r="I742" s="617"/>
      <c r="J742" s="617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4"/>
      <c r="R742" s="604"/>
      <c r="S742" s="604"/>
      <c r="T742" s="604"/>
      <c r="U742" s="604"/>
      <c r="V742" s="604"/>
      <c r="W742" s="604"/>
      <c r="X742" s="604"/>
      <c r="Y742" s="604"/>
      <c r="Z742" s="604"/>
    </row>
    <row r="743" spans="1:26" ht="18.75" hidden="1">
      <c r="A743" s="649"/>
      <c r="B743" s="607"/>
      <c r="C743" s="759"/>
      <c r="D743" s="759"/>
      <c r="E743" s="759"/>
      <c r="F743" s="759" t="s">
        <v>187</v>
      </c>
      <c r="G743" s="603"/>
      <c r="H743" s="165" t="s">
        <v>12</v>
      </c>
      <c r="I743" s="617"/>
      <c r="J743" s="617"/>
      <c r="K743" s="93"/>
      <c r="L743" s="93"/>
      <c r="M743" s="93"/>
      <c r="N743" s="93"/>
      <c r="O743" s="93"/>
      <c r="P743" s="93"/>
      <c r="Q743" s="604"/>
      <c r="R743" s="604"/>
      <c r="S743" s="604"/>
      <c r="T743" s="604"/>
      <c r="U743" s="604"/>
      <c r="V743" s="604"/>
      <c r="W743" s="604"/>
      <c r="X743" s="604"/>
      <c r="Y743" s="604"/>
      <c r="Z743" s="604"/>
    </row>
    <row r="744" spans="1:26" ht="18.75" hidden="1">
      <c r="A744" s="649"/>
      <c r="B744" s="607"/>
      <c r="C744" s="759"/>
      <c r="D744" s="759"/>
      <c r="E744" s="759"/>
      <c r="F744" s="759" t="s">
        <v>188</v>
      </c>
      <c r="G744" s="603"/>
      <c r="H744" s="165" t="s">
        <v>12</v>
      </c>
      <c r="I744" s="617"/>
      <c r="J744" s="617"/>
      <c r="K744" s="93"/>
      <c r="L744" s="93"/>
      <c r="M744" s="93"/>
      <c r="N744" s="93"/>
      <c r="O744" s="93"/>
      <c r="P744" s="93"/>
      <c r="Q744" s="604"/>
      <c r="R744" s="604"/>
      <c r="S744" s="604"/>
      <c r="T744" s="604"/>
      <c r="U744" s="604"/>
      <c r="V744" s="604"/>
      <c r="W744" s="604"/>
      <c r="X744" s="604"/>
      <c r="Y744" s="604"/>
      <c r="Z744" s="604"/>
    </row>
    <row r="745" spans="1:26" ht="18.75" hidden="1">
      <c r="A745" s="649"/>
      <c r="B745" s="607"/>
      <c r="C745" s="759"/>
      <c r="D745" s="759"/>
      <c r="E745" s="759"/>
      <c r="F745" s="759" t="s">
        <v>189</v>
      </c>
      <c r="G745" s="603"/>
      <c r="H745" s="165" t="s">
        <v>12</v>
      </c>
      <c r="I745" s="617"/>
      <c r="J745" s="617"/>
      <c r="K745" s="93"/>
      <c r="L745" s="93"/>
      <c r="M745" s="93"/>
      <c r="N745" s="93"/>
      <c r="O745" s="93"/>
      <c r="P745" s="93"/>
      <c r="Q745" s="604"/>
      <c r="R745" s="604"/>
      <c r="S745" s="604"/>
      <c r="T745" s="604"/>
      <c r="U745" s="604"/>
      <c r="V745" s="604"/>
      <c r="W745" s="604"/>
      <c r="X745" s="604"/>
      <c r="Y745" s="604"/>
      <c r="Z745" s="604"/>
    </row>
    <row r="746" spans="1:26" ht="18.75" hidden="1">
      <c r="A746" s="649"/>
      <c r="B746" s="607"/>
      <c r="C746" s="759"/>
      <c r="D746" s="759"/>
      <c r="E746" s="759"/>
      <c r="F746" s="759" t="s">
        <v>190</v>
      </c>
      <c r="G746" s="603"/>
      <c r="H746" s="165" t="s">
        <v>12</v>
      </c>
      <c r="I746" s="617"/>
      <c r="J746" s="617"/>
      <c r="K746" s="93"/>
      <c r="L746" s="93"/>
      <c r="M746" s="93"/>
      <c r="N746" s="93"/>
      <c r="O746" s="93"/>
      <c r="P746" s="93"/>
      <c r="Q746" s="604"/>
      <c r="R746" s="604"/>
      <c r="S746" s="604"/>
      <c r="T746" s="604"/>
      <c r="U746" s="604"/>
      <c r="V746" s="604"/>
      <c r="W746" s="604"/>
      <c r="X746" s="604"/>
      <c r="Y746" s="604"/>
      <c r="Z746" s="604"/>
    </row>
    <row r="747" spans="1:26" ht="19.5" hidden="1">
      <c r="A747" s="599"/>
      <c r="B747" s="607"/>
      <c r="C747" s="759"/>
      <c r="D747" s="645" t="s">
        <v>21</v>
      </c>
      <c r="E747" s="759"/>
      <c r="F747" s="759"/>
      <c r="G747" s="603"/>
      <c r="H747" s="783" t="s">
        <v>12</v>
      </c>
      <c r="I747" s="166"/>
      <c r="J747" s="166"/>
      <c r="K747" s="167"/>
      <c r="L747" s="647">
        <f t="shared" ref="L747:N747" si="299">L748+L749</f>
        <v>0</v>
      </c>
      <c r="M747" s="647">
        <f t="shared" si="299"/>
        <v>0</v>
      </c>
      <c r="N747" s="647">
        <f t="shared" si="299"/>
        <v>0</v>
      </c>
      <c r="O747" s="647">
        <f t="shared" ref="O747:O749" si="300">IF(L747&gt;0,N747*100/L747,0)</f>
        <v>0</v>
      </c>
      <c r="P747" s="647">
        <f t="shared" ref="P747:P749" si="301">IF(M747&gt;0,N747*100/M747,0)</f>
        <v>0</v>
      </c>
      <c r="Q747" s="604"/>
      <c r="R747" s="604"/>
      <c r="S747" s="604"/>
      <c r="T747" s="604"/>
      <c r="U747" s="604"/>
      <c r="V747" s="604"/>
      <c r="W747" s="604"/>
      <c r="X747" s="604"/>
      <c r="Y747" s="604"/>
      <c r="Z747" s="604"/>
    </row>
    <row r="748" spans="1:26" ht="18.75" hidden="1">
      <c r="A748" s="599"/>
      <c r="B748" s="607"/>
      <c r="C748" s="759"/>
      <c r="D748" s="759"/>
      <c r="E748" s="759" t="s">
        <v>18</v>
      </c>
      <c r="F748" s="759"/>
      <c r="G748" s="603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4"/>
      <c r="R748" s="604"/>
      <c r="S748" s="604"/>
      <c r="T748" s="604"/>
      <c r="U748" s="604"/>
      <c r="V748" s="604"/>
      <c r="W748" s="604"/>
      <c r="X748" s="604"/>
      <c r="Y748" s="604"/>
      <c r="Z748" s="604"/>
    </row>
    <row r="749" spans="1:26" ht="18.75" hidden="1">
      <c r="A749" s="599"/>
      <c r="B749" s="607"/>
      <c r="C749" s="759"/>
      <c r="D749" s="759"/>
      <c r="E749" s="759" t="s">
        <v>19</v>
      </c>
      <c r="F749" s="759"/>
      <c r="G749" s="603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4"/>
      <c r="R749" s="604"/>
      <c r="S749" s="604"/>
      <c r="T749" s="604"/>
      <c r="U749" s="604"/>
      <c r="V749" s="604"/>
      <c r="W749" s="604"/>
      <c r="X749" s="604"/>
      <c r="Y749" s="604"/>
      <c r="Z749" s="604"/>
    </row>
    <row r="750" spans="1:26" ht="19.5" hidden="1">
      <c r="A750" s="614"/>
      <c r="B750" s="616"/>
      <c r="C750" s="759" t="s">
        <v>16</v>
      </c>
      <c r="D750" s="899" t="s">
        <v>38</v>
      </c>
      <c r="E750" s="651"/>
      <c r="F750" s="651"/>
      <c r="G750" s="652"/>
      <c r="H750" s="366"/>
      <c r="I750" s="166"/>
      <c r="J750" s="166"/>
      <c r="K750" s="167"/>
      <c r="L750" s="167"/>
      <c r="M750" s="167"/>
      <c r="N750" s="167"/>
      <c r="O750" s="167"/>
      <c r="P750" s="167"/>
      <c r="Q750" s="604"/>
      <c r="R750" s="604"/>
      <c r="S750" s="604"/>
      <c r="T750" s="604"/>
      <c r="U750" s="604"/>
      <c r="V750" s="604"/>
      <c r="W750" s="604"/>
      <c r="X750" s="604"/>
      <c r="Y750" s="604"/>
      <c r="Z750" s="604"/>
    </row>
    <row r="751" spans="1:26" ht="18.75" hidden="1">
      <c r="A751" s="649"/>
      <c r="B751" s="607"/>
      <c r="C751" s="759"/>
      <c r="D751" s="759"/>
      <c r="E751" s="759" t="s">
        <v>314</v>
      </c>
      <c r="F751" s="759"/>
      <c r="G751" s="603"/>
      <c r="H751" s="165" t="s">
        <v>46</v>
      </c>
      <c r="I751" s="617"/>
      <c r="J751" s="617"/>
      <c r="K751" s="93"/>
      <c r="L751" s="93"/>
      <c r="M751" s="93"/>
      <c r="N751" s="93"/>
      <c r="O751" s="93"/>
      <c r="P751" s="93"/>
      <c r="Q751" s="604"/>
      <c r="R751" s="604"/>
      <c r="S751" s="604"/>
      <c r="T751" s="604"/>
      <c r="U751" s="604"/>
      <c r="V751" s="604"/>
      <c r="W751" s="604"/>
      <c r="X751" s="604"/>
      <c r="Y751" s="604"/>
      <c r="Z751" s="604"/>
    </row>
    <row r="752" spans="1:26" ht="18.75" hidden="1">
      <c r="A752" s="649"/>
      <c r="B752" s="607"/>
      <c r="C752" s="759"/>
      <c r="D752" s="759"/>
      <c r="E752" s="759"/>
      <c r="F752" s="759"/>
      <c r="G752" s="603"/>
      <c r="H752" s="165" t="s">
        <v>315</v>
      </c>
      <c r="I752" s="617"/>
      <c r="J752" s="617"/>
      <c r="K752" s="93"/>
      <c r="L752" s="93"/>
      <c r="M752" s="93"/>
      <c r="N752" s="93"/>
      <c r="O752" s="93"/>
      <c r="P752" s="93"/>
      <c r="Q752" s="604"/>
      <c r="R752" s="604"/>
      <c r="S752" s="604"/>
      <c r="T752" s="604"/>
      <c r="U752" s="604"/>
      <c r="V752" s="604"/>
      <c r="W752" s="604"/>
      <c r="X752" s="604"/>
      <c r="Y752" s="604"/>
      <c r="Z752" s="604"/>
    </row>
    <row r="753" spans="1:26" ht="19.5" hidden="1">
      <c r="A753" s="785">
        <v>10</v>
      </c>
      <c r="B753" s="786" t="s">
        <v>316</v>
      </c>
      <c r="C753" s="787"/>
      <c r="D753" s="787"/>
      <c r="E753" s="787"/>
      <c r="F753" s="787"/>
      <c r="G753" s="788"/>
      <c r="H753" s="789" t="s">
        <v>46</v>
      </c>
      <c r="I753" s="790"/>
      <c r="J753" s="790">
        <f>J768</f>
        <v>0</v>
      </c>
      <c r="K753" s="791">
        <f>IF(I753&gt;0,J753*100/I753,0)</f>
        <v>0</v>
      </c>
      <c r="L753" s="792"/>
      <c r="M753" s="792"/>
      <c r="N753" s="792"/>
      <c r="O753" s="792"/>
      <c r="P753" s="792"/>
      <c r="Q753" s="604"/>
      <c r="R753" s="604"/>
      <c r="S753" s="604"/>
      <c r="T753" s="604"/>
      <c r="U753" s="604"/>
      <c r="V753" s="604"/>
      <c r="W753" s="604"/>
      <c r="X753" s="604"/>
      <c r="Y753" s="604"/>
      <c r="Z753" s="604"/>
    </row>
    <row r="754" spans="1:26" ht="19.5" hidden="1">
      <c r="A754" s="599"/>
      <c r="B754" s="759"/>
      <c r="C754" s="759" t="s">
        <v>16</v>
      </c>
      <c r="D754" s="864" t="s">
        <v>17</v>
      </c>
      <c r="E754" s="857"/>
      <c r="F754" s="857"/>
      <c r="G754" s="603"/>
      <c r="H754" s="646" t="s">
        <v>12</v>
      </c>
      <c r="I754" s="617"/>
      <c r="J754" s="617"/>
      <c r="K754" s="93"/>
      <c r="L754" s="647">
        <f t="shared" ref="L754:N754" si="302">L755+L756</f>
        <v>0</v>
      </c>
      <c r="M754" s="647">
        <f t="shared" si="302"/>
        <v>0</v>
      </c>
      <c r="N754" s="647">
        <f t="shared" si="302"/>
        <v>0</v>
      </c>
      <c r="O754" s="647">
        <f t="shared" ref="O754:O759" si="303">IF(L754&gt;0,N754*100/L754,0)</f>
        <v>0</v>
      </c>
      <c r="P754" s="647">
        <f t="shared" ref="P754:P759" si="304">IF(M754&gt;0,N754*100/M754,0)</f>
        <v>0</v>
      </c>
      <c r="Q754" s="604"/>
      <c r="R754" s="604"/>
      <c r="S754" s="604"/>
      <c r="T754" s="604"/>
      <c r="U754" s="604"/>
      <c r="V754" s="604"/>
      <c r="W754" s="604"/>
      <c r="X754" s="604"/>
      <c r="Y754" s="604"/>
      <c r="Z754" s="604"/>
    </row>
    <row r="755" spans="1:26" ht="18.75" hidden="1">
      <c r="A755" s="599"/>
      <c r="B755" s="759"/>
      <c r="C755" s="759"/>
      <c r="D755" s="720"/>
      <c r="E755" s="759" t="s">
        <v>185</v>
      </c>
      <c r="F755" s="759"/>
      <c r="G755" s="603"/>
      <c r="H755" s="165" t="s">
        <v>12</v>
      </c>
      <c r="I755" s="617"/>
      <c r="J755" s="617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4"/>
      <c r="R755" s="604"/>
      <c r="S755" s="604"/>
      <c r="T755" s="604"/>
      <c r="U755" s="604"/>
      <c r="V755" s="604"/>
      <c r="W755" s="604"/>
      <c r="X755" s="604"/>
      <c r="Y755" s="604"/>
      <c r="Z755" s="604"/>
    </row>
    <row r="756" spans="1:26" ht="18.75" hidden="1">
      <c r="A756" s="599"/>
      <c r="B756" s="607"/>
      <c r="C756" s="759"/>
      <c r="D756" s="720"/>
      <c r="E756" s="759" t="s">
        <v>186</v>
      </c>
      <c r="F756" s="759"/>
      <c r="G756" s="603"/>
      <c r="H756" s="165" t="s">
        <v>12</v>
      </c>
      <c r="I756" s="617"/>
      <c r="J756" s="617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4"/>
      <c r="R756" s="604"/>
      <c r="S756" s="604"/>
      <c r="T756" s="604"/>
      <c r="U756" s="604"/>
      <c r="V756" s="604"/>
      <c r="W756" s="604"/>
      <c r="X756" s="604"/>
      <c r="Y756" s="604"/>
      <c r="Z756" s="604"/>
    </row>
    <row r="757" spans="1:26" ht="19.5" hidden="1">
      <c r="A757" s="599"/>
      <c r="B757" s="607"/>
      <c r="C757" s="759"/>
      <c r="D757" s="645" t="s">
        <v>20</v>
      </c>
      <c r="E757" s="759"/>
      <c r="F757" s="759"/>
      <c r="G757" s="603"/>
      <c r="H757" s="646" t="s">
        <v>12</v>
      </c>
      <c r="I757" s="166"/>
      <c r="J757" s="166"/>
      <c r="K757" s="167"/>
      <c r="L757" s="647">
        <f t="shared" ref="L757:N757" si="306">L758+L759</f>
        <v>0</v>
      </c>
      <c r="M757" s="647">
        <f t="shared" si="306"/>
        <v>0</v>
      </c>
      <c r="N757" s="647">
        <f t="shared" si="306"/>
        <v>0</v>
      </c>
      <c r="O757" s="647">
        <f t="shared" si="303"/>
        <v>0</v>
      </c>
      <c r="P757" s="647">
        <f t="shared" si="304"/>
        <v>0</v>
      </c>
      <c r="Q757" s="604"/>
      <c r="R757" s="604"/>
      <c r="S757" s="604"/>
      <c r="T757" s="604"/>
      <c r="U757" s="604"/>
      <c r="V757" s="604"/>
      <c r="W757" s="604"/>
      <c r="X757" s="604"/>
      <c r="Y757" s="604"/>
      <c r="Z757" s="604"/>
    </row>
    <row r="758" spans="1:26" ht="18.75" hidden="1">
      <c r="A758" s="599"/>
      <c r="B758" s="607"/>
      <c r="C758" s="759"/>
      <c r="D758" s="720"/>
      <c r="E758" s="759" t="s">
        <v>185</v>
      </c>
      <c r="F758" s="759"/>
      <c r="G758" s="603"/>
      <c r="H758" s="165" t="s">
        <v>12</v>
      </c>
      <c r="I758" s="617"/>
      <c r="J758" s="617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4"/>
      <c r="R758" s="604"/>
      <c r="S758" s="604"/>
      <c r="T758" s="604"/>
      <c r="U758" s="604"/>
      <c r="V758" s="604"/>
      <c r="W758" s="604"/>
      <c r="X758" s="604"/>
      <c r="Y758" s="604"/>
      <c r="Z758" s="604"/>
    </row>
    <row r="759" spans="1:26" ht="18.75" hidden="1">
      <c r="A759" s="599"/>
      <c r="B759" s="607"/>
      <c r="C759" s="759"/>
      <c r="D759" s="720"/>
      <c r="E759" s="759" t="s">
        <v>186</v>
      </c>
      <c r="F759" s="759"/>
      <c r="G759" s="603"/>
      <c r="H759" s="165" t="s">
        <v>12</v>
      </c>
      <c r="I759" s="617"/>
      <c r="J759" s="617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4"/>
      <c r="R759" s="604"/>
      <c r="S759" s="604"/>
      <c r="T759" s="604"/>
      <c r="U759" s="604"/>
      <c r="V759" s="604"/>
      <c r="W759" s="604"/>
      <c r="X759" s="604"/>
      <c r="Y759" s="604"/>
      <c r="Z759" s="604"/>
    </row>
    <row r="760" spans="1:26" ht="18.75" hidden="1">
      <c r="A760" s="649"/>
      <c r="B760" s="607"/>
      <c r="C760" s="759"/>
      <c r="D760" s="759"/>
      <c r="E760" s="759"/>
      <c r="F760" s="759" t="s">
        <v>187</v>
      </c>
      <c r="G760" s="603"/>
      <c r="H760" s="165" t="s">
        <v>12</v>
      </c>
      <c r="I760" s="617"/>
      <c r="J760" s="617"/>
      <c r="K760" s="93"/>
      <c r="L760" s="93"/>
      <c r="M760" s="93"/>
      <c r="N760" s="93"/>
      <c r="O760" s="93"/>
      <c r="P760" s="93"/>
      <c r="Q760" s="604"/>
      <c r="R760" s="604"/>
      <c r="S760" s="604"/>
      <c r="T760" s="604"/>
      <c r="U760" s="604"/>
      <c r="V760" s="604"/>
      <c r="W760" s="604"/>
      <c r="X760" s="604"/>
      <c r="Y760" s="604"/>
      <c r="Z760" s="604"/>
    </row>
    <row r="761" spans="1:26" ht="18.75" hidden="1">
      <c r="A761" s="649"/>
      <c r="B761" s="607"/>
      <c r="C761" s="759"/>
      <c r="D761" s="759"/>
      <c r="E761" s="759"/>
      <c r="F761" s="759" t="s">
        <v>188</v>
      </c>
      <c r="G761" s="603"/>
      <c r="H761" s="165" t="s">
        <v>12</v>
      </c>
      <c r="I761" s="617"/>
      <c r="J761" s="617"/>
      <c r="K761" s="93"/>
      <c r="L761" s="93"/>
      <c r="M761" s="93"/>
      <c r="N761" s="93"/>
      <c r="O761" s="93"/>
      <c r="P761" s="93"/>
      <c r="Q761" s="604"/>
      <c r="R761" s="604"/>
      <c r="S761" s="604"/>
      <c r="T761" s="604"/>
      <c r="U761" s="604"/>
      <c r="V761" s="604"/>
      <c r="W761" s="604"/>
      <c r="X761" s="604"/>
      <c r="Y761" s="604"/>
      <c r="Z761" s="604"/>
    </row>
    <row r="762" spans="1:26" ht="18.75" hidden="1">
      <c r="A762" s="649"/>
      <c r="B762" s="607"/>
      <c r="C762" s="759"/>
      <c r="D762" s="759"/>
      <c r="E762" s="759"/>
      <c r="F762" s="759" t="s">
        <v>189</v>
      </c>
      <c r="G762" s="603"/>
      <c r="H762" s="165" t="s">
        <v>12</v>
      </c>
      <c r="I762" s="617"/>
      <c r="J762" s="617"/>
      <c r="K762" s="93"/>
      <c r="L762" s="93"/>
      <c r="M762" s="93"/>
      <c r="N762" s="93"/>
      <c r="O762" s="93"/>
      <c r="P762" s="93"/>
      <c r="Q762" s="604"/>
      <c r="R762" s="604"/>
      <c r="S762" s="604"/>
      <c r="T762" s="604"/>
      <c r="U762" s="604"/>
      <c r="V762" s="604"/>
      <c r="W762" s="604"/>
      <c r="X762" s="604"/>
      <c r="Y762" s="604"/>
      <c r="Z762" s="604"/>
    </row>
    <row r="763" spans="1:26" ht="18.75" hidden="1">
      <c r="A763" s="649"/>
      <c r="B763" s="607"/>
      <c r="C763" s="759"/>
      <c r="D763" s="759"/>
      <c r="E763" s="759"/>
      <c r="F763" s="759" t="s">
        <v>190</v>
      </c>
      <c r="G763" s="603"/>
      <c r="H763" s="165" t="s">
        <v>12</v>
      </c>
      <c r="I763" s="617"/>
      <c r="J763" s="617"/>
      <c r="K763" s="93"/>
      <c r="L763" s="93"/>
      <c r="M763" s="93"/>
      <c r="N763" s="93"/>
      <c r="O763" s="93"/>
      <c r="P763" s="93"/>
      <c r="Q763" s="604"/>
      <c r="R763" s="604"/>
      <c r="S763" s="604"/>
      <c r="T763" s="604"/>
      <c r="U763" s="604"/>
      <c r="V763" s="604"/>
      <c r="W763" s="604"/>
      <c r="X763" s="604"/>
      <c r="Y763" s="604"/>
      <c r="Z763" s="604"/>
    </row>
    <row r="764" spans="1:26" ht="19.5" hidden="1">
      <c r="A764" s="599"/>
      <c r="B764" s="607"/>
      <c r="C764" s="759"/>
      <c r="D764" s="645" t="s">
        <v>21</v>
      </c>
      <c r="E764" s="759"/>
      <c r="F764" s="759"/>
      <c r="G764" s="603"/>
      <c r="H764" s="783" t="s">
        <v>12</v>
      </c>
      <c r="I764" s="166"/>
      <c r="J764" s="166"/>
      <c r="K764" s="167"/>
      <c r="L764" s="647">
        <f t="shared" ref="L764:N764" si="307">L765+L766</f>
        <v>0</v>
      </c>
      <c r="M764" s="647">
        <f t="shared" si="307"/>
        <v>0</v>
      </c>
      <c r="N764" s="647">
        <f t="shared" si="307"/>
        <v>0</v>
      </c>
      <c r="O764" s="647">
        <f t="shared" ref="O764:O766" si="308">IF(L764&gt;0,N764*100/L764,0)</f>
        <v>0</v>
      </c>
      <c r="P764" s="647">
        <f t="shared" ref="P764:P766" si="309">IF(M764&gt;0,N764*100/M764,0)</f>
        <v>0</v>
      </c>
      <c r="Q764" s="604"/>
      <c r="R764" s="604"/>
      <c r="S764" s="604"/>
      <c r="T764" s="604"/>
      <c r="U764" s="604"/>
      <c r="V764" s="604"/>
      <c r="W764" s="604"/>
      <c r="X764" s="604"/>
      <c r="Y764" s="604"/>
      <c r="Z764" s="604"/>
    </row>
    <row r="765" spans="1:26" ht="18.75" hidden="1">
      <c r="A765" s="599"/>
      <c r="B765" s="607"/>
      <c r="C765" s="759"/>
      <c r="D765" s="759"/>
      <c r="E765" s="759" t="s">
        <v>18</v>
      </c>
      <c r="F765" s="759"/>
      <c r="G765" s="603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4"/>
      <c r="R765" s="604"/>
      <c r="S765" s="604"/>
      <c r="T765" s="604"/>
      <c r="U765" s="604"/>
      <c r="V765" s="604"/>
      <c r="W765" s="604"/>
      <c r="X765" s="604"/>
      <c r="Y765" s="604"/>
      <c r="Z765" s="604"/>
    </row>
    <row r="766" spans="1:26" ht="18.75" hidden="1">
      <c r="A766" s="599"/>
      <c r="B766" s="607"/>
      <c r="C766" s="759"/>
      <c r="D766" s="759"/>
      <c r="E766" s="759" t="s">
        <v>19</v>
      </c>
      <c r="F766" s="759"/>
      <c r="G766" s="603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4"/>
      <c r="R766" s="604"/>
      <c r="S766" s="604"/>
      <c r="T766" s="604"/>
      <c r="U766" s="604"/>
      <c r="V766" s="604"/>
      <c r="W766" s="604"/>
      <c r="X766" s="604"/>
      <c r="Y766" s="604"/>
      <c r="Z766" s="604"/>
    </row>
    <row r="767" spans="1:26" ht="19.5" hidden="1">
      <c r="A767" s="614"/>
      <c r="B767" s="616"/>
      <c r="C767" s="759" t="s">
        <v>16</v>
      </c>
      <c r="D767" s="899" t="s">
        <v>38</v>
      </c>
      <c r="E767" s="651"/>
      <c r="F767" s="651"/>
      <c r="G767" s="652"/>
      <c r="H767" s="366"/>
      <c r="I767" s="166"/>
      <c r="J767" s="166"/>
      <c r="K767" s="167"/>
      <c r="L767" s="167"/>
      <c r="M767" s="167"/>
      <c r="N767" s="167"/>
      <c r="O767" s="167"/>
      <c r="P767" s="167"/>
      <c r="Q767" s="604"/>
      <c r="R767" s="604"/>
      <c r="S767" s="604"/>
      <c r="T767" s="604"/>
      <c r="U767" s="604"/>
      <c r="V767" s="604"/>
      <c r="W767" s="604"/>
      <c r="X767" s="604"/>
      <c r="Y767" s="604"/>
      <c r="Z767" s="604"/>
    </row>
    <row r="768" spans="1:26" ht="18.75" hidden="1">
      <c r="A768" s="649"/>
      <c r="B768" s="607"/>
      <c r="C768" s="759"/>
      <c r="D768" s="759"/>
      <c r="E768" s="759" t="s">
        <v>317</v>
      </c>
      <c r="F768" s="759"/>
      <c r="G768" s="603"/>
      <c r="H768" s="165" t="s">
        <v>46</v>
      </c>
      <c r="I768" s="617"/>
      <c r="J768" s="617"/>
      <c r="K768" s="93"/>
      <c r="L768" s="93"/>
      <c r="M768" s="93"/>
      <c r="N768" s="93"/>
      <c r="O768" s="93"/>
      <c r="P768" s="93"/>
      <c r="Q768" s="604"/>
      <c r="R768" s="604"/>
      <c r="S768" s="604"/>
      <c r="T768" s="604"/>
      <c r="U768" s="604"/>
      <c r="V768" s="604"/>
      <c r="W768" s="604"/>
      <c r="X768" s="604"/>
      <c r="Y768" s="604"/>
      <c r="Z768" s="604"/>
    </row>
    <row r="769" spans="1:26" ht="19.5" hidden="1">
      <c r="A769" s="793">
        <v>11</v>
      </c>
      <c r="B769" s="794" t="s">
        <v>318</v>
      </c>
      <c r="C769" s="795"/>
      <c r="D769" s="795"/>
      <c r="E769" s="795"/>
      <c r="F769" s="795"/>
      <c r="G769" s="796"/>
      <c r="H769" s="797" t="s">
        <v>46</v>
      </c>
      <c r="I769" s="798"/>
      <c r="J769" s="798">
        <f>J784</f>
        <v>0</v>
      </c>
      <c r="K769" s="799">
        <f>IF(I769&gt;0,J769*100/I769,0)</f>
        <v>0</v>
      </c>
      <c r="L769" s="800"/>
      <c r="M769" s="800"/>
      <c r="N769" s="800"/>
      <c r="O769" s="800"/>
      <c r="P769" s="800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</row>
    <row r="770" spans="1:26" ht="19.5" hidden="1">
      <c r="A770" s="599"/>
      <c r="B770" s="759"/>
      <c r="C770" s="759" t="s">
        <v>16</v>
      </c>
      <c r="D770" s="864" t="s">
        <v>17</v>
      </c>
      <c r="E770" s="857"/>
      <c r="F770" s="857"/>
      <c r="G770" s="603"/>
      <c r="H770" s="646" t="s">
        <v>12</v>
      </c>
      <c r="I770" s="617"/>
      <c r="J770" s="617"/>
      <c r="K770" s="93"/>
      <c r="L770" s="647">
        <f t="shared" ref="L770:N770" si="310">L771+L772</f>
        <v>0</v>
      </c>
      <c r="M770" s="647">
        <f t="shared" si="310"/>
        <v>0</v>
      </c>
      <c r="N770" s="647">
        <f t="shared" si="310"/>
        <v>0</v>
      </c>
      <c r="O770" s="647">
        <f t="shared" ref="O770:O775" si="311">IF(L770&gt;0,N770*100/L770,0)</f>
        <v>0</v>
      </c>
      <c r="P770" s="647">
        <f t="shared" ref="P770:P775" si="312">IF(M770&gt;0,N770*100/M770,0)</f>
        <v>0</v>
      </c>
      <c r="Q770" s="604"/>
      <c r="R770" s="604"/>
      <c r="S770" s="604"/>
      <c r="T770" s="604"/>
      <c r="U770" s="604"/>
      <c r="V770" s="604"/>
      <c r="W770" s="604"/>
      <c r="X770" s="604"/>
      <c r="Y770" s="604"/>
      <c r="Z770" s="604"/>
    </row>
    <row r="771" spans="1:26" ht="18.75" hidden="1">
      <c r="A771" s="599"/>
      <c r="B771" s="759"/>
      <c r="C771" s="759"/>
      <c r="D771" s="720"/>
      <c r="E771" s="759" t="s">
        <v>185</v>
      </c>
      <c r="F771" s="759"/>
      <c r="G771" s="603"/>
      <c r="H771" s="165" t="s">
        <v>12</v>
      </c>
      <c r="I771" s="617"/>
      <c r="J771" s="617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4"/>
      <c r="R771" s="604"/>
      <c r="S771" s="604"/>
      <c r="T771" s="604"/>
      <c r="U771" s="604"/>
      <c r="V771" s="604"/>
      <c r="W771" s="604"/>
      <c r="X771" s="604"/>
      <c r="Y771" s="604"/>
      <c r="Z771" s="604"/>
    </row>
    <row r="772" spans="1:26" ht="18.75" hidden="1">
      <c r="A772" s="599"/>
      <c r="B772" s="607"/>
      <c r="C772" s="759"/>
      <c r="D772" s="720"/>
      <c r="E772" s="759" t="s">
        <v>186</v>
      </c>
      <c r="F772" s="759"/>
      <c r="G772" s="603"/>
      <c r="H772" s="165" t="s">
        <v>12</v>
      </c>
      <c r="I772" s="617"/>
      <c r="J772" s="617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4"/>
      <c r="R772" s="604"/>
      <c r="S772" s="604"/>
      <c r="T772" s="604"/>
      <c r="U772" s="604"/>
      <c r="V772" s="604"/>
      <c r="W772" s="604"/>
      <c r="X772" s="604"/>
      <c r="Y772" s="604"/>
      <c r="Z772" s="604"/>
    </row>
    <row r="773" spans="1:26" ht="19.5" hidden="1">
      <c r="A773" s="599"/>
      <c r="B773" s="607"/>
      <c r="C773" s="759"/>
      <c r="D773" s="645" t="s">
        <v>20</v>
      </c>
      <c r="E773" s="759"/>
      <c r="F773" s="759"/>
      <c r="G773" s="603"/>
      <c r="H773" s="646" t="s">
        <v>12</v>
      </c>
      <c r="I773" s="166"/>
      <c r="J773" s="166"/>
      <c r="K773" s="167"/>
      <c r="L773" s="647">
        <f t="shared" ref="L773:N773" si="314">L774+L775</f>
        <v>0</v>
      </c>
      <c r="M773" s="647">
        <f t="shared" si="314"/>
        <v>0</v>
      </c>
      <c r="N773" s="647">
        <f t="shared" si="314"/>
        <v>0</v>
      </c>
      <c r="O773" s="647">
        <f t="shared" si="311"/>
        <v>0</v>
      </c>
      <c r="P773" s="647">
        <f t="shared" si="312"/>
        <v>0</v>
      </c>
      <c r="Q773" s="604"/>
      <c r="R773" s="604"/>
      <c r="S773" s="604"/>
      <c r="T773" s="604"/>
      <c r="U773" s="604"/>
      <c r="V773" s="604"/>
      <c r="W773" s="604"/>
      <c r="X773" s="604"/>
      <c r="Y773" s="604"/>
      <c r="Z773" s="604"/>
    </row>
    <row r="774" spans="1:26" ht="18.75" hidden="1">
      <c r="A774" s="599"/>
      <c r="B774" s="607"/>
      <c r="C774" s="759"/>
      <c r="D774" s="720"/>
      <c r="E774" s="759" t="s">
        <v>185</v>
      </c>
      <c r="F774" s="759"/>
      <c r="G774" s="603"/>
      <c r="H774" s="165" t="s">
        <v>12</v>
      </c>
      <c r="I774" s="617"/>
      <c r="J774" s="617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4"/>
      <c r="R774" s="604"/>
      <c r="S774" s="604"/>
      <c r="T774" s="604"/>
      <c r="U774" s="604"/>
      <c r="V774" s="604"/>
      <c r="W774" s="604"/>
      <c r="X774" s="604"/>
      <c r="Y774" s="604"/>
      <c r="Z774" s="604"/>
    </row>
    <row r="775" spans="1:26" ht="18.75" hidden="1">
      <c r="A775" s="599"/>
      <c r="B775" s="607"/>
      <c r="C775" s="759"/>
      <c r="D775" s="720"/>
      <c r="E775" s="759" t="s">
        <v>186</v>
      </c>
      <c r="F775" s="759"/>
      <c r="G775" s="603"/>
      <c r="H775" s="165" t="s">
        <v>12</v>
      </c>
      <c r="I775" s="617"/>
      <c r="J775" s="617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4"/>
      <c r="R775" s="604"/>
      <c r="S775" s="604"/>
      <c r="T775" s="604"/>
      <c r="U775" s="604"/>
      <c r="V775" s="604"/>
      <c r="W775" s="604"/>
      <c r="X775" s="604"/>
      <c r="Y775" s="604"/>
      <c r="Z775" s="604"/>
    </row>
    <row r="776" spans="1:26" ht="18.75" hidden="1">
      <c r="A776" s="649"/>
      <c r="B776" s="607"/>
      <c r="C776" s="759"/>
      <c r="D776" s="759"/>
      <c r="E776" s="759"/>
      <c r="F776" s="759" t="s">
        <v>187</v>
      </c>
      <c r="G776" s="603"/>
      <c r="H776" s="165" t="s">
        <v>12</v>
      </c>
      <c r="I776" s="617"/>
      <c r="J776" s="617"/>
      <c r="K776" s="93"/>
      <c r="L776" s="93"/>
      <c r="M776" s="93"/>
      <c r="N776" s="93"/>
      <c r="O776" s="93"/>
      <c r="P776" s="93"/>
      <c r="Q776" s="604"/>
      <c r="R776" s="604"/>
      <c r="S776" s="604"/>
      <c r="T776" s="604"/>
      <c r="U776" s="604"/>
      <c r="V776" s="604"/>
      <c r="W776" s="604"/>
      <c r="X776" s="604"/>
      <c r="Y776" s="604"/>
      <c r="Z776" s="604"/>
    </row>
    <row r="777" spans="1:26" ht="18.75" hidden="1">
      <c r="A777" s="649"/>
      <c r="B777" s="607"/>
      <c r="C777" s="759"/>
      <c r="D777" s="759"/>
      <c r="E777" s="759"/>
      <c r="F777" s="759" t="s">
        <v>188</v>
      </c>
      <c r="G777" s="603"/>
      <c r="H777" s="165" t="s">
        <v>12</v>
      </c>
      <c r="I777" s="617"/>
      <c r="J777" s="617"/>
      <c r="K777" s="93"/>
      <c r="L777" s="93"/>
      <c r="M777" s="93"/>
      <c r="N777" s="93"/>
      <c r="O777" s="93"/>
      <c r="P777" s="93"/>
      <c r="Q777" s="604"/>
      <c r="R777" s="604"/>
      <c r="S777" s="604"/>
      <c r="T777" s="604"/>
      <c r="U777" s="604"/>
      <c r="V777" s="604"/>
      <c r="W777" s="604"/>
      <c r="X777" s="604"/>
      <c r="Y777" s="604"/>
      <c r="Z777" s="604"/>
    </row>
    <row r="778" spans="1:26" ht="18.75" hidden="1">
      <c r="A778" s="649"/>
      <c r="B778" s="607"/>
      <c r="C778" s="759"/>
      <c r="D778" s="759"/>
      <c r="E778" s="759"/>
      <c r="F778" s="759" t="s">
        <v>189</v>
      </c>
      <c r="G778" s="603"/>
      <c r="H778" s="165" t="s">
        <v>12</v>
      </c>
      <c r="I778" s="617"/>
      <c r="J778" s="617"/>
      <c r="K778" s="93"/>
      <c r="L778" s="93"/>
      <c r="M778" s="93"/>
      <c r="N778" s="93"/>
      <c r="O778" s="93"/>
      <c r="P778" s="93"/>
      <c r="Q778" s="604"/>
      <c r="R778" s="604"/>
      <c r="S778" s="604"/>
      <c r="T778" s="604"/>
      <c r="U778" s="604"/>
      <c r="V778" s="604"/>
      <c r="W778" s="604"/>
      <c r="X778" s="604"/>
      <c r="Y778" s="604"/>
      <c r="Z778" s="604"/>
    </row>
    <row r="779" spans="1:26" ht="18.75" hidden="1">
      <c r="A779" s="649"/>
      <c r="B779" s="607"/>
      <c r="C779" s="759"/>
      <c r="D779" s="759"/>
      <c r="E779" s="759"/>
      <c r="F779" s="759" t="s">
        <v>190</v>
      </c>
      <c r="G779" s="603"/>
      <c r="H779" s="165" t="s">
        <v>12</v>
      </c>
      <c r="I779" s="617"/>
      <c r="J779" s="617"/>
      <c r="K779" s="93"/>
      <c r="L779" s="93"/>
      <c r="M779" s="93"/>
      <c r="N779" s="93"/>
      <c r="O779" s="93"/>
      <c r="P779" s="93"/>
      <c r="Q779" s="604"/>
      <c r="R779" s="604"/>
      <c r="S779" s="604"/>
      <c r="T779" s="604"/>
      <c r="U779" s="604"/>
      <c r="V779" s="604"/>
      <c r="W779" s="604"/>
      <c r="X779" s="604"/>
      <c r="Y779" s="604"/>
      <c r="Z779" s="604"/>
    </row>
    <row r="780" spans="1:26" ht="19.5" hidden="1">
      <c r="A780" s="599"/>
      <c r="B780" s="607"/>
      <c r="C780" s="759"/>
      <c r="D780" s="645" t="s">
        <v>21</v>
      </c>
      <c r="E780" s="759"/>
      <c r="F780" s="759"/>
      <c r="G780" s="603"/>
      <c r="H780" s="783" t="s">
        <v>12</v>
      </c>
      <c r="I780" s="166"/>
      <c r="J780" s="166"/>
      <c r="K780" s="167"/>
      <c r="L780" s="647">
        <f t="shared" ref="L780:N780" si="315">L781+L782</f>
        <v>0</v>
      </c>
      <c r="M780" s="647">
        <f t="shared" si="315"/>
        <v>0</v>
      </c>
      <c r="N780" s="647">
        <f t="shared" si="315"/>
        <v>0</v>
      </c>
      <c r="O780" s="647">
        <f t="shared" ref="O780:O782" si="316">IF(L780&gt;0,N780*100/L780,0)</f>
        <v>0</v>
      </c>
      <c r="P780" s="647">
        <f t="shared" ref="P780:P782" si="317">IF(M780&gt;0,N780*100/M780,0)</f>
        <v>0</v>
      </c>
      <c r="Q780" s="604"/>
      <c r="R780" s="604"/>
      <c r="S780" s="604"/>
      <c r="T780" s="604"/>
      <c r="U780" s="604"/>
      <c r="V780" s="604"/>
      <c r="W780" s="604"/>
      <c r="X780" s="604"/>
      <c r="Y780" s="604"/>
      <c r="Z780" s="604"/>
    </row>
    <row r="781" spans="1:26" ht="18.75" hidden="1">
      <c r="A781" s="599"/>
      <c r="B781" s="607"/>
      <c r="C781" s="759"/>
      <c r="D781" s="759"/>
      <c r="E781" s="759" t="s">
        <v>18</v>
      </c>
      <c r="F781" s="759"/>
      <c r="G781" s="603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4"/>
      <c r="R781" s="604"/>
      <c r="S781" s="604"/>
      <c r="T781" s="604"/>
      <c r="U781" s="604"/>
      <c r="V781" s="604"/>
      <c r="W781" s="604"/>
      <c r="X781" s="604"/>
      <c r="Y781" s="604"/>
      <c r="Z781" s="604"/>
    </row>
    <row r="782" spans="1:26" ht="18.75" hidden="1">
      <c r="A782" s="599"/>
      <c r="B782" s="607"/>
      <c r="C782" s="759"/>
      <c r="D782" s="759"/>
      <c r="E782" s="759" t="s">
        <v>19</v>
      </c>
      <c r="F782" s="759"/>
      <c r="G782" s="603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4"/>
      <c r="R782" s="604"/>
      <c r="S782" s="604"/>
      <c r="T782" s="604"/>
      <c r="U782" s="604"/>
      <c r="V782" s="604"/>
      <c r="W782" s="604"/>
      <c r="X782" s="604"/>
      <c r="Y782" s="604"/>
      <c r="Z782" s="604"/>
    </row>
    <row r="783" spans="1:26" ht="19.5" hidden="1">
      <c r="A783" s="614"/>
      <c r="B783" s="616"/>
      <c r="C783" s="759" t="s">
        <v>16</v>
      </c>
      <c r="D783" s="899" t="s">
        <v>38</v>
      </c>
      <c r="E783" s="651"/>
      <c r="F783" s="651"/>
      <c r="G783" s="652"/>
      <c r="H783" s="801"/>
      <c r="I783" s="166"/>
      <c r="J783" s="166"/>
      <c r="K783" s="167"/>
      <c r="L783" s="167"/>
      <c r="M783" s="167"/>
      <c r="N783" s="167"/>
      <c r="O783" s="167"/>
      <c r="P783" s="167"/>
      <c r="Q783" s="604"/>
      <c r="R783" s="604"/>
      <c r="S783" s="604"/>
      <c r="T783" s="604"/>
      <c r="U783" s="604"/>
      <c r="V783" s="604"/>
      <c r="W783" s="604"/>
      <c r="X783" s="604"/>
      <c r="Y783" s="604"/>
      <c r="Z783" s="604"/>
    </row>
    <row r="784" spans="1:26" ht="18.75" hidden="1">
      <c r="A784" s="649"/>
      <c r="B784" s="607"/>
      <c r="C784" s="759"/>
      <c r="D784" s="759"/>
      <c r="E784" s="759" t="s">
        <v>319</v>
      </c>
      <c r="F784" s="759"/>
      <c r="G784" s="603"/>
      <c r="H784" s="165" t="s">
        <v>46</v>
      </c>
      <c r="I784" s="617"/>
      <c r="J784" s="617"/>
      <c r="K784" s="93"/>
      <c r="L784" s="93"/>
      <c r="M784" s="93"/>
      <c r="N784" s="93"/>
      <c r="O784" s="93"/>
      <c r="P784" s="93"/>
      <c r="Q784" s="604"/>
      <c r="R784" s="604"/>
      <c r="S784" s="604"/>
      <c r="T784" s="604"/>
      <c r="U784" s="604"/>
      <c r="V784" s="604"/>
      <c r="W784" s="604"/>
      <c r="X784" s="604"/>
      <c r="Y784" s="604"/>
      <c r="Z784" s="604"/>
    </row>
    <row r="785" spans="1:26" ht="19.5" hidden="1">
      <c r="A785" s="802">
        <v>12</v>
      </c>
      <c r="B785" s="803" t="s">
        <v>320</v>
      </c>
      <c r="C785" s="804"/>
      <c r="D785" s="804"/>
      <c r="E785" s="804"/>
      <c r="F785" s="804"/>
      <c r="G785" s="805"/>
      <c r="H785" s="900" t="s">
        <v>46</v>
      </c>
      <c r="I785" s="901">
        <f t="shared" ref="I785:J785" ca="1" si="318">I800</f>
        <v>0</v>
      </c>
      <c r="J785" s="902">
        <f t="shared" ca="1" si="318"/>
        <v>0</v>
      </c>
      <c r="K785" s="903">
        <f ca="1">IF(I785&gt;0,J785*100/I785,0)</f>
        <v>0</v>
      </c>
      <c r="L785" s="809"/>
      <c r="M785" s="809"/>
      <c r="N785" s="809"/>
      <c r="O785" s="809"/>
      <c r="P785" s="809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</row>
    <row r="786" spans="1:26" ht="19.5" hidden="1">
      <c r="A786" s="597"/>
      <c r="B786" s="575"/>
      <c r="C786" s="763" t="s">
        <v>16</v>
      </c>
      <c r="D786" s="863" t="s">
        <v>17</v>
      </c>
      <c r="E786" s="857"/>
      <c r="F786" s="857"/>
      <c r="G786" s="189"/>
      <c r="H786" s="598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</row>
    <row r="787" spans="1:26" ht="18.75" hidden="1">
      <c r="A787" s="599"/>
      <c r="B787" s="607"/>
      <c r="C787" s="759"/>
      <c r="D787" s="720"/>
      <c r="E787" s="759" t="s">
        <v>185</v>
      </c>
      <c r="F787" s="759"/>
      <c r="G787" s="603"/>
      <c r="H787" s="165" t="s">
        <v>12</v>
      </c>
      <c r="I787" s="617"/>
      <c r="J787" s="617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4"/>
      <c r="R787" s="604"/>
      <c r="S787" s="604"/>
      <c r="T787" s="604"/>
      <c r="U787" s="604"/>
      <c r="V787" s="604"/>
      <c r="W787" s="604"/>
      <c r="X787" s="604"/>
      <c r="Y787" s="604"/>
      <c r="Z787" s="604"/>
    </row>
    <row r="788" spans="1:26" ht="18.75" hidden="1">
      <c r="A788" s="599"/>
      <c r="B788" s="607"/>
      <c r="C788" s="607"/>
      <c r="D788" s="616"/>
      <c r="E788" s="759" t="s">
        <v>186</v>
      </c>
      <c r="F788" s="759"/>
      <c r="G788" s="603"/>
      <c r="H788" s="165" t="s">
        <v>12</v>
      </c>
      <c r="I788" s="617"/>
      <c r="J788" s="617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4"/>
      <c r="R788" s="604"/>
      <c r="S788" s="604"/>
      <c r="T788" s="604"/>
      <c r="U788" s="604"/>
      <c r="V788" s="604"/>
      <c r="W788" s="604"/>
      <c r="X788" s="604"/>
      <c r="Y788" s="604"/>
      <c r="Z788" s="604"/>
    </row>
    <row r="789" spans="1:26" ht="18.75" hidden="1">
      <c r="A789" s="597"/>
      <c r="B789" s="575"/>
      <c r="C789" s="575"/>
      <c r="D789" s="606" t="s">
        <v>20</v>
      </c>
      <c r="E789" s="763"/>
      <c r="F789" s="763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</row>
    <row r="790" spans="1:26" ht="18.75" hidden="1">
      <c r="A790" s="599"/>
      <c r="B790" s="607"/>
      <c r="C790" s="607"/>
      <c r="D790" s="616"/>
      <c r="E790" s="759" t="s">
        <v>185</v>
      </c>
      <c r="F790" s="759"/>
      <c r="G790" s="603"/>
      <c r="H790" s="165" t="s">
        <v>12</v>
      </c>
      <c r="I790" s="617"/>
      <c r="J790" s="617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4"/>
      <c r="R790" s="604"/>
      <c r="S790" s="604"/>
      <c r="T790" s="604"/>
      <c r="U790" s="604"/>
      <c r="V790" s="604"/>
      <c r="W790" s="604"/>
      <c r="X790" s="604"/>
      <c r="Y790" s="604"/>
      <c r="Z790" s="604"/>
    </row>
    <row r="791" spans="1:26" ht="18.75" hidden="1">
      <c r="A791" s="599"/>
      <c r="B791" s="607"/>
      <c r="C791" s="607"/>
      <c r="D791" s="616"/>
      <c r="E791" s="759" t="s">
        <v>186</v>
      </c>
      <c r="F791" s="759"/>
      <c r="G791" s="603"/>
      <c r="H791" s="165" t="s">
        <v>12</v>
      </c>
      <c r="I791" s="617"/>
      <c r="J791" s="617"/>
      <c r="K791" s="93"/>
      <c r="L791" s="93">
        <f ca="1">IFERROR(__xludf.DUMMYFUNCTION("IMPORTRANGE(""https://docs.google.com/spreadsheets/d/1QqKyyYR6Q21VydFLVH3TRQUabQu_ym0Zz7PgGX0-kHA/edit?usp=sharing"",""แผน!JJ49"")"),0)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4"/>
      <c r="R791" s="604"/>
      <c r="S791" s="604"/>
      <c r="T791" s="604"/>
      <c r="U791" s="604"/>
      <c r="V791" s="604"/>
      <c r="W791" s="604"/>
      <c r="X791" s="604"/>
      <c r="Y791" s="604"/>
      <c r="Z791" s="604"/>
    </row>
    <row r="792" spans="1:26" ht="18.75" hidden="1">
      <c r="A792" s="574"/>
      <c r="B792" s="575"/>
      <c r="C792" s="763"/>
      <c r="D792" s="763"/>
      <c r="E792" s="763"/>
      <c r="F792" s="763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40">
        <v>0</v>
      </c>
      <c r="O792" s="498"/>
      <c r="P792" s="49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</row>
    <row r="793" spans="1:26" ht="18.75" hidden="1">
      <c r="A793" s="574"/>
      <c r="B793" s="575"/>
      <c r="C793" s="763"/>
      <c r="D793" s="763"/>
      <c r="E793" s="763"/>
      <c r="F793" s="763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40">
        <v>0</v>
      </c>
      <c r="O793" s="498"/>
      <c r="P793" s="49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</row>
    <row r="794" spans="1:26" ht="18.75" hidden="1">
      <c r="A794" s="574"/>
      <c r="B794" s="575"/>
      <c r="C794" s="763"/>
      <c r="D794" s="763"/>
      <c r="E794" s="763"/>
      <c r="F794" s="763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40">
        <v>0</v>
      </c>
      <c r="O794" s="498"/>
      <c r="P794" s="49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</row>
    <row r="795" spans="1:26" ht="18.75" hidden="1">
      <c r="A795" s="574"/>
      <c r="B795" s="575"/>
      <c r="C795" s="763"/>
      <c r="D795" s="763"/>
      <c r="E795" s="763"/>
      <c r="F795" s="763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40">
        <v>0</v>
      </c>
      <c r="O795" s="498"/>
      <c r="P795" s="49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</row>
    <row r="796" spans="1:26" ht="18.75" hidden="1">
      <c r="A796" s="597"/>
      <c r="B796" s="575"/>
      <c r="C796" s="763"/>
      <c r="D796" s="606" t="s">
        <v>21</v>
      </c>
      <c r="E796" s="763"/>
      <c r="F796" s="763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</row>
    <row r="797" spans="1:26" ht="18.75" hidden="1">
      <c r="A797" s="599"/>
      <c r="B797" s="607"/>
      <c r="C797" s="759"/>
      <c r="D797" s="759"/>
      <c r="E797" s="759" t="s">
        <v>18</v>
      </c>
      <c r="F797" s="759"/>
      <c r="G797" s="603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4"/>
      <c r="R797" s="604"/>
      <c r="S797" s="604"/>
      <c r="T797" s="604"/>
      <c r="U797" s="604"/>
      <c r="V797" s="604"/>
      <c r="W797" s="604"/>
      <c r="X797" s="604"/>
      <c r="Y797" s="604"/>
      <c r="Z797" s="604"/>
    </row>
    <row r="798" spans="1:26" ht="18.75" hidden="1">
      <c r="A798" s="599"/>
      <c r="B798" s="607"/>
      <c r="C798" s="759"/>
      <c r="D798" s="759"/>
      <c r="E798" s="759" t="s">
        <v>19</v>
      </c>
      <c r="F798" s="759"/>
      <c r="G798" s="603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4"/>
      <c r="R798" s="604"/>
      <c r="S798" s="604"/>
      <c r="T798" s="604"/>
      <c r="U798" s="604"/>
      <c r="V798" s="604"/>
      <c r="W798" s="604"/>
      <c r="X798" s="604"/>
      <c r="Y798" s="604"/>
      <c r="Z798" s="604"/>
    </row>
    <row r="799" spans="1:26" ht="19.5" hidden="1">
      <c r="A799" s="608"/>
      <c r="B799" s="618"/>
      <c r="C799" s="763" t="s">
        <v>16</v>
      </c>
      <c r="D799" s="898" t="s">
        <v>38</v>
      </c>
      <c r="E799" s="761"/>
      <c r="F799" s="761"/>
      <c r="G799" s="613"/>
      <c r="H799" s="904"/>
      <c r="I799" s="184"/>
      <c r="J799" s="184"/>
      <c r="K799" s="163"/>
      <c r="L799" s="163"/>
      <c r="M799" s="163"/>
      <c r="N799" s="163"/>
      <c r="O799" s="163"/>
      <c r="P799" s="163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</row>
    <row r="800" spans="1:26" ht="18.75" hidden="1">
      <c r="A800" s="608"/>
      <c r="B800" s="618"/>
      <c r="C800" s="618"/>
      <c r="D800" s="618"/>
      <c r="E800" s="626"/>
      <c r="F800" s="626" t="s">
        <v>321</v>
      </c>
      <c r="G800" s="762"/>
      <c r="H800" s="185" t="s">
        <v>46</v>
      </c>
      <c r="I800" s="184">
        <f ca="1">IFERROR(__xludf.DUMMYFUNCTION("IMPORTRANGE(""https://docs.google.com/spreadsheets/d/1QqKyyYR6Q21VydFLVH3TRQUabQu_ym0Zz7PgGX0-kHA/edit?usp=sharing"",""แผน!JN49"")"),0)</f>
        <v>0</v>
      </c>
      <c r="J800" s="184">
        <f ca="1">IFERROR(__xludf.DUMMYFUNCTION("IMPORTRANGE(""https://docs.google.com/spreadsheets/d/1MaWodYyGHDf7siQLGxnXhG4mBNTNIuy296niS2xXulU/edit?usp=sharing"",""RTK!H49"")"),0)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</row>
    <row r="801" spans="1:26" ht="18.75" hidden="1">
      <c r="A801" s="608"/>
      <c r="B801" s="618"/>
      <c r="C801" s="618"/>
      <c r="D801" s="618"/>
      <c r="E801" s="626"/>
      <c r="F801" s="626"/>
      <c r="G801" s="762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IFERROR(__xludf.DUMMYFUNCTION("IMPORTRANGE(""https://docs.google.com/spreadsheets/d/1MaWodYyGHDf7siQLGxnXhG4mBNTNIuy296niS2xXulU/edit?usp=sharing"",""RTK!I49"")"),0)</f>
        <v>0</v>
      </c>
      <c r="K801" s="498"/>
      <c r="L801" s="498"/>
      <c r="M801" s="498"/>
      <c r="N801" s="498"/>
      <c r="O801" s="163"/>
      <c r="P801" s="163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</row>
    <row r="802" spans="1:26" ht="18.75" hidden="1">
      <c r="A802" s="614"/>
      <c r="B802" s="616"/>
      <c r="C802" s="616"/>
      <c r="D802" s="616"/>
      <c r="E802" s="720"/>
      <c r="F802" s="720" t="s">
        <v>322</v>
      </c>
      <c r="G802" s="366"/>
      <c r="H802" s="653" t="s">
        <v>46</v>
      </c>
      <c r="I802" s="166"/>
      <c r="J802" s="617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4"/>
      <c r="R802" s="604"/>
      <c r="S802" s="604"/>
      <c r="T802" s="604"/>
      <c r="U802" s="604"/>
      <c r="V802" s="604"/>
      <c r="W802" s="604"/>
      <c r="X802" s="604"/>
      <c r="Y802" s="604"/>
      <c r="Z802" s="604"/>
    </row>
    <row r="803" spans="1:26" ht="18.75" hidden="1">
      <c r="A803" s="614"/>
      <c r="B803" s="616"/>
      <c r="C803" s="616"/>
      <c r="D803" s="616"/>
      <c r="E803" s="720"/>
      <c r="F803" s="720"/>
      <c r="G803" s="366"/>
      <c r="H803" s="653" t="s">
        <v>34</v>
      </c>
      <c r="I803" s="166"/>
      <c r="J803" s="617">
        <v>0</v>
      </c>
      <c r="K803" s="167"/>
      <c r="L803" s="167"/>
      <c r="M803" s="167"/>
      <c r="N803" s="167"/>
      <c r="O803" s="167"/>
      <c r="P803" s="167"/>
      <c r="Q803" s="604"/>
      <c r="R803" s="604"/>
      <c r="S803" s="604"/>
      <c r="T803" s="604"/>
      <c r="U803" s="604"/>
      <c r="V803" s="604"/>
      <c r="W803" s="604"/>
      <c r="X803" s="604"/>
      <c r="Y803" s="604"/>
      <c r="Z803" s="604"/>
    </row>
    <row r="804" spans="1:26" ht="19.5" hidden="1">
      <c r="A804" s="793">
        <v>13</v>
      </c>
      <c r="B804" s="794" t="s">
        <v>323</v>
      </c>
      <c r="C804" s="795"/>
      <c r="D804" s="825"/>
      <c r="E804" s="795"/>
      <c r="F804" s="795"/>
      <c r="G804" s="796"/>
      <c r="H804" s="797" t="s">
        <v>46</v>
      </c>
      <c r="I804" s="798"/>
      <c r="J804" s="798">
        <f>J819</f>
        <v>0</v>
      </c>
      <c r="K804" s="799">
        <f>IF(I804&gt;0,J804*100/I804,0)</f>
        <v>0</v>
      </c>
      <c r="L804" s="800"/>
      <c r="M804" s="800"/>
      <c r="N804" s="800"/>
      <c r="O804" s="800"/>
      <c r="P804" s="800"/>
      <c r="Q804" s="604"/>
      <c r="R804" s="604"/>
      <c r="S804" s="604"/>
      <c r="T804" s="604"/>
      <c r="U804" s="604"/>
      <c r="V804" s="604"/>
      <c r="W804" s="604"/>
      <c r="X804" s="604"/>
      <c r="Y804" s="604"/>
      <c r="Z804" s="604"/>
    </row>
    <row r="805" spans="1:26" ht="19.5" hidden="1">
      <c r="A805" s="599"/>
      <c r="B805" s="759"/>
      <c r="C805" s="759" t="s">
        <v>16</v>
      </c>
      <c r="D805" s="864" t="s">
        <v>17</v>
      </c>
      <c r="E805" s="857"/>
      <c r="F805" s="857"/>
      <c r="G805" s="603"/>
      <c r="H805" s="646" t="s">
        <v>12</v>
      </c>
      <c r="I805" s="617"/>
      <c r="J805" s="617"/>
      <c r="K805" s="93"/>
      <c r="L805" s="647">
        <f t="shared" ref="L805:N805" si="327">L806+L807</f>
        <v>0</v>
      </c>
      <c r="M805" s="647">
        <f t="shared" si="327"/>
        <v>0</v>
      </c>
      <c r="N805" s="647">
        <f t="shared" si="327"/>
        <v>0</v>
      </c>
      <c r="O805" s="647">
        <f t="shared" ref="O805:O810" si="328">IF(L805&gt;0,N805*100/L805,0)</f>
        <v>0</v>
      </c>
      <c r="P805" s="647">
        <f t="shared" ref="P805:P810" si="329">IF(M805&gt;0,N805*100/M805,0)</f>
        <v>0</v>
      </c>
      <c r="Q805" s="604"/>
      <c r="R805" s="604"/>
      <c r="S805" s="604"/>
      <c r="T805" s="604"/>
      <c r="U805" s="604"/>
      <c r="V805" s="604"/>
      <c r="W805" s="604"/>
      <c r="X805" s="604"/>
      <c r="Y805" s="604"/>
      <c r="Z805" s="604"/>
    </row>
    <row r="806" spans="1:26" ht="18.75" hidden="1">
      <c r="A806" s="599"/>
      <c r="B806" s="759"/>
      <c r="C806" s="759"/>
      <c r="D806" s="616"/>
      <c r="E806" s="759" t="s">
        <v>185</v>
      </c>
      <c r="F806" s="759"/>
      <c r="G806" s="603"/>
      <c r="H806" s="165" t="s">
        <v>12</v>
      </c>
      <c r="I806" s="617"/>
      <c r="J806" s="617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4"/>
      <c r="R806" s="604"/>
      <c r="S806" s="604"/>
      <c r="T806" s="604"/>
      <c r="U806" s="604"/>
      <c r="V806" s="604"/>
      <c r="W806" s="604"/>
      <c r="X806" s="604"/>
      <c r="Y806" s="604"/>
      <c r="Z806" s="604"/>
    </row>
    <row r="807" spans="1:26" ht="18.75" hidden="1">
      <c r="A807" s="599"/>
      <c r="B807" s="759"/>
      <c r="C807" s="759"/>
      <c r="D807" s="616"/>
      <c r="E807" s="759" t="s">
        <v>186</v>
      </c>
      <c r="F807" s="759"/>
      <c r="G807" s="603"/>
      <c r="H807" s="165" t="s">
        <v>12</v>
      </c>
      <c r="I807" s="617"/>
      <c r="J807" s="617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4"/>
      <c r="R807" s="604"/>
      <c r="S807" s="604"/>
      <c r="T807" s="604"/>
      <c r="U807" s="604"/>
      <c r="V807" s="604"/>
      <c r="W807" s="604"/>
      <c r="X807" s="604"/>
      <c r="Y807" s="604"/>
      <c r="Z807" s="604"/>
    </row>
    <row r="808" spans="1:26" ht="19.5" hidden="1">
      <c r="A808" s="599"/>
      <c r="B808" s="607"/>
      <c r="C808" s="759"/>
      <c r="D808" s="905" t="s">
        <v>20</v>
      </c>
      <c r="E808" s="857"/>
      <c r="F808" s="857"/>
      <c r="G808" s="603"/>
      <c r="H808" s="646" t="s">
        <v>12</v>
      </c>
      <c r="I808" s="166"/>
      <c r="J808" s="166"/>
      <c r="K808" s="167"/>
      <c r="L808" s="647">
        <f t="shared" ref="L808:N808" si="331">L809+L810</f>
        <v>0</v>
      </c>
      <c r="M808" s="647">
        <f t="shared" si="331"/>
        <v>0</v>
      </c>
      <c r="N808" s="647">
        <f t="shared" si="331"/>
        <v>0</v>
      </c>
      <c r="O808" s="647">
        <f t="shared" si="328"/>
        <v>0</v>
      </c>
      <c r="P808" s="647">
        <f t="shared" si="329"/>
        <v>0</v>
      </c>
      <c r="Q808" s="604"/>
      <c r="R808" s="604"/>
      <c r="S808" s="604"/>
      <c r="T808" s="604"/>
      <c r="U808" s="604"/>
      <c r="V808" s="604"/>
      <c r="W808" s="604"/>
      <c r="X808" s="604"/>
      <c r="Y808" s="604"/>
      <c r="Z808" s="604"/>
    </row>
    <row r="809" spans="1:26" ht="18.75" hidden="1">
      <c r="A809" s="599"/>
      <c r="B809" s="759"/>
      <c r="C809" s="759"/>
      <c r="D809" s="616"/>
      <c r="E809" s="759" t="s">
        <v>185</v>
      </c>
      <c r="F809" s="759"/>
      <c r="G809" s="603"/>
      <c r="H809" s="165" t="s">
        <v>12</v>
      </c>
      <c r="I809" s="617"/>
      <c r="J809" s="617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4"/>
      <c r="R809" s="604"/>
      <c r="S809" s="604"/>
      <c r="T809" s="604"/>
      <c r="U809" s="604"/>
      <c r="V809" s="604"/>
      <c r="W809" s="604"/>
      <c r="X809" s="604"/>
      <c r="Y809" s="604"/>
      <c r="Z809" s="604"/>
    </row>
    <row r="810" spans="1:26" ht="18.75" hidden="1">
      <c r="A810" s="599"/>
      <c r="B810" s="759"/>
      <c r="C810" s="759"/>
      <c r="D810" s="616"/>
      <c r="E810" s="759" t="s">
        <v>186</v>
      </c>
      <c r="F810" s="759"/>
      <c r="G810" s="603"/>
      <c r="H810" s="165" t="s">
        <v>12</v>
      </c>
      <c r="I810" s="617"/>
      <c r="J810" s="617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4"/>
      <c r="R810" s="604"/>
      <c r="S810" s="604"/>
      <c r="T810" s="604"/>
      <c r="U810" s="604"/>
      <c r="V810" s="604"/>
      <c r="W810" s="604"/>
      <c r="X810" s="604"/>
      <c r="Y810" s="604"/>
      <c r="Z810" s="604"/>
    </row>
    <row r="811" spans="1:26" ht="18.75" hidden="1">
      <c r="A811" s="649"/>
      <c r="B811" s="607"/>
      <c r="C811" s="759"/>
      <c r="D811" s="607"/>
      <c r="E811" s="759"/>
      <c r="F811" s="759" t="s">
        <v>187</v>
      </c>
      <c r="G811" s="603"/>
      <c r="H811" s="165" t="s">
        <v>12</v>
      </c>
      <c r="I811" s="617"/>
      <c r="J811" s="617"/>
      <c r="K811" s="93"/>
      <c r="L811" s="93"/>
      <c r="M811" s="93"/>
      <c r="N811" s="93"/>
      <c r="O811" s="93"/>
      <c r="P811" s="93"/>
      <c r="Q811" s="604"/>
      <c r="R811" s="604"/>
      <c r="S811" s="604"/>
      <c r="T811" s="604"/>
      <c r="U811" s="604"/>
      <c r="V811" s="604"/>
      <c r="W811" s="604"/>
      <c r="X811" s="604"/>
      <c r="Y811" s="604"/>
      <c r="Z811" s="604"/>
    </row>
    <row r="812" spans="1:26" ht="18.75" hidden="1">
      <c r="A812" s="649"/>
      <c r="B812" s="607"/>
      <c r="C812" s="759"/>
      <c r="D812" s="607"/>
      <c r="E812" s="759"/>
      <c r="F812" s="759" t="s">
        <v>188</v>
      </c>
      <c r="G812" s="603"/>
      <c r="H812" s="165" t="s">
        <v>12</v>
      </c>
      <c r="I812" s="617"/>
      <c r="J812" s="617"/>
      <c r="K812" s="93"/>
      <c r="L812" s="93"/>
      <c r="M812" s="93"/>
      <c r="N812" s="93"/>
      <c r="O812" s="93"/>
      <c r="P812" s="93"/>
      <c r="Q812" s="604"/>
      <c r="R812" s="604"/>
      <c r="S812" s="604"/>
      <c r="T812" s="604"/>
      <c r="U812" s="604"/>
      <c r="V812" s="604"/>
      <c r="W812" s="604"/>
      <c r="X812" s="604"/>
      <c r="Y812" s="604"/>
      <c r="Z812" s="604"/>
    </row>
    <row r="813" spans="1:26" ht="18.75" hidden="1">
      <c r="A813" s="649"/>
      <c r="B813" s="607"/>
      <c r="C813" s="759"/>
      <c r="D813" s="607"/>
      <c r="E813" s="759"/>
      <c r="F813" s="759" t="s">
        <v>189</v>
      </c>
      <c r="G813" s="603"/>
      <c r="H813" s="165" t="s">
        <v>12</v>
      </c>
      <c r="I813" s="617"/>
      <c r="J813" s="617"/>
      <c r="K813" s="93"/>
      <c r="L813" s="93"/>
      <c r="M813" s="93"/>
      <c r="N813" s="93"/>
      <c r="O813" s="93"/>
      <c r="P813" s="93"/>
      <c r="Q813" s="604"/>
      <c r="R813" s="604"/>
      <c r="S813" s="604"/>
      <c r="T813" s="604"/>
      <c r="U813" s="604"/>
      <c r="V813" s="604"/>
      <c r="W813" s="604"/>
      <c r="X813" s="604"/>
      <c r="Y813" s="604"/>
      <c r="Z813" s="604"/>
    </row>
    <row r="814" spans="1:26" ht="18.75" hidden="1">
      <c r="A814" s="649"/>
      <c r="B814" s="607"/>
      <c r="C814" s="759"/>
      <c r="D814" s="607"/>
      <c r="E814" s="759"/>
      <c r="F814" s="759" t="s">
        <v>190</v>
      </c>
      <c r="G814" s="603"/>
      <c r="H814" s="165" t="s">
        <v>12</v>
      </c>
      <c r="I814" s="617"/>
      <c r="J814" s="617"/>
      <c r="K814" s="93"/>
      <c r="L814" s="93"/>
      <c r="M814" s="93"/>
      <c r="N814" s="93"/>
      <c r="O814" s="93"/>
      <c r="P814" s="93"/>
      <c r="Q814" s="604"/>
      <c r="R814" s="604"/>
      <c r="S814" s="604"/>
      <c r="T814" s="604"/>
      <c r="U814" s="604"/>
      <c r="V814" s="604"/>
      <c r="W814" s="604"/>
      <c r="X814" s="604"/>
      <c r="Y814" s="604"/>
      <c r="Z814" s="604"/>
    </row>
    <row r="815" spans="1:26" ht="19.5" hidden="1">
      <c r="A815" s="599"/>
      <c r="B815" s="607"/>
      <c r="C815" s="759"/>
      <c r="D815" s="905" t="s">
        <v>21</v>
      </c>
      <c r="E815" s="857"/>
      <c r="F815" s="857"/>
      <c r="G815" s="603"/>
      <c r="H815" s="783" t="s">
        <v>12</v>
      </c>
      <c r="I815" s="166"/>
      <c r="J815" s="166"/>
      <c r="K815" s="167"/>
      <c r="L815" s="647">
        <f t="shared" ref="L815:N815" si="332">L816+L817</f>
        <v>0</v>
      </c>
      <c r="M815" s="647">
        <f t="shared" si="332"/>
        <v>0</v>
      </c>
      <c r="N815" s="647">
        <f t="shared" si="332"/>
        <v>0</v>
      </c>
      <c r="O815" s="647">
        <f t="shared" ref="O815:O817" si="333">IF(L815&gt;0,N815*100/L815,0)</f>
        <v>0</v>
      </c>
      <c r="P815" s="647">
        <f t="shared" ref="P815:P817" si="334">IF(M815&gt;0,N815*100/M815,0)</f>
        <v>0</v>
      </c>
      <c r="Q815" s="604"/>
      <c r="R815" s="604"/>
      <c r="S815" s="604"/>
      <c r="T815" s="604"/>
      <c r="U815" s="604"/>
      <c r="V815" s="604"/>
      <c r="W815" s="604"/>
      <c r="X815" s="604"/>
      <c r="Y815" s="604"/>
      <c r="Z815" s="604"/>
    </row>
    <row r="816" spans="1:26" ht="18.75" hidden="1">
      <c r="A816" s="599"/>
      <c r="B816" s="607"/>
      <c r="C816" s="759"/>
      <c r="D816" s="607"/>
      <c r="E816" s="759" t="s">
        <v>18</v>
      </c>
      <c r="F816" s="759"/>
      <c r="G816" s="603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4"/>
      <c r="R816" s="604"/>
      <c r="S816" s="604"/>
      <c r="T816" s="604"/>
      <c r="U816" s="604"/>
      <c r="V816" s="604"/>
      <c r="W816" s="604"/>
      <c r="X816" s="604"/>
      <c r="Y816" s="604"/>
      <c r="Z816" s="604"/>
    </row>
    <row r="817" spans="1:26" ht="18.75" hidden="1">
      <c r="A817" s="599"/>
      <c r="B817" s="607"/>
      <c r="C817" s="759"/>
      <c r="D817" s="607"/>
      <c r="E817" s="759" t="s">
        <v>19</v>
      </c>
      <c r="F817" s="759"/>
      <c r="G817" s="603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4"/>
      <c r="R817" s="604"/>
      <c r="S817" s="604"/>
      <c r="T817" s="604"/>
      <c r="U817" s="604"/>
      <c r="V817" s="604"/>
      <c r="W817" s="604"/>
      <c r="X817" s="604"/>
      <c r="Y817" s="604"/>
      <c r="Z817" s="604"/>
    </row>
    <row r="818" spans="1:26" ht="19.5" hidden="1">
      <c r="A818" s="614"/>
      <c r="B818" s="616"/>
      <c r="C818" s="759" t="s">
        <v>16</v>
      </c>
      <c r="D818" s="906" t="s">
        <v>38</v>
      </c>
      <c r="E818" s="651"/>
      <c r="F818" s="651"/>
      <c r="G818" s="652"/>
      <c r="H818" s="366"/>
      <c r="I818" s="166"/>
      <c r="J818" s="166"/>
      <c r="K818" s="167"/>
      <c r="L818" s="167"/>
      <c r="M818" s="167"/>
      <c r="N818" s="167"/>
      <c r="O818" s="167"/>
      <c r="P818" s="167"/>
      <c r="Q818" s="604"/>
      <c r="R818" s="604"/>
      <c r="S818" s="604"/>
      <c r="T818" s="604"/>
      <c r="U818" s="604"/>
      <c r="V818" s="604"/>
      <c r="W818" s="604"/>
      <c r="X818" s="604"/>
      <c r="Y818" s="604"/>
      <c r="Z818" s="604"/>
    </row>
    <row r="819" spans="1:26" ht="19.5" hidden="1" thickBot="1">
      <c r="A819" s="827"/>
      <c r="B819" s="828"/>
      <c r="C819" s="830"/>
      <c r="D819" s="828"/>
      <c r="E819" s="830" t="s">
        <v>324</v>
      </c>
      <c r="F819" s="830"/>
      <c r="G819" s="831"/>
      <c r="H819" s="832" t="s">
        <v>46</v>
      </c>
      <c r="I819" s="833"/>
      <c r="J819" s="833"/>
      <c r="K819" s="834"/>
      <c r="L819" s="834"/>
      <c r="M819" s="834"/>
      <c r="N819" s="834"/>
      <c r="O819" s="834"/>
      <c r="P819" s="834"/>
      <c r="Q819" s="604"/>
      <c r="R819" s="604"/>
      <c r="S819" s="604"/>
      <c r="T819" s="604"/>
      <c r="U819" s="604"/>
      <c r="V819" s="604"/>
      <c r="W819" s="604"/>
      <c r="X819" s="604"/>
      <c r="Y819" s="604"/>
      <c r="Z819" s="604"/>
    </row>
    <row r="820" spans="1:26" ht="19.5">
      <c r="A820" s="907" t="s">
        <v>337</v>
      </c>
      <c r="B820" s="908"/>
      <c r="C820" s="908"/>
      <c r="D820" s="909"/>
      <c r="E820" s="908"/>
      <c r="F820" s="908"/>
      <c r="G820" s="910"/>
      <c r="H820" s="91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912"/>
      <c r="J820" s="912"/>
      <c r="K820" s="913"/>
      <c r="L820" s="913"/>
      <c r="M820" s="913"/>
      <c r="N820" s="913"/>
      <c r="O820" s="913"/>
      <c r="P820" s="913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</row>
    <row r="821" spans="1:26" ht="18.75">
      <c r="A821" s="744"/>
      <c r="B821" s="763" t="s">
        <v>326</v>
      </c>
      <c r="C821" s="763"/>
      <c r="D821" s="575"/>
      <c r="E821" s="763"/>
      <c r="F821" s="763"/>
      <c r="G821" s="189"/>
      <c r="H821" s="623" t="s">
        <v>12</v>
      </c>
      <c r="I821" s="270">
        <f ca="1">IFERROR(__xludf.DUMMYFUNCTION("IMPORTRANGE(""https://docs.google.com/spreadsheets/d/19vJNZY_5yjcGF2XGBMNZRCAIB0Kwfpjp8YEOfu-bneM/edit?usp=sharing"",""งานกองทุน!D49"")"),4723929.31)</f>
        <v>4723929.3099999996</v>
      </c>
      <c r="J821" s="270">
        <f ca="1">IFERROR(__xludf.DUMMYFUNCTION("IMPORTRANGE(""https://docs.google.com/spreadsheets/d/19vJNZY_5yjcGF2XGBMNZRCAIB0Kwfpjp8YEOfu-bneM/edit?usp=sharing"",""งานกองทุน!F49"")"),4568810.52)</f>
        <v>4568810.5199999996</v>
      </c>
      <c r="K821" s="498">
        <f t="shared" ref="K821:K828" ca="1" si="335">IF(I821&gt;0,J821*100/I821,0)</f>
        <v>96.716318559813502</v>
      </c>
      <c r="L821" s="498"/>
      <c r="M821" s="498"/>
      <c r="N821" s="498"/>
      <c r="O821" s="498"/>
      <c r="P821" s="49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</row>
    <row r="822" spans="1:26" ht="18.75">
      <c r="A822" s="744"/>
      <c r="B822" s="763"/>
      <c r="C822" s="763"/>
      <c r="D822" s="575"/>
      <c r="E822" s="763"/>
      <c r="F822" s="763"/>
      <c r="G822" s="189"/>
      <c r="H822" s="623" t="s">
        <v>35</v>
      </c>
      <c r="I822" s="270">
        <f ca="1">IFERROR(__xludf.DUMMYFUNCTION("IMPORTRANGE(""https://docs.google.com/spreadsheets/d/19vJNZY_5yjcGF2XGBMNZRCAIB0Kwfpjp8YEOfu-bneM/edit?usp=sharing"",""งานกองทุน!C49"")"),416)</f>
        <v>416</v>
      </c>
      <c r="J822" s="270">
        <f ca="1">IFERROR(__xludf.DUMMYFUNCTION("IMPORTRANGE(""https://docs.google.com/spreadsheets/d/19vJNZY_5yjcGF2XGBMNZRCAIB0Kwfpjp8YEOfu-bneM/edit?usp=sharing"",""งานกองทุน!E49"")"),389)</f>
        <v>389</v>
      </c>
      <c r="K822" s="498">
        <f t="shared" ca="1" si="335"/>
        <v>93.509615384615387</v>
      </c>
      <c r="L822" s="498"/>
      <c r="M822" s="498"/>
      <c r="N822" s="498"/>
      <c r="O822" s="498"/>
      <c r="P822" s="49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</row>
    <row r="823" spans="1:26" ht="18.75">
      <c r="A823" s="744"/>
      <c r="B823" s="763" t="s">
        <v>327</v>
      </c>
      <c r="C823" s="763"/>
      <c r="D823" s="575"/>
      <c r="E823" s="763"/>
      <c r="F823" s="763"/>
      <c r="G823" s="189"/>
      <c r="H823" s="623" t="s">
        <v>12</v>
      </c>
      <c r="I823" s="270">
        <f ca="1">IFERROR(__xludf.DUMMYFUNCTION("IMPORTRANGE(""https://docs.google.com/spreadsheets/d/19vJNZY_5yjcGF2XGBMNZRCAIB0Kwfpjp8YEOfu-bneM/edit?usp=sharing"",""งานกองทุน!I49"")"),3325909.8)</f>
        <v>3325909.8</v>
      </c>
      <c r="J823" s="270">
        <f ca="1">IFERROR(__xludf.DUMMYFUNCTION("IMPORTRANGE(""https://docs.google.com/spreadsheets/d/19vJNZY_5yjcGF2XGBMNZRCAIB0Kwfpjp8YEOfu-bneM/edit?usp=sharing"",""งานกองทุน!K49"")"),315820.13)</f>
        <v>315820.13</v>
      </c>
      <c r="K823" s="498">
        <f t="shared" ca="1" si="335"/>
        <v>9.4957515083541963</v>
      </c>
      <c r="L823" s="498"/>
      <c r="M823" s="498"/>
      <c r="N823" s="498"/>
      <c r="O823" s="498"/>
      <c r="P823" s="49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</row>
    <row r="824" spans="1:26" ht="18.75">
      <c r="A824" s="744"/>
      <c r="B824" s="763"/>
      <c r="C824" s="763"/>
      <c r="D824" s="575"/>
      <c r="E824" s="763"/>
      <c r="F824" s="763"/>
      <c r="G824" s="189"/>
      <c r="H824" s="623" t="s">
        <v>35</v>
      </c>
      <c r="I824" s="270">
        <f ca="1">IFERROR(__xludf.DUMMYFUNCTION("IMPORTRANGE(""https://docs.google.com/spreadsheets/d/19vJNZY_5yjcGF2XGBMNZRCAIB0Kwfpjp8YEOfu-bneM/edit?usp=sharing"",""งานกองทุน!H49"")"),192)</f>
        <v>192</v>
      </c>
      <c r="J824" s="270">
        <f ca="1">IFERROR(__xludf.DUMMYFUNCTION("IMPORTRANGE(""https://docs.google.com/spreadsheets/d/19vJNZY_5yjcGF2XGBMNZRCAIB0Kwfpjp8YEOfu-bneM/edit?usp=sharing"",""งานกองทุน!J49"")"),95)</f>
        <v>95</v>
      </c>
      <c r="K824" s="498">
        <f t="shared" ca="1" si="335"/>
        <v>49.479166666666664</v>
      </c>
      <c r="L824" s="498"/>
      <c r="M824" s="498"/>
      <c r="N824" s="498"/>
      <c r="O824" s="498"/>
      <c r="P824" s="49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</row>
    <row r="825" spans="1:26" ht="18.75">
      <c r="A825" s="744"/>
      <c r="B825" s="763" t="s">
        <v>328</v>
      </c>
      <c r="C825" s="763"/>
      <c r="D825" s="575"/>
      <c r="E825" s="763"/>
      <c r="F825" s="763"/>
      <c r="G825" s="189"/>
      <c r="H825" s="623" t="s">
        <v>12</v>
      </c>
      <c r="I825" s="270">
        <f ca="1">IFERROR(__xludf.DUMMYFUNCTION("IMPORTRANGE(""https://docs.google.com/spreadsheets/d/19vJNZY_5yjcGF2XGBMNZRCAIB0Kwfpjp8YEOfu-bneM/edit?usp=sharing"",""งานกองทุน!N49"")"),0)</f>
        <v>0</v>
      </c>
      <c r="J825" s="270">
        <f ca="1">IFERROR(__xludf.DUMMYFUNCTION("IMPORTRANGE(""https://docs.google.com/spreadsheets/d/19vJNZY_5yjcGF2XGBMNZRCAIB0Kwfpjp8YEOfu-bneM/edit?usp=sharing"",""งานกองทุน!P49"")"),0)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</row>
    <row r="826" spans="1:26" ht="18.75">
      <c r="A826" s="744"/>
      <c r="B826" s="763"/>
      <c r="C826" s="763"/>
      <c r="D826" s="575"/>
      <c r="E826" s="763"/>
      <c r="F826" s="763"/>
      <c r="G826" s="189"/>
      <c r="H826" s="623" t="s">
        <v>35</v>
      </c>
      <c r="I826" s="270">
        <f ca="1">IFERROR(__xludf.DUMMYFUNCTION("IMPORTRANGE(""https://docs.google.com/spreadsheets/d/19vJNZY_5yjcGF2XGBMNZRCAIB0Kwfpjp8YEOfu-bneM/edit?usp=sharing"",""งานกองทุน!M49"")"),0)</f>
        <v>0</v>
      </c>
      <c r="J826" s="270">
        <f ca="1">IFERROR(__xludf.DUMMYFUNCTION("IMPORTRANGE(""https://docs.google.com/spreadsheets/d/19vJNZY_5yjcGF2XGBMNZRCAIB0Kwfpjp8YEOfu-bneM/edit?usp=sharing"",""งานกองทุน!O49"")"),0)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</row>
    <row r="827" spans="1:26" ht="18.75">
      <c r="A827" s="744"/>
      <c r="B827" s="763" t="s">
        <v>329</v>
      </c>
      <c r="C827" s="763"/>
      <c r="D827" s="575"/>
      <c r="E827" s="763"/>
      <c r="F827" s="763"/>
      <c r="G827" s="189"/>
      <c r="H827" s="623" t="s">
        <v>12</v>
      </c>
      <c r="I827" s="270">
        <f ca="1">IFERROR(__xludf.DUMMYFUNCTION("IMPORTRANGE(""https://docs.google.com/spreadsheets/d/19vJNZY_5yjcGF2XGBMNZRCAIB0Kwfpjp8YEOfu-bneM/edit?usp=sharing"",""งานกองทุน!S49"")"),5000000)</f>
        <v>5000000</v>
      </c>
      <c r="J827" s="270">
        <f ca="1">IFERROR(__xludf.DUMMYFUNCTION("IMPORTRANGE(""https://docs.google.com/spreadsheets/d/19vJNZY_5yjcGF2XGBMNZRCAIB0Kwfpjp8YEOfu-bneM/edit?usp=sharing"",""งานกองทุน!U49"")"),5000000)</f>
        <v>5000000</v>
      </c>
      <c r="K827" s="498">
        <f t="shared" ca="1" si="335"/>
        <v>100</v>
      </c>
      <c r="L827" s="498"/>
      <c r="M827" s="498"/>
      <c r="N827" s="498"/>
      <c r="O827" s="498"/>
      <c r="P827" s="49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</row>
    <row r="828" spans="1:26" ht="18.75">
      <c r="A828" s="841"/>
      <c r="B828" s="749"/>
      <c r="C828" s="749"/>
      <c r="D828" s="748"/>
      <c r="E828" s="749"/>
      <c r="F828" s="749"/>
      <c r="G828" s="842"/>
      <c r="H828" s="843" t="s">
        <v>35</v>
      </c>
      <c r="I828" s="506">
        <f ca="1">IFERROR(__xludf.DUMMYFUNCTION("IMPORTRANGE(""https://docs.google.com/spreadsheets/d/19vJNZY_5yjcGF2XGBMNZRCAIB0Kwfpjp8YEOfu-bneM/edit?usp=sharing"",""งานกองทุน!R49"")"),185)</f>
        <v>185</v>
      </c>
      <c r="J828" s="506">
        <f ca="1">IFERROR(__xludf.DUMMYFUNCTION("IMPORTRANGE(""https://docs.google.com/spreadsheets/d/19vJNZY_5yjcGF2XGBMNZRCAIB0Kwfpjp8YEOfu-bneM/edit?usp=sharing"",""งานกองทุน!T49"")"),160)</f>
        <v>160</v>
      </c>
      <c r="K828" s="507">
        <f t="shared" ca="1" si="335"/>
        <v>86.486486486486484</v>
      </c>
      <c r="L828" s="507"/>
      <c r="M828" s="507"/>
      <c r="N828" s="507"/>
      <c r="O828" s="507"/>
      <c r="P828" s="507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8FD22-C621-4C6D-A23B-0288FD95C828}">
  <sheetPr>
    <outlinePr summaryBelow="0" summaryRight="0"/>
    <pageSetUpPr fitToPage="1"/>
  </sheetPr>
  <dimension ref="A1:Z1822"/>
  <sheetViews>
    <sheetView view="pageBreakPreview" topLeftCell="C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330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364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6473527</v>
      </c>
      <c r="M8" s="22">
        <f t="shared" ca="1" si="0"/>
        <v>6563013.5</v>
      </c>
      <c r="N8" s="22">
        <f t="shared" ca="1" si="0"/>
        <v>6563011.1399999997</v>
      </c>
      <c r="O8" s="22">
        <f t="shared" ref="O8:O16" ca="1" si="1">IF(L8&gt;0,N8*100/L8,0)</f>
        <v>101.38230890208692</v>
      </c>
      <c r="P8" s="22">
        <f t="shared" ref="P8:P16" ca="1" si="2">IF(M8&gt;0,N8*100/M8,0)</f>
        <v>99.999964040908949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6473527</v>
      </c>
      <c r="M10" s="30">
        <f t="shared" ca="1" si="3"/>
        <v>6563013.5</v>
      </c>
      <c r="N10" s="30">
        <f t="shared" ca="1" si="3"/>
        <v>6563011.1399999997</v>
      </c>
      <c r="O10" s="30">
        <f t="shared" ca="1" si="1"/>
        <v>101.38230890208692</v>
      </c>
      <c r="P10" s="30">
        <f t="shared" ca="1" si="2"/>
        <v>99.999964040908949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3" t="s">
        <v>12</v>
      </c>
      <c r="I11" s="270"/>
      <c r="J11" s="270"/>
      <c r="K11" s="498"/>
      <c r="L11" s="498">
        <f t="shared" ref="L11:N11" ca="1" si="4">L12+L13</f>
        <v>6389727</v>
      </c>
      <c r="M11" s="498">
        <f t="shared" ca="1" si="4"/>
        <v>6479213.5</v>
      </c>
      <c r="N11" s="498">
        <f t="shared" ca="1" si="4"/>
        <v>6479211.1399999997</v>
      </c>
      <c r="O11" s="498">
        <f t="shared" ca="1" si="1"/>
        <v>101.40043760868031</v>
      </c>
      <c r="P11" s="498">
        <f t="shared" ca="1" si="2"/>
        <v>99.999963575825987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7"/>
      <c r="J12" s="617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7"/>
      <c r="J13" s="617"/>
      <c r="K13" s="93"/>
      <c r="L13" s="93">
        <f t="shared" ca="1" si="5"/>
        <v>6389727</v>
      </c>
      <c r="M13" s="93">
        <f t="shared" ca="1" si="5"/>
        <v>6479213.5</v>
      </c>
      <c r="N13" s="93">
        <f t="shared" ca="1" si="5"/>
        <v>6479211.1399999997</v>
      </c>
      <c r="O13" s="93">
        <f t="shared" ca="1" si="1"/>
        <v>101.40043760868031</v>
      </c>
      <c r="P13" s="93">
        <f t="shared" ca="1" si="2"/>
        <v>99.999963575825987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3" t="s">
        <v>12</v>
      </c>
      <c r="I14" s="270"/>
      <c r="J14" s="270"/>
      <c r="K14" s="498"/>
      <c r="L14" s="498">
        <f t="shared" ref="L14:N14" ca="1" si="6">L15+L16</f>
        <v>83800</v>
      </c>
      <c r="M14" s="498">
        <f t="shared" ca="1" si="6"/>
        <v>83800</v>
      </c>
      <c r="N14" s="498">
        <f t="shared" ca="1" si="6"/>
        <v>83800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7"/>
      <c r="J15" s="617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83800</v>
      </c>
      <c r="M16" s="52">
        <f t="shared" ca="1" si="7"/>
        <v>83800</v>
      </c>
      <c r="N16" s="52">
        <f t="shared" ca="1" si="7"/>
        <v>83800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3619460</v>
      </c>
      <c r="M18" s="22">
        <f t="shared" ca="1" si="8"/>
        <v>3949197.51</v>
      </c>
      <c r="N18" s="22">
        <f t="shared" ca="1" si="8"/>
        <v>3949195.15</v>
      </c>
      <c r="O18" s="22">
        <f t="shared" ref="O18:O26" ca="1" si="9">IF(L18&gt;0,N18*100/L18,0)</f>
        <v>109.1100647610417</v>
      </c>
      <c r="P18" s="22">
        <f t="shared" ref="P18:P26" ca="1" si="10">IF(M18&gt;0,N18*100/M18,0)</f>
        <v>99.999940241023808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3619460</v>
      </c>
      <c r="M20" s="30">
        <f t="shared" ca="1" si="11"/>
        <v>3949197.51</v>
      </c>
      <c r="N20" s="30">
        <f t="shared" ca="1" si="11"/>
        <v>3949195.15</v>
      </c>
      <c r="O20" s="30">
        <f t="shared" ca="1" si="9"/>
        <v>109.1100647610417</v>
      </c>
      <c r="P20" s="30">
        <f t="shared" ca="1" si="10"/>
        <v>99.999940241023808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3" t="s">
        <v>12</v>
      </c>
      <c r="I21" s="270"/>
      <c r="J21" s="270"/>
      <c r="K21" s="498"/>
      <c r="L21" s="498">
        <f t="shared" ref="L21:N21" ca="1" si="12">L22+L23</f>
        <v>3535660</v>
      </c>
      <c r="M21" s="498">
        <f t="shared" ca="1" si="12"/>
        <v>3865397.51</v>
      </c>
      <c r="N21" s="498">
        <f t="shared" ca="1" si="12"/>
        <v>3865395.15</v>
      </c>
      <c r="O21" s="498">
        <f t="shared" ca="1" si="9"/>
        <v>109.32598581311551</v>
      </c>
      <c r="P21" s="498">
        <f t="shared" ca="1" si="10"/>
        <v>99.999938945477311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7"/>
      <c r="J22" s="617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7"/>
      <c r="J23" s="617"/>
      <c r="K23" s="93"/>
      <c r="L23" s="93">
        <f t="shared" ca="1" si="13"/>
        <v>3535660</v>
      </c>
      <c r="M23" s="93">
        <f t="shared" ca="1" si="13"/>
        <v>3865397.51</v>
      </c>
      <c r="N23" s="93">
        <f t="shared" ca="1" si="13"/>
        <v>3865395.15</v>
      </c>
      <c r="O23" s="93">
        <f t="shared" ca="1" si="9"/>
        <v>109.32598581311551</v>
      </c>
      <c r="P23" s="93">
        <f t="shared" ca="1" si="10"/>
        <v>99.999938945477311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3" t="s">
        <v>12</v>
      </c>
      <c r="I24" s="270"/>
      <c r="J24" s="270"/>
      <c r="K24" s="498"/>
      <c r="L24" s="498">
        <f t="shared" ref="L24:N24" ca="1" si="14">L25+L26</f>
        <v>83800</v>
      </c>
      <c r="M24" s="498">
        <f t="shared" ca="1" si="14"/>
        <v>83800</v>
      </c>
      <c r="N24" s="498">
        <f t="shared" ca="1" si="14"/>
        <v>83800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7"/>
      <c r="J25" s="617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83800</v>
      </c>
      <c r="M26" s="52">
        <f t="shared" ca="1" si="15"/>
        <v>83800</v>
      </c>
      <c r="N26" s="52">
        <f t="shared" ca="1" si="15"/>
        <v>83800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2854067</v>
      </c>
      <c r="M28" s="22">
        <f t="shared" ca="1" si="16"/>
        <v>2613815.9899999998</v>
      </c>
      <c r="N28" s="22">
        <f t="shared" si="16"/>
        <v>2613815.9899999998</v>
      </c>
      <c r="O28" s="22">
        <f t="shared" ref="O28:O37" ca="1" si="17">IF(L28&gt;0,N28*100/L28,0)</f>
        <v>91.582152416183632</v>
      </c>
      <c r="P28" s="22">
        <f t="shared" ref="P28:P37" ca="1" si="18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2854067</v>
      </c>
      <c r="M30" s="30">
        <f t="shared" ca="1" si="19"/>
        <v>2613815.9899999998</v>
      </c>
      <c r="N30" s="30">
        <f t="shared" si="19"/>
        <v>2613815.9899999998</v>
      </c>
      <c r="O30" s="30">
        <f t="shared" ca="1" si="17"/>
        <v>91.582152416183632</v>
      </c>
      <c r="P30" s="30">
        <f t="shared" ca="1" si="18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3" t="s">
        <v>12</v>
      </c>
      <c r="I31" s="270"/>
      <c r="J31" s="270"/>
      <c r="K31" s="498"/>
      <c r="L31" s="498">
        <f t="shared" ref="L31:N31" ca="1" si="20">L32+L33</f>
        <v>2854067</v>
      </c>
      <c r="M31" s="498">
        <f t="shared" ca="1" si="20"/>
        <v>2613815.9899999998</v>
      </c>
      <c r="N31" s="498">
        <f t="shared" si="20"/>
        <v>2613815.9899999998</v>
      </c>
      <c r="O31" s="498">
        <f t="shared" ca="1" si="17"/>
        <v>91.582152416183632</v>
      </c>
      <c r="P31" s="498">
        <f t="shared" ca="1" si="18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7"/>
      <c r="J32" s="617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7"/>
      <c r="J33" s="617"/>
      <c r="K33" s="93"/>
      <c r="L33" s="93">
        <f t="shared" ca="1" si="21"/>
        <v>2854067</v>
      </c>
      <c r="M33" s="93">
        <f t="shared" ca="1" si="21"/>
        <v>2613815.9899999998</v>
      </c>
      <c r="N33" s="93">
        <f t="shared" si="21"/>
        <v>2613815.9899999998</v>
      </c>
      <c r="O33" s="93">
        <f t="shared" ca="1" si="17"/>
        <v>91.582152416183632</v>
      </c>
      <c r="P33" s="93">
        <f t="shared" ca="1" si="18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3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7"/>
      <c r="J35" s="617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7" t="s">
        <v>24</v>
      </c>
      <c r="B37" s="868"/>
      <c r="C37" s="868"/>
      <c r="D37" s="868"/>
      <c r="E37" s="868"/>
      <c r="F37" s="868"/>
      <c r="G37" s="869"/>
      <c r="H37" s="870"/>
      <c r="I37" s="871"/>
      <c r="J37" s="871"/>
      <c r="K37" s="872"/>
      <c r="L37" s="873">
        <f t="shared" ref="L37:N37" ca="1" si="24">L41+L53+L66+L88+L119+L132+L149+L165+L181+L261+L277+L298+L315+L328+L345+L389+L402</f>
        <v>3619460</v>
      </c>
      <c r="M37" s="873">
        <f t="shared" ca="1" si="24"/>
        <v>3949197.51</v>
      </c>
      <c r="N37" s="873">
        <f t="shared" ca="1" si="24"/>
        <v>3949195.15</v>
      </c>
      <c r="O37" s="873">
        <f t="shared" ca="1" si="17"/>
        <v>109.1100647610417</v>
      </c>
      <c r="P37" s="873">
        <f t="shared" ca="1" si="18"/>
        <v>99.999940241023808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746550</v>
      </c>
      <c r="M41" s="85">
        <f t="shared" ca="1" si="25"/>
        <v>906627.51</v>
      </c>
      <c r="N41" s="85">
        <f t="shared" ca="1" si="25"/>
        <v>906627.51</v>
      </c>
      <c r="O41" s="85">
        <f t="shared" ref="O41:O49" ca="1" si="26">IF(L41&gt;0,N41*100/L41,0)</f>
        <v>121.44230259192284</v>
      </c>
      <c r="P41" s="85">
        <f t="shared" ref="P41:P49" ca="1" si="27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746550</v>
      </c>
      <c r="M43" s="92">
        <f t="shared" ca="1" si="28"/>
        <v>906627.51</v>
      </c>
      <c r="N43" s="92">
        <f t="shared" ca="1" si="28"/>
        <v>906627.51</v>
      </c>
      <c r="O43" s="92">
        <f t="shared" ca="1" si="26"/>
        <v>121.44230259192284</v>
      </c>
      <c r="P43" s="92">
        <f t="shared" ca="1" si="27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3" t="s">
        <v>12</v>
      </c>
      <c r="I44" s="270"/>
      <c r="J44" s="270"/>
      <c r="K44" s="498"/>
      <c r="L44" s="498">
        <f t="shared" ref="L44:N44" ca="1" si="29">L45+L46</f>
        <v>746550</v>
      </c>
      <c r="M44" s="498">
        <f t="shared" ca="1" si="29"/>
        <v>906627.51</v>
      </c>
      <c r="N44" s="498">
        <f t="shared" ca="1" si="29"/>
        <v>906627.51</v>
      </c>
      <c r="O44" s="498">
        <f t="shared" ca="1" si="26"/>
        <v>121.44230259192284</v>
      </c>
      <c r="P44" s="498">
        <f t="shared" ca="1" si="27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7"/>
      <c r="J45" s="617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7"/>
      <c r="J46" s="617"/>
      <c r="K46" s="93"/>
      <c r="L46" s="93">
        <f ca="1">IFERROR(__xludf.DUMMYFUNCTION("IMPORTRANGE(""https://docs.google.com/spreadsheets/d/1MeEWN-I1oV_STSDYn1IFDPWt_1FKiwhDph83XaGc0o0/edit?usp=sharing"",""งบพรบ!M32"")"),746550)</f>
        <v>746550</v>
      </c>
      <c r="M46" s="93">
        <f ca="1">IFERROR(__xludf.DUMMYFUNCTION("IMPORTRANGE(""https://docs.google.com/spreadsheets/d/1MeEWN-I1oV_STSDYn1IFDPWt_1FKiwhDph83XaGc0o0/edit?usp=sharing"",""งบพรบ!R32"")"),906627.51)</f>
        <v>906627.51</v>
      </c>
      <c r="N46" s="93">
        <f ca="1">IFERROR(__xludf.DUMMYFUNCTION("IMPORTRANGE(""https://docs.google.com/spreadsheets/d/1MeEWN-I1oV_STSDYn1IFDPWt_1FKiwhDph83XaGc0o0/edit?usp=sharing"",""งบพรบ!T32"")"),906627.51)</f>
        <v>906627.51</v>
      </c>
      <c r="O46" s="93">
        <f t="shared" ca="1" si="26"/>
        <v>121.44230259192284</v>
      </c>
      <c r="P46" s="93">
        <f t="shared" ca="1" si="27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3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7"/>
      <c r="J48" s="617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IFERROR(__xludf.DUMMYFUNCTION("IMPORTRANGE(""https://docs.google.com/spreadsheets/d/1MeEWN-I1oV_STSDYn1IFDPWt_1FKiwhDph83XaGc0o0/edit?usp=sharing"",""งบพรบ!P32"")"),0)</f>
        <v>0</v>
      </c>
      <c r="M49" s="52">
        <f ca="1">IFERROR(__xludf.DUMMYFUNCTION("IMPORTRANGE(""https://docs.google.com/spreadsheets/d/1MeEWN-I1oV_STSDYn1IFDPWt_1FKiwhDph83XaGc0o0/edit?usp=sharing"",""งบพรบ!S32"")"),0)</f>
        <v>0</v>
      </c>
      <c r="N49" s="52">
        <f ca="1">IFERROR(__xludf.DUMMYFUNCTION("IMPORTRANGE(""https://docs.google.com/spreadsheets/d/1MeEWN-I1oV_STSDYn1IFDPWt_1FKiwhDph83XaGc0o0/edit?usp=sharing"",""งบพรบ!U32"")"),0)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759500</v>
      </c>
      <c r="M53" s="116">
        <f t="shared" ca="1" si="31"/>
        <v>759500</v>
      </c>
      <c r="N53" s="116">
        <f t="shared" ca="1" si="31"/>
        <v>759499.86</v>
      </c>
      <c r="O53" s="116">
        <f t="shared" ref="O53:O61" ca="1" si="32">IF(L53&gt;0,N53*100/L53,0)</f>
        <v>99.999981566820281</v>
      </c>
      <c r="P53" s="116">
        <f t="shared" ref="P53:P61" ca="1" si="33">IF(M53&gt;0,N53*100/M53,0)</f>
        <v>99.999981566820281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759500</v>
      </c>
      <c r="M55" s="123">
        <f t="shared" ca="1" si="34"/>
        <v>759500</v>
      </c>
      <c r="N55" s="123">
        <f t="shared" ca="1" si="34"/>
        <v>759499.86</v>
      </c>
      <c r="O55" s="123">
        <f t="shared" ca="1" si="32"/>
        <v>99.999981566820281</v>
      </c>
      <c r="P55" s="123">
        <f t="shared" ca="1" si="33"/>
        <v>99.999981566820281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3" t="s">
        <v>12</v>
      </c>
      <c r="I56" s="270"/>
      <c r="J56" s="270"/>
      <c r="K56" s="498"/>
      <c r="L56" s="498">
        <f t="shared" ref="L56:N56" ca="1" si="35">L57+L58</f>
        <v>759500</v>
      </c>
      <c r="M56" s="498">
        <f t="shared" ca="1" si="35"/>
        <v>759500</v>
      </c>
      <c r="N56" s="498">
        <f t="shared" ca="1" si="35"/>
        <v>759499.86</v>
      </c>
      <c r="O56" s="498">
        <f t="shared" ca="1" si="32"/>
        <v>99.999981566820281</v>
      </c>
      <c r="P56" s="498">
        <f t="shared" ca="1" si="33"/>
        <v>99.999981566820281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7"/>
      <c r="J57" s="617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7"/>
      <c r="J58" s="617"/>
      <c r="K58" s="93"/>
      <c r="L58" s="93">
        <f ca="1">IFERROR(__xludf.DUMMYFUNCTION("IMPORTRANGE(""https://docs.google.com/spreadsheets/d/1MeEWN-I1oV_STSDYn1IFDPWt_1FKiwhDph83XaGc0o0/edit?usp=sharing"",""งบพรบ!W32"")"),759500)</f>
        <v>759500</v>
      </c>
      <c r="M58" s="93">
        <f ca="1">IFERROR(__xludf.DUMMYFUNCTION("IMPORTRANGE(""https://docs.google.com/spreadsheets/d/1MeEWN-I1oV_STSDYn1IFDPWt_1FKiwhDph83XaGc0o0/edit?usp=sharing"",""งบพรบ!AB32"")"),759500)</f>
        <v>759500</v>
      </c>
      <c r="N58" s="93">
        <f ca="1">IFERROR(__xludf.DUMMYFUNCTION("IMPORTRANGE(""https://docs.google.com/spreadsheets/d/1MeEWN-I1oV_STSDYn1IFDPWt_1FKiwhDph83XaGc0o0/edit?usp=sharing"",""งบพรบ!AD32"")"),759499.86)</f>
        <v>759499.86</v>
      </c>
      <c r="O58" s="93">
        <f t="shared" ca="1" si="32"/>
        <v>99.999981566820281</v>
      </c>
      <c r="P58" s="93">
        <f t="shared" ca="1" si="33"/>
        <v>99.999981566820281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3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7"/>
      <c r="J60" s="617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IFERROR(__xludf.DUMMYFUNCTION("IMPORTRANGE(""https://docs.google.com/spreadsheets/d/1MeEWN-I1oV_STSDYn1IFDPWt_1FKiwhDph83XaGc0o0/edit?usp=sharing"",""งบพรบ!Z32"")"),0)</f>
        <v>0</v>
      </c>
      <c r="M61" s="52">
        <f ca="1">IFERROR(__xludf.DUMMYFUNCTION("IMPORTRANGE(""https://docs.google.com/spreadsheets/d/1MeEWN-I1oV_STSDYn1IFDPWt_1FKiwhDph83XaGc0o0/edit?usp=sharing"",""งบพรบ!AC32"")"),0)</f>
        <v>0</v>
      </c>
      <c r="N61" s="52">
        <f ca="1">IFERROR(__xludf.DUMMYFUNCTION("IMPORTRANGE(""https://docs.google.com/spreadsheets/d/1MeEWN-I1oV_STSDYn1IFDPWt_1FKiwhDph83XaGc0o0/edit?usp=sharing"",""งบพรบ!AE32"")"),0)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7"/>
      <c r="J67" s="617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7"/>
      <c r="J68" s="617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IFERROR(__xludf.DUMMYFUNCTION("IMPORTRANGE(""https://docs.google.com/spreadsheets/d/1MeEWN-I1oV_STSDYn1IFDPWt_1FKiwhDph83XaGc0o0/edit?usp=sharing"",""งบพรบ!AG32"")"),0)</f>
        <v>0</v>
      </c>
      <c r="M71" s="93">
        <f ca="1">IFERROR(__xludf.DUMMYFUNCTION("IMPORTRANGE(""https://docs.google.com/spreadsheets/d/1MeEWN-I1oV_STSDYn1IFDPWt_1FKiwhDph83XaGc0o0/edit?usp=sharing"",""งบพรบ!AL32"")"),0)</f>
        <v>0</v>
      </c>
      <c r="N71" s="93">
        <f ca="1">IFERROR(__xludf.DUMMYFUNCTION("IMPORTRANGE(""https://docs.google.com/spreadsheets/d/1MeEWN-I1oV_STSDYn1IFDPWt_1FKiwhDph83XaGc0o0/edit?usp=sharing"",""งบพรบ!AN32"")"),0)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IFERROR(__xludf.DUMMYFUNCTION("IMPORTRANGE(""https://docs.google.com/spreadsheets/d/1MeEWN-I1oV_STSDYn1IFDPWt_1FKiwhDph83XaGc0o0/edit?usp=sharing"",""งบพรบ!AJ32"")"),0)</f>
        <v>0</v>
      </c>
      <c r="M74" s="93">
        <f ca="1">IFERROR(__xludf.DUMMYFUNCTION("IMPORTRANGE(""https://docs.google.com/spreadsheets/d/1MeEWN-I1oV_STSDYn1IFDPWt_1FKiwhDph83XaGc0o0/edit?usp=sharing"",""งบพรบ!AM32"")"),0)</f>
        <v>0</v>
      </c>
      <c r="N74" s="93">
        <f ca="1">IFERROR(__xludf.DUMMYFUNCTION("IMPORTRANGE(""https://docs.google.com/spreadsheets/d/1MeEWN-I1oV_STSDYn1IFDPWt_1FKiwhDph83XaGc0o0/edit?usp=sharing"",""งบพรบ!AO32"")"),0)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7" t="s">
        <v>38</v>
      </c>
      <c r="E75" s="173"/>
      <c r="F75" s="173"/>
      <c r="G75" s="174"/>
      <c r="H75" s="762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4" t="s">
        <v>34</v>
      </c>
      <c r="I78" s="184">
        <f ca="1">IFERROR(__xludf.DUMMYFUNCTION("IMPORTRANGE(""https://docs.google.com/spreadsheets/d/1QqKyyYR6Q21VydFLVH3TRQUabQu_ym0Zz7PgGX0-kHA/edit?usp=sharing"",""แผน!H32"")"),0)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4" t="s">
        <v>35</v>
      </c>
      <c r="I79" s="184">
        <f ca="1">IFERROR(__xludf.DUMMYFUNCTION("IMPORTRANGE(""https://docs.google.com/spreadsheets/d/1QqKyyYR6Q21VydFLVH3TRQUabQu_ym0Zz7PgGX0-kHA/edit?usp=sharing"",""แผน!I32"")"),0)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4" t="s">
        <v>34</v>
      </c>
      <c r="I80" s="184">
        <f ca="1">IFERROR(__xludf.DUMMYFUNCTION("IMPORTRANGE(""https://docs.google.com/spreadsheets/d/1QqKyyYR6Q21VydFLVH3TRQUabQu_ym0Zz7PgGX0-kHA/edit?usp=sharing"",""แผน!F32"")"),0)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4" t="s">
        <v>35</v>
      </c>
      <c r="I81" s="184">
        <f ca="1">IFERROR(__xludf.DUMMYFUNCTION("IMPORTRANGE(""https://docs.google.com/spreadsheets/d/1QqKyyYR6Q21VydFLVH3TRQUabQu_ym0Zz7PgGX0-kHA/edit?usp=sharing"",""แผน!G32"")"),0)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4" t="s">
        <v>34</v>
      </c>
      <c r="I82" s="184">
        <f ca="1">IFERROR(__xludf.DUMMYFUNCTION("IMPORTRANGE(""https://docs.google.com/spreadsheets/d/1QqKyyYR6Q21VydFLVH3TRQUabQu_ym0Zz7PgGX0-kHA/edit?usp=sharing"",""แผน!D32"")"),0)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4" t="s">
        <v>35</v>
      </c>
      <c r="I83" s="184">
        <f ca="1">IFERROR(__xludf.DUMMYFUNCTION("IMPORTRANGE(""https://docs.google.com/spreadsheets/d/1QqKyyYR6Q21VydFLVH3TRQUabQu_ym0Zz7PgGX0-kHA/edit?usp=sharing"",""แผน!E32"")"),0)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IFERROR(__xludf.DUMMYFUNCTION("IMPORTRANGE(""https://docs.google.com/spreadsheets/d/1QqKyyYR6Q21VydFLVH3TRQUabQu_ym0Zz7PgGX0-kHA/edit?usp=sharing"",""แผน!J32"")"),0)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56040</v>
      </c>
      <c r="M88" s="155">
        <f t="shared" ca="1" si="49"/>
        <v>71040</v>
      </c>
      <c r="N88" s="155">
        <f t="shared" ca="1" si="49"/>
        <v>71040</v>
      </c>
      <c r="O88" s="155">
        <f t="shared" ref="O88:O96" ca="1" si="50">IF(L88&gt;0,N88*100/L88,0)</f>
        <v>126.76659528907923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7"/>
      <c r="J89" s="617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7"/>
      <c r="J90" s="617"/>
      <c r="K90" s="93"/>
      <c r="L90" s="93">
        <f t="shared" ca="1" si="52"/>
        <v>56040</v>
      </c>
      <c r="M90" s="93">
        <f t="shared" ca="1" si="52"/>
        <v>71040</v>
      </c>
      <c r="N90" s="93">
        <f t="shared" ca="1" si="52"/>
        <v>71040</v>
      </c>
      <c r="O90" s="93">
        <f t="shared" ca="1" si="50"/>
        <v>126.76659528907923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56040</v>
      </c>
      <c r="M91" s="498">
        <f t="shared" ca="1" si="53"/>
        <v>71040</v>
      </c>
      <c r="N91" s="498">
        <f t="shared" ca="1" si="53"/>
        <v>71040</v>
      </c>
      <c r="O91" s="498">
        <f t="shared" ca="1" si="50"/>
        <v>126.76659528907923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IFERROR(__xludf.DUMMYFUNCTION("IMPORTRANGE(""https://docs.google.com/spreadsheets/d/1MeEWN-I1oV_STSDYn1IFDPWt_1FKiwhDph83XaGc0o0/edit?usp=sharing"",""งบพรบ!AQ32"")"),56040)</f>
        <v>56040</v>
      </c>
      <c r="M93" s="93">
        <f ca="1">IFERROR(__xludf.DUMMYFUNCTION("IMPORTRANGE(""https://docs.google.com/spreadsheets/d/1MeEWN-I1oV_STSDYn1IFDPWt_1FKiwhDph83XaGc0o0/edit?usp=sharing"",""งบพรบ!AV32"")"),71040)</f>
        <v>71040</v>
      </c>
      <c r="N93" s="93">
        <f ca="1">IFERROR(__xludf.DUMMYFUNCTION("IMPORTRANGE(""https://docs.google.com/spreadsheets/d/1MeEWN-I1oV_STSDYn1IFDPWt_1FKiwhDph83XaGc0o0/edit?usp=sharing"",""งบพรบ!AX32"")"),71040)</f>
        <v>71040</v>
      </c>
      <c r="O93" s="93">
        <f t="shared" ca="1" si="50"/>
        <v>126.76659528907923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IFERROR(__xludf.DUMMYFUNCTION("IMPORTRANGE(""https://docs.google.com/spreadsheets/d/1MeEWN-I1oV_STSDYn1IFDPWt_1FKiwhDph83XaGc0o0/edit?usp=sharing"",""งบพรบ!AT32"")"),0)</f>
        <v>0</v>
      </c>
      <c r="M96" s="93">
        <f ca="1">IFERROR(__xludf.DUMMYFUNCTION("IMPORTRANGE(""https://docs.google.com/spreadsheets/d/1MeEWN-I1oV_STSDYn1IFDPWt_1FKiwhDph83XaGc0o0/edit?usp=sharing"",""งบพรบ!AW32"")"),0)</f>
        <v>0</v>
      </c>
      <c r="N96" s="93">
        <f ca="1">IFERROR(__xludf.DUMMYFUNCTION("IMPORTRANGE(""https://docs.google.com/spreadsheets/d/1MeEWN-I1oV_STSDYn1IFDPWt_1FKiwhDph83XaGc0o0/edit?usp=sharing"",""งบพรบ!AY32"")"),0)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7" t="s">
        <v>38</v>
      </c>
      <c r="E97" s="173"/>
      <c r="F97" s="173"/>
      <c r="G97" s="174"/>
      <c r="H97" s="762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3" t="s">
        <v>46</v>
      </c>
      <c r="I98" s="270">
        <f ca="1">IFERROR(__xludf.DUMMYFUNCTION("IMPORTRANGE(""https://docs.google.com/spreadsheets/d/1QqKyyYR6Q21VydFLVH3TRQUabQu_ym0Zz7PgGX0-kHA/edit?usp=sharing"",""แผน!K32"")"),30)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3" t="s">
        <v>35</v>
      </c>
      <c r="I99" s="270">
        <f ca="1">IFERROR(__xludf.DUMMYFUNCTION("IMPORTRANGE(""https://docs.google.com/spreadsheets/d/1QqKyyYR6Q21VydFLVH3TRQUabQu_ym0Zz7PgGX0-kHA/edit?usp=sharing"",""แผน!L32"")"),10)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3" t="s">
        <v>49</v>
      </c>
      <c r="I100" s="270">
        <f ca="1">IFERROR(__xludf.DUMMYFUNCTION("IMPORTRANGE(""https://docs.google.com/spreadsheets/d/1QqKyyYR6Q21VydFLVH3TRQUabQu_ym0Zz7PgGX0-kHA/edit?usp=sharing"",""แผน!M32"")"),1)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3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6" t="s">
        <v>47</v>
      </c>
      <c r="F102" s="178"/>
      <c r="G102" s="179"/>
      <c r="H102" s="623" t="s">
        <v>46</v>
      </c>
      <c r="I102" s="270">
        <f ca="1">IFERROR(__xludf.DUMMYFUNCTION("IMPORTRANGE(""https://docs.google.com/spreadsheets/d/1QqKyyYR6Q21VydFLVH3TRQUabQu_ym0Zz7PgGX0-kHA/edit?usp=sharing"",""แผน!N32"")"),30)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3" t="s">
        <v>35</v>
      </c>
      <c r="I103" s="270">
        <f ca="1">IFERROR(__xludf.DUMMYFUNCTION("IMPORTRANGE(""https://docs.google.com/spreadsheets/d/1QqKyyYR6Q21VydFLVH3TRQUabQu_ym0Zz7PgGX0-kHA/edit?usp=sharing"",""แผน!O32"")"),10)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3" t="s">
        <v>35</v>
      </c>
      <c r="I104" s="270">
        <f ca="1">IFERROR(__xludf.DUMMYFUNCTION("IMPORTRANGE(""https://docs.google.com/spreadsheets/d/1QqKyyYR6Q21VydFLVH3TRQUabQu_ym0Zz7PgGX0-kHA/edit?usp=sharing"",""แผน!O32"")"),10)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3" t="s">
        <v>49</v>
      </c>
      <c r="I106" s="270">
        <f ca="1">IFERROR(__xludf.DUMMYFUNCTION("IMPORTRANGE(""https://docs.google.com/spreadsheets/d/1QqKyyYR6Q21VydFLVH3TRQUabQu_ym0Zz7PgGX0-kHA/edit?usp=sharing"",""แผน!P32"")"),1)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3" t="s">
        <v>49</v>
      </c>
      <c r="I107" s="270">
        <f ca="1">IFERROR(__xludf.DUMMYFUNCTION("IMPORTRANGE(""https://docs.google.com/spreadsheets/d/1QqKyyYR6Q21VydFLVH3TRQUabQu_ym0Zz7PgGX0-kHA/edit?usp=sharing"",""แผน!P32"")"),1)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3" t="s">
        <v>49</v>
      </c>
      <c r="I109" s="270">
        <f ca="1">IFERROR(__xludf.DUMMYFUNCTION("IMPORTRANGE(""https://docs.google.com/spreadsheets/d/1QqKyyYR6Q21VydFLVH3TRQUabQu_ym0Zz7PgGX0-kHA/edit?usp=sharing"",""แผน!Q32"")"),0)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3" t="s">
        <v>49</v>
      </c>
      <c r="I110" s="270">
        <f ca="1">IFERROR(__xludf.DUMMYFUNCTION("IMPORTRANGE(""https://docs.google.com/spreadsheets/d/1QqKyyYR6Q21VydFLVH3TRQUabQu_ym0Zz7PgGX0-kHA/edit?usp=sharing"",""แผน!Q32"")"),0)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7" t="s">
        <v>35</v>
      </c>
      <c r="I111" s="193">
        <f ca="1">IFERROR(__xludf.DUMMYFUNCTION("IMPORTRANGE(""https://docs.google.com/spreadsheets/d/1QqKyyYR6Q21VydFLVH3TRQUabQu_ym0Zz7PgGX0-kHA/edit?usp=sharing"",""แผน!R32"")"),10)</f>
        <v>10</v>
      </c>
      <c r="J111" s="681">
        <f>J114</f>
        <v>10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1">
        <f t="shared" si="59"/>
        <v>1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2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IFERROR(__xludf.DUMMYFUNCTION("IMPORTRANGE(""https://docs.google.com/spreadsheets/d/1QqKyyYR6Q21VydFLVH3TRQUabQu_ym0Zz7PgGX0-kHA/edit?usp=sharing"",""แผน!R32"")"),10)</f>
        <v>10</v>
      </c>
      <c r="J113" s="215">
        <v>10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IFERROR(__xludf.DUMMYFUNCTION("IMPORTRANGE(""https://docs.google.com/spreadsheets/d/1QqKyyYR6Q21VydFLVH3TRQUabQu_ym0Zz7PgGX0-kHA/edit?usp=sharing"",""แผน!R32"")"),10)</f>
        <v>10</v>
      </c>
      <c r="J114" s="215">
        <v>10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IFERROR(__xludf.DUMMYFUNCTION("IMPORTRANGE(""https://docs.google.com/spreadsheets/d/1QqKyyYR6Q21VydFLVH3TRQUabQu_ym0Zz7PgGX0-kHA/edit?usp=sharing"",""แผน!S32"")"),1)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IFERROR(__xludf.DUMMYFUNCTION("IMPORTRANGE(""https://docs.google.com/spreadsheets/d/1QqKyyYR6Q21VydFLVH3TRQUabQu_ym0Zz7PgGX0-kHA/edit?usp=sharing"",""แผน!T32"")"),0)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7"/>
      <c r="J120" s="617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7"/>
      <c r="J121" s="617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IFERROR(__xludf.DUMMYFUNCTION("IMPORTRANGE(""https://docs.google.com/spreadsheets/d/1MeEWN-I1oV_STSDYn1IFDPWt_1FKiwhDph83XaGc0o0/edit?usp=sharing"",""งบพรบ!BA32"")"),0)</f>
        <v>0</v>
      </c>
      <c r="M124" s="93">
        <f ca="1">IFERROR(__xludf.DUMMYFUNCTION("IMPORTRANGE(""https://docs.google.com/spreadsheets/d/1MeEWN-I1oV_STSDYn1IFDPWt_1FKiwhDph83XaGc0o0/edit?usp=sharing"",""งบพรบ!BF32"")"),0)</f>
        <v>0</v>
      </c>
      <c r="N124" s="93">
        <f ca="1">IFERROR(__xludf.DUMMYFUNCTION("IMPORTRANGE(""https://docs.google.com/spreadsheets/d/1MeEWN-I1oV_STSDYn1IFDPWt_1FKiwhDph83XaGc0o0/edit?usp=sharing"",""งบพรบ!BH32"")"),0)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IFERROR(__xludf.DUMMYFUNCTION("IMPORTRANGE(""https://docs.google.com/spreadsheets/d/1MeEWN-I1oV_STSDYn1IFDPWt_1FKiwhDph83XaGc0o0/edit?usp=sharing"",""งบพรบ!BD32"")"),0)</f>
        <v>0</v>
      </c>
      <c r="M127" s="93">
        <f ca="1">IFERROR(__xludf.DUMMYFUNCTION("IMPORTRANGE(""https://docs.google.com/spreadsheets/d/1MeEWN-I1oV_STSDYn1IFDPWt_1FKiwhDph83XaGc0o0/edit?usp=sharing"",""งบพรบ!BG32"")"),0)</f>
        <v>0</v>
      </c>
      <c r="N127" s="93">
        <f ca="1">IFERROR(__xludf.DUMMYFUNCTION("IMPORTRANGE(""https://docs.google.com/spreadsheets/d/1MeEWN-I1oV_STSDYn1IFDPWt_1FKiwhDph83XaGc0o0/edit?usp=sharing"",""งบพรบ!BI32"")"),0)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7"/>
      <c r="J133" s="617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7"/>
      <c r="J134" s="617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IFERROR(__xludf.DUMMYFUNCTION("IMPORTRANGE(""https://docs.google.com/spreadsheets/d/1MeEWN-I1oV_STSDYn1IFDPWt_1FKiwhDph83XaGc0o0/edit?usp=sharing"",""งบพรบ!BK32"")"),0)</f>
        <v>0</v>
      </c>
      <c r="M137" s="93">
        <f ca="1">IFERROR(__xludf.DUMMYFUNCTION("IMPORTRANGE(""https://docs.google.com/spreadsheets/d/1MeEWN-I1oV_STSDYn1IFDPWt_1FKiwhDph83XaGc0o0/edit?usp=sharing"",""งบพรบ!BP32"")"),0)</f>
        <v>0</v>
      </c>
      <c r="N137" s="93">
        <f ca="1">IFERROR(__xludf.DUMMYFUNCTION("IMPORTRANGE(""https://docs.google.com/spreadsheets/d/1MeEWN-I1oV_STSDYn1IFDPWt_1FKiwhDph83XaGc0o0/edit?usp=sharing"",""งบพรบ!BR32"")"),0)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IFERROR(__xludf.DUMMYFUNCTION("IMPORTRANGE(""https://docs.google.com/spreadsheets/d/1MeEWN-I1oV_STSDYn1IFDPWt_1FKiwhDph83XaGc0o0/edit?usp=sharing"",""งบพรบ!BN32"")"),0)</f>
        <v>0</v>
      </c>
      <c r="M140" s="93">
        <f ca="1">IFERROR(__xludf.DUMMYFUNCTION("IMPORTRANGE(""https://docs.google.com/spreadsheets/d/1MeEWN-I1oV_STSDYn1IFDPWt_1FKiwhDph83XaGc0o0/edit?usp=sharing"",""งบพรบ!BQ32"")"),0)</f>
        <v>0</v>
      </c>
      <c r="N140" s="93">
        <f ca="1">IFERROR(__xludf.DUMMYFUNCTION("IMPORTRANGE(""https://docs.google.com/spreadsheets/d/1MeEWN-I1oV_STSDYn1IFDPWt_1FKiwhDph83XaGc0o0/edit?usp=sharing"",""งบพรบ!BS32"")"),0)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IFERROR(__xludf.DUMMYFUNCTION("IMPORTRANGE(""https://docs.google.com/spreadsheets/d/1QqKyyYR6Q21VydFLVH3TRQUabQu_ym0Zz7PgGX0-kHA/edit?usp=sharing"",""แผน!U32"")"),0)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IFERROR(__xludf.DUMMYFUNCTION("IMPORTRANGE(""https://docs.google.com/spreadsheets/d/1QqKyyYR6Q21VydFLVH3TRQUabQu_ym0Zz7PgGX0-kHA/edit?usp=sharing"",""แผน!V32"")"),0)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IFERROR(__xludf.DUMMYFUNCTION("IMPORTRANGE(""https://docs.google.com/spreadsheets/d/1QqKyyYR6Q21VydFLVH3TRQUabQu_ym0Zz7PgGX0-kHA/edit?usp=sharing"",""แผน!W32"")"),0)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8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63420</v>
      </c>
      <c r="N149" s="155">
        <f t="shared" ca="1" si="77"/>
        <v>63420</v>
      </c>
      <c r="O149" s="155">
        <f t="shared" ref="O149:O157" ca="1" si="78">IF(L149&gt;0,N149*100/L149,0)</f>
        <v>634.20000000000005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7"/>
      <c r="J150" s="617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7"/>
      <c r="J151" s="617"/>
      <c r="K151" s="93"/>
      <c r="L151" s="93">
        <f t="shared" ca="1" si="80"/>
        <v>10000</v>
      </c>
      <c r="M151" s="93">
        <f t="shared" ca="1" si="80"/>
        <v>63420</v>
      </c>
      <c r="N151" s="93">
        <f t="shared" ca="1" si="80"/>
        <v>63420</v>
      </c>
      <c r="O151" s="93">
        <f t="shared" ca="1" si="78"/>
        <v>634.20000000000005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63420</v>
      </c>
      <c r="N152" s="498">
        <f t="shared" ca="1" si="81"/>
        <v>63420</v>
      </c>
      <c r="O152" s="498">
        <f t="shared" ca="1" si="78"/>
        <v>634.20000000000005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IFERROR(__xludf.DUMMYFUNCTION("IMPORTRANGE(""https://docs.google.com/spreadsheets/d/1MeEWN-I1oV_STSDYn1IFDPWt_1FKiwhDph83XaGc0o0/edit?usp=sharing"",""งบพรบ!BU32"")"),10000)</f>
        <v>10000</v>
      </c>
      <c r="M154" s="93">
        <f ca="1">IFERROR(__xludf.DUMMYFUNCTION("IMPORTRANGE(""https://docs.google.com/spreadsheets/d/1MeEWN-I1oV_STSDYn1IFDPWt_1FKiwhDph83XaGc0o0/edit?usp=sharing"",""งบพรบ!BZ32"")"),63420)</f>
        <v>63420</v>
      </c>
      <c r="N154" s="93">
        <f ca="1">IFERROR(__xludf.DUMMYFUNCTION("IMPORTRANGE(""https://docs.google.com/spreadsheets/d/1MeEWN-I1oV_STSDYn1IFDPWt_1FKiwhDph83XaGc0o0/edit?usp=sharing"",""งบพรบ!CB32"")"),63420)</f>
        <v>63420</v>
      </c>
      <c r="O154" s="93">
        <f t="shared" ca="1" si="78"/>
        <v>634.20000000000005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IFERROR(__xludf.DUMMYFUNCTION("IMPORTRANGE(""https://docs.google.com/spreadsheets/d/1MeEWN-I1oV_STSDYn1IFDPWt_1FKiwhDph83XaGc0o0/edit?usp=sharing"",""งบพรบ!BX32"")"),0)</f>
        <v>0</v>
      </c>
      <c r="M157" s="93">
        <f ca="1">IFERROR(__xludf.DUMMYFUNCTION("IMPORTRANGE(""https://docs.google.com/spreadsheets/d/1MeEWN-I1oV_STSDYn1IFDPWt_1FKiwhDph83XaGc0o0/edit?usp=sharing"",""งบพรบ!CA32"")"),0)</f>
        <v>0</v>
      </c>
      <c r="N157" s="93">
        <f ca="1">IFERROR(__xludf.DUMMYFUNCTION("IMPORTRANGE(""https://docs.google.com/spreadsheets/d/1MeEWN-I1oV_STSDYn1IFDPWt_1FKiwhDph83XaGc0o0/edit?usp=sharing"",""งบพรบ!CC32"")"),0)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IFERROR(__xludf.DUMMYFUNCTION("IMPORTRANGE(""https://docs.google.com/spreadsheets/d/1QqKyyYR6Q21VydFLVH3TRQUabQu_ym0Zz7PgGX0-kHA/edit?usp=sharing"",""แผน!X32"")"),20)</f>
        <v>20</v>
      </c>
      <c r="J159" s="215">
        <v>20</v>
      </c>
      <c r="K159" s="498">
        <f ca="1">IF(I159&gt;0,J159*100/I159,0)</f>
        <v>100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7"/>
      <c r="J160" s="617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51800</v>
      </c>
      <c r="N165" s="155">
        <f t="shared" ca="1" si="84"/>
        <v>51800</v>
      </c>
      <c r="O165" s="155">
        <f t="shared" ref="O165:O173" ca="1" si="85">IF(L165&gt;0,N165*100/L165,0)</f>
        <v>224.6313963573287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7"/>
      <c r="J166" s="617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7"/>
      <c r="J167" s="617"/>
      <c r="K167" s="93"/>
      <c r="L167" s="93">
        <f t="shared" ca="1" si="87"/>
        <v>23060</v>
      </c>
      <c r="M167" s="93">
        <f t="shared" ca="1" si="87"/>
        <v>51800</v>
      </c>
      <c r="N167" s="93">
        <f t="shared" ca="1" si="87"/>
        <v>51800</v>
      </c>
      <c r="O167" s="93">
        <f t="shared" ca="1" si="85"/>
        <v>224.6313963573287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23060</v>
      </c>
      <c r="M168" s="498">
        <f t="shared" ca="1" si="88"/>
        <v>51800</v>
      </c>
      <c r="N168" s="498">
        <f t="shared" ca="1" si="88"/>
        <v>51800</v>
      </c>
      <c r="O168" s="498">
        <f t="shared" ca="1" si="85"/>
        <v>224.6313963573287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IFERROR(__xludf.DUMMYFUNCTION("IMPORTRANGE(""https://docs.google.com/spreadsheets/d/1MeEWN-I1oV_STSDYn1IFDPWt_1FKiwhDph83XaGc0o0/edit?usp=sharing"",""งบพรบ!CE32"")"),23060)</f>
        <v>23060</v>
      </c>
      <c r="M170" s="93">
        <f ca="1">IFERROR(__xludf.DUMMYFUNCTION("IMPORTRANGE(""https://docs.google.com/spreadsheets/d/1MeEWN-I1oV_STSDYn1IFDPWt_1FKiwhDph83XaGc0o0/edit?usp=sharing"",""งบพรบ!CJ32"")"),51800)</f>
        <v>51800</v>
      </c>
      <c r="N170" s="93">
        <f ca="1">IFERROR(__xludf.DUMMYFUNCTION("IMPORTRANGE(""https://docs.google.com/spreadsheets/d/1MeEWN-I1oV_STSDYn1IFDPWt_1FKiwhDph83XaGc0o0/edit?usp=sharing"",""งบพรบ!CL32"")"),51800)</f>
        <v>51800</v>
      </c>
      <c r="O170" s="93">
        <f t="shared" ca="1" si="85"/>
        <v>224.6313963573287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IFERROR(__xludf.DUMMYFUNCTION("IMPORTRANGE(""https://docs.google.com/spreadsheets/d/1MeEWN-I1oV_STSDYn1IFDPWt_1FKiwhDph83XaGc0o0/edit?usp=sharing"",""งบพรบ!CH32"")"),0)</f>
        <v>0</v>
      </c>
      <c r="M173" s="93">
        <f ca="1">IFERROR(__xludf.DUMMYFUNCTION("IMPORTRANGE(""https://docs.google.com/spreadsheets/d/1MeEWN-I1oV_STSDYn1IFDPWt_1FKiwhDph83XaGc0o0/edit?usp=sharing"",""งบพรบ!CK32"")"),0)</f>
        <v>0</v>
      </c>
      <c r="N173" s="93">
        <f ca="1">IFERROR(__xludf.DUMMYFUNCTION("IMPORTRANGE(""https://docs.google.com/spreadsheets/d/1MeEWN-I1oV_STSDYn1IFDPWt_1FKiwhDph83XaGc0o0/edit?usp=sharing"",""งบพรบ!CM32"")"),0)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7" t="s">
        <v>38</v>
      </c>
      <c r="E175" s="173"/>
      <c r="F175" s="173"/>
      <c r="G175" s="174"/>
      <c r="H175" s="76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6" t="s">
        <v>85</v>
      </c>
      <c r="E176" s="178"/>
      <c r="F176" s="178"/>
      <c r="G176" s="179"/>
      <c r="H176" s="623" t="s">
        <v>35</v>
      </c>
      <c r="I176" s="270">
        <f ca="1">IFERROR(__xludf.DUMMYFUNCTION("IMPORTRANGE(""https://docs.google.com/spreadsheets/d/1QqKyyYR6Q21VydFLVH3TRQUabQu_ym0Zz7PgGX0-kHA/edit?usp=sharing"",""แผน!Y32"")"),12)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67900</v>
      </c>
      <c r="M181" s="155">
        <f t="shared" ca="1" si="92"/>
        <v>67900</v>
      </c>
      <c r="N181" s="155">
        <f t="shared" ca="1" si="92"/>
        <v>67900</v>
      </c>
      <c r="O181" s="155">
        <f t="shared" ref="O181:O189" ca="1" si="93">IF(L181&gt;0,N181*100/L181,0)</f>
        <v>100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7"/>
      <c r="J182" s="617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7"/>
      <c r="J183" s="617"/>
      <c r="K183" s="93"/>
      <c r="L183" s="93">
        <f t="shared" ca="1" si="95"/>
        <v>67900</v>
      </c>
      <c r="M183" s="93">
        <f t="shared" ca="1" si="95"/>
        <v>67900</v>
      </c>
      <c r="N183" s="93">
        <f t="shared" ca="1" si="95"/>
        <v>67900</v>
      </c>
      <c r="O183" s="93">
        <f t="shared" ca="1" si="93"/>
        <v>100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67900</v>
      </c>
      <c r="M184" s="498">
        <f t="shared" ca="1" si="96"/>
        <v>67900</v>
      </c>
      <c r="N184" s="498">
        <f t="shared" ca="1" si="96"/>
        <v>67900</v>
      </c>
      <c r="O184" s="498">
        <f t="shared" ca="1" si="93"/>
        <v>100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IFERROR(__xludf.DUMMYFUNCTION("IMPORTRANGE(""https://docs.google.com/spreadsheets/d/1MeEWN-I1oV_STSDYn1IFDPWt_1FKiwhDph83XaGc0o0/edit?usp=sharing"",""งบพรบ!CO32"")"),67900)</f>
        <v>67900</v>
      </c>
      <c r="M186" s="93">
        <f ca="1">IFERROR(__xludf.DUMMYFUNCTION("IMPORTRANGE(""https://docs.google.com/spreadsheets/d/1MeEWN-I1oV_STSDYn1IFDPWt_1FKiwhDph83XaGc0o0/edit?usp=sharing"",""งบพรบ!CT32"")"),67900)</f>
        <v>67900</v>
      </c>
      <c r="N186" s="93">
        <f ca="1">IFERROR(__xludf.DUMMYFUNCTION("IMPORTRANGE(""https://docs.google.com/spreadsheets/d/1MeEWN-I1oV_STSDYn1IFDPWt_1FKiwhDph83XaGc0o0/edit?usp=sharing"",""งบพรบ!CV32"")"),67900)</f>
        <v>67900</v>
      </c>
      <c r="O186" s="93">
        <f t="shared" ca="1" si="93"/>
        <v>100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IFERROR(__xludf.DUMMYFUNCTION("IMPORTRANGE(""https://docs.google.com/spreadsheets/d/1MeEWN-I1oV_STSDYn1IFDPWt_1FKiwhDph83XaGc0o0/edit?usp=sharing"",""งบพรบ!CR32"")"),0)</f>
        <v>0</v>
      </c>
      <c r="M189" s="93">
        <f ca="1">IFERROR(__xludf.DUMMYFUNCTION("IMPORTRANGE(""https://docs.google.com/spreadsheets/d/1MeEWN-I1oV_STSDYn1IFDPWt_1FKiwhDph83XaGc0o0/edit?usp=sharing"",""งบพรบ!CU32"")"),0)</f>
        <v>0</v>
      </c>
      <c r="N189" s="93">
        <f ca="1">IFERROR(__xludf.DUMMYFUNCTION("IMPORTRANGE(""https://docs.google.com/spreadsheets/d/1MeEWN-I1oV_STSDYn1IFDPWt_1FKiwhDph83XaGc0o0/edit?usp=sharing"",""งบพรบ!CW32"")"),0)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8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IFERROR(__xludf.DUMMYFUNCTION("IMPORTRANGE(""https://docs.google.com/spreadsheets/d/1QqKyyYR6Q21VydFLVH3TRQUabQu_ym0Zz7PgGX0-kHA/edit?usp=sharing"",""แผน!Z32"")"),6000)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7" t="s">
        <v>38</v>
      </c>
      <c r="E192" s="173"/>
      <c r="F192" s="173"/>
      <c r="G192" s="174"/>
      <c r="H192" s="762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4" t="s">
        <v>90</v>
      </c>
      <c r="I193" s="270">
        <f ca="1">IFERROR(__xludf.DUMMYFUNCTION("IMPORTRANGE(""https://docs.google.com/spreadsheets/d/1QqKyyYR6Q21VydFLVH3TRQUabQu_ym0Zz7PgGX0-kHA/edit?usp=sharing"",""แผน!AC32"")"),4)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75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75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8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IFERROR(__xludf.DUMMYFUNCTION("IMPORTRANGE(""https://docs.google.com/spreadsheets/d/1QqKyyYR6Q21VydFLVH3TRQUabQu_ym0Zz7PgGX0-kHA/edit?usp=sharing"",""แผน!AE32"")"),3000)</f>
        <v>3000</v>
      </c>
      <c r="M199" s="498"/>
      <c r="N199" s="840">
        <v>3000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3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IFERROR(__xludf.DUMMYFUNCTION("IMPORTRANGE(""https://docs.google.com/spreadsheets/d/1QqKyyYR6Q21VydFLVH3TRQUabQu_ym0Zz7PgGX0-kHA/edit?usp=sharing"",""แผน!AF32"")"),24000)</f>
        <v>24000</v>
      </c>
      <c r="M200" s="498"/>
      <c r="N200" s="840">
        <v>24000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3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IFERROR(__xludf.DUMMYFUNCTION("IMPORTRANGE(""https://docs.google.com/spreadsheets/d/1QqKyyYR6Q21VydFLVH3TRQUabQu_ym0Zz7PgGX0-kHA/edit?usp=sharing"",""แผน!AG32"")"),12000)</f>
        <v>12000</v>
      </c>
      <c r="M201" s="498"/>
      <c r="N201" s="840">
        <v>12000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3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IFERROR(__xludf.DUMMYFUNCTION("IMPORTRANGE(""https://docs.google.com/spreadsheets/d/1QqKyyYR6Q21VydFLVH3TRQUabQu_ym0Zz7PgGX0-kHA/edit?usp=sharing"",""แผน!AH32"")"),0)</f>
        <v>0</v>
      </c>
      <c r="M202" s="498"/>
      <c r="N202" s="840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7" t="s">
        <v>38</v>
      </c>
      <c r="E203" s="173"/>
      <c r="F203" s="173"/>
      <c r="G203" s="174"/>
      <c r="H203" s="76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2" t="s">
        <v>96</v>
      </c>
      <c r="I204" s="270">
        <f ca="1">IFERROR(__xludf.DUMMYFUNCTION("IMPORTRANGE(""https://docs.google.com/spreadsheets/d/1QqKyyYR6Q21VydFLVH3TRQUabQu_ym0Zz7PgGX0-kHA/edit?usp=sharing"",""แผน!AI32"")"),3)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2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2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8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IFERROR(__xludf.DUMMYFUNCTION("IMPORTRANGE(""https://docs.google.com/spreadsheets/d/1QqKyyYR6Q21VydFLVH3TRQUabQu_ym0Zz7PgGX0-kHA/edit?usp=sharing"",""แผน!AK32"")"),0)</f>
        <v>0</v>
      </c>
      <c r="M210" s="498"/>
      <c r="N210" s="840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IFERROR(__xludf.DUMMYFUNCTION("IMPORTRANGE(""https://docs.google.com/spreadsheets/d/1QqKyyYR6Q21VydFLVH3TRQUabQu_ym0Zz7PgGX0-kHA/edit?usp=sharing"",""แผน!AL32"")"),0)</f>
        <v>0</v>
      </c>
      <c r="M211" s="498"/>
      <c r="N211" s="840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IFERROR(__xludf.DUMMYFUNCTION("IMPORTRANGE(""https://docs.google.com/spreadsheets/d/1QqKyyYR6Q21VydFLVH3TRQUabQu_ym0Zz7PgGX0-kHA/edit?usp=sharing"",""แผน!AM32"")"),0)</f>
        <v>0</v>
      </c>
      <c r="M212" s="498"/>
      <c r="N212" s="840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7" t="s">
        <v>38</v>
      </c>
      <c r="E213" s="173"/>
      <c r="F213" s="173"/>
      <c r="G213" s="174"/>
      <c r="H213" s="762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2" t="s">
        <v>96</v>
      </c>
      <c r="I214" s="270">
        <f ca="1">IFERROR(__xludf.DUMMYFUNCTION("IMPORTRANGE(""https://docs.google.com/spreadsheets/d/1QqKyyYR6Q21VydFLVH3TRQUabQu_ym0Zz7PgGX0-kHA/edit?usp=sharing"",""แผน!AN32"")"),0)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2" t="s">
        <v>96</v>
      </c>
      <c r="I215" s="270">
        <f ca="1">IFERROR(__xludf.DUMMYFUNCTION("IMPORTRANGE(""https://docs.google.com/spreadsheets/d/1QqKyyYR6Q21VydFLVH3TRQUabQu_ym0Zz7PgGX0-kHA/edit?usp=sharing"",""แผน!AN32"")"),0)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65000</v>
      </c>
      <c r="J216" s="272">
        <f t="shared" si="103"/>
        <v>65000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8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22900</v>
      </c>
      <c r="M217" s="155"/>
      <c r="N217" s="155">
        <f>N218+N219+N220</f>
        <v>22900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IFERROR(__xludf.DUMMYFUNCTION("IMPORTRANGE(""https://docs.google.com/spreadsheets/d/1QqKyyYR6Q21VydFLVH3TRQUabQu_ym0Zz7PgGX0-kHA/edit?usp=sharing"",""แผน!AP32"")"),5000)</f>
        <v>5000</v>
      </c>
      <c r="M218" s="498"/>
      <c r="N218" s="840">
        <v>5000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IFERROR(__xludf.DUMMYFUNCTION("IMPORTRANGE(""https://docs.google.com/spreadsheets/d/1QqKyyYR6Q21VydFLVH3TRQUabQu_ym0Zz7PgGX0-kHA/edit?usp=sharing"",""แผน!AQ32"")"),17900)</f>
        <v>17900</v>
      </c>
      <c r="M219" s="498"/>
      <c r="N219" s="840">
        <f>16900+1000</f>
        <v>17900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IFERROR(__xludf.DUMMYFUNCTION("IMPORTRANGE(""https://docs.google.com/spreadsheets/d/1QqKyyYR6Q21VydFLVH3TRQUabQu_ym0Zz7PgGX0-kHA/edit?usp=sharing"",""แผน!AR32"")"),0)</f>
        <v>0</v>
      </c>
      <c r="M220" s="498"/>
      <c r="N220" s="840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7" t="s">
        <v>38</v>
      </c>
      <c r="E221" s="173"/>
      <c r="F221" s="173"/>
      <c r="G221" s="174"/>
      <c r="H221" s="76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4" t="s">
        <v>109</v>
      </c>
      <c r="I223" s="270">
        <f ca="1">IFERROR(__xludf.DUMMYFUNCTION("IMPORTRANGE(""https://docs.google.com/spreadsheets/d/1QqKyyYR6Q21VydFLVH3TRQUabQu_ym0Zz7PgGX0-kHA/edit?usp=sharing"",""แผน!AT32"")"),65000)</f>
        <v>65000</v>
      </c>
      <c r="J223" s="215">
        <v>65000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4" t="s">
        <v>109</v>
      </c>
      <c r="I224" s="270">
        <f ca="1">IFERROR(__xludf.DUMMYFUNCTION("IMPORTRANGE(""https://docs.google.com/spreadsheets/d/1QqKyyYR6Q21VydFLVH3TRQUabQu_ym0Zz7PgGX0-kHA/edit?usp=sharing"",""แผน!AT32"")"),65000)</f>
        <v>65000</v>
      </c>
      <c r="J224" s="215">
        <v>65000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4" t="s">
        <v>35</v>
      </c>
      <c r="I225" s="270">
        <f ca="1">IFERROR(__xludf.DUMMYFUNCTION("IMPORTRANGE(""https://docs.google.com/spreadsheets/d/1QqKyyYR6Q21VydFLVH3TRQUabQu_ym0Zz7PgGX0-kHA/edit?usp=sharing"",""แผน!AS32"")"),0)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8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2"/>
      <c r="P227" s="8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7"/>
      <c r="J229" s="617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7"/>
      <c r="J230" s="617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7"/>
      <c r="J231" s="617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7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7">
        <f t="shared" ref="I233:J233" ca="1" si="108">I244+I255</f>
        <v>0</v>
      </c>
      <c r="J233" s="617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7"/>
      <c r="J234" s="617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7">
        <f t="shared" ref="I235:J236" si="109">I246+I257</f>
        <v>0</v>
      </c>
      <c r="J235" s="617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7">
        <f t="shared" si="109"/>
        <v>0</v>
      </c>
      <c r="J236" s="617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IFERROR(__xludf.DUMMYFUNCTION("IMPORTRANGE(""https://docs.google.com/spreadsheets/d/1QqKyyYR6Q21VydFLVH3TRQUabQu_ym0Zz7PgGX0-kHA/edit?usp=sharing"",""แผน!AV32"")"),0)</f>
        <v>0</v>
      </c>
      <c r="M239" s="322"/>
      <c r="N239" s="88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IFERROR(__xludf.DUMMYFUNCTION("IMPORTRANGE(""https://docs.google.com/spreadsheets/d/1QqKyyYR6Q21VydFLVH3TRQUabQu_ym0Zz7PgGX0-kHA/edit?usp=sharing"",""แผน!AW32"")"),0)</f>
        <v>0</v>
      </c>
      <c r="M240" s="322"/>
      <c r="N240" s="88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IFERROR(__xludf.DUMMYFUNCTION("IMPORTRANGE(""https://docs.google.com/spreadsheets/d/1QqKyyYR6Q21VydFLVH3TRQUabQu_ym0Zz7PgGX0-kHA/edit?usp=sharing"",""แผน!AX32"")"),0)</f>
        <v>0</v>
      </c>
      <c r="M241" s="322"/>
      <c r="N241" s="88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IFERROR(__xludf.DUMMYFUNCTION("IMPORTRANGE(""https://docs.google.com/spreadsheets/d/1QqKyyYR6Q21VydFLVH3TRQUabQu_ym0Zz7PgGX0-kHA/edit?usp=sharing"",""แผน!AY32"")"),0)</f>
        <v>0</v>
      </c>
      <c r="M242" s="322"/>
      <c r="N242" s="88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7" t="s">
        <v>38</v>
      </c>
      <c r="E243" s="173"/>
      <c r="F243" s="173"/>
      <c r="G243" s="174"/>
      <c r="H243" s="762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4" t="s">
        <v>35</v>
      </c>
      <c r="I244" s="270">
        <f ca="1">IFERROR(__xludf.DUMMYFUNCTION("IMPORTRANGE(""https://docs.google.com/spreadsheets/d/1QqKyyYR6Q21VydFLVH3TRQUabQu_ym0Zz7PgGX0-kHA/edit?usp=sharing"",""แผน!BE32"")"),0)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4" t="s">
        <v>43</v>
      </c>
      <c r="E245" s="178"/>
      <c r="F245" s="178"/>
      <c r="G245" s="179"/>
      <c r="H245" s="764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4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4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8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IFERROR(__xludf.DUMMYFUNCTION("IMPORTRANGE(""https://docs.google.com/spreadsheets/d/1QqKyyYR6Q21VydFLVH3TRQUabQu_ym0Zz7PgGX0-kHA/edit?usp=sharing"",""แผน!AZ32"")"),0)</f>
        <v>0</v>
      </c>
      <c r="M250" s="322"/>
      <c r="N250" s="88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IFERROR(__xludf.DUMMYFUNCTION("IMPORTRANGE(""https://docs.google.com/spreadsheets/d/1QqKyyYR6Q21VydFLVH3TRQUabQu_ym0Zz7PgGX0-kHA/edit?usp=sharing"",""แผน!BA32"")"),0)</f>
        <v>0</v>
      </c>
      <c r="M251" s="322"/>
      <c r="N251" s="88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IFERROR(__xludf.DUMMYFUNCTION("IMPORTRANGE(""https://docs.google.com/spreadsheets/d/1QqKyyYR6Q21VydFLVH3TRQUabQu_ym0Zz7PgGX0-kHA/edit?usp=sharing"",""แผน!BB32"")"),0)</f>
        <v>0</v>
      </c>
      <c r="M252" s="322"/>
      <c r="N252" s="88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IFERROR(__xludf.DUMMYFUNCTION("IMPORTRANGE(""https://docs.google.com/spreadsheets/d/1QqKyyYR6Q21VydFLVH3TRQUabQu_ym0Zz7PgGX0-kHA/edit?usp=sharing"",""แผน!BC32"")"),0)</f>
        <v>0</v>
      </c>
      <c r="M253" s="322"/>
      <c r="N253" s="88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7" t="s">
        <v>38</v>
      </c>
      <c r="E254" s="173"/>
      <c r="F254" s="173"/>
      <c r="G254" s="174"/>
      <c r="H254" s="762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4" t="s">
        <v>35</v>
      </c>
      <c r="I255" s="270">
        <f ca="1">IFERROR(__xludf.DUMMYFUNCTION("IMPORTRANGE(""https://docs.google.com/spreadsheets/d/1QqKyyYR6Q21VydFLVH3TRQUabQu_ym0Zz7PgGX0-kHA/edit?usp=sharing"",""แผน!BF32"")"),0)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4" t="s">
        <v>43</v>
      </c>
      <c r="E256" s="178"/>
      <c r="F256" s="178"/>
      <c r="G256" s="179"/>
      <c r="H256" s="764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4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4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25000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7"/>
      <c r="J262" s="617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7"/>
      <c r="J263" s="617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25000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25000</v>
      </c>
      <c r="N264" s="498">
        <f t="shared" ca="1" si="120"/>
        <v>25000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IFERROR(__xludf.DUMMYFUNCTION("IMPORTRANGE(""https://docs.google.com/spreadsheets/d/1MeEWN-I1oV_STSDYn1IFDPWt_1FKiwhDph83XaGc0o0/edit?usp=sharing"",""งบพรบ!CY32"")"),25000)</f>
        <v>25000</v>
      </c>
      <c r="M266" s="93">
        <f ca="1">IFERROR(__xludf.DUMMYFUNCTION("IMPORTRANGE(""https://docs.google.com/spreadsheets/d/1MeEWN-I1oV_STSDYn1IFDPWt_1FKiwhDph83XaGc0o0/edit?usp=sharing"",""งบพรบ!DD32"")"),25000)</f>
        <v>25000</v>
      </c>
      <c r="N266" s="93">
        <f ca="1">IFERROR(__xludf.DUMMYFUNCTION("IMPORTRANGE(""https://docs.google.com/spreadsheets/d/1MeEWN-I1oV_STSDYn1IFDPWt_1FKiwhDph83XaGc0o0/edit?usp=sharing"",""งบพรบ!DF32"")"),25000)</f>
        <v>25000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IFERROR(__xludf.DUMMYFUNCTION("IMPORTRANGE(""https://docs.google.com/spreadsheets/d/1MeEWN-I1oV_STSDYn1IFDPWt_1FKiwhDph83XaGc0o0/edit?usp=sharing"",""งบพรบ!DB32"")"),0)</f>
        <v>0</v>
      </c>
      <c r="M269" s="93">
        <f ca="1">IFERROR(__xludf.DUMMYFUNCTION("IMPORTRANGE(""https://docs.google.com/spreadsheets/d/1MeEWN-I1oV_STSDYn1IFDPWt_1FKiwhDph83XaGc0o0/edit?usp=sharing"",""งบพรบ!DE32"")"),0)</f>
        <v>0</v>
      </c>
      <c r="N269" s="93">
        <f ca="1">IFERROR(__xludf.DUMMYFUNCTION("IMPORTRANGE(""https://docs.google.com/spreadsheets/d/1MeEWN-I1oV_STSDYn1IFDPWt_1FKiwhDph83XaGc0o0/edit?usp=sharing"",""งบพรบ!DG32"")"),0)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7" t="s">
        <v>38</v>
      </c>
      <c r="E270" s="173"/>
      <c r="F270" s="173"/>
      <c r="G270" s="174"/>
      <c r="H270" s="76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IFERROR(__xludf.DUMMYFUNCTION("IMPORTRANGE(""https://docs.google.com/spreadsheets/d/1QqKyyYR6Q21VydFLVH3TRQUabQu_ym0Zz7PgGX0-kHA/edit?usp=sharing"",""แผน!EA32"")"),20)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6">
        <v>0</v>
      </c>
      <c r="J272" s="506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25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5">
        <f t="shared" ref="I276:J276" ca="1" si="124">I287</f>
        <v>250</v>
      </c>
      <c r="J276" s="885">
        <f t="shared" si="124"/>
        <v>250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259920</v>
      </c>
      <c r="M277" s="155">
        <f t="shared" ca="1" si="125"/>
        <v>259920</v>
      </c>
      <c r="N277" s="155">
        <f t="shared" ca="1" si="125"/>
        <v>259919.51</v>
      </c>
      <c r="O277" s="155">
        <f t="shared" ref="O277:O285" ca="1" si="126">IF(L277&gt;0,N277*100/L277,0)</f>
        <v>99.99981148045552</v>
      </c>
      <c r="P277" s="155">
        <f t="shared" ref="P277:P285" ca="1" si="127">IF(M277&gt;0,N277*100/M277,0)</f>
        <v>99.99981148045552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7"/>
      <c r="J278" s="617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7"/>
      <c r="J279" s="617"/>
      <c r="K279" s="93"/>
      <c r="L279" s="93">
        <f t="shared" ca="1" si="128"/>
        <v>259920</v>
      </c>
      <c r="M279" s="93">
        <f t="shared" ca="1" si="128"/>
        <v>259920</v>
      </c>
      <c r="N279" s="93">
        <f t="shared" ca="1" si="128"/>
        <v>259919.51</v>
      </c>
      <c r="O279" s="93">
        <f t="shared" ca="1" si="126"/>
        <v>99.99981148045552</v>
      </c>
      <c r="P279" s="93">
        <f t="shared" ca="1" si="127"/>
        <v>99.99981148045552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259920</v>
      </c>
      <c r="M280" s="498">
        <f t="shared" ca="1" si="129"/>
        <v>259920</v>
      </c>
      <c r="N280" s="498">
        <f t="shared" ca="1" si="129"/>
        <v>259919.51</v>
      </c>
      <c r="O280" s="498">
        <f t="shared" ca="1" si="126"/>
        <v>99.99981148045552</v>
      </c>
      <c r="P280" s="498">
        <f t="shared" ca="1" si="127"/>
        <v>99.99981148045552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IFERROR(__xludf.DUMMYFUNCTION("IMPORTRANGE(""https://docs.google.com/spreadsheets/d/1MeEWN-I1oV_STSDYn1IFDPWt_1FKiwhDph83XaGc0o0/edit?usp=sharing"",""งบพรบ!DI32"")"),259920)</f>
        <v>259920</v>
      </c>
      <c r="M282" s="93">
        <f ca="1">IFERROR(__xludf.DUMMYFUNCTION("IMPORTRANGE(""https://docs.google.com/spreadsheets/d/1MeEWN-I1oV_STSDYn1IFDPWt_1FKiwhDph83XaGc0o0/edit?usp=sharing"",""งบพรบ!DN32"")"),259920)</f>
        <v>259920</v>
      </c>
      <c r="N282" s="93">
        <f ca="1">IFERROR(__xludf.DUMMYFUNCTION("IMPORTRANGE(""https://docs.google.com/spreadsheets/d/1MeEWN-I1oV_STSDYn1IFDPWt_1FKiwhDph83XaGc0o0/edit?usp=sharing"",""งบพรบ!DP32"")"),259919.51)</f>
        <v>259919.51</v>
      </c>
      <c r="O282" s="93">
        <f t="shared" ca="1" si="126"/>
        <v>99.99981148045552</v>
      </c>
      <c r="P282" s="93">
        <f t="shared" ca="1" si="127"/>
        <v>99.99981148045552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IFERROR(__xludf.DUMMYFUNCTION("IMPORTRANGE(""https://docs.google.com/spreadsheets/d/1MeEWN-I1oV_STSDYn1IFDPWt_1FKiwhDph83XaGc0o0/edit?usp=sharing"",""งบพรบ!DL32"")"),0)</f>
        <v>0</v>
      </c>
      <c r="M285" s="93">
        <f ca="1">IFERROR(__xludf.DUMMYFUNCTION("IMPORTRANGE(""https://docs.google.com/spreadsheets/d/1MeEWN-I1oV_STSDYn1IFDPWt_1FKiwhDph83XaGc0o0/edit?usp=sharing"",""งบพรบ!DO32"")"),0)</f>
        <v>0</v>
      </c>
      <c r="N285" s="93">
        <f ca="1">IFERROR(__xludf.DUMMYFUNCTION("IMPORTRANGE(""https://docs.google.com/spreadsheets/d/1MeEWN-I1oV_STSDYn1IFDPWt_1FKiwhDph83XaGc0o0/edit?usp=sharing"",""งบพรบ!DQ32"")"),0)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7" t="s">
        <v>38</v>
      </c>
      <c r="E286" s="173"/>
      <c r="F286" s="173"/>
      <c r="G286" s="174"/>
      <c r="H286" s="76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6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IFERROR(__xludf.DUMMYFUNCTION("IMPORTRANGE(""https://docs.google.com/spreadsheets/d/1QqKyyYR6Q21VydFLVH3TRQUabQu_ym0Zz7PgGX0-kHA/edit?usp=sharing"",""แผน!EC32"")"),250)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6" t="s">
        <v>130</v>
      </c>
      <c r="E288" s="171"/>
      <c r="F288" s="178"/>
      <c r="G288" s="179"/>
      <c r="H288" s="180" t="s">
        <v>35</v>
      </c>
      <c r="I288" s="681">
        <f ca="1">IFERROR(__xludf.DUMMYFUNCTION("IMPORTRANGE(""https://docs.google.com/spreadsheets/d/1QqKyyYR6Q21VydFLVH3TRQUabQu_ym0Zz7PgGX0-kHA/edit?usp=sharing"",""แผน!EB32"")"),25)</f>
        <v>25</v>
      </c>
      <c r="J288" s="681">
        <f ca="1">IF(AND(J291&gt;=I288,J294&gt;=I288),J294,0)</f>
        <v>25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6" t="s">
        <v>132</v>
      </c>
      <c r="F290" s="178"/>
      <c r="G290" s="179"/>
      <c r="H290" s="764" t="s">
        <v>35</v>
      </c>
      <c r="I290" s="184">
        <f ca="1">IFERROR(__xludf.DUMMYFUNCTION("IMPORTRANGE(""https://docs.google.com/spreadsheets/d/1QqKyyYR6Q21VydFLVH3TRQUabQu_ym0Zz7PgGX0-kHA/edit?usp=sharing"",""แผน!EB32"")"),25)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8.75">
      <c r="A291" s="170"/>
      <c r="B291" s="171"/>
      <c r="C291" s="171"/>
      <c r="D291" s="178"/>
      <c r="E291" s="626" t="s">
        <v>333</v>
      </c>
      <c r="F291" s="178"/>
      <c r="G291" s="179"/>
      <c r="H291" s="764" t="s">
        <v>35</v>
      </c>
      <c r="I291" s="184">
        <f ca="1">IFERROR(__xludf.DUMMYFUNCTION("IMPORTRANGE(""https://docs.google.com/spreadsheets/d/1QqKyyYR6Q21VydFLVH3TRQUabQu_ym0Zz7PgGX0-kHA/edit?usp=sharing"",""แผน!EB32"")"),25)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6" t="s">
        <v>132</v>
      </c>
      <c r="F293" s="178"/>
      <c r="G293" s="179"/>
      <c r="H293" s="764" t="s">
        <v>35</v>
      </c>
      <c r="I293" s="184">
        <f ca="1">IFERROR(__xludf.DUMMYFUNCTION("IMPORTRANGE(""https://docs.google.com/spreadsheets/d/1QqKyyYR6Q21VydFLVH3TRQUabQu_ym0Zz7PgGX0-kHA/edit?usp=sharing"",""แผน!EB32"")"),25)</f>
        <v>25</v>
      </c>
      <c r="J293" s="215">
        <v>25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8.75">
      <c r="A294" s="378"/>
      <c r="B294" s="379"/>
      <c r="C294" s="379"/>
      <c r="D294" s="381"/>
      <c r="E294" s="734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IFERROR(__xludf.DUMMYFUNCTION("IMPORTRANGE(""https://docs.google.com/spreadsheets/d/1QqKyyYR6Q21VydFLVH3TRQUabQu_ym0Zz7PgGX0-kHA/edit?usp=sharing"",""แผน!EB32"")"),25)</f>
        <v>25</v>
      </c>
      <c r="J294" s="424">
        <v>25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7"/>
      <c r="J299" s="617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7"/>
      <c r="J300" s="617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IFERROR(__xludf.DUMMYFUNCTION("IMPORTRANGE(""https://docs.google.com/spreadsheets/d/1MeEWN-I1oV_STSDYn1IFDPWt_1FKiwhDph83XaGc0o0/edit?usp=sharing"",""งบพรบ!DS32"")"),0)</f>
        <v>0</v>
      </c>
      <c r="M303" s="93">
        <f ca="1">IFERROR(__xludf.DUMMYFUNCTION("IMPORTRANGE(""https://docs.google.com/spreadsheets/d/1MeEWN-I1oV_STSDYn1IFDPWt_1FKiwhDph83XaGc0o0/edit?usp=sharing"",""งบพรบ!DX32"")"),0)</f>
        <v>0</v>
      </c>
      <c r="N303" s="93">
        <f ca="1">IFERROR(__xludf.DUMMYFUNCTION("IMPORTRANGE(""https://docs.google.com/spreadsheets/d/1MeEWN-I1oV_STSDYn1IFDPWt_1FKiwhDph83XaGc0o0/edit?usp=sharing"",""งบพรบ!DZ32"")"),0)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IFERROR(__xludf.DUMMYFUNCTION("IMPORTRANGE(""https://docs.google.com/spreadsheets/d/1MeEWN-I1oV_STSDYn1IFDPWt_1FKiwhDph83XaGc0o0/edit?usp=sharing"",""งบพรบ!DV32"")"),0)</f>
        <v>0</v>
      </c>
      <c r="M306" s="93">
        <f ca="1">IFERROR(__xludf.DUMMYFUNCTION("IMPORTRANGE(""https://docs.google.com/spreadsheets/d/1MeEWN-I1oV_STSDYn1IFDPWt_1FKiwhDph83XaGc0o0/edit?usp=sharing"",""งบพรบ!DY32"")"),0)</f>
        <v>0</v>
      </c>
      <c r="N306" s="93">
        <f ca="1">IFERROR(__xludf.DUMMYFUNCTION("IMPORTRANGE(""https://docs.google.com/spreadsheets/d/1MeEWN-I1oV_STSDYn1IFDPWt_1FKiwhDph83XaGc0o0/edit?usp=sharing"",""งบพรบ!EA32"")"),0)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7" t="s">
        <v>38</v>
      </c>
      <c r="E307" s="173"/>
      <c r="F307" s="173"/>
      <c r="G307" s="174"/>
      <c r="H307" s="762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4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4" t="s">
        <v>35</v>
      </c>
      <c r="I309" s="270">
        <f ca="1">IFERROR(__xludf.DUMMYFUNCTION("IMPORTRANGE(""https://docs.google.com/spreadsheets/d/1QqKyyYR6Q21VydFLVH3TRQUabQu_ym0Zz7PgGX0-kHA/edit?usp=sharing"",""แผน!ED32"")"),0)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4" t="s">
        <v>35</v>
      </c>
      <c r="I310" s="270">
        <f ca="1">IFERROR(__xludf.DUMMYFUNCTION("IMPORTRANGE(""https://docs.google.com/spreadsheets/d/1QqKyyYR6Q21VydFLVH3TRQUabQu_ym0Zz7PgGX0-kHA/edit?usp=sharing"",""แผน!ED32"")"),0)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4" t="s">
        <v>35</v>
      </c>
      <c r="I311" s="270">
        <f ca="1">IFERROR(__xludf.DUMMYFUNCTION("IMPORTRANGE(""https://docs.google.com/spreadsheets/d/1QqKyyYR6Q21VydFLVH3TRQUabQu_ym0Zz7PgGX0-kHA/edit?usp=sharing"",""แผน!ED32"")"),0)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4" t="s">
        <v>35</v>
      </c>
      <c r="I312" s="270">
        <f ca="1">IFERROR(__xludf.DUMMYFUNCTION("IMPORTRANGE(""https://docs.google.com/spreadsheets/d/1QqKyyYR6Q21VydFLVH3TRQUabQu_ym0Zz7PgGX0-kHA/edit?usp=sharing"",""แผน!EE32"")"),0)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1</v>
      </c>
      <c r="J314" s="444">
        <f t="shared" si="142"/>
        <v>1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7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439000</v>
      </c>
      <c r="M315" s="155">
        <f t="shared" ca="1" si="143"/>
        <v>439000</v>
      </c>
      <c r="N315" s="155">
        <f t="shared" ca="1" si="143"/>
        <v>438999.4</v>
      </c>
      <c r="O315" s="155">
        <f t="shared" ref="O315:O323" ca="1" si="144">IF(L315&gt;0,N315*100/L315,0)</f>
        <v>99.999863325740321</v>
      </c>
      <c r="P315" s="155">
        <f t="shared" ref="P315:P323" ca="1" si="145">IF(M315&gt;0,N315*100/M315,0)</f>
        <v>99.999863325740321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7"/>
      <c r="J316" s="617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7"/>
      <c r="J317" s="617"/>
      <c r="K317" s="93"/>
      <c r="L317" s="93">
        <f t="shared" ca="1" si="146"/>
        <v>439000</v>
      </c>
      <c r="M317" s="93">
        <f t="shared" ca="1" si="146"/>
        <v>439000</v>
      </c>
      <c r="N317" s="93">
        <f t="shared" ca="1" si="146"/>
        <v>438999.4</v>
      </c>
      <c r="O317" s="93">
        <f t="shared" ca="1" si="144"/>
        <v>99.999863325740321</v>
      </c>
      <c r="P317" s="93">
        <f t="shared" ca="1" si="145"/>
        <v>99.999863325740321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439000</v>
      </c>
      <c r="M318" s="498">
        <f t="shared" ca="1" si="147"/>
        <v>439000</v>
      </c>
      <c r="N318" s="498">
        <f t="shared" ca="1" si="147"/>
        <v>438999.4</v>
      </c>
      <c r="O318" s="498">
        <f t="shared" ca="1" si="144"/>
        <v>99.999863325740321</v>
      </c>
      <c r="P318" s="498">
        <f t="shared" ca="1" si="145"/>
        <v>99.999863325740321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IFERROR(__xludf.DUMMYFUNCTION("IMPORTRANGE(""https://docs.google.com/spreadsheets/d/1MeEWN-I1oV_STSDYn1IFDPWt_1FKiwhDph83XaGc0o0/edit?usp=sharing"",""งบพรบ!EC32"")"),439000)</f>
        <v>439000</v>
      </c>
      <c r="M320" s="93">
        <f ca="1">IFERROR(__xludf.DUMMYFUNCTION("IMPORTRANGE(""https://docs.google.com/spreadsheets/d/1MeEWN-I1oV_STSDYn1IFDPWt_1FKiwhDph83XaGc0o0/edit?usp=sharing"",""งบพรบ!EH32"")"),439000)</f>
        <v>439000</v>
      </c>
      <c r="N320" s="93">
        <f ca="1">IFERROR(__xludf.DUMMYFUNCTION("IMPORTRANGE(""https://docs.google.com/spreadsheets/d/1MeEWN-I1oV_STSDYn1IFDPWt_1FKiwhDph83XaGc0o0/edit?usp=sharing"",""งบพรบ!EJ32"")"),438999.4)</f>
        <v>438999.4</v>
      </c>
      <c r="O320" s="93">
        <f t="shared" ca="1" si="144"/>
        <v>99.999863325740321</v>
      </c>
      <c r="P320" s="93">
        <f t="shared" ca="1" si="145"/>
        <v>99.999863325740321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IFERROR(__xludf.DUMMYFUNCTION("IMPORTRANGE(""https://docs.google.com/spreadsheets/d/1MeEWN-I1oV_STSDYn1IFDPWt_1FKiwhDph83XaGc0o0/edit?usp=sharing"",""งบพรบ!EF32"")"),0)</f>
        <v>0</v>
      </c>
      <c r="M323" s="93">
        <f ca="1">IFERROR(__xludf.DUMMYFUNCTION("IMPORTRANGE(""https://docs.google.com/spreadsheets/d/1MeEWN-I1oV_STSDYn1IFDPWt_1FKiwhDph83XaGc0o0/edit?usp=sharing"",""งบพรบ!EI32"")"),0)</f>
        <v>0</v>
      </c>
      <c r="N323" s="93">
        <f ca="1">IFERROR(__xludf.DUMMYFUNCTION("IMPORTRANGE(""https://docs.google.com/spreadsheets/d/1MeEWN-I1oV_STSDYn1IFDPWt_1FKiwhDph83XaGc0o0/edit?usp=sharing"",""งบพรบ!EK32"")"),0)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77" t="s">
        <v>38</v>
      </c>
      <c r="E324" s="173"/>
      <c r="F324" s="173"/>
      <c r="G324" s="174"/>
      <c r="H324" s="762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23" t="s">
        <v>146</v>
      </c>
      <c r="I325" s="270">
        <f ca="1">IFERROR(__xludf.DUMMYFUNCTION("IMPORTRANGE(""https://docs.google.com/spreadsheets/d/1QqKyyYR6Q21VydFLVH3TRQUabQu_ym0Zz7PgGX0-kHA/edit?usp=sharing"",""แผน!EF32"")"),1)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IFERROR(__xludf.DUMMYFUNCTION("IMPORTRANGE(""https://docs.google.com/spreadsheets/d/1QqKyyYR6Q21VydFLVH3TRQUabQu_ym0Zz7PgGX0-kHA/edit?usp=sharing"",""แผน!EG32"")"),1800)</f>
        <v>1800</v>
      </c>
      <c r="J327" s="444">
        <f ca="1">J338+J341+J342+J343</f>
        <v>3442</v>
      </c>
      <c r="K327" s="445">
        <f ca="1">IF(I327&gt;0,J327*100/I327,0)</f>
        <v>191.22222222222223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174000</v>
      </c>
      <c r="M328" s="155">
        <f t="shared" ca="1" si="149"/>
        <v>176500</v>
      </c>
      <c r="N328" s="155">
        <f t="shared" ca="1" si="149"/>
        <v>176498.87</v>
      </c>
      <c r="O328" s="155">
        <f t="shared" ref="O328:O336" ca="1" si="150">IF(L328&gt;0,N328*100/L328,0)</f>
        <v>101.43613218390804</v>
      </c>
      <c r="P328" s="155">
        <f t="shared" ref="P328:P336" ca="1" si="151">IF(M328&gt;0,N328*100/M328,0)</f>
        <v>99.999359773371111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7"/>
      <c r="J329" s="617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7"/>
      <c r="J330" s="617"/>
      <c r="K330" s="93"/>
      <c r="L330" s="93">
        <f t="shared" ca="1" si="152"/>
        <v>174000</v>
      </c>
      <c r="M330" s="93">
        <f t="shared" ca="1" si="152"/>
        <v>176500</v>
      </c>
      <c r="N330" s="93">
        <f t="shared" ca="1" si="152"/>
        <v>176498.87</v>
      </c>
      <c r="O330" s="93">
        <f t="shared" ca="1" si="150"/>
        <v>101.43613218390804</v>
      </c>
      <c r="P330" s="93">
        <f t="shared" ca="1" si="151"/>
        <v>99.999359773371111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174000</v>
      </c>
      <c r="M331" s="498">
        <f t="shared" ca="1" si="153"/>
        <v>176500</v>
      </c>
      <c r="N331" s="498">
        <f t="shared" ca="1" si="153"/>
        <v>176498.87</v>
      </c>
      <c r="O331" s="498">
        <f t="shared" ca="1" si="150"/>
        <v>101.43613218390804</v>
      </c>
      <c r="P331" s="498">
        <f t="shared" ca="1" si="151"/>
        <v>99.999359773371111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IFERROR(__xludf.DUMMYFUNCTION("IMPORTRANGE(""https://docs.google.com/spreadsheets/d/1MeEWN-I1oV_STSDYn1IFDPWt_1FKiwhDph83XaGc0o0/edit?usp=sharing"",""งบพรบ!EM32"")"),174000)</f>
        <v>174000</v>
      </c>
      <c r="M333" s="93">
        <f ca="1">IFERROR(__xludf.DUMMYFUNCTION("IMPORTRANGE(""https://docs.google.com/spreadsheets/d/1MeEWN-I1oV_STSDYn1IFDPWt_1FKiwhDph83XaGc0o0/edit?usp=sharing"",""งบพรบ!ER32"")"),176500)</f>
        <v>176500</v>
      </c>
      <c r="N333" s="93">
        <f ca="1">IFERROR(__xludf.DUMMYFUNCTION("IMPORTRANGE(""https://docs.google.com/spreadsheets/d/1MeEWN-I1oV_STSDYn1IFDPWt_1FKiwhDph83XaGc0o0/edit?usp=sharing"",""งบพรบ!ET32"")"),176498.87)</f>
        <v>176498.87</v>
      </c>
      <c r="O333" s="93">
        <f t="shared" ca="1" si="150"/>
        <v>101.43613218390804</v>
      </c>
      <c r="P333" s="93">
        <f t="shared" ca="1" si="151"/>
        <v>99.999359773371111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IFERROR(__xludf.DUMMYFUNCTION("IMPORTRANGE(""https://docs.google.com/spreadsheets/d/1MeEWN-I1oV_STSDYn1IFDPWt_1FKiwhDph83XaGc0o0/edit?usp=sharing"",""งบพรบ!EP32"")"),0)</f>
        <v>0</v>
      </c>
      <c r="M336" s="93">
        <f ca="1">IFERROR(__xludf.DUMMYFUNCTION("IMPORTRANGE(""https://docs.google.com/spreadsheets/d/1MeEWN-I1oV_STSDYn1IFDPWt_1FKiwhDph83XaGc0o0/edit?usp=sharing"",""งบพรบ!ES32"")"),0)</f>
        <v>0</v>
      </c>
      <c r="N336" s="93">
        <f ca="1">IFERROR(__xludf.DUMMYFUNCTION("IMPORTRANGE(""https://docs.google.com/spreadsheets/d/1MeEWN-I1oV_STSDYn1IFDPWt_1FKiwhDph83XaGc0o0/edit?usp=sharing"",""งบพรบ!EU32"")"),0)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86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62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IFERROR(__xludf.DUMMYFUNCTION("IMPORTRANGE(""https://docs.google.com/spreadsheets/d/1QqKyyYR6Q21VydFLVH3TRQUabQu_ym0Zz7PgGX0-kHA/edit?usp=sharing"",""แผน!EG32"")"),1800)</f>
        <v>1800</v>
      </c>
      <c r="J338" s="270">
        <f ca="1">IFERROR(__xludf.DUMMYFUNCTION("IMPORTRANGE(""https://docs.google.com/spreadsheets/d/1kVcqe37tkHyjCSG3S0O1AXqVkqjo8mSIZil3BcpIysc/edit?usp=sharing"",""ศูนย์!D32"")"),3235)</f>
        <v>3235</v>
      </c>
      <c r="K338" s="498">
        <f ca="1">IF(I338&gt;0,J338*100/I338,0)</f>
        <v>179.72222222222223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IFERROR(__xludf.DUMMYFUNCTION("IMPORTRANGE(""https://docs.google.com/spreadsheets/d/1QqKyyYR6Q21VydFLVH3TRQUabQu_ym0Zz7PgGX0-kHA/edit?usp=sharing"",""แผน!EH32"")"),8)</f>
        <v>8</v>
      </c>
      <c r="J340" s="270">
        <f ca="1">IFERROR(__xludf.DUMMYFUNCTION("IMPORTRANGE(""https://docs.google.com/spreadsheets/d/1kVcqe37tkHyjCSG3S0O1AXqVkqjo8mSIZil3BcpIysc/edit?usp=sharing"",""ศูนย์!E32"")"),10)</f>
        <v>10</v>
      </c>
      <c r="K340" s="498">
        <f ca="1">IF(I340&gt;0,J340*100/I340,0)</f>
        <v>125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IFERROR(__xludf.DUMMYFUNCTION("IMPORTRANGE(""https://docs.google.com/spreadsheets/d/1kVcqe37tkHyjCSG3S0O1AXqVkqjo8mSIZil3BcpIysc/edit?usp=sharing"",""ศูนย์!F32"")"),207)</f>
        <v>207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IFERROR(__xludf.DUMMYFUNCTION("IMPORTRANGE(""https://docs.google.com/spreadsheets/d/1kVcqe37tkHyjCSG3S0O1AXqVkqjo8mSIZil3BcpIysc/edit?usp=sharing"",""ศูนย์!G32"")"),0)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IFERROR(__xludf.DUMMYFUNCTION("IMPORTRANGE(""https://docs.google.com/spreadsheets/d/1kVcqe37tkHyjCSG3S0O1AXqVkqjo8mSIZil3BcpIysc/edit?usp=sharing"",""ศูนย์!H32"")"),0)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1058490</v>
      </c>
      <c r="M345" s="155">
        <f t="shared" ca="1" si="155"/>
        <v>1128490</v>
      </c>
      <c r="N345" s="155">
        <f t="shared" ca="1" si="155"/>
        <v>1128490</v>
      </c>
      <c r="O345" s="155">
        <f t="shared" ref="O345:O353" ca="1" si="156">IF(L345&gt;0,N345*100/L345,0)</f>
        <v>106.61319426730532</v>
      </c>
      <c r="P345" s="155">
        <f t="shared" ref="P345:P353" ca="1" si="157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7"/>
      <c r="J346" s="617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7"/>
      <c r="J347" s="617"/>
      <c r="K347" s="93"/>
      <c r="L347" s="93">
        <f t="shared" ca="1" si="158"/>
        <v>1058490</v>
      </c>
      <c r="M347" s="93">
        <f t="shared" ca="1" si="158"/>
        <v>1128490</v>
      </c>
      <c r="N347" s="93">
        <f t="shared" ca="1" si="158"/>
        <v>1128490</v>
      </c>
      <c r="O347" s="93">
        <f t="shared" ca="1" si="156"/>
        <v>106.61319426730532</v>
      </c>
      <c r="P347" s="93">
        <f t="shared" ca="1" si="157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974690</v>
      </c>
      <c r="M348" s="498">
        <f t="shared" ca="1" si="159"/>
        <v>1044690</v>
      </c>
      <c r="N348" s="498">
        <f t="shared" ca="1" si="159"/>
        <v>1044690</v>
      </c>
      <c r="O348" s="498">
        <f t="shared" ca="1" si="156"/>
        <v>107.18177061424659</v>
      </c>
      <c r="P348" s="498">
        <f t="shared" ca="1" si="157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IFERROR(__xludf.DUMMYFUNCTION("IMPORTRANGE(""https://docs.google.com/spreadsheets/d/1MeEWN-I1oV_STSDYn1IFDPWt_1FKiwhDph83XaGc0o0/edit?usp=sharing"",""งบพรบ!EW32"")"),974690)</f>
        <v>974690</v>
      </c>
      <c r="M350" s="93">
        <f ca="1">IFERROR(__xludf.DUMMYFUNCTION("IMPORTRANGE(""https://docs.google.com/spreadsheets/d/1MeEWN-I1oV_STSDYn1IFDPWt_1FKiwhDph83XaGc0o0/edit?usp=sharing"",""งบพรบ!FB32"")"),1044690)</f>
        <v>1044690</v>
      </c>
      <c r="N350" s="93">
        <f ca="1">IFERROR(__xludf.DUMMYFUNCTION("IMPORTRANGE(""https://docs.google.com/spreadsheets/d/1MeEWN-I1oV_STSDYn1IFDPWt_1FKiwhDph83XaGc0o0/edit?usp=sharing"",""งบพรบ!FD32"")"),1044690)</f>
        <v>1044690</v>
      </c>
      <c r="O350" s="93">
        <f t="shared" ca="1" si="156"/>
        <v>107.18177061424659</v>
      </c>
      <c r="P350" s="93">
        <f t="shared" ca="1" si="157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83800</v>
      </c>
      <c r="M351" s="498">
        <f t="shared" ca="1" si="160"/>
        <v>83800</v>
      </c>
      <c r="N351" s="498">
        <f t="shared" ca="1" si="160"/>
        <v>83800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IFERROR(__xludf.DUMMYFUNCTION("IMPORTRANGE(""https://docs.google.com/spreadsheets/d/1MeEWN-I1oV_STSDYn1IFDPWt_1FKiwhDph83XaGc0o0/edit?usp=sharing"",""งบพรบ!EZ32"")"),83800)</f>
        <v>83800</v>
      </c>
      <c r="M353" s="93">
        <f ca="1">IFERROR(__xludf.DUMMYFUNCTION("IMPORTRANGE(""https://docs.google.com/spreadsheets/d/1MeEWN-I1oV_STSDYn1IFDPWt_1FKiwhDph83XaGc0o0/edit?usp=sharing"",""งบพรบ!FC32"")"),83800)</f>
        <v>83800</v>
      </c>
      <c r="N353" s="93">
        <f ca="1">IFERROR(__xludf.DUMMYFUNCTION("IMPORTRANGE(""https://docs.google.com/spreadsheets/d/1MeEWN-I1oV_STSDYn1IFDPWt_1FKiwhDph83XaGc0o0/edit?usp=sharing"",""งบพรบ!FE32"")"),83800)</f>
        <v>83800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8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IFERROR(__xludf.DUMMYFUNCTION("IMPORTRANGE(""https://docs.google.com/spreadsheets/d/1QqKyyYR6Q21VydFLVH3TRQUabQu_ym0Zz7PgGX0-kHA/edit?usp=sharing"",""แผน!EP32"")"),250)</f>
        <v>250</v>
      </c>
      <c r="J355" s="465">
        <f ca="1">J362</f>
        <v>273</v>
      </c>
      <c r="K355" s="466">
        <f ca="1">IF(I355&gt;0,J355*100/I355,0)</f>
        <v>109.2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77" t="s">
        <v>38</v>
      </c>
      <c r="E357" s="173"/>
      <c r="F357" s="173"/>
      <c r="G357" s="174"/>
      <c r="H357" s="762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IFERROR(__xludf.DUMMYFUNCTION("IMPORTRANGE(""https://docs.google.com/spreadsheets/d/1XWAQStnk-4SwqDmLtmXYiTMKHgktTP8We1SCoS47DrQ/edit?usp=sharing"",""จัดที่ดิน!W32"")"),297)</f>
        <v>297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IFERROR(__xludf.DUMMYFUNCTION("IMPORTRANGE(""https://docs.google.com/spreadsheets/d/1QqKyyYR6Q21VydFLVH3TRQUabQu_ym0Zz7PgGX0-kHA/edit?usp=sharing"",""แผน!EO32"")"),2500)</f>
        <v>2500</v>
      </c>
      <c r="J359" s="270">
        <f ca="1">IFERROR(__xludf.DUMMYFUNCTION("IMPORTRANGE(""https://docs.google.com/spreadsheets/d/1XWAQStnk-4SwqDmLtmXYiTMKHgktTP8We1SCoS47DrQ/edit?usp=sharing"",""จัดที่ดิน!X32"")"),2650.16)</f>
        <v>2650.16</v>
      </c>
      <c r="K359" s="498">
        <f t="shared" ca="1" si="161"/>
        <v>106.0064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4" t="s">
        <v>35</v>
      </c>
      <c r="I360" s="270">
        <f ca="1">IFERROR(__xludf.DUMMYFUNCTION("IMPORTRANGE(""https://docs.google.com/spreadsheets/d/1QqKyyYR6Q21VydFLVH3TRQUabQu_ym0Zz7PgGX0-kHA/edit?usp=sharing"",""แผน!EP32"")"),250)</f>
        <v>250</v>
      </c>
      <c r="J360" s="270">
        <f ca="1">IFERROR(__xludf.DUMMYFUNCTION("IMPORTRANGE(""https://docs.google.com/spreadsheets/d/1XWAQStnk-4SwqDmLtmXYiTMKHgktTP8We1SCoS47DrQ/edit?usp=sharing"",""จัดที่ดิน!Y32"")"),307)</f>
        <v>307</v>
      </c>
      <c r="K360" s="498">
        <f t="shared" ca="1" si="161"/>
        <v>122.8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IFERROR(__xludf.DUMMYFUNCTION("IMPORTRANGE(""https://docs.google.com/spreadsheets/d/1XWAQStnk-4SwqDmLtmXYiTMKHgktTP8We1SCoS47DrQ/edit?usp=sharing"",""จัดที่ดิน!Z32"")"),2663.71)</f>
        <v>2663.71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4" t="s">
        <v>35</v>
      </c>
      <c r="I362" s="270">
        <f ca="1">IFERROR(__xludf.DUMMYFUNCTION("IMPORTRANGE(""https://docs.google.com/spreadsheets/d/1QqKyyYR6Q21VydFLVH3TRQUabQu_ym0Zz7PgGX0-kHA/edit?usp=sharing"",""แผน!EP32"")"),250)</f>
        <v>250</v>
      </c>
      <c r="J362" s="270">
        <f ca="1">IFERROR(__xludf.DUMMYFUNCTION("IMPORTRANGE(""https://docs.google.com/spreadsheets/d/1XWAQStnk-4SwqDmLtmXYiTMKHgktTP8We1SCoS47DrQ/edit?usp=sharing"",""จัดที่ดิน!AA32"")"),273)</f>
        <v>273</v>
      </c>
      <c r="K362" s="498">
        <f t="shared" ca="1" si="161"/>
        <v>109.2</v>
      </c>
      <c r="L362" s="163"/>
      <c r="M362" s="163"/>
      <c r="N362" s="163"/>
      <c r="O362" s="163"/>
      <c r="P362" s="163"/>
    </row>
    <row r="363" spans="1:26" ht="18.75" hidden="1">
      <c r="A363" s="499" t="s">
        <v>169</v>
      </c>
      <c r="B363" s="178"/>
      <c r="C363" s="171"/>
      <c r="D363" s="178"/>
      <c r="E363" s="447"/>
      <c r="F363" s="178"/>
      <c r="G363" s="179"/>
      <c r="H363" s="76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IFERROR(__xludf.DUMMYFUNCTION("IMPORTRANGE(""https://docs.google.com/spreadsheets/d/1XWAQStnk-4SwqDmLtmXYiTMKHgktTP8We1SCoS47DrQ/edit?usp=sharing"",""จัดที่ดิน!AB32"")"),2335.16)</f>
        <v>2335.16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t="shared" ref="I364:J364" ca="1" si="162">I365+I374</f>
        <v>700</v>
      </c>
      <c r="J364" s="479">
        <f t="shared" ca="1" si="162"/>
        <v>781</v>
      </c>
      <c r="K364" s="480">
        <f t="shared" ca="1" si="161"/>
        <v>111.57142857142857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IFERROR(__xludf.DUMMYFUNCTION("IMPORTRANGE(""https://docs.google.com/spreadsheets/d/1QqKyyYR6Q21VydFLVH3TRQUabQu_ym0Zz7PgGX0-kHA/edit?usp=sharing"",""แผน!EJ32"")"),50)</f>
        <v>50</v>
      </c>
      <c r="J365" s="491">
        <f ca="1">J372</f>
        <v>54</v>
      </c>
      <c r="K365" s="492">
        <f t="shared" ca="1" si="161"/>
        <v>108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77" t="s">
        <v>38</v>
      </c>
      <c r="E367" s="173"/>
      <c r="F367" s="173"/>
      <c r="G367" s="174"/>
      <c r="H367" s="762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IFERROR(__xludf.DUMMYFUNCTION("IMPORTRANGE(""https://docs.google.com/spreadsheets/d/1XWAQStnk-4SwqDmLtmXYiTMKHgktTP8We1SCoS47DrQ/edit?usp=sharing"",""จัดที่ดิน!E32"")"),52)</f>
        <v>52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IFERROR(__xludf.DUMMYFUNCTION("IMPORTRANGE(""https://docs.google.com/spreadsheets/d/1QqKyyYR6Q21VydFLVH3TRQUabQu_ym0Zz7PgGX0-kHA/edit?usp=sharing"",""แผน!EI32"")"),300)</f>
        <v>300</v>
      </c>
      <c r="J369" s="270">
        <f ca="1">IFERROR(__xludf.DUMMYFUNCTION("IMPORTRANGE(""https://docs.google.com/spreadsheets/d/1XWAQStnk-4SwqDmLtmXYiTMKHgktTP8We1SCoS47DrQ/edit?usp=sharing"",""จัดที่ดิน!F32"")"),374.77)</f>
        <v>374.77</v>
      </c>
      <c r="K369" s="498">
        <f t="shared" ca="1" si="163"/>
        <v>124.92333333333333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4" t="s">
        <v>35</v>
      </c>
      <c r="I370" s="270">
        <f ca="1">IFERROR(__xludf.DUMMYFUNCTION("IMPORTRANGE(""https://docs.google.com/spreadsheets/d/1QqKyyYR6Q21VydFLVH3TRQUabQu_ym0Zz7PgGX0-kHA/edit?usp=sharing"",""แผน!EJ32"")"),50)</f>
        <v>50</v>
      </c>
      <c r="J370" s="270">
        <f ca="1">IFERROR(__xludf.DUMMYFUNCTION("IMPORTRANGE(""https://docs.google.com/spreadsheets/d/1XWAQStnk-4SwqDmLtmXYiTMKHgktTP8We1SCoS47DrQ/edit?usp=sharing"",""จัดที่ดิน!G32"")"),62)</f>
        <v>62</v>
      </c>
      <c r="K370" s="498">
        <f t="shared" ca="1" si="163"/>
        <v>124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IFERROR(__xludf.DUMMYFUNCTION("IMPORTRANGE(""https://docs.google.com/spreadsheets/d/1XWAQStnk-4SwqDmLtmXYiTMKHgktTP8We1SCoS47DrQ/edit?usp=sharing"",""จัดที่ดิน!H32"")"),388.32)</f>
        <v>388.32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4" t="s">
        <v>35</v>
      </c>
      <c r="I372" s="270">
        <f ca="1">IFERROR(__xludf.DUMMYFUNCTION("IMPORTRANGE(""https://docs.google.com/spreadsheets/d/1QqKyyYR6Q21VydFLVH3TRQUabQu_ym0Zz7PgGX0-kHA/edit?usp=sharing"",""แผน!EJ32"")"),50)</f>
        <v>50</v>
      </c>
      <c r="J372" s="270">
        <f ca="1">IFERROR(__xludf.DUMMYFUNCTION("IMPORTRANGE(""https://docs.google.com/spreadsheets/d/1XWAQStnk-4SwqDmLtmXYiTMKHgktTP8We1SCoS47DrQ/edit?usp=sharing"",""จัดที่ดิน!I32"")"),54)</f>
        <v>54</v>
      </c>
      <c r="K372" s="498">
        <f t="shared" ca="1" si="163"/>
        <v>108</v>
      </c>
      <c r="L372" s="163"/>
      <c r="M372" s="163"/>
      <c r="N372" s="163"/>
      <c r="O372" s="163"/>
      <c r="P372" s="163"/>
    </row>
    <row r="373" spans="1:26" ht="18.75">
      <c r="A373" s="499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8"/>
      <c r="C373" s="171"/>
      <c r="D373" s="178"/>
      <c r="E373" s="447"/>
      <c r="F373" s="178"/>
      <c r="G373" s="179"/>
      <c r="H373" s="76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IFERROR(__xludf.DUMMYFUNCTION("IMPORTRANGE(""https://docs.google.com/spreadsheets/d/1XWAQStnk-4SwqDmLtmXYiTMKHgktTP8We1SCoS47DrQ/edit?usp=sharing"",""จัดที่ดิน!J32"")"),330.3)</f>
        <v>330.3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IFERROR(__xludf.DUMMYFUNCTION("IMPORTRANGE(""https://docs.google.com/spreadsheets/d/1QqKyyYR6Q21VydFLVH3TRQUabQu_ym0Zz7PgGX0-kHA/edit?usp=sharing"",""แผน!EU32"")"),650)</f>
        <v>650</v>
      </c>
      <c r="J374" s="491">
        <f ca="1">J381</f>
        <v>727</v>
      </c>
      <c r="K374" s="492">
        <f t="shared" ca="1" si="163"/>
        <v>111.84615384615384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77" t="s">
        <v>38</v>
      </c>
      <c r="E376" s="173"/>
      <c r="F376" s="173"/>
      <c r="G376" s="174"/>
      <c r="H376" s="762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IFERROR(__xludf.DUMMYFUNCTION("IMPORTRANGE(""https://docs.google.com/spreadsheets/d/1XWAQStnk-4SwqDmLtmXYiTMKHgktTP8We1SCoS47DrQ/edit?usp=sharing"",""จัดที่ดิน!AH32"")"),245)</f>
        <v>245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IFERROR(__xludf.DUMMYFUNCTION("IMPORTRANGE(""https://docs.google.com/spreadsheets/d/1QqKyyYR6Q21VydFLVH3TRQUabQu_ym0Zz7PgGX0-kHA/edit?usp=sharing"",""แผน!ET32"")"),2200)</f>
        <v>2200</v>
      </c>
      <c r="J378" s="270">
        <f ca="1">IFERROR(__xludf.DUMMYFUNCTION("IMPORTRANGE(""https://docs.google.com/spreadsheets/d/1XWAQStnk-4SwqDmLtmXYiTMKHgktTP8We1SCoS47DrQ/edit?usp=sharing"",""จัดที่ดิน!AI32"")"),2275.39)</f>
        <v>2275.39</v>
      </c>
      <c r="K378" s="498">
        <f t="shared" ca="1" si="164"/>
        <v>103.42681818181818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4" t="s">
        <v>35</v>
      </c>
      <c r="I379" s="270">
        <f ca="1">IFERROR(__xludf.DUMMYFUNCTION("IMPORTRANGE(""https://docs.google.com/spreadsheets/d/1QqKyyYR6Q21VydFLVH3TRQUabQu_ym0Zz7PgGX0-kHA/edit?usp=sharing"",""แผน!EU32"")"),650)</f>
        <v>650</v>
      </c>
      <c r="J379" s="270">
        <f ca="1">IFERROR(__xludf.DUMMYFUNCTION("IMPORTRANGE(""https://docs.google.com/spreadsheets/d/1XWAQStnk-4SwqDmLtmXYiTMKHgktTP8We1SCoS47DrQ/edit?usp=sharing"",""จัดที่ดิน!AJ32"")"),770)</f>
        <v>770</v>
      </c>
      <c r="K379" s="498">
        <f t="shared" ca="1" si="164"/>
        <v>118.46153846153847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IFERROR(__xludf.DUMMYFUNCTION("IMPORTRANGE(""https://docs.google.com/spreadsheets/d/1XWAQStnk-4SwqDmLtmXYiTMKHgktTP8We1SCoS47DrQ/edit?usp=sharing"",""จัดที่ดิน!AK32"")"),8715.44)</f>
        <v>8715.44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4" t="s">
        <v>35</v>
      </c>
      <c r="I381" s="270">
        <f ca="1">IFERROR(__xludf.DUMMYFUNCTION("IMPORTRANGE(""https://docs.google.com/spreadsheets/d/1QqKyyYR6Q21VydFLVH3TRQUabQu_ym0Zz7PgGX0-kHA/edit?usp=sharing"",""แผน!EU32"")"),650)</f>
        <v>650</v>
      </c>
      <c r="J381" s="270">
        <f ca="1">IFERROR(__xludf.DUMMYFUNCTION("IMPORTRANGE(""https://docs.google.com/spreadsheets/d/1XWAQStnk-4SwqDmLtmXYiTMKHgktTP8We1SCoS47DrQ/edit?usp=sharing"",""จัดที่ดิน!AL32"")"),727)</f>
        <v>727</v>
      </c>
      <c r="K381" s="498">
        <f t="shared" ca="1" si="164"/>
        <v>111.84615384615384</v>
      </c>
      <c r="L381" s="163"/>
      <c r="M381" s="163"/>
      <c r="N381" s="163"/>
      <c r="O381" s="163"/>
      <c r="P381" s="163"/>
    </row>
    <row r="382" spans="1:26" ht="18.75">
      <c r="A382" s="499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8"/>
      <c r="C382" s="171"/>
      <c r="D382" s="178"/>
      <c r="E382" s="447"/>
      <c r="F382" s="178"/>
      <c r="G382" s="179"/>
      <c r="H382" s="76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IFERROR(__xludf.DUMMYFUNCTION("IMPORTRANGE(""https://docs.google.com/spreadsheets/d/1XWAQStnk-4SwqDmLtmXYiTMKHgktTP8We1SCoS47DrQ/edit?usp=sharing"",""จัดที่ดิน!AM32"")"),8285.54)</f>
        <v>8285.5400000000009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500"/>
      <c r="B383" s="501"/>
      <c r="C383" s="291"/>
      <c r="D383" s="889" t="s">
        <v>170</v>
      </c>
      <c r="E383" s="291"/>
      <c r="F383" s="291"/>
      <c r="G383" s="503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86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62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4" t="s">
        <v>171</v>
      </c>
      <c r="F385" s="381"/>
      <c r="G385" s="382"/>
      <c r="H385" s="505" t="s">
        <v>35</v>
      </c>
      <c r="I385" s="506">
        <f ca="1">IFERROR(__xludf.DUMMYFUNCTION("IMPORTRANGE(""https://docs.google.com/spreadsheets/d/1QqKyyYR6Q21VydFLVH3TRQUabQu_ym0Zz7PgGX0-kHA/edit?usp=sharing"",""แผน!EW32"")"),50)</f>
        <v>50</v>
      </c>
      <c r="J385" s="506">
        <f ca="1">IFERROR(__xludf.DUMMYFUNCTION("IMPORTRANGE(""https://docs.google.com/spreadsheets/d/1XWAQStnk-4SwqDmLtmXYiTMKHgktTP8We1SCoS47DrQ/edit?usp=sharing"",""จัดที่ดิน!AP32"")"),80)</f>
        <v>80</v>
      </c>
      <c r="K385" s="507">
        <f ca="1">IF(I385&gt;0,J385*100/I385,0)</f>
        <v>160</v>
      </c>
      <c r="L385" s="385"/>
      <c r="M385" s="385"/>
      <c r="N385" s="385"/>
      <c r="O385" s="385"/>
      <c r="P385" s="385"/>
    </row>
    <row r="386" spans="1:26" ht="19.5" hidden="1">
      <c r="A386" s="508" t="s">
        <v>172</v>
      </c>
      <c r="B386" s="509"/>
      <c r="C386" s="509"/>
      <c r="D386" s="509"/>
      <c r="E386" s="510"/>
      <c r="F386" s="510"/>
      <c r="G386" s="511"/>
      <c r="H386" s="512"/>
      <c r="I386" s="513"/>
      <c r="J386" s="513"/>
      <c r="K386" s="514"/>
      <c r="L386" s="514"/>
      <c r="M386" s="514"/>
      <c r="N386" s="514"/>
      <c r="O386" s="514"/>
      <c r="P386" s="514"/>
    </row>
    <row r="387" spans="1:26" ht="19.5" hidden="1">
      <c r="A387" s="515" t="s">
        <v>173</v>
      </c>
      <c r="B387" s="516"/>
      <c r="C387" s="516"/>
      <c r="D387" s="517"/>
      <c r="E387" s="516"/>
      <c r="F387" s="516"/>
      <c r="G387" s="516"/>
      <c r="H387" s="518"/>
      <c r="I387" s="519"/>
      <c r="J387" s="519"/>
      <c r="K387" s="520"/>
      <c r="L387" s="520"/>
      <c r="M387" s="520"/>
      <c r="N387" s="520"/>
      <c r="O387" s="520"/>
      <c r="P387" s="520"/>
    </row>
    <row r="388" spans="1:26" ht="19.5" hidden="1">
      <c r="A388" s="521"/>
      <c r="B388" s="522" t="s">
        <v>174</v>
      </c>
      <c r="C388" s="523"/>
      <c r="D388" s="524"/>
      <c r="E388" s="524"/>
      <c r="F388" s="524"/>
      <c r="G388" s="525"/>
      <c r="H388" s="526" t="s">
        <v>66</v>
      </c>
      <c r="I388" s="527">
        <f t="shared" ref="I388:J388" si="165">I400</f>
        <v>0</v>
      </c>
      <c r="J388" s="527">
        <f t="shared" si="165"/>
        <v>0</v>
      </c>
      <c r="K388" s="528">
        <f>IF(I388&gt;0,J388*100/I388,0)</f>
        <v>0</v>
      </c>
      <c r="L388" s="529"/>
      <c r="M388" s="529"/>
      <c r="N388" s="529"/>
      <c r="O388" s="529"/>
      <c r="P388" s="529"/>
    </row>
    <row r="389" spans="1:26" ht="19.5" hidden="1">
      <c r="A389" s="147"/>
      <c r="B389" s="148"/>
      <c r="C389" s="149" t="s">
        <v>16</v>
      </c>
      <c r="D389" s="87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7"/>
      <c r="J390" s="617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7"/>
      <c r="J391" s="617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IFERROR(__xludf.DUMMYFUNCTION("IMPORTRANGE(""https://docs.google.com/spreadsheets/d/1MeEWN-I1oV_STSDYn1IFDPWt_1FKiwhDph83XaGc0o0/edit?usp=sharing"",""งบพรบ!FG32"")"),0)</f>
        <v>0</v>
      </c>
      <c r="M394" s="93">
        <f ca="1">IFERROR(__xludf.DUMMYFUNCTION("IMPORTRANGE(""https://docs.google.com/spreadsheets/d/1MeEWN-I1oV_STSDYn1IFDPWt_1FKiwhDph83XaGc0o0/edit?usp=sharing"",""งบพรบ!FL32"")"),0)</f>
        <v>0</v>
      </c>
      <c r="N394" s="93">
        <f ca="1">IFERROR(__xludf.DUMMYFUNCTION("IMPORTRANGE(""https://docs.google.com/spreadsheets/d/1MeEWN-I1oV_STSDYn1IFDPWt_1FKiwhDph83XaGc0o0/edit?usp=sharing"",""งบพรบ!FN32"")"),0)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IFERROR(__xludf.DUMMYFUNCTION("IMPORTRANGE(""https://docs.google.com/spreadsheets/d/1MeEWN-I1oV_STSDYn1IFDPWt_1FKiwhDph83XaGc0o0/edit?usp=sharing"",""งบพรบ!FJ32"")"),0)</f>
        <v>0</v>
      </c>
      <c r="M397" s="93">
        <f ca="1">IFERROR(__xludf.DUMMYFUNCTION("IMPORTRANGE(""https://docs.google.com/spreadsheets/d/1MeEWN-I1oV_STSDYn1IFDPWt_1FKiwhDph83XaGc0o0/edit?usp=sharing"",""งบพรบ!FM32"")"),0)</f>
        <v>0</v>
      </c>
      <c r="N397" s="93">
        <f ca="1">IFERROR(__xludf.DUMMYFUNCTION("IMPORTRANGE(""https://docs.google.com/spreadsheets/d/1MeEWN-I1oV_STSDYn1IFDPWt_1FKiwhDph83XaGc0o0/edit?usp=sharing"",""งบพรบ!FO32"")"),0)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7" t="s">
        <v>38</v>
      </c>
      <c r="E398" s="173"/>
      <c r="F398" s="173"/>
      <c r="G398" s="174"/>
      <c r="H398" s="762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30"/>
      <c r="B399" s="148"/>
      <c r="C399" s="531"/>
      <c r="D399" s="532" t="s">
        <v>175</v>
      </c>
      <c r="E399" s="415"/>
      <c r="F399" s="148"/>
      <c r="G399" s="151"/>
      <c r="H399" s="533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4"/>
      <c r="M399" s="534"/>
      <c r="N399" s="534"/>
      <c r="O399" s="534"/>
      <c r="P399" s="534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1"/>
      <c r="B401" s="522" t="s">
        <v>177</v>
      </c>
      <c r="C401" s="523"/>
      <c r="D401" s="524"/>
      <c r="E401" s="524"/>
      <c r="F401" s="524"/>
      <c r="G401" s="525"/>
      <c r="H401" s="526" t="s">
        <v>66</v>
      </c>
      <c r="I401" s="527">
        <f t="shared" ref="I401:J401" si="173">I412</f>
        <v>0</v>
      </c>
      <c r="J401" s="527">
        <f t="shared" si="173"/>
        <v>0</v>
      </c>
      <c r="K401" s="528">
        <f t="shared" si="172"/>
        <v>0</v>
      </c>
      <c r="L401" s="529"/>
      <c r="M401" s="529"/>
      <c r="N401" s="529"/>
      <c r="O401" s="529"/>
      <c r="P401" s="529"/>
    </row>
    <row r="402" spans="1:26" ht="19.5" hidden="1">
      <c r="A402" s="147"/>
      <c r="B402" s="148"/>
      <c r="C402" s="149" t="s">
        <v>16</v>
      </c>
      <c r="D402" s="87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7"/>
      <c r="J403" s="617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7"/>
      <c r="J404" s="617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IFERROR(__xludf.DUMMYFUNCTION("IMPORTRANGE(""https://docs.google.com/spreadsheets/d/1MeEWN-I1oV_STSDYn1IFDPWt_1FKiwhDph83XaGc0o0/edit?usp=sharing"",""งบพรบ!FQ32"")"),0)</f>
        <v>0</v>
      </c>
      <c r="M407" s="93">
        <f ca="1">IFERROR(__xludf.DUMMYFUNCTION("IMPORTRANGE(""https://docs.google.com/spreadsheets/d/1MeEWN-I1oV_STSDYn1IFDPWt_1FKiwhDph83XaGc0o0/edit?usp=sharing"",""งบพรบ!FV32"")"),0)</f>
        <v>0</v>
      </c>
      <c r="N407" s="93">
        <f ca="1">IFERROR(__xludf.DUMMYFUNCTION("IMPORTRANGE(""https://docs.google.com/spreadsheets/d/1MeEWN-I1oV_STSDYn1IFDPWt_1FKiwhDph83XaGc0o0/edit?usp=sharing"",""งบพรบ!FX32"")"),0)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IFERROR(__xludf.DUMMYFUNCTION("IMPORTRANGE(""https://docs.google.com/spreadsheets/d/1MeEWN-I1oV_STSDYn1IFDPWt_1FKiwhDph83XaGc0o0/edit?usp=sharing"",""งบพรบ!FT32"")"),0)</f>
        <v>0</v>
      </c>
      <c r="M410" s="93">
        <f ca="1">IFERROR(__xludf.DUMMYFUNCTION("IMPORTRANGE(""https://docs.google.com/spreadsheets/d/1MeEWN-I1oV_STSDYn1IFDPWt_1FKiwhDph83XaGc0o0/edit?usp=sharing"",""งบพรบ!FW32"")"),0)</f>
        <v>0</v>
      </c>
      <c r="N410" s="93">
        <f ca="1">IFERROR(__xludf.DUMMYFUNCTION("IMPORTRANGE(""https://docs.google.com/spreadsheets/d/1MeEWN-I1oV_STSDYn1IFDPWt_1FKiwhDph83XaGc0o0/edit?usp=sharing"",""งบพรบ!FY32"")"),0)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90" t="s">
        <v>38</v>
      </c>
      <c r="E411" s="536"/>
      <c r="F411" s="536"/>
      <c r="G411" s="537"/>
      <c r="H411" s="762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8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9"/>
      <c r="B413" s="540"/>
      <c r="C413" s="540"/>
      <c r="D413" s="541" t="s">
        <v>179</v>
      </c>
      <c r="E413" s="540"/>
      <c r="F413" s="540"/>
      <c r="G413" s="542"/>
      <c r="H413" s="543" t="s">
        <v>180</v>
      </c>
      <c r="I413" s="544">
        <v>0</v>
      </c>
      <c r="J413" s="545">
        <v>0</v>
      </c>
      <c r="K413" s="546">
        <f t="shared" si="180"/>
        <v>0</v>
      </c>
      <c r="L413" s="547"/>
      <c r="M413" s="547"/>
      <c r="N413" s="547"/>
      <c r="O413" s="547"/>
      <c r="P413" s="547"/>
    </row>
    <row r="414" spans="1:26" ht="19.5">
      <c r="A414" s="548" t="s">
        <v>181</v>
      </c>
      <c r="B414" s="549"/>
      <c r="C414" s="549"/>
      <c r="D414" s="549"/>
      <c r="E414" s="549"/>
      <c r="F414" s="549"/>
      <c r="G414" s="550"/>
      <c r="H414" s="551"/>
      <c r="I414" s="552"/>
      <c r="J414" s="552"/>
      <c r="K414" s="553"/>
      <c r="L414" s="554">
        <f t="shared" ref="L414:N414" ca="1" si="181">L419+L444+L467+L502+L523+L544+L629+L655+L685+L737+L754+L770+L786+L805</f>
        <v>2854067</v>
      </c>
      <c r="M414" s="554">
        <f t="shared" ca="1" si="181"/>
        <v>2613815.9899999998</v>
      </c>
      <c r="N414" s="554">
        <f t="shared" si="181"/>
        <v>2613815.9899999998</v>
      </c>
      <c r="O414" s="554">
        <f ca="1">IF(L414&gt;0,N414*100/L414,0)</f>
        <v>91.582152416183632</v>
      </c>
      <c r="P414" s="554">
        <f ca="1">IF(M414&gt;0,N414*100/M414,0)</f>
        <v>100</v>
      </c>
    </row>
    <row r="415" spans="1:26" ht="19.5">
      <c r="A415" s="555" t="s">
        <v>182</v>
      </c>
      <c r="B415" s="556"/>
      <c r="C415" s="556"/>
      <c r="D415" s="556"/>
      <c r="E415" s="556"/>
      <c r="F415" s="556"/>
      <c r="G415" s="556"/>
      <c r="H415" s="557"/>
      <c r="I415" s="558"/>
      <c r="J415" s="558"/>
      <c r="K415" s="559"/>
      <c r="L415" s="560"/>
      <c r="M415" s="560"/>
      <c r="N415" s="560"/>
      <c r="O415" s="560"/>
      <c r="P415" s="560"/>
    </row>
    <row r="416" spans="1:26" ht="19.5">
      <c r="A416" s="555" t="s">
        <v>183</v>
      </c>
      <c r="B416" s="556"/>
      <c r="C416" s="556"/>
      <c r="D416" s="556"/>
      <c r="E416" s="556"/>
      <c r="F416" s="556"/>
      <c r="G416" s="561"/>
      <c r="H416" s="562"/>
      <c r="I416" s="563"/>
      <c r="J416" s="563"/>
      <c r="K416" s="560"/>
      <c r="L416" s="560"/>
      <c r="M416" s="560"/>
      <c r="N416" s="560"/>
      <c r="O416" s="560"/>
      <c r="P416" s="560"/>
    </row>
    <row r="417" spans="1:26" ht="39">
      <c r="A417" s="564">
        <v>1</v>
      </c>
      <c r="B417" s="566" t="s">
        <v>184</v>
      </c>
      <c r="C417" s="566"/>
      <c r="D417" s="567"/>
      <c r="E417" s="567"/>
      <c r="F417" s="567"/>
      <c r="G417" s="568"/>
      <c r="H417" s="569" t="s">
        <v>35</v>
      </c>
      <c r="I417" s="570">
        <f t="shared" ref="I417:J418" ca="1" si="182">I433</f>
        <v>20</v>
      </c>
      <c r="J417" s="570">
        <f t="shared" ca="1" si="182"/>
        <v>20</v>
      </c>
      <c r="K417" s="571">
        <f t="shared" ref="K417:K418" ca="1" si="183">IF(I417&gt;0,J417*100/I417,0)</f>
        <v>100</v>
      </c>
      <c r="L417" s="572"/>
      <c r="M417" s="572"/>
      <c r="N417" s="572"/>
      <c r="O417" s="572"/>
      <c r="P417" s="572"/>
    </row>
    <row r="418" spans="1:26" ht="19.5">
      <c r="A418" s="573"/>
      <c r="B418" s="564"/>
      <c r="C418" s="566"/>
      <c r="D418" s="567"/>
      <c r="E418" s="567"/>
      <c r="F418" s="567"/>
      <c r="G418" s="568"/>
      <c r="H418" s="569" t="s">
        <v>49</v>
      </c>
      <c r="I418" s="570">
        <f t="shared" ca="1" si="182"/>
        <v>1</v>
      </c>
      <c r="J418" s="570">
        <f t="shared" si="182"/>
        <v>1</v>
      </c>
      <c r="K418" s="571">
        <f t="shared" ca="1" si="183"/>
        <v>100</v>
      </c>
      <c r="L418" s="572"/>
      <c r="M418" s="572"/>
      <c r="N418" s="572"/>
      <c r="O418" s="572"/>
      <c r="P418" s="572"/>
    </row>
    <row r="419" spans="1:26" ht="19.5">
      <c r="A419" s="147"/>
      <c r="B419" s="148"/>
      <c r="C419" s="148" t="s">
        <v>16</v>
      </c>
      <c r="D419" s="891" t="s">
        <v>17</v>
      </c>
      <c r="E419" s="862"/>
      <c r="F419" s="86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83660</v>
      </c>
      <c r="N419" s="155">
        <f t="shared" si="184"/>
        <v>83660</v>
      </c>
      <c r="O419" s="155">
        <f t="shared" ref="O419:O424" ca="1" si="185">IF(L419&gt;0,N419*100/L419,0)</f>
        <v>106.35647088736333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7"/>
      <c r="J420" s="617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7"/>
      <c r="J421" s="617"/>
      <c r="K421" s="93"/>
      <c r="L421" s="93">
        <f t="shared" ca="1" si="187"/>
        <v>78660</v>
      </c>
      <c r="M421" s="93">
        <f t="shared" ca="1" si="187"/>
        <v>83660</v>
      </c>
      <c r="N421" s="93">
        <f t="shared" si="187"/>
        <v>83660</v>
      </c>
      <c r="O421" s="93">
        <f t="shared" ca="1" si="185"/>
        <v>106.35647088736333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83660</v>
      </c>
      <c r="N422" s="498">
        <f t="shared" si="188"/>
        <v>83660</v>
      </c>
      <c r="O422" s="498">
        <f t="shared" ca="1" si="185"/>
        <v>106.35647088736333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7"/>
      <c r="J423" s="617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7"/>
      <c r="J424" s="617"/>
      <c r="K424" s="93"/>
      <c r="L424" s="93">
        <f ca="1">IFERROR(__xludf.DUMMYFUNCTION("IMPORTRANGE(""https://docs.google.com/spreadsheets/d/1QqKyyYR6Q21VydFLVH3TRQUabQu_ym0Zz7PgGX0-kHA/edit?usp=sharing"",""แผน!EY32"")"),78660)</f>
        <v>78660</v>
      </c>
      <c r="M424" s="93">
        <f ca="1">L424+5000</f>
        <v>83660</v>
      </c>
      <c r="N424" s="93">
        <f>N425+N426+N427+N428</f>
        <v>83660</v>
      </c>
      <c r="O424" s="93">
        <f t="shared" ca="1" si="185"/>
        <v>106.35647088736333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4"/>
      <c r="B425" s="575"/>
      <c r="C425" s="763"/>
      <c r="D425" s="763"/>
      <c r="E425" s="763"/>
      <c r="F425" s="763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40">
        <f>48400</f>
        <v>48400</v>
      </c>
      <c r="O425" s="498"/>
      <c r="P425" s="49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</row>
    <row r="426" spans="1:26" ht="18.75">
      <c r="A426" s="574"/>
      <c r="B426" s="575"/>
      <c r="C426" s="763"/>
      <c r="D426" s="763"/>
      <c r="E426" s="763"/>
      <c r="F426" s="763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40">
        <v>0</v>
      </c>
      <c r="O426" s="498"/>
      <c r="P426" s="49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</row>
    <row r="427" spans="1:26" ht="18.75">
      <c r="A427" s="574"/>
      <c r="B427" s="575"/>
      <c r="C427" s="763"/>
      <c r="D427" s="763"/>
      <c r="E427" s="763"/>
      <c r="F427" s="763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40">
        <v>0</v>
      </c>
      <c r="O427" s="498"/>
      <c r="P427" s="49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40">
        <f>5760+3000+18000+3500-550+550+5000</f>
        <v>35260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92" t="s">
        <v>38</v>
      </c>
      <c r="E432" s="580"/>
      <c r="F432" s="580"/>
      <c r="G432" s="581"/>
      <c r="H432" s="582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1">
        <f ca="1">I435</f>
        <v>20</v>
      </c>
      <c r="J433" s="681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1">
        <f t="shared" ref="I434:J434" ca="1" si="193">I438+I440</f>
        <v>1</v>
      </c>
      <c r="J434" s="681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3" t="s">
        <v>35</v>
      </c>
      <c r="I435" s="583">
        <f ca="1">IFERROR(__xludf.DUMMYFUNCTION("IMPORTRANGE(""https://docs.google.com/spreadsheets/d/1QqKyyYR6Q21VydFLVH3TRQUabQu_ym0Zz7PgGX0-kHA/edit?usp=sharing"",""แผน!FC32"")"),20)</f>
        <v>20</v>
      </c>
      <c r="J435" s="584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3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3" t="s">
        <v>35</v>
      </c>
      <c r="I437" s="583">
        <f ca="1">IFERROR(__xludf.DUMMYFUNCTION("IMPORTRANGE(""https://docs.google.com/spreadsheets/d/1QqKyyYR6Q21VydFLVH3TRQUabQu_ym0Zz7PgGX0-kHA/edit?usp=sharing"",""แผน!FD32"")"),0)</f>
        <v>0</v>
      </c>
      <c r="J437" s="584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3" t="s">
        <v>49</v>
      </c>
      <c r="I438" s="270">
        <f ca="1">IFERROR(__xludf.DUMMYFUNCTION("IMPORTRANGE(""https://docs.google.com/spreadsheets/d/1QqKyyYR6Q21VydFLVH3TRQUabQu_ym0Zz7PgGX0-kHA/edit?usp=sharing"",""แผน!FE32"")"),0)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3" t="s">
        <v>35</v>
      </c>
      <c r="I439" s="583">
        <f ca="1">IFERROR(__xludf.DUMMYFUNCTION("IMPORTRANGE(""https://docs.google.com/spreadsheets/d/1QqKyyYR6Q21VydFLVH3TRQUabQu_ym0Zz7PgGX0-kHA/edit?usp=sharing"",""แผน!FF32"")"),20)</f>
        <v>20</v>
      </c>
      <c r="J439" s="584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3" t="s">
        <v>49</v>
      </c>
      <c r="I440" s="270">
        <f ca="1">IFERROR(__xludf.DUMMYFUNCTION("IMPORTRANGE(""https://docs.google.com/spreadsheets/d/1QqKyyYR6Q21VydFLVH3TRQUabQu_ym0Zz7PgGX0-kHA/edit?usp=sharing"",""แผน!FG32"")"),1)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3" t="s">
        <v>35</v>
      </c>
      <c r="I441" s="270">
        <f ca="1">IFERROR(__xludf.DUMMYFUNCTION("IMPORTRANGE(""https://docs.google.com/spreadsheets/d/1QqKyyYR6Q21VydFLVH3TRQUabQu_ym0Zz7PgGX0-kHA/edit?usp=sharing"",""แผน!FH32"")"),0)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5">
        <v>2</v>
      </c>
      <c r="B442" s="586" t="s">
        <v>200</v>
      </c>
      <c r="C442" s="587"/>
      <c r="D442" s="587"/>
      <c r="E442" s="587"/>
      <c r="F442" s="587"/>
      <c r="G442" s="588"/>
      <c r="H442" s="589" t="s">
        <v>35</v>
      </c>
      <c r="I442" s="590">
        <f t="shared" ref="I442:J442" ca="1" si="195">I460</f>
        <v>60</v>
      </c>
      <c r="J442" s="590">
        <f t="shared" si="195"/>
        <v>60</v>
      </c>
      <c r="K442" s="591">
        <f t="shared" ca="1" si="194"/>
        <v>100</v>
      </c>
      <c r="L442" s="592"/>
      <c r="M442" s="592"/>
      <c r="N442" s="592"/>
      <c r="O442" s="592"/>
      <c r="P442" s="592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</row>
    <row r="443" spans="1:26" ht="19.5">
      <c r="A443" s="593"/>
      <c r="B443" s="594"/>
      <c r="C443" s="595"/>
      <c r="D443" s="595"/>
      <c r="E443" s="595"/>
      <c r="F443" s="595"/>
      <c r="G443" s="596"/>
      <c r="H443" s="569" t="s">
        <v>46</v>
      </c>
      <c r="I443" s="570">
        <f t="shared" ref="I443:J443" ca="1" si="196">I462</f>
        <v>300</v>
      </c>
      <c r="J443" s="570">
        <f t="shared" si="196"/>
        <v>300</v>
      </c>
      <c r="K443" s="571">
        <f t="shared" ca="1" si="194"/>
        <v>100</v>
      </c>
      <c r="L443" s="572"/>
      <c r="M443" s="572"/>
      <c r="N443" s="572"/>
      <c r="O443" s="572"/>
      <c r="P443" s="572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</row>
    <row r="444" spans="1:26" ht="19.5">
      <c r="A444" s="597"/>
      <c r="B444" s="763"/>
      <c r="C444" s="763" t="s">
        <v>16</v>
      </c>
      <c r="D444" s="863" t="s">
        <v>17</v>
      </c>
      <c r="E444" s="857"/>
      <c r="F444" s="857"/>
      <c r="G444" s="189"/>
      <c r="H444" s="598" t="s">
        <v>12</v>
      </c>
      <c r="I444" s="270"/>
      <c r="J444" s="270"/>
      <c r="K444" s="498"/>
      <c r="L444" s="195">
        <f t="shared" ref="L444:N444" ca="1" si="197">L445+L446</f>
        <v>524600</v>
      </c>
      <c r="M444" s="195">
        <f t="shared" ca="1" si="197"/>
        <v>537386.93999999994</v>
      </c>
      <c r="N444" s="195">
        <f t="shared" si="197"/>
        <v>537386.93999999994</v>
      </c>
      <c r="O444" s="195">
        <f t="shared" ref="O444:O449" ca="1" si="198">IF(L444&gt;0,N444*100/L444,0)</f>
        <v>102.4374647350362</v>
      </c>
      <c r="P444" s="195">
        <f t="shared" ref="P444:P449" ca="1" si="199">IF(M444&gt;0,N444*100/M444,0)</f>
        <v>100</v>
      </c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</row>
    <row r="445" spans="1:26" ht="18.75" hidden="1">
      <c r="A445" s="599"/>
      <c r="B445" s="759"/>
      <c r="C445" s="759"/>
      <c r="D445" s="720"/>
      <c r="E445" s="759" t="s">
        <v>185</v>
      </c>
      <c r="F445" s="759"/>
      <c r="G445" s="603"/>
      <c r="H445" s="165" t="s">
        <v>12</v>
      </c>
      <c r="I445" s="617"/>
      <c r="J445" s="617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4"/>
      <c r="R445" s="604"/>
      <c r="S445" s="604"/>
      <c r="T445" s="604"/>
      <c r="U445" s="604"/>
      <c r="V445" s="604"/>
      <c r="W445" s="604"/>
      <c r="X445" s="604"/>
      <c r="Y445" s="604"/>
      <c r="Z445" s="604"/>
    </row>
    <row r="446" spans="1:26" ht="18.75" hidden="1">
      <c r="A446" s="599"/>
      <c r="B446" s="607"/>
      <c r="C446" s="759"/>
      <c r="D446" s="720"/>
      <c r="E446" s="759" t="s">
        <v>186</v>
      </c>
      <c r="F446" s="759"/>
      <c r="G446" s="603"/>
      <c r="H446" s="165" t="s">
        <v>12</v>
      </c>
      <c r="I446" s="617"/>
      <c r="J446" s="617"/>
      <c r="K446" s="93"/>
      <c r="L446" s="93">
        <f t="shared" ca="1" si="200"/>
        <v>524600</v>
      </c>
      <c r="M446" s="93">
        <f t="shared" ca="1" si="200"/>
        <v>537386.93999999994</v>
      </c>
      <c r="N446" s="93">
        <f t="shared" si="200"/>
        <v>537386.93999999994</v>
      </c>
      <c r="O446" s="93">
        <f t="shared" ca="1" si="198"/>
        <v>102.4374647350362</v>
      </c>
      <c r="P446" s="93">
        <f t="shared" ca="1" si="199"/>
        <v>100</v>
      </c>
      <c r="Q446" s="604"/>
      <c r="R446" s="604"/>
      <c r="S446" s="604"/>
      <c r="T446" s="604"/>
      <c r="U446" s="604"/>
      <c r="V446" s="604"/>
      <c r="W446" s="604"/>
      <c r="X446" s="604"/>
      <c r="Y446" s="604"/>
      <c r="Z446" s="604"/>
    </row>
    <row r="447" spans="1:26" ht="18.75">
      <c r="A447" s="597"/>
      <c r="B447" s="575"/>
      <c r="C447" s="763"/>
      <c r="D447" s="606" t="s">
        <v>20</v>
      </c>
      <c r="E447" s="763"/>
      <c r="F447" s="763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524600</v>
      </c>
      <c r="M447" s="498">
        <f t="shared" ca="1" si="201"/>
        <v>537386.93999999994</v>
      </c>
      <c r="N447" s="498">
        <f t="shared" si="201"/>
        <v>537386.93999999994</v>
      </c>
      <c r="O447" s="498">
        <f t="shared" ca="1" si="198"/>
        <v>102.4374647350362</v>
      </c>
      <c r="P447" s="498">
        <f t="shared" ca="1" si="199"/>
        <v>100</v>
      </c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</row>
    <row r="448" spans="1:26" ht="18.75" hidden="1">
      <c r="A448" s="599"/>
      <c r="B448" s="607"/>
      <c r="C448" s="759"/>
      <c r="D448" s="720"/>
      <c r="E448" s="759" t="s">
        <v>185</v>
      </c>
      <c r="F448" s="759"/>
      <c r="G448" s="603"/>
      <c r="H448" s="165" t="s">
        <v>12</v>
      </c>
      <c r="I448" s="617"/>
      <c r="J448" s="617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</row>
    <row r="449" spans="1:26" ht="18.75" hidden="1">
      <c r="A449" s="599"/>
      <c r="B449" s="607"/>
      <c r="C449" s="759"/>
      <c r="D449" s="720"/>
      <c r="E449" s="759" t="s">
        <v>186</v>
      </c>
      <c r="F449" s="759"/>
      <c r="G449" s="603"/>
      <c r="H449" s="165" t="s">
        <v>12</v>
      </c>
      <c r="I449" s="617"/>
      <c r="J449" s="617"/>
      <c r="K449" s="93"/>
      <c r="L449" s="93">
        <f ca="1">IFERROR(__xludf.DUMMYFUNCTION("IMPORTRANGE(""https://docs.google.com/spreadsheets/d/1QqKyyYR6Q21VydFLVH3TRQUabQu_ym0Zz7PgGX0-kHA/edit?usp=sharing"",""แผน!FJ32"")"),524600)</f>
        <v>524600</v>
      </c>
      <c r="M449" s="93">
        <f ca="1">L449+12790-3.06</f>
        <v>537386.93999999994</v>
      </c>
      <c r="N449" s="93">
        <f>N450+N451+N452+N453</f>
        <v>537386.93999999994</v>
      </c>
      <c r="O449" s="93">
        <f t="shared" ca="1" si="198"/>
        <v>102.4374647350362</v>
      </c>
      <c r="P449" s="93">
        <f t="shared" ca="1" si="199"/>
        <v>100</v>
      </c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</row>
    <row r="450" spans="1:26" ht="18.75">
      <c r="A450" s="574"/>
      <c r="B450" s="575"/>
      <c r="C450" s="763"/>
      <c r="D450" s="763"/>
      <c r="E450" s="763"/>
      <c r="F450" s="763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40">
        <v>79200</v>
      </c>
      <c r="O450" s="498"/>
      <c r="P450" s="49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</row>
    <row r="451" spans="1:26" ht="18.75">
      <c r="A451" s="574"/>
      <c r="B451" s="575"/>
      <c r="C451" s="763"/>
      <c r="D451" s="763"/>
      <c r="E451" s="763"/>
      <c r="F451" s="763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40">
        <v>250000</v>
      </c>
      <c r="O451" s="498"/>
      <c r="P451" s="49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</row>
    <row r="452" spans="1:26" ht="18.75">
      <c r="A452" s="574"/>
      <c r="B452" s="575"/>
      <c r="C452" s="575"/>
      <c r="D452" s="575"/>
      <c r="E452" s="575"/>
      <c r="F452" s="763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40">
        <v>143000</v>
      </c>
      <c r="O452" s="498"/>
      <c r="P452" s="49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</row>
    <row r="453" spans="1:26" ht="18.75">
      <c r="A453" s="574"/>
      <c r="B453" s="575"/>
      <c r="C453" s="575"/>
      <c r="D453" s="575"/>
      <c r="E453" s="575"/>
      <c r="F453" s="763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40">
        <v>65186.94</v>
      </c>
      <c r="O453" s="498"/>
      <c r="P453" s="49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</row>
    <row r="454" spans="1:26" ht="18.75">
      <c r="A454" s="597"/>
      <c r="B454" s="575"/>
      <c r="C454" s="575"/>
      <c r="D454" s="606" t="s">
        <v>21</v>
      </c>
      <c r="E454" s="575"/>
      <c r="F454" s="763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</row>
    <row r="455" spans="1:26" ht="18.75" hidden="1">
      <c r="A455" s="599"/>
      <c r="B455" s="607"/>
      <c r="C455" s="607"/>
      <c r="D455" s="607"/>
      <c r="E455" s="607" t="s">
        <v>18</v>
      </c>
      <c r="F455" s="759"/>
      <c r="G455" s="603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4"/>
      <c r="R455" s="604"/>
      <c r="S455" s="604"/>
      <c r="T455" s="604"/>
      <c r="U455" s="604"/>
      <c r="V455" s="604"/>
      <c r="W455" s="604"/>
      <c r="X455" s="604"/>
      <c r="Y455" s="604"/>
      <c r="Z455" s="604"/>
    </row>
    <row r="456" spans="1:26" ht="18.75" hidden="1">
      <c r="A456" s="599"/>
      <c r="B456" s="607"/>
      <c r="C456" s="607"/>
      <c r="D456" s="607"/>
      <c r="E456" s="607" t="s">
        <v>19</v>
      </c>
      <c r="F456" s="759"/>
      <c r="G456" s="603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4"/>
      <c r="R456" s="604"/>
      <c r="S456" s="604"/>
      <c r="T456" s="604"/>
      <c r="U456" s="604"/>
      <c r="V456" s="604"/>
      <c r="W456" s="604"/>
      <c r="X456" s="604"/>
      <c r="Y456" s="604"/>
      <c r="Z456" s="604"/>
    </row>
    <row r="457" spans="1:26" ht="19.5">
      <c r="A457" s="608"/>
      <c r="B457" s="618"/>
      <c r="C457" s="575" t="s">
        <v>16</v>
      </c>
      <c r="D457" s="893" t="s">
        <v>38</v>
      </c>
      <c r="E457" s="611"/>
      <c r="F457" s="761"/>
      <c r="G457" s="613"/>
      <c r="H457" s="762"/>
      <c r="I457" s="270"/>
      <c r="J457" s="270"/>
      <c r="K457" s="498"/>
      <c r="L457" s="498"/>
      <c r="M457" s="498"/>
      <c r="N457" s="498"/>
      <c r="O457" s="498"/>
      <c r="P457" s="49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</row>
    <row r="458" spans="1:26" ht="18.75" hidden="1">
      <c r="A458" s="614"/>
      <c r="B458" s="616"/>
      <c r="C458" s="616"/>
      <c r="D458" s="616" t="s">
        <v>201</v>
      </c>
      <c r="E458" s="616"/>
      <c r="F458" s="720"/>
      <c r="G458" s="366"/>
      <c r="H458" s="370" t="s">
        <v>35</v>
      </c>
      <c r="I458" s="617">
        <v>0</v>
      </c>
      <c r="J458" s="617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4"/>
      <c r="R458" s="604"/>
      <c r="S458" s="604"/>
      <c r="T458" s="604"/>
      <c r="U458" s="604"/>
      <c r="V458" s="604"/>
      <c r="W458" s="604"/>
      <c r="X458" s="604"/>
      <c r="Y458" s="604"/>
      <c r="Z458" s="604"/>
    </row>
    <row r="459" spans="1:26" ht="18.75" hidden="1">
      <c r="A459" s="614"/>
      <c r="B459" s="616"/>
      <c r="C459" s="616"/>
      <c r="D459" s="616" t="s">
        <v>202</v>
      </c>
      <c r="E459" s="616"/>
      <c r="F459" s="720"/>
      <c r="G459" s="366"/>
      <c r="H459" s="370"/>
      <c r="I459" s="617"/>
      <c r="J459" s="617"/>
      <c r="K459" s="93"/>
      <c r="L459" s="93"/>
      <c r="M459" s="93"/>
      <c r="N459" s="93"/>
      <c r="O459" s="93"/>
      <c r="P459" s="93"/>
      <c r="Q459" s="604"/>
      <c r="R459" s="604"/>
      <c r="S459" s="604"/>
      <c r="T459" s="604"/>
      <c r="U459" s="604"/>
      <c r="V459" s="604"/>
      <c r="W459" s="604"/>
      <c r="X459" s="604"/>
      <c r="Y459" s="604"/>
      <c r="Z459" s="604"/>
    </row>
    <row r="460" spans="1:26" ht="18.75">
      <c r="A460" s="608"/>
      <c r="B460" s="618"/>
      <c r="C460" s="618"/>
      <c r="D460" s="618" t="s">
        <v>203</v>
      </c>
      <c r="E460" s="618"/>
      <c r="F460" s="626"/>
      <c r="G460" s="762"/>
      <c r="H460" s="764" t="s">
        <v>35</v>
      </c>
      <c r="I460" s="270">
        <f ca="1">IFERROR(__xludf.DUMMYFUNCTION("IMPORTRANGE(""https://docs.google.com/spreadsheets/d/1QqKyyYR6Q21VydFLVH3TRQUabQu_ym0Zz7PgGX0-kHA/edit?usp=sharing"",""แผน!FN32"")"),60)</f>
        <v>60</v>
      </c>
      <c r="J460" s="215">
        <v>60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</row>
    <row r="461" spans="1:26" ht="18.75">
      <c r="A461" s="608"/>
      <c r="B461" s="618"/>
      <c r="C461" s="618"/>
      <c r="D461" s="618" t="s">
        <v>204</v>
      </c>
      <c r="E461" s="626"/>
      <c r="F461" s="626"/>
      <c r="G461" s="762"/>
      <c r="H461" s="764"/>
      <c r="I461" s="270"/>
      <c r="J461" s="270"/>
      <c r="K461" s="498"/>
      <c r="L461" s="498"/>
      <c r="M461" s="498"/>
      <c r="N461" s="498"/>
      <c r="O461" s="498"/>
      <c r="P461" s="49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</row>
    <row r="462" spans="1:26" ht="18.75">
      <c r="A462" s="608"/>
      <c r="B462" s="618"/>
      <c r="C462" s="618"/>
      <c r="D462" s="618" t="s">
        <v>205</v>
      </c>
      <c r="E462" s="626"/>
      <c r="F462" s="626"/>
      <c r="G462" s="762"/>
      <c r="H462" s="764" t="s">
        <v>46</v>
      </c>
      <c r="I462" s="270">
        <f ca="1">IFERROR(__xludf.DUMMYFUNCTION("IMPORTRANGE(""https://docs.google.com/spreadsheets/d/1QqKyyYR6Q21VydFLVH3TRQUabQu_ym0Zz7PgGX0-kHA/edit?usp=sharing"",""แผน!FO32"")"),300)</f>
        <v>300</v>
      </c>
      <c r="J462" s="215">
        <v>300</v>
      </c>
      <c r="K462" s="498">
        <f t="shared" ref="K462:K466" ca="1" si="205">IF(I462&gt;0,J462*100/I462,0)</f>
        <v>100</v>
      </c>
      <c r="L462" s="498"/>
      <c r="M462" s="498"/>
      <c r="N462" s="498"/>
      <c r="O462" s="498"/>
      <c r="P462" s="49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</row>
    <row r="463" spans="1:26" ht="18.75">
      <c r="A463" s="608"/>
      <c r="B463" s="618"/>
      <c r="C463" s="618"/>
      <c r="D463" s="618" t="s">
        <v>59</v>
      </c>
      <c r="E463" s="626"/>
      <c r="F463" s="763"/>
      <c r="G463" s="189"/>
      <c r="H463" s="764" t="s">
        <v>46</v>
      </c>
      <c r="I463" s="270">
        <f ca="1">IFERROR(__xludf.DUMMYFUNCTION("IMPORTRANGE(""https://docs.google.com/spreadsheets/d/1QqKyyYR6Q21VydFLVH3TRQUabQu_ym0Zz7PgGX0-kHA/edit?usp=sharing"",""แผน!FO32"")"),300)</f>
        <v>300</v>
      </c>
      <c r="J463" s="215">
        <v>300</v>
      </c>
      <c r="K463" s="498">
        <f t="shared" ca="1" si="205"/>
        <v>100</v>
      </c>
      <c r="L463" s="498"/>
      <c r="M463" s="498"/>
      <c r="N463" s="498"/>
      <c r="O463" s="498"/>
      <c r="P463" s="49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</row>
    <row r="464" spans="1:26" ht="19.5">
      <c r="A464" s="608"/>
      <c r="B464" s="618"/>
      <c r="C464" s="618"/>
      <c r="D464" s="618"/>
      <c r="E464" s="626"/>
      <c r="F464" s="626"/>
      <c r="G464" s="620"/>
      <c r="H464" s="764" t="s">
        <v>35</v>
      </c>
      <c r="I464" s="270">
        <f ca="1">IFERROR(__xludf.DUMMYFUNCTION("IMPORTRANGE(""https://docs.google.com/spreadsheets/d/1QqKyyYR6Q21VydFLVH3TRQUabQu_ym0Zz7PgGX0-kHA/edit?usp=sharing"",""แผน!FN32"")"),60)</f>
        <v>60</v>
      </c>
      <c r="J464" s="215">
        <v>60</v>
      </c>
      <c r="K464" s="498">
        <f t="shared" ca="1" si="205"/>
        <v>100</v>
      </c>
      <c r="L464" s="498"/>
      <c r="M464" s="498"/>
      <c r="N464" s="498"/>
      <c r="O464" s="498"/>
      <c r="P464" s="49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</row>
    <row r="465" spans="1:26" ht="19.5">
      <c r="A465" s="585">
        <v>3</v>
      </c>
      <c r="B465" s="586" t="s">
        <v>206</v>
      </c>
      <c r="C465" s="587"/>
      <c r="D465" s="587"/>
      <c r="E465" s="587"/>
      <c r="F465" s="587"/>
      <c r="G465" s="588"/>
      <c r="H465" s="589" t="s">
        <v>35</v>
      </c>
      <c r="I465" s="590">
        <f ca="1">IFERROR(__xludf.DUMMYFUNCTION("IMPORTRANGE(""https://docs.google.com/spreadsheets/d/1QqKyyYR6Q21VydFLVH3TRQUabQu_ym0Zz7PgGX0-kHA/edit?usp=sharing"",""แผน!FX32"")"),131)</f>
        <v>131</v>
      </c>
      <c r="J465" s="590">
        <f>J485+J489+J492</f>
        <v>131</v>
      </c>
      <c r="K465" s="591">
        <f t="shared" ca="1" si="205"/>
        <v>100</v>
      </c>
      <c r="L465" s="592"/>
      <c r="M465" s="592"/>
      <c r="N465" s="592"/>
      <c r="O465" s="592"/>
      <c r="P465" s="592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</row>
    <row r="466" spans="1:26" ht="19.5">
      <c r="A466" s="593"/>
      <c r="B466" s="594"/>
      <c r="C466" s="595"/>
      <c r="D466" s="595"/>
      <c r="E466" s="595"/>
      <c r="F466" s="595"/>
      <c r="G466" s="596"/>
      <c r="H466" s="569" t="s">
        <v>46</v>
      </c>
      <c r="I466" s="570">
        <f ca="1">IFERROR(__xludf.DUMMYFUNCTION("IMPORTRANGE(""https://docs.google.com/spreadsheets/d/1QqKyyYR6Q21VydFLVH3TRQUabQu_ym0Zz7PgGX0-kHA/edit?usp=sharing"",""แผน!FW32"")"),1300)</f>
        <v>1300</v>
      </c>
      <c r="J466" s="570">
        <f>J495+J498</f>
        <v>1300</v>
      </c>
      <c r="K466" s="571">
        <f t="shared" ca="1" si="205"/>
        <v>100</v>
      </c>
      <c r="L466" s="572"/>
      <c r="M466" s="572"/>
      <c r="N466" s="572"/>
      <c r="O466" s="572"/>
      <c r="P466" s="572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</row>
    <row r="467" spans="1:26" ht="19.5">
      <c r="A467" s="597"/>
      <c r="B467" s="763"/>
      <c r="C467" s="763" t="s">
        <v>16</v>
      </c>
      <c r="D467" s="863" t="s">
        <v>17</v>
      </c>
      <c r="E467" s="857"/>
      <c r="F467" s="857"/>
      <c r="G467" s="189"/>
      <c r="H467" s="598" t="s">
        <v>12</v>
      </c>
      <c r="I467" s="270"/>
      <c r="J467" s="270"/>
      <c r="K467" s="498"/>
      <c r="L467" s="195">
        <f t="shared" ref="L467:N467" ca="1" si="206">L468+L469</f>
        <v>1161548</v>
      </c>
      <c r="M467" s="195">
        <f t="shared" ca="1" si="206"/>
        <v>864871.29</v>
      </c>
      <c r="N467" s="195">
        <f t="shared" si="206"/>
        <v>864871.29</v>
      </c>
      <c r="O467" s="195">
        <f t="shared" ref="O467:O472" ca="1" si="207">IF(L467&gt;0,N467*100/L467,0)</f>
        <v>74.458506234783243</v>
      </c>
      <c r="P467" s="195">
        <f t="shared" ref="P467:P472" ca="1" si="208">IF(M467&gt;0,N467*100/M467,0)</f>
        <v>100</v>
      </c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</row>
    <row r="468" spans="1:26" ht="18.75" hidden="1">
      <c r="A468" s="599"/>
      <c r="B468" s="759"/>
      <c r="C468" s="759"/>
      <c r="D468" s="720"/>
      <c r="E468" s="759" t="s">
        <v>185</v>
      </c>
      <c r="F468" s="759"/>
      <c r="G468" s="603"/>
      <c r="H468" s="165" t="s">
        <v>12</v>
      </c>
      <c r="I468" s="617"/>
      <c r="J468" s="617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4"/>
      <c r="R468" s="604"/>
      <c r="S468" s="604"/>
      <c r="T468" s="604"/>
      <c r="U468" s="604"/>
      <c r="V468" s="604"/>
      <c r="W468" s="604"/>
      <c r="X468" s="604"/>
      <c r="Y468" s="604"/>
      <c r="Z468" s="604"/>
    </row>
    <row r="469" spans="1:26" ht="18.75" hidden="1">
      <c r="A469" s="599"/>
      <c r="B469" s="607"/>
      <c r="C469" s="759"/>
      <c r="D469" s="720"/>
      <c r="E469" s="759" t="s">
        <v>186</v>
      </c>
      <c r="F469" s="759"/>
      <c r="G469" s="603"/>
      <c r="H469" s="165" t="s">
        <v>12</v>
      </c>
      <c r="I469" s="617"/>
      <c r="J469" s="617"/>
      <c r="K469" s="93"/>
      <c r="L469" s="93">
        <f t="shared" ca="1" si="209"/>
        <v>1161548</v>
      </c>
      <c r="M469" s="93">
        <f t="shared" ca="1" si="209"/>
        <v>864871.29</v>
      </c>
      <c r="N469" s="93">
        <f t="shared" si="209"/>
        <v>864871.29</v>
      </c>
      <c r="O469" s="93">
        <f t="shared" ca="1" si="207"/>
        <v>74.458506234783243</v>
      </c>
      <c r="P469" s="93">
        <f t="shared" ca="1" si="208"/>
        <v>100</v>
      </c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</row>
    <row r="470" spans="1:26" ht="18.75">
      <c r="A470" s="597"/>
      <c r="B470" s="575"/>
      <c r="C470" s="763"/>
      <c r="D470" s="606" t="s">
        <v>20</v>
      </c>
      <c r="E470" s="763"/>
      <c r="F470" s="763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1161548</v>
      </c>
      <c r="M470" s="498">
        <f t="shared" ca="1" si="210"/>
        <v>864871.29</v>
      </c>
      <c r="N470" s="498">
        <f t="shared" si="210"/>
        <v>864871.29</v>
      </c>
      <c r="O470" s="498">
        <f t="shared" ca="1" si="207"/>
        <v>74.458506234783243</v>
      </c>
      <c r="P470" s="498">
        <f t="shared" ca="1" si="208"/>
        <v>100</v>
      </c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</row>
    <row r="471" spans="1:26" ht="18.75" hidden="1">
      <c r="A471" s="599"/>
      <c r="B471" s="607"/>
      <c r="C471" s="759"/>
      <c r="D471" s="720"/>
      <c r="E471" s="759" t="s">
        <v>185</v>
      </c>
      <c r="F471" s="759"/>
      <c r="G471" s="603"/>
      <c r="H471" s="165" t="s">
        <v>12</v>
      </c>
      <c r="I471" s="617"/>
      <c r="J471" s="617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4"/>
      <c r="R471" s="604"/>
      <c r="S471" s="604"/>
      <c r="T471" s="604"/>
      <c r="U471" s="604"/>
      <c r="V471" s="604"/>
      <c r="W471" s="604"/>
      <c r="X471" s="604"/>
      <c r="Y471" s="604"/>
      <c r="Z471" s="604"/>
    </row>
    <row r="472" spans="1:26" ht="18.75" hidden="1">
      <c r="A472" s="599"/>
      <c r="B472" s="607"/>
      <c r="C472" s="759"/>
      <c r="D472" s="720"/>
      <c r="E472" s="759" t="s">
        <v>186</v>
      </c>
      <c r="F472" s="759"/>
      <c r="G472" s="603"/>
      <c r="H472" s="165" t="s">
        <v>12</v>
      </c>
      <c r="I472" s="617"/>
      <c r="J472" s="617"/>
      <c r="K472" s="93"/>
      <c r="L472" s="93">
        <f ca="1">IFERROR(__xludf.DUMMYFUNCTION("IMPORTRANGE(""https://docs.google.com/spreadsheets/d/1QqKyyYR6Q21VydFLVH3TRQUabQu_ym0Zz7PgGX0-kHA/edit?usp=sharing"",""แผน!FS32"")"),1161548)</f>
        <v>1161548</v>
      </c>
      <c r="M472" s="93">
        <f ca="1">L472+8920-290996-14600.71</f>
        <v>864871.29</v>
      </c>
      <c r="N472" s="93">
        <f>N473+N474+N475+N476</f>
        <v>864871.29</v>
      </c>
      <c r="O472" s="93">
        <f t="shared" ca="1" si="207"/>
        <v>74.458506234783243</v>
      </c>
      <c r="P472" s="93">
        <f t="shared" ca="1" si="208"/>
        <v>100</v>
      </c>
      <c r="Q472" s="604"/>
      <c r="R472" s="604"/>
      <c r="S472" s="604"/>
      <c r="T472" s="604"/>
      <c r="U472" s="604"/>
      <c r="V472" s="604"/>
      <c r="W472" s="604"/>
      <c r="X472" s="604"/>
      <c r="Y472" s="604"/>
      <c r="Z472" s="604"/>
    </row>
    <row r="473" spans="1:26" ht="18.75">
      <c r="A473" s="574"/>
      <c r="B473" s="575"/>
      <c r="C473" s="763"/>
      <c r="D473" s="763"/>
      <c r="E473" s="763"/>
      <c r="F473" s="763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40">
        <v>182193</v>
      </c>
      <c r="O473" s="498"/>
      <c r="P473" s="49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</row>
    <row r="474" spans="1:26" ht="18.75">
      <c r="A474" s="574"/>
      <c r="B474" s="575"/>
      <c r="C474" s="763"/>
      <c r="D474" s="763"/>
      <c r="E474" s="763"/>
      <c r="F474" s="763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40">
        <f>519004</f>
        <v>519004</v>
      </c>
      <c r="O474" s="498"/>
      <c r="P474" s="49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</row>
    <row r="475" spans="1:26" ht="18.75">
      <c r="A475" s="574"/>
      <c r="B475" s="575"/>
      <c r="C475" s="575"/>
      <c r="D475" s="575"/>
      <c r="E475" s="575"/>
      <c r="F475" s="763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40">
        <v>143000</v>
      </c>
      <c r="O475" s="498"/>
      <c r="P475" s="49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</row>
    <row r="476" spans="1:26" ht="18.75">
      <c r="A476" s="574"/>
      <c r="B476" s="575"/>
      <c r="C476" s="575"/>
      <c r="D476" s="575"/>
      <c r="E476" s="575"/>
      <c r="F476" s="763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40">
        <f>35275-14600.71</f>
        <v>20674.29</v>
      </c>
      <c r="O476" s="498"/>
      <c r="P476" s="49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</row>
    <row r="477" spans="1:26" ht="18.75">
      <c r="A477" s="597"/>
      <c r="B477" s="575"/>
      <c r="C477" s="575"/>
      <c r="D477" s="606" t="s">
        <v>21</v>
      </c>
      <c r="E477" s="575"/>
      <c r="F477" s="575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</row>
    <row r="478" spans="1:26" ht="18.75" hidden="1">
      <c r="A478" s="599"/>
      <c r="B478" s="607"/>
      <c r="C478" s="607"/>
      <c r="D478" s="607"/>
      <c r="E478" s="607" t="s">
        <v>18</v>
      </c>
      <c r="F478" s="607"/>
      <c r="G478" s="603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4"/>
      <c r="R478" s="604"/>
      <c r="S478" s="604"/>
      <c r="T478" s="604"/>
      <c r="U478" s="604"/>
      <c r="V478" s="604"/>
      <c r="W478" s="604"/>
      <c r="X478" s="604"/>
      <c r="Y478" s="604"/>
      <c r="Z478" s="604"/>
    </row>
    <row r="479" spans="1:26" ht="18.75" hidden="1">
      <c r="A479" s="599"/>
      <c r="B479" s="607"/>
      <c r="C479" s="607"/>
      <c r="D479" s="607"/>
      <c r="E479" s="607" t="s">
        <v>19</v>
      </c>
      <c r="F479" s="607"/>
      <c r="G479" s="603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4"/>
      <c r="R479" s="604"/>
      <c r="S479" s="604"/>
      <c r="T479" s="604"/>
      <c r="U479" s="604"/>
      <c r="V479" s="604"/>
      <c r="W479" s="604"/>
      <c r="X479" s="604"/>
      <c r="Y479" s="604"/>
      <c r="Z479" s="604"/>
    </row>
    <row r="480" spans="1:26" ht="19.5">
      <c r="A480" s="608"/>
      <c r="B480" s="618"/>
      <c r="C480" s="575" t="s">
        <v>16</v>
      </c>
      <c r="D480" s="894" t="s">
        <v>38</v>
      </c>
      <c r="E480" s="611"/>
      <c r="F480" s="761"/>
      <c r="G480" s="613"/>
      <c r="H480" s="762"/>
      <c r="I480" s="270"/>
      <c r="J480" s="270"/>
      <c r="K480" s="498"/>
      <c r="L480" s="498"/>
      <c r="M480" s="498"/>
      <c r="N480" s="498"/>
      <c r="O480" s="498"/>
      <c r="P480" s="49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</row>
    <row r="481" spans="1:26" ht="19.5">
      <c r="A481" s="608"/>
      <c r="B481" s="618"/>
      <c r="C481" s="618"/>
      <c r="D481" s="625" t="s">
        <v>207</v>
      </c>
      <c r="E481" s="618"/>
      <c r="F481" s="618"/>
      <c r="G481" s="762"/>
      <c r="H481" s="189"/>
      <c r="I481" s="270"/>
      <c r="J481" s="270"/>
      <c r="K481" s="498"/>
      <c r="L481" s="498"/>
      <c r="M481" s="498"/>
      <c r="N481" s="498"/>
      <c r="O481" s="498"/>
      <c r="P481" s="49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</row>
    <row r="482" spans="1:26" ht="18.75">
      <c r="A482" s="608"/>
      <c r="B482" s="618"/>
      <c r="C482" s="618"/>
      <c r="D482" s="618"/>
      <c r="E482" s="618" t="s">
        <v>208</v>
      </c>
      <c r="F482" s="618"/>
      <c r="G482" s="762"/>
      <c r="H482" s="189"/>
      <c r="I482" s="270"/>
      <c r="J482" s="270"/>
      <c r="K482" s="498"/>
      <c r="L482" s="498"/>
      <c r="M482" s="498"/>
      <c r="N482" s="498"/>
      <c r="O482" s="498"/>
      <c r="P482" s="49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</row>
    <row r="483" spans="1:26" ht="18.75">
      <c r="A483" s="608"/>
      <c r="B483" s="618"/>
      <c r="C483" s="618"/>
      <c r="D483" s="618"/>
      <c r="E483" s="618"/>
      <c r="F483" s="618" t="s">
        <v>209</v>
      </c>
      <c r="G483" s="762"/>
      <c r="H483" s="623" t="s">
        <v>46</v>
      </c>
      <c r="I483" s="270">
        <f ca="1">IFERROR(__xludf.DUMMYFUNCTION("IMPORTRANGE(""https://docs.google.com/spreadsheets/d/1QqKyyYR6Q21VydFLVH3TRQUabQu_ym0Zz7PgGX0-kHA/edit?usp=sharing"",""แผน!FY32"")"),1170)</f>
        <v>1170</v>
      </c>
      <c r="J483" s="215">
        <v>1170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</row>
    <row r="484" spans="1:26" ht="18.75">
      <c r="A484" s="608"/>
      <c r="B484" s="618"/>
      <c r="C484" s="618"/>
      <c r="D484" s="618"/>
      <c r="E484" s="618"/>
      <c r="F484" s="618" t="s">
        <v>210</v>
      </c>
      <c r="G484" s="762"/>
      <c r="H484" s="623" t="s">
        <v>35</v>
      </c>
      <c r="I484" s="270"/>
      <c r="J484" s="215">
        <v>117</v>
      </c>
      <c r="K484" s="498"/>
      <c r="L484" s="498"/>
      <c r="M484" s="498"/>
      <c r="N484" s="498"/>
      <c r="O484" s="498"/>
      <c r="P484" s="49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</row>
    <row r="485" spans="1:26" ht="18.75">
      <c r="A485" s="608"/>
      <c r="B485" s="618"/>
      <c r="C485" s="618"/>
      <c r="D485" s="618"/>
      <c r="E485" s="618"/>
      <c r="F485" s="618" t="s">
        <v>211</v>
      </c>
      <c r="G485" s="762"/>
      <c r="H485" s="623" t="s">
        <v>35</v>
      </c>
      <c r="I485" s="270">
        <f ca="1">IFERROR(__xludf.DUMMYFUNCTION("IMPORTRANGE(""https://docs.google.com/spreadsheets/d/1QqKyyYR6Q21VydFLVH3TRQUabQu_ym0Zz7PgGX0-kHA/edit?usp=sharing"",""แผน!FZ32"")"),117)</f>
        <v>117</v>
      </c>
      <c r="J485" s="215">
        <v>117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</row>
    <row r="486" spans="1:26" ht="18.75">
      <c r="A486" s="608"/>
      <c r="B486" s="618"/>
      <c r="C486" s="618"/>
      <c r="D486" s="618"/>
      <c r="E486" s="618" t="s">
        <v>62</v>
      </c>
      <c r="F486" s="618"/>
      <c r="G486" s="762"/>
      <c r="H486" s="623"/>
      <c r="I486" s="270"/>
      <c r="J486" s="270"/>
      <c r="K486" s="498"/>
      <c r="L486" s="498"/>
      <c r="M486" s="498"/>
      <c r="N486" s="498"/>
      <c r="O486" s="498"/>
      <c r="P486" s="49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</row>
    <row r="487" spans="1:26" ht="18.75">
      <c r="A487" s="608"/>
      <c r="B487" s="618"/>
      <c r="C487" s="618"/>
      <c r="D487" s="618"/>
      <c r="E487" s="618"/>
      <c r="F487" s="618" t="s">
        <v>209</v>
      </c>
      <c r="G487" s="762"/>
      <c r="H487" s="623" t="s">
        <v>46</v>
      </c>
      <c r="I487" s="270">
        <f ca="1">IFERROR(__xludf.DUMMYFUNCTION("IMPORTRANGE(""https://docs.google.com/spreadsheets/d/1QqKyyYR6Q21VydFLVH3TRQUabQu_ym0Zz7PgGX0-kHA/edit?usp=sharing"",""แผน!GA32"")"),130)</f>
        <v>130</v>
      </c>
      <c r="J487" s="215">
        <v>130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</row>
    <row r="488" spans="1:26" ht="18.75">
      <c r="A488" s="608"/>
      <c r="B488" s="618"/>
      <c r="C488" s="618"/>
      <c r="D488" s="618"/>
      <c r="E488" s="618"/>
      <c r="F488" s="618" t="s">
        <v>212</v>
      </c>
      <c r="G488" s="762"/>
      <c r="H488" s="623" t="s">
        <v>35</v>
      </c>
      <c r="I488" s="270"/>
      <c r="J488" s="215">
        <v>13</v>
      </c>
      <c r="K488" s="498"/>
      <c r="L488" s="498"/>
      <c r="M488" s="498"/>
      <c r="N488" s="498"/>
      <c r="O488" s="498"/>
      <c r="P488" s="49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</row>
    <row r="489" spans="1:26" ht="18.75">
      <c r="A489" s="608"/>
      <c r="B489" s="618"/>
      <c r="C489" s="618"/>
      <c r="D489" s="618"/>
      <c r="E489" s="618"/>
      <c r="F489" s="618" t="s">
        <v>213</v>
      </c>
      <c r="G489" s="762"/>
      <c r="H489" s="623" t="s">
        <v>35</v>
      </c>
      <c r="I489" s="270">
        <f ca="1">IFERROR(__xludf.DUMMYFUNCTION("IMPORTRANGE(""https://docs.google.com/spreadsheets/d/1QqKyyYR6Q21VydFLVH3TRQUabQu_ym0Zz7PgGX0-kHA/edit?usp=sharing"",""แผน!GB32"")"),13)</f>
        <v>13</v>
      </c>
      <c r="J489" s="215">
        <v>13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</row>
    <row r="490" spans="1:26" ht="18.75">
      <c r="A490" s="608"/>
      <c r="B490" s="618"/>
      <c r="C490" s="618"/>
      <c r="D490" s="618"/>
      <c r="E490" s="618" t="s">
        <v>63</v>
      </c>
      <c r="F490" s="626"/>
      <c r="G490" s="762"/>
      <c r="H490" s="623"/>
      <c r="I490" s="270"/>
      <c r="J490" s="270"/>
      <c r="K490" s="498"/>
      <c r="L490" s="498"/>
      <c r="M490" s="498"/>
      <c r="N490" s="498"/>
      <c r="O490" s="498"/>
      <c r="P490" s="49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</row>
    <row r="491" spans="1:26" ht="18.75">
      <c r="A491" s="608"/>
      <c r="B491" s="618"/>
      <c r="C491" s="618"/>
      <c r="D491" s="618"/>
      <c r="E491" s="618"/>
      <c r="F491" s="618" t="s">
        <v>214</v>
      </c>
      <c r="G491" s="762"/>
      <c r="H491" s="623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</row>
    <row r="492" spans="1:26" ht="18.75">
      <c r="A492" s="608"/>
      <c r="B492" s="618"/>
      <c r="C492" s="618"/>
      <c r="D492" s="618"/>
      <c r="E492" s="618"/>
      <c r="F492" s="618" t="s">
        <v>215</v>
      </c>
      <c r="G492" s="762"/>
      <c r="H492" s="623" t="s">
        <v>35</v>
      </c>
      <c r="I492" s="270">
        <f ca="1">IFERROR(__xludf.DUMMYFUNCTION("IMPORTRANGE(""https://docs.google.com/spreadsheets/d/1QqKyyYR6Q21VydFLVH3TRQUabQu_ym0Zz7PgGX0-kHA/edit?usp=sharing"",""แผน!GC32"")"),1)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</row>
    <row r="493" spans="1:26" ht="19.5">
      <c r="A493" s="608"/>
      <c r="B493" s="618"/>
      <c r="C493" s="618"/>
      <c r="D493" s="625" t="s">
        <v>59</v>
      </c>
      <c r="E493" s="618"/>
      <c r="F493" s="626"/>
      <c r="G493" s="762"/>
      <c r="H493" s="189"/>
      <c r="I493" s="270"/>
      <c r="J493" s="270"/>
      <c r="K493" s="498"/>
      <c r="L493" s="498"/>
      <c r="M493" s="498"/>
      <c r="N493" s="498"/>
      <c r="O493" s="498"/>
      <c r="P493" s="49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</row>
    <row r="494" spans="1:26" ht="18.75">
      <c r="A494" s="608"/>
      <c r="B494" s="618"/>
      <c r="C494" s="618"/>
      <c r="D494" s="618"/>
      <c r="E494" s="618" t="s">
        <v>208</v>
      </c>
      <c r="F494" s="626"/>
      <c r="G494" s="762"/>
      <c r="H494" s="189"/>
      <c r="I494" s="270"/>
      <c r="J494" s="270"/>
      <c r="K494" s="498"/>
      <c r="L494" s="498"/>
      <c r="M494" s="498"/>
      <c r="N494" s="498"/>
      <c r="O494" s="498"/>
      <c r="P494" s="49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</row>
    <row r="495" spans="1:26" ht="18.75">
      <c r="A495" s="608"/>
      <c r="B495" s="618"/>
      <c r="C495" s="618"/>
      <c r="D495" s="618"/>
      <c r="E495" s="618"/>
      <c r="F495" s="626" t="s">
        <v>216</v>
      </c>
      <c r="G495" s="762"/>
      <c r="H495" s="623" t="s">
        <v>46</v>
      </c>
      <c r="I495" s="270">
        <f ca="1">IFERROR(__xludf.DUMMYFUNCTION("IMPORTRANGE(""https://docs.google.com/spreadsheets/d/1QqKyyYR6Q21VydFLVH3TRQUabQu_ym0Zz7PgGX0-kHA/edit?usp=sharing"",""แผน!FY32"")"),1170)</f>
        <v>1170</v>
      </c>
      <c r="J495" s="215">
        <v>1170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</row>
    <row r="496" spans="1:26" ht="18.75">
      <c r="A496" s="608"/>
      <c r="B496" s="618"/>
      <c r="C496" s="618"/>
      <c r="D496" s="618"/>
      <c r="E496" s="618"/>
      <c r="F496" s="626" t="s">
        <v>217</v>
      </c>
      <c r="G496" s="762"/>
      <c r="H496" s="623" t="s">
        <v>46</v>
      </c>
      <c r="I496" s="270"/>
      <c r="J496" s="215">
        <v>117</v>
      </c>
      <c r="K496" s="498"/>
      <c r="L496" s="498"/>
      <c r="M496" s="498"/>
      <c r="N496" s="498"/>
      <c r="O496" s="498"/>
      <c r="P496" s="49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</row>
    <row r="497" spans="1:26" ht="18.75">
      <c r="A497" s="608"/>
      <c r="B497" s="618"/>
      <c r="C497" s="618"/>
      <c r="D497" s="618"/>
      <c r="E497" s="618" t="s">
        <v>62</v>
      </c>
      <c r="F497" s="626"/>
      <c r="G497" s="762"/>
      <c r="H497" s="189"/>
      <c r="I497" s="270"/>
      <c r="J497" s="270"/>
      <c r="K497" s="498"/>
      <c r="L497" s="498"/>
      <c r="M497" s="498"/>
      <c r="N497" s="498"/>
      <c r="O497" s="498"/>
      <c r="P497" s="49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</row>
    <row r="498" spans="1:26" ht="18.75">
      <c r="A498" s="608"/>
      <c r="B498" s="618"/>
      <c r="C498" s="618"/>
      <c r="D498" s="618"/>
      <c r="E498" s="626"/>
      <c r="F498" s="626" t="s">
        <v>218</v>
      </c>
      <c r="G498" s="762"/>
      <c r="H498" s="623" t="s">
        <v>46</v>
      </c>
      <c r="I498" s="270">
        <f ca="1">IFERROR(__xludf.DUMMYFUNCTION("IMPORTRANGE(""https://docs.google.com/spreadsheets/d/1QqKyyYR6Q21VydFLVH3TRQUabQu_ym0Zz7PgGX0-kHA/edit?usp=sharing"",""แผน!GA32"")"),130)</f>
        <v>130</v>
      </c>
      <c r="J498" s="215">
        <v>130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</row>
    <row r="499" spans="1:26" ht="18.75">
      <c r="A499" s="608"/>
      <c r="B499" s="618"/>
      <c r="C499" s="618"/>
      <c r="D499" s="618"/>
      <c r="E499" s="626"/>
      <c r="F499" s="626" t="s">
        <v>219</v>
      </c>
      <c r="G499" s="762"/>
      <c r="H499" s="623" t="s">
        <v>46</v>
      </c>
      <c r="I499" s="270"/>
      <c r="J499" s="215">
        <v>13</v>
      </c>
      <c r="K499" s="498"/>
      <c r="L499" s="498"/>
      <c r="M499" s="498"/>
      <c r="N499" s="498"/>
      <c r="O499" s="498"/>
      <c r="P499" s="49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</row>
    <row r="500" spans="1:26" ht="19.5" hidden="1">
      <c r="A500" s="627">
        <v>4</v>
      </c>
      <c r="B500" s="628" t="s">
        <v>220</v>
      </c>
      <c r="C500" s="629"/>
      <c r="D500" s="630"/>
      <c r="E500" s="630"/>
      <c r="F500" s="630"/>
      <c r="G500" s="631"/>
      <c r="H500" s="632" t="s">
        <v>109</v>
      </c>
      <c r="I500" s="633"/>
      <c r="J500" s="633">
        <f t="shared" ref="J500:J501" si="214">J516</f>
        <v>0</v>
      </c>
      <c r="K500" s="634">
        <f t="shared" ref="K500:K501" si="215">IF(I500&gt;0,J500*100/I500,0)</f>
        <v>0</v>
      </c>
      <c r="L500" s="635"/>
      <c r="M500" s="635"/>
      <c r="N500" s="635"/>
      <c r="O500" s="635"/>
      <c r="P500" s="635"/>
      <c r="Q500" s="604"/>
      <c r="R500" s="604"/>
      <c r="S500" s="604"/>
      <c r="T500" s="604"/>
      <c r="U500" s="604"/>
      <c r="V500" s="604"/>
      <c r="W500" s="604"/>
      <c r="X500" s="604"/>
      <c r="Y500" s="604"/>
      <c r="Z500" s="604"/>
    </row>
    <row r="501" spans="1:26" ht="19.5" hidden="1">
      <c r="A501" s="636"/>
      <c r="B501" s="638" t="s">
        <v>221</v>
      </c>
      <c r="C501" s="638"/>
      <c r="D501" s="639"/>
      <c r="E501" s="639"/>
      <c r="F501" s="639"/>
      <c r="G501" s="640"/>
      <c r="H501" s="641" t="s">
        <v>35</v>
      </c>
      <c r="I501" s="642"/>
      <c r="J501" s="642">
        <f t="shared" si="214"/>
        <v>0</v>
      </c>
      <c r="K501" s="643">
        <f t="shared" si="215"/>
        <v>0</v>
      </c>
      <c r="L501" s="644"/>
      <c r="M501" s="644"/>
      <c r="N501" s="644"/>
      <c r="O501" s="644"/>
      <c r="P501" s="64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</row>
    <row r="502" spans="1:26" ht="19.5" hidden="1">
      <c r="A502" s="599"/>
      <c r="B502" s="759"/>
      <c r="C502" s="759" t="s">
        <v>16</v>
      </c>
      <c r="D502" s="864" t="s">
        <v>17</v>
      </c>
      <c r="E502" s="857"/>
      <c r="F502" s="857"/>
      <c r="G502" s="603"/>
      <c r="H502" s="646" t="s">
        <v>12</v>
      </c>
      <c r="I502" s="617"/>
      <c r="J502" s="617"/>
      <c r="K502" s="93"/>
      <c r="L502" s="647">
        <f t="shared" ref="L502:N502" si="216">L503+L504</f>
        <v>0</v>
      </c>
      <c r="M502" s="647">
        <f t="shared" si="216"/>
        <v>0</v>
      </c>
      <c r="N502" s="647">
        <f t="shared" si="216"/>
        <v>0</v>
      </c>
      <c r="O502" s="647">
        <f t="shared" ref="O502:O507" si="217">IF(L502&gt;0,N502*100/L502,0)</f>
        <v>0</v>
      </c>
      <c r="P502" s="647">
        <f t="shared" ref="P502:P507" si="218">IF(M502&gt;0,N502*100/M502,0)</f>
        <v>0</v>
      </c>
      <c r="Q502" s="604"/>
      <c r="R502" s="604"/>
      <c r="S502" s="604"/>
      <c r="T502" s="604"/>
      <c r="U502" s="604"/>
      <c r="V502" s="604"/>
      <c r="W502" s="604"/>
      <c r="X502" s="604"/>
      <c r="Y502" s="604"/>
      <c r="Z502" s="604"/>
    </row>
    <row r="503" spans="1:26" ht="18.75" hidden="1">
      <c r="A503" s="599"/>
      <c r="B503" s="759"/>
      <c r="C503" s="759"/>
      <c r="D503" s="720"/>
      <c r="E503" s="759" t="s">
        <v>185</v>
      </c>
      <c r="F503" s="759"/>
      <c r="G503" s="603"/>
      <c r="H503" s="165" t="s">
        <v>12</v>
      </c>
      <c r="I503" s="617"/>
      <c r="J503" s="617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4"/>
      <c r="R503" s="604"/>
      <c r="S503" s="604"/>
      <c r="T503" s="604"/>
      <c r="U503" s="604"/>
      <c r="V503" s="604"/>
      <c r="W503" s="604"/>
      <c r="X503" s="604"/>
      <c r="Y503" s="604"/>
      <c r="Z503" s="604"/>
    </row>
    <row r="504" spans="1:26" ht="18.75" hidden="1">
      <c r="A504" s="599"/>
      <c r="B504" s="607"/>
      <c r="C504" s="759"/>
      <c r="D504" s="720"/>
      <c r="E504" s="759" t="s">
        <v>186</v>
      </c>
      <c r="F504" s="759"/>
      <c r="G504" s="603"/>
      <c r="H504" s="165" t="s">
        <v>12</v>
      </c>
      <c r="I504" s="617"/>
      <c r="J504" s="617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4"/>
      <c r="R504" s="604"/>
      <c r="S504" s="604"/>
      <c r="T504" s="604"/>
      <c r="U504" s="604"/>
      <c r="V504" s="604"/>
      <c r="W504" s="604"/>
      <c r="X504" s="604"/>
      <c r="Y504" s="604"/>
      <c r="Z504" s="604"/>
    </row>
    <row r="505" spans="1:26" ht="18.75" hidden="1">
      <c r="A505" s="599"/>
      <c r="B505" s="607"/>
      <c r="C505" s="759"/>
      <c r="D505" s="648" t="s">
        <v>20</v>
      </c>
      <c r="E505" s="759"/>
      <c r="F505" s="759"/>
      <c r="G505" s="603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4"/>
      <c r="R505" s="604"/>
      <c r="S505" s="604"/>
      <c r="T505" s="604"/>
      <c r="U505" s="604"/>
      <c r="V505" s="604"/>
      <c r="W505" s="604"/>
      <c r="X505" s="604"/>
      <c r="Y505" s="604"/>
      <c r="Z505" s="604"/>
    </row>
    <row r="506" spans="1:26" ht="18.75" hidden="1">
      <c r="A506" s="599"/>
      <c r="B506" s="607"/>
      <c r="C506" s="759"/>
      <c r="D506" s="720"/>
      <c r="E506" s="759" t="s">
        <v>185</v>
      </c>
      <c r="F506" s="759"/>
      <c r="G506" s="603"/>
      <c r="H506" s="165" t="s">
        <v>12</v>
      </c>
      <c r="I506" s="617"/>
      <c r="J506" s="617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4"/>
      <c r="R506" s="604"/>
      <c r="S506" s="604"/>
      <c r="T506" s="604"/>
      <c r="U506" s="604"/>
      <c r="V506" s="604"/>
      <c r="W506" s="604"/>
      <c r="X506" s="604"/>
      <c r="Y506" s="604"/>
      <c r="Z506" s="604"/>
    </row>
    <row r="507" spans="1:26" ht="18.75" hidden="1">
      <c r="A507" s="599"/>
      <c r="B507" s="607"/>
      <c r="C507" s="759"/>
      <c r="D507" s="720"/>
      <c r="E507" s="759" t="s">
        <v>186</v>
      </c>
      <c r="F507" s="759"/>
      <c r="G507" s="603"/>
      <c r="H507" s="165" t="s">
        <v>12</v>
      </c>
      <c r="I507" s="617"/>
      <c r="J507" s="617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4"/>
      <c r="R507" s="604"/>
      <c r="S507" s="604"/>
      <c r="T507" s="604"/>
      <c r="U507" s="604"/>
      <c r="V507" s="604"/>
      <c r="W507" s="604"/>
      <c r="X507" s="604"/>
      <c r="Y507" s="604"/>
      <c r="Z507" s="604"/>
    </row>
    <row r="508" spans="1:26" ht="18.75" hidden="1">
      <c r="A508" s="649"/>
      <c r="B508" s="607"/>
      <c r="C508" s="759"/>
      <c r="D508" s="759"/>
      <c r="E508" s="759"/>
      <c r="F508" s="759" t="s">
        <v>187</v>
      </c>
      <c r="G508" s="603"/>
      <c r="H508" s="165" t="s">
        <v>12</v>
      </c>
      <c r="I508" s="617"/>
      <c r="J508" s="617"/>
      <c r="K508" s="93"/>
      <c r="L508" s="93"/>
      <c r="M508" s="93"/>
      <c r="N508" s="93">
        <v>0</v>
      </c>
      <c r="O508" s="93"/>
      <c r="P508" s="93"/>
      <c r="Q508" s="604"/>
      <c r="R508" s="604"/>
      <c r="S508" s="604"/>
      <c r="T508" s="604"/>
      <c r="U508" s="604"/>
      <c r="V508" s="604"/>
      <c r="W508" s="604"/>
      <c r="X508" s="604"/>
      <c r="Y508" s="604"/>
      <c r="Z508" s="604"/>
    </row>
    <row r="509" spans="1:26" ht="18.75" hidden="1">
      <c r="A509" s="649"/>
      <c r="B509" s="607"/>
      <c r="C509" s="759"/>
      <c r="D509" s="759"/>
      <c r="E509" s="759"/>
      <c r="F509" s="759" t="s">
        <v>188</v>
      </c>
      <c r="G509" s="603"/>
      <c r="H509" s="165" t="s">
        <v>12</v>
      </c>
      <c r="I509" s="617"/>
      <c r="J509" s="617"/>
      <c r="K509" s="93"/>
      <c r="L509" s="93"/>
      <c r="M509" s="93"/>
      <c r="N509" s="93">
        <v>0</v>
      </c>
      <c r="O509" s="93"/>
      <c r="P509" s="93"/>
      <c r="Q509" s="604"/>
      <c r="R509" s="604"/>
      <c r="S509" s="604"/>
      <c r="T509" s="604"/>
      <c r="U509" s="604"/>
      <c r="V509" s="604"/>
      <c r="W509" s="604"/>
      <c r="X509" s="604"/>
      <c r="Y509" s="604"/>
      <c r="Z509" s="604"/>
    </row>
    <row r="510" spans="1:26" ht="18.75" hidden="1">
      <c r="A510" s="649"/>
      <c r="B510" s="607"/>
      <c r="C510" s="607"/>
      <c r="D510" s="607"/>
      <c r="E510" s="759"/>
      <c r="F510" s="759" t="s">
        <v>189</v>
      </c>
      <c r="G510" s="603"/>
      <c r="H510" s="165" t="s">
        <v>12</v>
      </c>
      <c r="I510" s="617"/>
      <c r="J510" s="617"/>
      <c r="K510" s="93"/>
      <c r="L510" s="93"/>
      <c r="M510" s="93"/>
      <c r="N510" s="93">
        <v>0</v>
      </c>
      <c r="O510" s="93"/>
      <c r="P510" s="93"/>
      <c r="Q510" s="604"/>
      <c r="R510" s="604"/>
      <c r="S510" s="604"/>
      <c r="T510" s="604"/>
      <c r="U510" s="604"/>
      <c r="V510" s="604"/>
      <c r="W510" s="604"/>
      <c r="X510" s="604"/>
      <c r="Y510" s="604"/>
      <c r="Z510" s="604"/>
    </row>
    <row r="511" spans="1:26" ht="18.75" hidden="1">
      <c r="A511" s="649"/>
      <c r="B511" s="607"/>
      <c r="C511" s="607"/>
      <c r="D511" s="607"/>
      <c r="E511" s="759"/>
      <c r="F511" s="759" t="s">
        <v>190</v>
      </c>
      <c r="G511" s="603"/>
      <c r="H511" s="165" t="s">
        <v>12</v>
      </c>
      <c r="I511" s="617"/>
      <c r="J511" s="617"/>
      <c r="K511" s="93"/>
      <c r="L511" s="93"/>
      <c r="M511" s="93"/>
      <c r="N511" s="93">
        <v>0</v>
      </c>
      <c r="O511" s="93"/>
      <c r="P511" s="93"/>
      <c r="Q511" s="604"/>
      <c r="R511" s="604"/>
      <c r="S511" s="604"/>
      <c r="T511" s="604"/>
      <c r="U511" s="604"/>
      <c r="V511" s="604"/>
      <c r="W511" s="604"/>
      <c r="X511" s="604"/>
      <c r="Y511" s="604"/>
      <c r="Z511" s="604"/>
    </row>
    <row r="512" spans="1:26" ht="18.75" hidden="1">
      <c r="A512" s="599"/>
      <c r="B512" s="607"/>
      <c r="C512" s="607"/>
      <c r="D512" s="648" t="s">
        <v>21</v>
      </c>
      <c r="E512" s="607"/>
      <c r="F512" s="759"/>
      <c r="G512" s="603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4"/>
      <c r="R512" s="604"/>
      <c r="S512" s="604"/>
      <c r="T512" s="604"/>
      <c r="U512" s="604"/>
      <c r="V512" s="604"/>
      <c r="W512" s="604"/>
      <c r="X512" s="604"/>
      <c r="Y512" s="604"/>
      <c r="Z512" s="604"/>
    </row>
    <row r="513" spans="1:26" ht="18.75" hidden="1">
      <c r="A513" s="599"/>
      <c r="B513" s="607"/>
      <c r="C513" s="607"/>
      <c r="D513" s="607"/>
      <c r="E513" s="607" t="s">
        <v>18</v>
      </c>
      <c r="F513" s="759"/>
      <c r="G513" s="603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4"/>
      <c r="R513" s="604"/>
      <c r="S513" s="604"/>
      <c r="T513" s="604"/>
      <c r="U513" s="604"/>
      <c r="V513" s="604"/>
      <c r="W513" s="604"/>
      <c r="X513" s="604"/>
      <c r="Y513" s="604"/>
      <c r="Z513" s="604"/>
    </row>
    <row r="514" spans="1:26" ht="18.75" hidden="1">
      <c r="A514" s="599"/>
      <c r="B514" s="607"/>
      <c r="C514" s="607"/>
      <c r="D514" s="759"/>
      <c r="E514" s="607" t="s">
        <v>19</v>
      </c>
      <c r="F514" s="759"/>
      <c r="G514" s="603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4"/>
      <c r="R514" s="604"/>
      <c r="S514" s="604"/>
      <c r="T514" s="604"/>
      <c r="U514" s="604"/>
      <c r="V514" s="604"/>
      <c r="W514" s="604"/>
      <c r="X514" s="604"/>
      <c r="Y514" s="604"/>
      <c r="Z514" s="604"/>
    </row>
    <row r="515" spans="1:26" ht="19.5" hidden="1">
      <c r="A515" s="614"/>
      <c r="B515" s="616"/>
      <c r="C515" s="607" t="s">
        <v>16</v>
      </c>
      <c r="D515" s="895" t="s">
        <v>38</v>
      </c>
      <c r="E515" s="651"/>
      <c r="F515" s="651"/>
      <c r="G515" s="652"/>
      <c r="H515" s="366"/>
      <c r="I515" s="166"/>
      <c r="J515" s="166"/>
      <c r="K515" s="167"/>
      <c r="L515" s="167"/>
      <c r="M515" s="167"/>
      <c r="N515" s="167"/>
      <c r="O515" s="167"/>
      <c r="P515" s="167"/>
      <c r="Q515" s="604"/>
      <c r="R515" s="604"/>
      <c r="S515" s="604"/>
      <c r="T515" s="604"/>
      <c r="U515" s="604"/>
      <c r="V515" s="604"/>
      <c r="W515" s="604"/>
      <c r="X515" s="604"/>
      <c r="Y515" s="604"/>
      <c r="Z515" s="604"/>
    </row>
    <row r="516" spans="1:26" ht="18.75" hidden="1">
      <c r="A516" s="614"/>
      <c r="B516" s="616"/>
      <c r="C516" s="616"/>
      <c r="D516" s="616" t="s">
        <v>222</v>
      </c>
      <c r="E516" s="720"/>
      <c r="F516" s="720"/>
      <c r="G516" s="366"/>
      <c r="H516" s="653" t="s">
        <v>109</v>
      </c>
      <c r="I516" s="617"/>
      <c r="J516" s="617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4"/>
      <c r="R516" s="604"/>
      <c r="S516" s="604"/>
      <c r="T516" s="604"/>
      <c r="U516" s="604"/>
      <c r="V516" s="604"/>
      <c r="W516" s="604"/>
      <c r="X516" s="604"/>
      <c r="Y516" s="604"/>
      <c r="Z516" s="604"/>
    </row>
    <row r="517" spans="1:26" ht="19.5" hidden="1">
      <c r="A517" s="614"/>
      <c r="B517" s="616"/>
      <c r="C517" s="616"/>
      <c r="D517" s="616" t="s">
        <v>223</v>
      </c>
      <c r="E517" s="720"/>
      <c r="F517" s="720"/>
      <c r="G517" s="366"/>
      <c r="H517" s="654" t="s">
        <v>35</v>
      </c>
      <c r="I517" s="655"/>
      <c r="J517" s="655">
        <f>J518+J519</f>
        <v>0</v>
      </c>
      <c r="K517" s="656">
        <f t="shared" si="224"/>
        <v>0</v>
      </c>
      <c r="L517" s="167"/>
      <c r="M517" s="167"/>
      <c r="N517" s="167"/>
      <c r="O517" s="167"/>
      <c r="P517" s="167"/>
      <c r="Q517" s="604"/>
      <c r="R517" s="604"/>
      <c r="S517" s="604"/>
      <c r="T517" s="604"/>
      <c r="U517" s="604"/>
      <c r="V517" s="604"/>
      <c r="W517" s="604"/>
      <c r="X517" s="604"/>
      <c r="Y517" s="604"/>
      <c r="Z517" s="604"/>
    </row>
    <row r="518" spans="1:26" ht="18.75" hidden="1">
      <c r="A518" s="614"/>
      <c r="B518" s="616"/>
      <c r="C518" s="616"/>
      <c r="D518" s="616"/>
      <c r="E518" s="616" t="s">
        <v>224</v>
      </c>
      <c r="F518" s="720"/>
      <c r="G518" s="366"/>
      <c r="H518" s="370" t="s">
        <v>35</v>
      </c>
      <c r="I518" s="617"/>
      <c r="J518" s="617"/>
      <c r="K518" s="167"/>
      <c r="L518" s="167"/>
      <c r="M518" s="167"/>
      <c r="N518" s="167"/>
      <c r="O518" s="167"/>
      <c r="P518" s="167"/>
      <c r="Q518" s="604"/>
      <c r="R518" s="604"/>
      <c r="S518" s="604"/>
      <c r="T518" s="604"/>
      <c r="U518" s="604"/>
      <c r="V518" s="604"/>
      <c r="W518" s="604"/>
      <c r="X518" s="604"/>
      <c r="Y518" s="604"/>
      <c r="Z518" s="604"/>
    </row>
    <row r="519" spans="1:26" ht="18.75" hidden="1">
      <c r="A519" s="614"/>
      <c r="B519" s="616"/>
      <c r="C519" s="616"/>
      <c r="D519" s="616"/>
      <c r="E519" s="616" t="s">
        <v>225</v>
      </c>
      <c r="F519" s="720"/>
      <c r="G519" s="366"/>
      <c r="H519" s="653" t="s">
        <v>35</v>
      </c>
      <c r="I519" s="617"/>
      <c r="J519" s="617"/>
      <c r="K519" s="167"/>
      <c r="L519" s="167"/>
      <c r="M519" s="167"/>
      <c r="N519" s="167"/>
      <c r="O519" s="167"/>
      <c r="P519" s="167"/>
      <c r="Q519" s="604"/>
      <c r="R519" s="604"/>
      <c r="S519" s="604"/>
      <c r="T519" s="604"/>
      <c r="U519" s="604"/>
      <c r="V519" s="604"/>
      <c r="W519" s="604"/>
      <c r="X519" s="604"/>
      <c r="Y519" s="604"/>
      <c r="Z519" s="604"/>
    </row>
    <row r="520" spans="1:26" ht="19.5">
      <c r="A520" s="657" t="s">
        <v>137</v>
      </c>
      <c r="B520" s="658"/>
      <c r="C520" s="658"/>
      <c r="D520" s="659"/>
      <c r="E520" s="659"/>
      <c r="F520" s="659"/>
      <c r="G520" s="660"/>
      <c r="H520" s="661"/>
      <c r="I520" s="662"/>
      <c r="J520" s="662"/>
      <c r="K520" s="663"/>
      <c r="L520" s="663"/>
      <c r="M520" s="663"/>
      <c r="N520" s="663"/>
      <c r="O520" s="663"/>
      <c r="P520" s="663"/>
    </row>
    <row r="521" spans="1:26" ht="19.5">
      <c r="A521" s="664">
        <v>5</v>
      </c>
      <c r="B521" s="665" t="s">
        <v>226</v>
      </c>
      <c r="C521" s="666"/>
      <c r="D521" s="667"/>
      <c r="E521" s="667"/>
      <c r="F521" s="667"/>
      <c r="G521" s="667"/>
      <c r="H521" s="668"/>
      <c r="I521" s="669"/>
      <c r="J521" s="669"/>
      <c r="K521" s="670"/>
      <c r="L521" s="670"/>
      <c r="M521" s="670"/>
      <c r="N521" s="670"/>
      <c r="O521" s="670"/>
      <c r="P521" s="670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</row>
    <row r="522" spans="1:26" ht="19.5">
      <c r="A522" s="671"/>
      <c r="B522" s="672" t="s">
        <v>227</v>
      </c>
      <c r="C522" s="673"/>
      <c r="D522" s="673"/>
      <c r="E522" s="673"/>
      <c r="F522" s="673"/>
      <c r="G522" s="674"/>
      <c r="H522" s="675" t="s">
        <v>35</v>
      </c>
      <c r="I522" s="708">
        <f t="shared" ref="I522:J522" ca="1" si="225">I537</f>
        <v>30</v>
      </c>
      <c r="J522" s="708">
        <f t="shared" ca="1" si="225"/>
        <v>30</v>
      </c>
      <c r="K522" s="677">
        <f ca="1">IF(I522&gt;0,J522*100/I522,0)</f>
        <v>100</v>
      </c>
      <c r="L522" s="678"/>
      <c r="M522" s="678"/>
      <c r="N522" s="678"/>
      <c r="O522" s="678"/>
      <c r="P522" s="6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</row>
    <row r="523" spans="1:26" ht="19.5">
      <c r="A523" s="597"/>
      <c r="B523" s="763"/>
      <c r="C523" s="763" t="s">
        <v>16</v>
      </c>
      <c r="D523" s="863" t="s">
        <v>17</v>
      </c>
      <c r="E523" s="857"/>
      <c r="F523" s="857"/>
      <c r="G523" s="189"/>
      <c r="H523" s="598" t="s">
        <v>12</v>
      </c>
      <c r="I523" s="270"/>
      <c r="J523" s="270"/>
      <c r="K523" s="498"/>
      <c r="L523" s="195">
        <f t="shared" ref="L523:N523" ca="1" si="226">L524+L525</f>
        <v>277260</v>
      </c>
      <c r="M523" s="195">
        <f t="shared" ca="1" si="226"/>
        <v>317459.20000000001</v>
      </c>
      <c r="N523" s="195">
        <f t="shared" si="226"/>
        <v>317459.20000000001</v>
      </c>
      <c r="O523" s="195">
        <f t="shared" ref="O523:O528" ca="1" si="227">IF(L523&gt;0,N523*100/L523,0)</f>
        <v>114.49873764697396</v>
      </c>
      <c r="P523" s="195">
        <f t="shared" ref="P523:P528" ca="1" si="228">IF(M523&gt;0,N523*100/M523,0)</f>
        <v>100</v>
      </c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</row>
    <row r="524" spans="1:26" ht="18.75" hidden="1">
      <c r="A524" s="599"/>
      <c r="B524" s="759"/>
      <c r="C524" s="759"/>
      <c r="D524" s="720"/>
      <c r="E524" s="759" t="s">
        <v>185</v>
      </c>
      <c r="F524" s="759"/>
      <c r="G524" s="603"/>
      <c r="H524" s="165" t="s">
        <v>12</v>
      </c>
      <c r="I524" s="617"/>
      <c r="J524" s="617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4"/>
      <c r="R524" s="604"/>
      <c r="S524" s="604"/>
      <c r="T524" s="604"/>
      <c r="U524" s="604"/>
      <c r="V524" s="604"/>
      <c r="W524" s="604"/>
      <c r="X524" s="604"/>
      <c r="Y524" s="604"/>
      <c r="Z524" s="604"/>
    </row>
    <row r="525" spans="1:26" ht="18.75" hidden="1">
      <c r="A525" s="599"/>
      <c r="B525" s="607"/>
      <c r="C525" s="759"/>
      <c r="D525" s="720"/>
      <c r="E525" s="759" t="s">
        <v>186</v>
      </c>
      <c r="F525" s="759"/>
      <c r="G525" s="603"/>
      <c r="H525" s="165" t="s">
        <v>12</v>
      </c>
      <c r="I525" s="617"/>
      <c r="J525" s="617"/>
      <c r="K525" s="93"/>
      <c r="L525" s="93">
        <f t="shared" ca="1" si="229"/>
        <v>277260</v>
      </c>
      <c r="M525" s="93">
        <f t="shared" ca="1" si="229"/>
        <v>317459.20000000001</v>
      </c>
      <c r="N525" s="93">
        <f t="shared" si="229"/>
        <v>317459.20000000001</v>
      </c>
      <c r="O525" s="93">
        <f t="shared" ca="1" si="227"/>
        <v>114.49873764697396</v>
      </c>
      <c r="P525" s="93">
        <f t="shared" ca="1" si="228"/>
        <v>100</v>
      </c>
      <c r="Q525" s="604"/>
      <c r="R525" s="604"/>
      <c r="S525" s="604"/>
      <c r="T525" s="604"/>
      <c r="U525" s="604"/>
      <c r="V525" s="604"/>
      <c r="W525" s="604"/>
      <c r="X525" s="604"/>
      <c r="Y525" s="604"/>
      <c r="Z525" s="604"/>
    </row>
    <row r="526" spans="1:26" ht="18.75">
      <c r="A526" s="597"/>
      <c r="B526" s="575"/>
      <c r="C526" s="763"/>
      <c r="D526" s="606" t="s">
        <v>20</v>
      </c>
      <c r="E526" s="763"/>
      <c r="F526" s="763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277260</v>
      </c>
      <c r="M526" s="498">
        <f t="shared" ca="1" si="230"/>
        <v>317459.20000000001</v>
      </c>
      <c r="N526" s="498">
        <f t="shared" si="230"/>
        <v>317459.20000000001</v>
      </c>
      <c r="O526" s="498">
        <f t="shared" ca="1" si="227"/>
        <v>114.49873764697396</v>
      </c>
      <c r="P526" s="498">
        <f t="shared" ca="1" si="228"/>
        <v>100</v>
      </c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</row>
    <row r="527" spans="1:26" ht="18.75" hidden="1">
      <c r="A527" s="599"/>
      <c r="B527" s="607"/>
      <c r="C527" s="759"/>
      <c r="D527" s="720"/>
      <c r="E527" s="759" t="s">
        <v>185</v>
      </c>
      <c r="F527" s="759"/>
      <c r="G527" s="603"/>
      <c r="H527" s="165" t="s">
        <v>12</v>
      </c>
      <c r="I527" s="617"/>
      <c r="J527" s="617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4"/>
      <c r="R527" s="604"/>
      <c r="S527" s="604"/>
      <c r="T527" s="604"/>
      <c r="U527" s="604"/>
      <c r="V527" s="604"/>
      <c r="W527" s="604"/>
      <c r="X527" s="604"/>
      <c r="Y527" s="604"/>
      <c r="Z527" s="604"/>
    </row>
    <row r="528" spans="1:26" ht="18.75" hidden="1">
      <c r="A528" s="599"/>
      <c r="B528" s="607"/>
      <c r="C528" s="759"/>
      <c r="D528" s="720"/>
      <c r="E528" s="759" t="s">
        <v>186</v>
      </c>
      <c r="F528" s="759"/>
      <c r="G528" s="603"/>
      <c r="H528" s="165" t="s">
        <v>12</v>
      </c>
      <c r="I528" s="617"/>
      <c r="J528" s="617"/>
      <c r="K528" s="93"/>
      <c r="L528" s="93">
        <f ca="1">IFERROR(__xludf.DUMMYFUNCTION("IMPORTRANGE(""https://docs.google.com/spreadsheets/d/1QqKyyYR6Q21VydFLVH3TRQUabQu_ym0Zz7PgGX0-kHA/edit?usp=sharing"",""แผน!GQ32"")"),277260)</f>
        <v>277260</v>
      </c>
      <c r="M528" s="93">
        <f ca="1">L528+40200-0.8</f>
        <v>317459.20000000001</v>
      </c>
      <c r="N528" s="93">
        <f>N529+N530+N531+N532</f>
        <v>317459.20000000001</v>
      </c>
      <c r="O528" s="93">
        <f t="shared" ca="1" si="227"/>
        <v>114.49873764697396</v>
      </c>
      <c r="P528" s="93">
        <f t="shared" ca="1" si="228"/>
        <v>100</v>
      </c>
      <c r="Q528" s="604"/>
      <c r="R528" s="604"/>
      <c r="S528" s="604"/>
      <c r="T528" s="604"/>
      <c r="U528" s="604"/>
      <c r="V528" s="604"/>
      <c r="W528" s="604"/>
      <c r="X528" s="604"/>
      <c r="Y528" s="604"/>
      <c r="Z528" s="604"/>
    </row>
    <row r="529" spans="1:26" ht="18.75">
      <c r="A529" s="574"/>
      <c r="B529" s="575"/>
      <c r="C529" s="763"/>
      <c r="D529" s="763"/>
      <c r="E529" s="763"/>
      <c r="F529" s="763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40">
        <v>93660.2</v>
      </c>
      <c r="O529" s="498"/>
      <c r="P529" s="49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</row>
    <row r="530" spans="1:26" ht="18.75">
      <c r="A530" s="574"/>
      <c r="B530" s="575"/>
      <c r="C530" s="763"/>
      <c r="D530" s="763"/>
      <c r="E530" s="763"/>
      <c r="F530" s="763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40">
        <v>149910</v>
      </c>
      <c r="O530" s="498"/>
      <c r="P530" s="49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</row>
    <row r="531" spans="1:26" ht="18.75">
      <c r="A531" s="574"/>
      <c r="B531" s="575"/>
      <c r="C531" s="763"/>
      <c r="D531" s="763"/>
      <c r="E531" s="763"/>
      <c r="F531" s="763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40">
        <v>0</v>
      </c>
      <c r="O531" s="498"/>
      <c r="P531" s="49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</row>
    <row r="532" spans="1:26" ht="18.75">
      <c r="A532" s="574"/>
      <c r="B532" s="575"/>
      <c r="C532" s="763"/>
      <c r="D532" s="763"/>
      <c r="E532" s="763"/>
      <c r="F532" s="763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40">
        <v>73889</v>
      </c>
      <c r="O532" s="498"/>
      <c r="P532" s="49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</row>
    <row r="533" spans="1:26" ht="18.75">
      <c r="A533" s="597"/>
      <c r="B533" s="575"/>
      <c r="C533" s="763"/>
      <c r="D533" s="606" t="s">
        <v>21</v>
      </c>
      <c r="E533" s="763"/>
      <c r="F533" s="763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</row>
    <row r="534" spans="1:26" ht="18.75" hidden="1">
      <c r="A534" s="599"/>
      <c r="B534" s="607"/>
      <c r="C534" s="759"/>
      <c r="D534" s="759"/>
      <c r="E534" s="759" t="s">
        <v>18</v>
      </c>
      <c r="F534" s="759"/>
      <c r="G534" s="603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4"/>
      <c r="R534" s="604"/>
      <c r="S534" s="604"/>
      <c r="T534" s="604"/>
      <c r="U534" s="604"/>
      <c r="V534" s="604"/>
      <c r="W534" s="604"/>
      <c r="X534" s="604"/>
      <c r="Y534" s="604"/>
      <c r="Z534" s="604"/>
    </row>
    <row r="535" spans="1:26" ht="18.75" hidden="1">
      <c r="A535" s="599"/>
      <c r="B535" s="607"/>
      <c r="C535" s="759"/>
      <c r="D535" s="759"/>
      <c r="E535" s="759" t="s">
        <v>19</v>
      </c>
      <c r="F535" s="759"/>
      <c r="G535" s="603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4"/>
      <c r="R535" s="604"/>
      <c r="S535" s="604"/>
      <c r="T535" s="604"/>
      <c r="U535" s="604"/>
      <c r="V535" s="604"/>
      <c r="W535" s="604"/>
      <c r="X535" s="604"/>
      <c r="Y535" s="604"/>
      <c r="Z535" s="604"/>
    </row>
    <row r="536" spans="1:26" ht="19.5">
      <c r="A536" s="608"/>
      <c r="B536" s="618"/>
      <c r="C536" s="763" t="s">
        <v>16</v>
      </c>
      <c r="D536" s="896" t="s">
        <v>38</v>
      </c>
      <c r="E536" s="761"/>
      <c r="F536" s="761"/>
      <c r="G536" s="613"/>
      <c r="H536" s="762"/>
      <c r="I536" s="184"/>
      <c r="J536" s="184"/>
      <c r="K536" s="163"/>
      <c r="L536" s="163"/>
      <c r="M536" s="163"/>
      <c r="N536" s="163"/>
      <c r="O536" s="163"/>
      <c r="P536" s="163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</row>
    <row r="537" spans="1:26" ht="19.5">
      <c r="A537" s="574"/>
      <c r="B537" s="575"/>
      <c r="C537" s="763"/>
      <c r="D537" s="763" t="s">
        <v>228</v>
      </c>
      <c r="E537" s="763"/>
      <c r="F537" s="763"/>
      <c r="G537" s="189"/>
      <c r="H537" s="623" t="s">
        <v>35</v>
      </c>
      <c r="I537" s="681">
        <f ca="1">IFERROR(__xludf.DUMMYFUNCTION("IMPORTRANGE(""https://docs.google.com/spreadsheets/d/1QqKyyYR6Q21VydFLVH3TRQUabQu_ym0Zz7PgGX0-kHA/edit?usp=sharing"",""แผน!GU32"")"),30)</f>
        <v>30</v>
      </c>
      <c r="J537" s="681">
        <f ca="1">IF(AND(J538=I538,J539=I539,J540=I540,J541=I541),I537,0)</f>
        <v>30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2"/>
      <c r="R537" s="682"/>
      <c r="S537" s="682"/>
      <c r="T537" s="682"/>
      <c r="U537" s="682"/>
      <c r="V537" s="682"/>
      <c r="W537" s="682"/>
      <c r="X537" s="682"/>
      <c r="Y537" s="682"/>
      <c r="Z537" s="682"/>
    </row>
    <row r="538" spans="1:26" ht="18.75">
      <c r="A538" s="574"/>
      <c r="B538" s="575"/>
      <c r="C538" s="763"/>
      <c r="D538" s="763"/>
      <c r="E538" s="763" t="s">
        <v>229</v>
      </c>
      <c r="F538" s="763"/>
      <c r="G538" s="189"/>
      <c r="H538" s="623" t="s">
        <v>35</v>
      </c>
      <c r="I538" s="270">
        <f ca="1">IFERROR(__xludf.DUMMYFUNCTION("IMPORTRANGE(""https://docs.google.com/spreadsheets/d/1QqKyyYR6Q21VydFLVH3TRQUabQu_ym0Zz7PgGX0-kHA/edit?usp=sharing"",""แผน!GV32"")"),30)</f>
        <v>30</v>
      </c>
      <c r="J538" s="215">
        <v>30</v>
      </c>
      <c r="K538" s="498">
        <f t="shared" ca="1" si="234"/>
        <v>100</v>
      </c>
      <c r="L538" s="498"/>
      <c r="M538" s="498"/>
      <c r="N538" s="498"/>
      <c r="O538" s="498"/>
      <c r="P538" s="498"/>
      <c r="Q538" s="682"/>
      <c r="R538" s="682"/>
      <c r="S538" s="682"/>
      <c r="T538" s="682"/>
      <c r="U538" s="682"/>
      <c r="V538" s="682"/>
      <c r="W538" s="682"/>
      <c r="X538" s="682"/>
      <c r="Y538" s="682"/>
      <c r="Z538" s="682"/>
    </row>
    <row r="539" spans="1:26" ht="18.75">
      <c r="A539" s="574"/>
      <c r="B539" s="575"/>
      <c r="C539" s="763"/>
      <c r="D539" s="763"/>
      <c r="E539" s="763" t="s">
        <v>230</v>
      </c>
      <c r="F539" s="763"/>
      <c r="G539" s="189"/>
      <c r="H539" s="623" t="s">
        <v>35</v>
      </c>
      <c r="I539" s="270">
        <f ca="1">IFERROR(__xludf.DUMMYFUNCTION("IMPORTRANGE(""https://docs.google.com/spreadsheets/d/1QqKyyYR6Q21VydFLVH3TRQUabQu_ym0Zz7PgGX0-kHA/edit?usp=sharing"",""แผน!GW32"")"),0)</f>
        <v>0</v>
      </c>
      <c r="J539" s="215"/>
      <c r="K539" s="498">
        <f t="shared" ca="1" si="234"/>
        <v>0</v>
      </c>
      <c r="L539" s="498"/>
      <c r="M539" s="498"/>
      <c r="N539" s="498"/>
      <c r="O539" s="498"/>
      <c r="P539" s="498"/>
      <c r="Q539" s="682"/>
      <c r="R539" s="682"/>
      <c r="S539" s="682"/>
      <c r="T539" s="682"/>
      <c r="U539" s="682"/>
      <c r="V539" s="682"/>
      <c r="W539" s="682"/>
      <c r="X539" s="682"/>
      <c r="Y539" s="682"/>
      <c r="Z539" s="682"/>
    </row>
    <row r="540" spans="1:26" ht="18.75">
      <c r="A540" s="574"/>
      <c r="B540" s="575"/>
      <c r="C540" s="763"/>
      <c r="D540" s="763"/>
      <c r="E540" s="763" t="s">
        <v>231</v>
      </c>
      <c r="F540" s="763"/>
      <c r="G540" s="189"/>
      <c r="H540" s="623" t="s">
        <v>35</v>
      </c>
      <c r="I540" s="270">
        <f ca="1">IFERROR(__xludf.DUMMYFUNCTION("IMPORTRANGE(""https://docs.google.com/spreadsheets/d/1QqKyyYR6Q21VydFLVH3TRQUabQu_ym0Zz7PgGX0-kHA/edit?usp=sharing"",""แผน!GX32"")"),0)</f>
        <v>0</v>
      </c>
      <c r="J540" s="215"/>
      <c r="K540" s="498">
        <f t="shared" ca="1" si="234"/>
        <v>0</v>
      </c>
      <c r="L540" s="498"/>
      <c r="M540" s="498"/>
      <c r="N540" s="498"/>
      <c r="O540" s="498"/>
      <c r="P540" s="498"/>
      <c r="Q540" s="682"/>
      <c r="R540" s="682"/>
      <c r="S540" s="682"/>
      <c r="T540" s="682"/>
      <c r="U540" s="682"/>
      <c r="V540" s="682"/>
      <c r="W540" s="682"/>
      <c r="X540" s="682"/>
      <c r="Y540" s="682"/>
      <c r="Z540" s="682"/>
    </row>
    <row r="541" spans="1:26" ht="18.75">
      <c r="A541" s="574"/>
      <c r="B541" s="575"/>
      <c r="C541" s="763"/>
      <c r="D541" s="763"/>
      <c r="E541" s="769" t="s">
        <v>232</v>
      </c>
      <c r="F541" s="763"/>
      <c r="G541" s="189"/>
      <c r="H541" s="623" t="s">
        <v>35</v>
      </c>
      <c r="I541" s="270">
        <f ca="1">IFERROR(__xludf.DUMMYFUNCTION("IMPORTRANGE(""https://docs.google.com/spreadsheets/d/1QqKyyYR6Q21VydFLVH3TRQUabQu_ym0Zz7PgGX0-kHA/edit?usp=sharing"",""แผน!GY32"")"),30)</f>
        <v>30</v>
      </c>
      <c r="J541" s="215">
        <v>30</v>
      </c>
      <c r="K541" s="498">
        <f t="shared" ca="1" si="234"/>
        <v>100</v>
      </c>
      <c r="L541" s="498"/>
      <c r="M541" s="498"/>
      <c r="N541" s="498"/>
      <c r="O541" s="498"/>
      <c r="P541" s="498"/>
      <c r="Q541" s="682"/>
      <c r="R541" s="682"/>
      <c r="S541" s="682"/>
      <c r="T541" s="682"/>
      <c r="U541" s="682"/>
      <c r="V541" s="682"/>
      <c r="W541" s="682"/>
      <c r="X541" s="682"/>
      <c r="Y541" s="682"/>
      <c r="Z541" s="682"/>
    </row>
    <row r="542" spans="1:26" ht="18.75">
      <c r="A542" s="574"/>
      <c r="B542" s="575"/>
      <c r="C542" s="763"/>
      <c r="D542" s="763" t="s">
        <v>59</v>
      </c>
      <c r="E542" s="763"/>
      <c r="F542" s="763"/>
      <c r="G542" s="189"/>
      <c r="H542" s="623" t="s">
        <v>35</v>
      </c>
      <c r="I542" s="270">
        <f ca="1">IFERROR(__xludf.DUMMYFUNCTION("IMPORTRANGE(""https://docs.google.com/spreadsheets/d/1QqKyyYR6Q21VydFLVH3TRQUabQu_ym0Zz7PgGX0-kHA/edit?usp=sharing"",""แผน!GZ32"")"),30)</f>
        <v>30</v>
      </c>
      <c r="J542" s="215">
        <v>30</v>
      </c>
      <c r="K542" s="498">
        <f t="shared" ca="1" si="234"/>
        <v>100</v>
      </c>
      <c r="L542" s="498"/>
      <c r="M542" s="498"/>
      <c r="N542" s="498"/>
      <c r="O542" s="498"/>
      <c r="P542" s="498"/>
      <c r="Q542" s="682"/>
      <c r="R542" s="682"/>
      <c r="S542" s="682"/>
      <c r="T542" s="682"/>
      <c r="U542" s="682"/>
      <c r="V542" s="682"/>
      <c r="W542" s="682"/>
      <c r="X542" s="682"/>
      <c r="Y542" s="682"/>
      <c r="Z542" s="682"/>
    </row>
    <row r="543" spans="1:26" ht="19.5">
      <c r="A543" s="664">
        <v>6</v>
      </c>
      <c r="B543" s="685" t="s">
        <v>233</v>
      </c>
      <c r="C543" s="667"/>
      <c r="D543" s="667"/>
      <c r="E543" s="667"/>
      <c r="F543" s="667"/>
      <c r="G543" s="668"/>
      <c r="H543" s="686" t="s">
        <v>46</v>
      </c>
      <c r="I543" s="687">
        <f t="shared" ref="I543:J543" ca="1" si="235">I559</f>
        <v>43969.727500000001</v>
      </c>
      <c r="J543" s="687">
        <f t="shared" si="235"/>
        <v>43969.727500000001</v>
      </c>
      <c r="K543" s="688">
        <f t="shared" ca="1" si="234"/>
        <v>100</v>
      </c>
      <c r="L543" s="670"/>
      <c r="M543" s="670"/>
      <c r="N543" s="670"/>
      <c r="O543" s="670"/>
      <c r="P543" s="670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</row>
    <row r="544" spans="1:26" ht="19.5">
      <c r="A544" s="689"/>
      <c r="B544" s="690"/>
      <c r="C544" s="690" t="s">
        <v>16</v>
      </c>
      <c r="D544" s="897" t="s">
        <v>17</v>
      </c>
      <c r="E544" s="862"/>
      <c r="F544" s="862"/>
      <c r="G544" s="691"/>
      <c r="H544" s="275" t="s">
        <v>12</v>
      </c>
      <c r="I544" s="420"/>
      <c r="J544" s="420"/>
      <c r="K544" s="154"/>
      <c r="L544" s="155">
        <f t="shared" ref="L544:N544" ca="1" si="236">L545+L546</f>
        <v>407444</v>
      </c>
      <c r="M544" s="155">
        <f t="shared" ca="1" si="236"/>
        <v>407444</v>
      </c>
      <c r="N544" s="155">
        <f t="shared" si="236"/>
        <v>407444</v>
      </c>
      <c r="O544" s="155">
        <f t="shared" ref="O544:O549" ca="1" si="237">IF(L544&gt;0,N544*100/L544,0)</f>
        <v>100</v>
      </c>
      <c r="P544" s="155">
        <f t="shared" ref="P544:P549" ca="1" si="238">IF(M544&gt;0,N544*100/M544,0)</f>
        <v>100</v>
      </c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</row>
    <row r="545" spans="1:26" ht="18.75" hidden="1">
      <c r="A545" s="599"/>
      <c r="B545" s="759"/>
      <c r="C545" s="759"/>
      <c r="D545" s="759"/>
      <c r="E545" s="759" t="s">
        <v>185</v>
      </c>
      <c r="F545" s="759"/>
      <c r="G545" s="603"/>
      <c r="H545" s="165" t="s">
        <v>12</v>
      </c>
      <c r="I545" s="617"/>
      <c r="J545" s="617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4"/>
      <c r="R545" s="604"/>
      <c r="S545" s="604"/>
      <c r="T545" s="604"/>
      <c r="U545" s="604"/>
      <c r="V545" s="604"/>
      <c r="W545" s="604"/>
      <c r="X545" s="604"/>
      <c r="Y545" s="604"/>
      <c r="Z545" s="604"/>
    </row>
    <row r="546" spans="1:26" ht="18.75" hidden="1">
      <c r="A546" s="599"/>
      <c r="B546" s="607"/>
      <c r="C546" s="759"/>
      <c r="D546" s="759"/>
      <c r="E546" s="759" t="s">
        <v>186</v>
      </c>
      <c r="F546" s="759"/>
      <c r="G546" s="603"/>
      <c r="H546" s="165" t="s">
        <v>12</v>
      </c>
      <c r="I546" s="617"/>
      <c r="J546" s="617"/>
      <c r="K546" s="93"/>
      <c r="L546" s="93">
        <f t="shared" ca="1" si="239"/>
        <v>407444</v>
      </c>
      <c r="M546" s="93">
        <f t="shared" ca="1" si="240"/>
        <v>407444</v>
      </c>
      <c r="N546" s="93">
        <f t="shared" si="240"/>
        <v>407444</v>
      </c>
      <c r="O546" s="93">
        <f t="shared" ca="1" si="237"/>
        <v>100</v>
      </c>
      <c r="P546" s="93">
        <f t="shared" ca="1" si="238"/>
        <v>100</v>
      </c>
      <c r="Q546" s="604"/>
      <c r="R546" s="604"/>
      <c r="S546" s="604"/>
      <c r="T546" s="604"/>
      <c r="U546" s="604"/>
      <c r="V546" s="604"/>
      <c r="W546" s="604"/>
      <c r="X546" s="604"/>
      <c r="Y546" s="604"/>
      <c r="Z546" s="604"/>
    </row>
    <row r="547" spans="1:26" ht="18.75">
      <c r="A547" s="597"/>
      <c r="B547" s="575"/>
      <c r="C547" s="763"/>
      <c r="D547" s="606" t="s">
        <v>20</v>
      </c>
      <c r="E547" s="763"/>
      <c r="F547" s="763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407444</v>
      </c>
      <c r="M547" s="498">
        <f t="shared" ca="1" si="241"/>
        <v>407444</v>
      </c>
      <c r="N547" s="498">
        <f t="shared" si="241"/>
        <v>407444</v>
      </c>
      <c r="O547" s="498">
        <f t="shared" ca="1" si="237"/>
        <v>100</v>
      </c>
      <c r="P547" s="498">
        <f t="shared" ca="1" si="238"/>
        <v>100</v>
      </c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</row>
    <row r="548" spans="1:26" ht="18.75" hidden="1">
      <c r="A548" s="599"/>
      <c r="B548" s="607"/>
      <c r="C548" s="759"/>
      <c r="D548" s="720"/>
      <c r="E548" s="759" t="s">
        <v>185</v>
      </c>
      <c r="F548" s="759"/>
      <c r="G548" s="603"/>
      <c r="H548" s="165" t="s">
        <v>12</v>
      </c>
      <c r="I548" s="617"/>
      <c r="J548" s="617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4"/>
      <c r="R548" s="604"/>
      <c r="S548" s="604"/>
      <c r="T548" s="604"/>
      <c r="U548" s="604"/>
      <c r="V548" s="604"/>
      <c r="W548" s="604"/>
      <c r="X548" s="604"/>
      <c r="Y548" s="604"/>
      <c r="Z548" s="604"/>
    </row>
    <row r="549" spans="1:26" ht="18.75" hidden="1">
      <c r="A549" s="599"/>
      <c r="B549" s="607"/>
      <c r="C549" s="759"/>
      <c r="D549" s="720"/>
      <c r="E549" s="759" t="s">
        <v>186</v>
      </c>
      <c r="F549" s="759"/>
      <c r="G549" s="603"/>
      <c r="H549" s="165" t="s">
        <v>12</v>
      </c>
      <c r="I549" s="617"/>
      <c r="J549" s="617"/>
      <c r="K549" s="93"/>
      <c r="L549" s="93">
        <f ca="1">IFERROR(__xludf.DUMMYFUNCTION("IMPORTRANGE(""https://docs.google.com/spreadsheets/d/1QqKyyYR6Q21VydFLVH3TRQUabQu_ym0Zz7PgGX0-kHA/edit?usp=sharing"",""แผน!HB32"")"),407444)</f>
        <v>407444</v>
      </c>
      <c r="M549" s="93">
        <f ca="1">L549</f>
        <v>407444</v>
      </c>
      <c r="N549" s="93">
        <f>N550+N551+N552+N553+N554</f>
        <v>407444</v>
      </c>
      <c r="O549" s="93">
        <f t="shared" ca="1" si="237"/>
        <v>100</v>
      </c>
      <c r="P549" s="93">
        <f t="shared" ca="1" si="238"/>
        <v>100</v>
      </c>
      <c r="Q549" s="604"/>
      <c r="R549" s="604"/>
      <c r="S549" s="604"/>
      <c r="T549" s="604"/>
      <c r="U549" s="604"/>
      <c r="V549" s="604"/>
      <c r="W549" s="604"/>
      <c r="X549" s="604"/>
      <c r="Y549" s="604"/>
      <c r="Z549" s="604"/>
    </row>
    <row r="550" spans="1:26" ht="18.75">
      <c r="A550" s="574"/>
      <c r="B550" s="575"/>
      <c r="C550" s="763"/>
      <c r="D550" s="763"/>
      <c r="E550" s="763"/>
      <c r="F550" s="763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40">
        <v>0</v>
      </c>
      <c r="O550" s="498"/>
      <c r="P550" s="49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</row>
    <row r="551" spans="1:26" ht="18.75">
      <c r="A551" s="574"/>
      <c r="B551" s="575"/>
      <c r="C551" s="575"/>
      <c r="D551" s="575"/>
      <c r="E551" s="763"/>
      <c r="F551" s="763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40">
        <v>0</v>
      </c>
      <c r="O551" s="498"/>
      <c r="P551" s="49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</row>
    <row r="552" spans="1:26" ht="18.75">
      <c r="A552" s="574"/>
      <c r="B552" s="575"/>
      <c r="C552" s="763"/>
      <c r="D552" s="763"/>
      <c r="E552" s="763"/>
      <c r="F552" s="763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40">
        <v>143000</v>
      </c>
      <c r="O552" s="498"/>
      <c r="P552" s="498"/>
      <c r="Q552" s="578"/>
      <c r="R552" s="578"/>
      <c r="S552" s="578"/>
      <c r="T552" s="578"/>
      <c r="U552" s="578"/>
      <c r="V552" s="578"/>
      <c r="W552" s="578"/>
      <c r="X552" s="578"/>
      <c r="Y552" s="578"/>
      <c r="Z552" s="578"/>
    </row>
    <row r="553" spans="1:26" ht="18.75">
      <c r="A553" s="574"/>
      <c r="B553" s="575"/>
      <c r="C553" s="575"/>
      <c r="D553" s="575"/>
      <c r="E553" s="763"/>
      <c r="F553" s="763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40">
        <v>264444</v>
      </c>
      <c r="O553" s="498"/>
      <c r="P553" s="49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</row>
    <row r="554" spans="1:26" ht="18.75">
      <c r="A554" s="574"/>
      <c r="B554" s="575"/>
      <c r="C554" s="575"/>
      <c r="D554" s="575"/>
      <c r="E554" s="763"/>
      <c r="F554" s="763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40">
        <v>0</v>
      </c>
      <c r="O554" s="498"/>
      <c r="P554" s="49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</row>
    <row r="555" spans="1:26" ht="18.75">
      <c r="A555" s="597"/>
      <c r="B555" s="575"/>
      <c r="C555" s="575"/>
      <c r="D555" s="606" t="s">
        <v>21</v>
      </c>
      <c r="E555" s="763"/>
      <c r="F555" s="763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</row>
    <row r="556" spans="1:26" ht="18.75" hidden="1">
      <c r="A556" s="599"/>
      <c r="B556" s="607"/>
      <c r="C556" s="607"/>
      <c r="D556" s="759"/>
      <c r="E556" s="759" t="s">
        <v>18</v>
      </c>
      <c r="F556" s="759"/>
      <c r="G556" s="603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4"/>
      <c r="R556" s="604"/>
      <c r="S556" s="604"/>
      <c r="T556" s="604"/>
      <c r="U556" s="604"/>
      <c r="V556" s="604"/>
      <c r="W556" s="604"/>
      <c r="X556" s="604"/>
      <c r="Y556" s="604"/>
      <c r="Z556" s="604"/>
    </row>
    <row r="557" spans="1:26" ht="18.75" hidden="1">
      <c r="A557" s="599"/>
      <c r="B557" s="607"/>
      <c r="C557" s="607"/>
      <c r="D557" s="759"/>
      <c r="E557" s="759" t="s">
        <v>19</v>
      </c>
      <c r="F557" s="759"/>
      <c r="G557" s="603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4"/>
      <c r="R557" s="604"/>
      <c r="S557" s="604"/>
      <c r="T557" s="604"/>
      <c r="U557" s="604"/>
      <c r="V557" s="604"/>
      <c r="W557" s="604"/>
      <c r="X557" s="604"/>
      <c r="Y557" s="604"/>
      <c r="Z557" s="604"/>
    </row>
    <row r="558" spans="1:26" ht="19.5">
      <c r="A558" s="608"/>
      <c r="B558" s="618"/>
      <c r="C558" s="575" t="s">
        <v>16</v>
      </c>
      <c r="D558" s="896" t="s">
        <v>38</v>
      </c>
      <c r="E558" s="761"/>
      <c r="F558" s="761"/>
      <c r="G558" s="613"/>
      <c r="H558" s="762"/>
      <c r="I558" s="184"/>
      <c r="J558" s="184"/>
      <c r="K558" s="163"/>
      <c r="L558" s="163"/>
      <c r="M558" s="163"/>
      <c r="N558" s="163"/>
      <c r="O558" s="163"/>
      <c r="P558" s="163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</row>
    <row r="559" spans="1:26" ht="19.5">
      <c r="A559" s="692"/>
      <c r="B559" s="693" t="s">
        <v>235</v>
      </c>
      <c r="C559" s="694"/>
      <c r="D559" s="694"/>
      <c r="E559" s="673"/>
      <c r="F559" s="673"/>
      <c r="G559" s="674"/>
      <c r="H559" s="695" t="s">
        <v>46</v>
      </c>
      <c r="I559" s="708">
        <f t="shared" ref="I559:J559" ca="1" si="245">I576</f>
        <v>43969.727500000001</v>
      </c>
      <c r="J559" s="708">
        <f t="shared" si="245"/>
        <v>43969.727500000001</v>
      </c>
      <c r="K559" s="677">
        <f t="shared" ref="K559:K561" ca="1" si="246">IF(I559&gt;0,J559*100/I559,0)</f>
        <v>100</v>
      </c>
      <c r="L559" s="678"/>
      <c r="M559" s="678"/>
      <c r="N559" s="678"/>
      <c r="O559" s="678"/>
      <c r="P559" s="6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</row>
    <row r="560" spans="1:26" ht="19.5">
      <c r="A560" s="608"/>
      <c r="B560" s="618"/>
      <c r="C560" s="625" t="s">
        <v>236</v>
      </c>
      <c r="D560" s="618"/>
      <c r="E560" s="626"/>
      <c r="F560" s="626"/>
      <c r="G560" s="762"/>
      <c r="H560" s="767" t="s">
        <v>46</v>
      </c>
      <c r="I560" s="193">
        <f ca="1">IFERROR(__xludf.DUMMYFUNCTION("IMPORTRANGE(""https://docs.google.com/spreadsheets/d/1QqKyyYR6Q21VydFLVH3TRQUabQu_ym0Zz7PgGX0-kHA/edit?usp=sharing"",""แผน!HH32"")"),43969.7275)</f>
        <v>43969.727500000001</v>
      </c>
      <c r="J560" s="193">
        <f t="shared" ref="J560:J561" si="247">J562+J564+J566</f>
        <v>43969</v>
      </c>
      <c r="K560" s="411">
        <f t="shared" ca="1" si="246"/>
        <v>99.998345452561651</v>
      </c>
      <c r="L560" s="163"/>
      <c r="M560" s="163"/>
      <c r="N560" s="163"/>
      <c r="O560" s="163"/>
      <c r="P560" s="163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</row>
    <row r="561" spans="1:26" ht="19.5">
      <c r="A561" s="608"/>
      <c r="B561" s="618"/>
      <c r="C561" s="618"/>
      <c r="D561" s="626"/>
      <c r="E561" s="626"/>
      <c r="F561" s="626"/>
      <c r="G561" s="762"/>
      <c r="H561" s="767" t="s">
        <v>34</v>
      </c>
      <c r="I561" s="193">
        <f ca="1">IFERROR(__xludf.DUMMYFUNCTION("IMPORTRANGE(""https://docs.google.com/spreadsheets/d/1QqKyyYR6Q21VydFLVH3TRQUabQu_ym0Zz7PgGX0-kHA/edit?usp=sharing"",""แผน!HG32"")"),4713)</f>
        <v>4713</v>
      </c>
      <c r="J561" s="193">
        <f t="shared" si="247"/>
        <v>4713</v>
      </c>
      <c r="K561" s="411">
        <f t="shared" ca="1" si="246"/>
        <v>100</v>
      </c>
      <c r="L561" s="163"/>
      <c r="M561" s="163"/>
      <c r="N561" s="163"/>
      <c r="O561" s="163"/>
      <c r="P561" s="163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</row>
    <row r="562" spans="1:26" ht="18.75">
      <c r="A562" s="608"/>
      <c r="B562" s="618"/>
      <c r="C562" s="618"/>
      <c r="D562" s="626" t="s">
        <v>237</v>
      </c>
      <c r="E562" s="626"/>
      <c r="F562" s="626"/>
      <c r="G562" s="762"/>
      <c r="H562" s="764" t="s">
        <v>46</v>
      </c>
      <c r="I562" s="184"/>
      <c r="J562" s="215">
        <v>34293</v>
      </c>
      <c r="K562" s="163"/>
      <c r="L562" s="163"/>
      <c r="M562" s="163"/>
      <c r="N562" s="163"/>
      <c r="O562" s="163"/>
      <c r="P562" s="163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</row>
    <row r="563" spans="1:26" ht="18.75">
      <c r="A563" s="608"/>
      <c r="B563" s="618"/>
      <c r="C563" s="618"/>
      <c r="D563" s="618"/>
      <c r="E563" s="626"/>
      <c r="F563" s="626"/>
      <c r="G563" s="762"/>
      <c r="H563" s="764" t="s">
        <v>34</v>
      </c>
      <c r="I563" s="184"/>
      <c r="J563" s="215">
        <v>3886</v>
      </c>
      <c r="K563" s="163"/>
      <c r="L563" s="163"/>
      <c r="M563" s="163"/>
      <c r="N563" s="163"/>
      <c r="O563" s="163"/>
      <c r="P563" s="163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</row>
    <row r="564" spans="1:26" ht="18.75">
      <c r="A564" s="608"/>
      <c r="B564" s="618"/>
      <c r="C564" s="618"/>
      <c r="D564" s="626" t="s">
        <v>238</v>
      </c>
      <c r="E564" s="626"/>
      <c r="F564" s="626"/>
      <c r="G564" s="762"/>
      <c r="H564" s="764" t="s">
        <v>46</v>
      </c>
      <c r="I564" s="184"/>
      <c r="J564" s="215">
        <v>8547</v>
      </c>
      <c r="K564" s="163"/>
      <c r="L564" s="163"/>
      <c r="M564" s="163"/>
      <c r="N564" s="163"/>
      <c r="O564" s="163"/>
      <c r="P564" s="163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</row>
    <row r="565" spans="1:26" ht="18.75">
      <c r="A565" s="608"/>
      <c r="B565" s="618"/>
      <c r="C565" s="618"/>
      <c r="D565" s="626"/>
      <c r="E565" s="626"/>
      <c r="F565" s="626"/>
      <c r="G565" s="762"/>
      <c r="H565" s="764" t="s">
        <v>34</v>
      </c>
      <c r="I565" s="184"/>
      <c r="J565" s="215">
        <v>699</v>
      </c>
      <c r="K565" s="163"/>
      <c r="L565" s="163"/>
      <c r="M565" s="163"/>
      <c r="N565" s="163"/>
      <c r="O565" s="163"/>
      <c r="P565" s="163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</row>
    <row r="566" spans="1:26" ht="18.75">
      <c r="A566" s="608"/>
      <c r="B566" s="618"/>
      <c r="C566" s="618"/>
      <c r="D566" s="626" t="s">
        <v>239</v>
      </c>
      <c r="E566" s="626"/>
      <c r="F566" s="626"/>
      <c r="G566" s="762"/>
      <c r="H566" s="764" t="s">
        <v>46</v>
      </c>
      <c r="I566" s="184"/>
      <c r="J566" s="215">
        <v>1129</v>
      </c>
      <c r="K566" s="163"/>
      <c r="L566" s="163"/>
      <c r="M566" s="163"/>
      <c r="N566" s="163"/>
      <c r="O566" s="163"/>
      <c r="P566" s="163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</row>
    <row r="567" spans="1:26" ht="18.75">
      <c r="A567" s="608"/>
      <c r="B567" s="618"/>
      <c r="C567" s="618"/>
      <c r="D567" s="626"/>
      <c r="E567" s="626"/>
      <c r="F567" s="626"/>
      <c r="G567" s="762"/>
      <c r="H567" s="764" t="s">
        <v>34</v>
      </c>
      <c r="I567" s="184"/>
      <c r="J567" s="215">
        <v>128</v>
      </c>
      <c r="K567" s="163"/>
      <c r="L567" s="163"/>
      <c r="M567" s="163"/>
      <c r="N567" s="163"/>
      <c r="O567" s="163"/>
      <c r="P567" s="163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</row>
    <row r="568" spans="1:26" ht="19.5">
      <c r="A568" s="608"/>
      <c r="B568" s="618"/>
      <c r="C568" s="625" t="s">
        <v>240</v>
      </c>
      <c r="D568" s="626"/>
      <c r="E568" s="626"/>
      <c r="F568" s="626"/>
      <c r="G568" s="762"/>
      <c r="H568" s="767" t="s">
        <v>46</v>
      </c>
      <c r="I568" s="193">
        <f ca="1">IFERROR(__xludf.DUMMYFUNCTION("IMPORTRANGE(""https://docs.google.com/spreadsheets/d/1QqKyyYR6Q21VydFLVH3TRQUabQu_ym0Zz7PgGX0-kHA/edit?usp=sharing"",""แผน!HH32"")"),43969.7275)</f>
        <v>43969.727500000001</v>
      </c>
      <c r="J568" s="681">
        <f t="shared" ref="J568:J569" si="248">J570+J572+J574</f>
        <v>43969</v>
      </c>
      <c r="K568" s="411">
        <f t="shared" ref="K568:K569" ca="1" si="249">IF(I568&gt;0,J568*100/I568,0)</f>
        <v>99.998345452561651</v>
      </c>
      <c r="L568" s="163"/>
      <c r="M568" s="163"/>
      <c r="N568" s="163"/>
      <c r="O568" s="163"/>
      <c r="P568" s="163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</row>
    <row r="569" spans="1:26" ht="19.5">
      <c r="A569" s="608"/>
      <c r="B569" s="618"/>
      <c r="C569" s="618"/>
      <c r="D569" s="618"/>
      <c r="E569" s="626"/>
      <c r="F569" s="626"/>
      <c r="G569" s="762"/>
      <c r="H569" s="767" t="s">
        <v>34</v>
      </c>
      <c r="I569" s="193">
        <f ca="1">IFERROR(__xludf.DUMMYFUNCTION("IMPORTRANGE(""https://docs.google.com/spreadsheets/d/1QqKyyYR6Q21VydFLVH3TRQUabQu_ym0Zz7PgGX0-kHA/edit?usp=sharing"",""แผน!HG32"")"),4713)</f>
        <v>4713</v>
      </c>
      <c r="J569" s="681">
        <f t="shared" si="248"/>
        <v>4713</v>
      </c>
      <c r="K569" s="411">
        <f t="shared" ca="1" si="249"/>
        <v>100</v>
      </c>
      <c r="L569" s="163"/>
      <c r="M569" s="163"/>
      <c r="N569" s="163"/>
      <c r="O569" s="163"/>
      <c r="P569" s="163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</row>
    <row r="570" spans="1:26" ht="18.75">
      <c r="A570" s="608"/>
      <c r="B570" s="618"/>
      <c r="C570" s="618"/>
      <c r="D570" s="626" t="s">
        <v>241</v>
      </c>
      <c r="E570" s="618"/>
      <c r="F570" s="626"/>
      <c r="G570" s="762"/>
      <c r="H570" s="764" t="s">
        <v>46</v>
      </c>
      <c r="I570" s="184"/>
      <c r="J570" s="215">
        <v>35160</v>
      </c>
      <c r="K570" s="163"/>
      <c r="L570" s="163"/>
      <c r="M570" s="163"/>
      <c r="N570" s="163"/>
      <c r="O570" s="163"/>
      <c r="P570" s="163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</row>
    <row r="571" spans="1:26" ht="18.75">
      <c r="A571" s="608"/>
      <c r="B571" s="618"/>
      <c r="C571" s="618"/>
      <c r="D571" s="618"/>
      <c r="E571" s="626"/>
      <c r="F571" s="626"/>
      <c r="G571" s="762"/>
      <c r="H571" s="764" t="s">
        <v>34</v>
      </c>
      <c r="I571" s="184"/>
      <c r="J571" s="215">
        <v>3964</v>
      </c>
      <c r="K571" s="163"/>
      <c r="L571" s="163"/>
      <c r="M571" s="163"/>
      <c r="N571" s="163"/>
      <c r="O571" s="163"/>
      <c r="P571" s="163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</row>
    <row r="572" spans="1:26" ht="18.75">
      <c r="A572" s="608"/>
      <c r="B572" s="618"/>
      <c r="C572" s="618"/>
      <c r="D572" s="626" t="s">
        <v>242</v>
      </c>
      <c r="E572" s="626"/>
      <c r="F572" s="626"/>
      <c r="G572" s="762"/>
      <c r="H572" s="764" t="s">
        <v>46</v>
      </c>
      <c r="I572" s="184"/>
      <c r="J572" s="215">
        <v>7571</v>
      </c>
      <c r="K572" s="163"/>
      <c r="L572" s="163"/>
      <c r="M572" s="163"/>
      <c r="N572" s="163"/>
      <c r="O572" s="163"/>
      <c r="P572" s="163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</row>
    <row r="573" spans="1:26" ht="18.75">
      <c r="A573" s="608"/>
      <c r="B573" s="618"/>
      <c r="C573" s="618"/>
      <c r="D573" s="626"/>
      <c r="E573" s="626"/>
      <c r="F573" s="626"/>
      <c r="G573" s="762"/>
      <c r="H573" s="764" t="s">
        <v>34</v>
      </c>
      <c r="I573" s="184"/>
      <c r="J573" s="215">
        <v>613</v>
      </c>
      <c r="K573" s="163"/>
      <c r="L573" s="163"/>
      <c r="M573" s="163"/>
      <c r="N573" s="163"/>
      <c r="O573" s="163"/>
      <c r="P573" s="163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</row>
    <row r="574" spans="1:26" ht="18.75">
      <c r="A574" s="608"/>
      <c r="B574" s="618"/>
      <c r="C574" s="618"/>
      <c r="D574" s="626" t="s">
        <v>243</v>
      </c>
      <c r="E574" s="626"/>
      <c r="F574" s="626"/>
      <c r="G574" s="762"/>
      <c r="H574" s="764" t="s">
        <v>46</v>
      </c>
      <c r="I574" s="184"/>
      <c r="J574" s="215">
        <v>1238</v>
      </c>
      <c r="K574" s="163"/>
      <c r="L574" s="163"/>
      <c r="M574" s="163"/>
      <c r="N574" s="163"/>
      <c r="O574" s="163"/>
      <c r="P574" s="163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</row>
    <row r="575" spans="1:26" ht="18.75">
      <c r="A575" s="608"/>
      <c r="B575" s="618"/>
      <c r="C575" s="618"/>
      <c r="D575" s="618"/>
      <c r="E575" s="626"/>
      <c r="F575" s="626"/>
      <c r="G575" s="762"/>
      <c r="H575" s="764" t="s">
        <v>34</v>
      </c>
      <c r="I575" s="184"/>
      <c r="J575" s="215">
        <v>136</v>
      </c>
      <c r="K575" s="163"/>
      <c r="L575" s="163"/>
      <c r="M575" s="163"/>
      <c r="N575" s="163"/>
      <c r="O575" s="163"/>
      <c r="P575" s="163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</row>
    <row r="576" spans="1:26" ht="19.5">
      <c r="A576" s="608"/>
      <c r="B576" s="618"/>
      <c r="C576" s="625" t="s">
        <v>244</v>
      </c>
      <c r="D576" s="618"/>
      <c r="E576" s="618"/>
      <c r="F576" s="626"/>
      <c r="G576" s="762"/>
      <c r="H576" s="767" t="s">
        <v>46</v>
      </c>
      <c r="I576" s="193">
        <f ca="1">IFERROR(__xludf.DUMMYFUNCTION("IMPORTRANGE(""https://docs.google.com/spreadsheets/d/1QqKyyYR6Q21VydFLVH3TRQUabQu_ym0Zz7PgGX0-kHA/edit?usp=sharing"",""แผน!HH32"")"),43969.7275)</f>
        <v>43969.727500000001</v>
      </c>
      <c r="J576" s="681">
        <f t="shared" ref="J576:J577" si="250">J578+J580+J582+J588+J590</f>
        <v>43969.727500000001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</row>
    <row r="577" spans="1:26" ht="19.5">
      <c r="A577" s="608"/>
      <c r="B577" s="618"/>
      <c r="C577" s="618"/>
      <c r="D577" s="618"/>
      <c r="E577" s="626"/>
      <c r="F577" s="626"/>
      <c r="G577" s="762"/>
      <c r="H577" s="767" t="s">
        <v>34</v>
      </c>
      <c r="I577" s="193">
        <f ca="1">IFERROR(__xludf.DUMMYFUNCTION("IMPORTRANGE(""https://docs.google.com/spreadsheets/d/1QqKyyYR6Q21VydFLVH3TRQUabQu_ym0Zz7PgGX0-kHA/edit?usp=sharing"",""แผน!HG32"")"),4713)</f>
        <v>4713</v>
      </c>
      <c r="J577" s="681">
        <f t="shared" si="250"/>
        <v>4713</v>
      </c>
      <c r="K577" s="411">
        <f t="shared" ca="1" si="251"/>
        <v>100</v>
      </c>
      <c r="L577" s="163"/>
      <c r="M577" s="163"/>
      <c r="N577" s="163"/>
      <c r="O577" s="163"/>
      <c r="P577" s="163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</row>
    <row r="578" spans="1:26" ht="18.75">
      <c r="A578" s="608"/>
      <c r="B578" s="618"/>
      <c r="C578" s="618"/>
      <c r="D578" s="626" t="s">
        <v>245</v>
      </c>
      <c r="E578" s="626"/>
      <c r="F578" s="626"/>
      <c r="G578" s="762"/>
      <c r="H578" s="764" t="s">
        <v>46</v>
      </c>
      <c r="I578" s="184"/>
      <c r="J578" s="215">
        <v>40001.15</v>
      </c>
      <c r="K578" s="163"/>
      <c r="L578" s="163"/>
      <c r="M578" s="163"/>
      <c r="N578" s="163"/>
      <c r="O578" s="163"/>
      <c r="P578" s="163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</row>
    <row r="579" spans="1:26" ht="18.75">
      <c r="A579" s="608"/>
      <c r="B579" s="618"/>
      <c r="C579" s="618"/>
      <c r="D579" s="618"/>
      <c r="E579" s="626"/>
      <c r="F579" s="626"/>
      <c r="G579" s="762"/>
      <c r="H579" s="764" t="s">
        <v>34</v>
      </c>
      <c r="I579" s="184"/>
      <c r="J579" s="215">
        <v>4338</v>
      </c>
      <c r="K579" s="163"/>
      <c r="L579" s="163"/>
      <c r="M579" s="163"/>
      <c r="N579" s="163"/>
      <c r="O579" s="163"/>
      <c r="P579" s="163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</row>
    <row r="580" spans="1:26" ht="18.75">
      <c r="A580" s="608"/>
      <c r="B580" s="618"/>
      <c r="C580" s="618"/>
      <c r="D580" s="626" t="s">
        <v>246</v>
      </c>
      <c r="E580" s="626"/>
      <c r="F580" s="626"/>
      <c r="G580" s="762"/>
      <c r="H580" s="764" t="s">
        <v>46</v>
      </c>
      <c r="I580" s="184"/>
      <c r="J580" s="215">
        <v>116.75</v>
      </c>
      <c r="K580" s="163"/>
      <c r="L580" s="163"/>
      <c r="M580" s="163"/>
      <c r="N580" s="163"/>
      <c r="O580" s="163"/>
      <c r="P580" s="163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</row>
    <row r="581" spans="1:26" ht="18.75">
      <c r="A581" s="608"/>
      <c r="B581" s="618"/>
      <c r="C581" s="618"/>
      <c r="D581" s="618"/>
      <c r="E581" s="626"/>
      <c r="F581" s="626"/>
      <c r="G581" s="762"/>
      <c r="H581" s="764" t="s">
        <v>34</v>
      </c>
      <c r="I581" s="184"/>
      <c r="J581" s="215">
        <v>14</v>
      </c>
      <c r="K581" s="163"/>
      <c r="L581" s="163"/>
      <c r="M581" s="163"/>
      <c r="N581" s="163"/>
      <c r="O581" s="163"/>
      <c r="P581" s="163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</row>
    <row r="582" spans="1:26" ht="19.5">
      <c r="A582" s="608"/>
      <c r="B582" s="618"/>
      <c r="C582" s="618"/>
      <c r="D582" s="626" t="s">
        <v>247</v>
      </c>
      <c r="E582" s="626"/>
      <c r="F582" s="626"/>
      <c r="G582" s="762"/>
      <c r="H582" s="764" t="s">
        <v>46</v>
      </c>
      <c r="I582" s="184"/>
      <c r="J582" s="681">
        <f t="shared" ref="J582:J583" si="252">J584+J586</f>
        <v>1326.9775</v>
      </c>
      <c r="K582" s="411"/>
      <c r="L582" s="163"/>
      <c r="M582" s="163"/>
      <c r="N582" s="163"/>
      <c r="O582" s="163"/>
      <c r="P582" s="163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</row>
    <row r="583" spans="1:26" ht="19.5">
      <c r="A583" s="608"/>
      <c r="B583" s="618"/>
      <c r="C583" s="618"/>
      <c r="D583" s="618"/>
      <c r="E583" s="626"/>
      <c r="F583" s="626"/>
      <c r="G583" s="762"/>
      <c r="H583" s="764" t="s">
        <v>34</v>
      </c>
      <c r="I583" s="184"/>
      <c r="J583" s="681">
        <f t="shared" si="252"/>
        <v>139</v>
      </c>
      <c r="K583" s="411"/>
      <c r="L583" s="163"/>
      <c r="M583" s="163"/>
      <c r="N583" s="163"/>
      <c r="O583" s="163"/>
      <c r="P583" s="163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</row>
    <row r="584" spans="1:26" ht="18.75">
      <c r="A584" s="608"/>
      <c r="B584" s="618"/>
      <c r="C584" s="618"/>
      <c r="D584" s="618"/>
      <c r="E584" s="626" t="s">
        <v>248</v>
      </c>
      <c r="F584" s="626"/>
      <c r="G584" s="762"/>
      <c r="H584" s="764" t="s">
        <v>46</v>
      </c>
      <c r="I584" s="184"/>
      <c r="J584" s="215">
        <v>1262.58</v>
      </c>
      <c r="K584" s="163"/>
      <c r="L584" s="163"/>
      <c r="M584" s="163"/>
      <c r="N584" s="163"/>
      <c r="O584" s="163"/>
      <c r="P584" s="163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</row>
    <row r="585" spans="1:26" ht="18.75">
      <c r="A585" s="608"/>
      <c r="B585" s="618"/>
      <c r="C585" s="618"/>
      <c r="D585" s="618"/>
      <c r="E585" s="626"/>
      <c r="F585" s="626"/>
      <c r="G585" s="762"/>
      <c r="H585" s="764" t="s">
        <v>34</v>
      </c>
      <c r="I585" s="184"/>
      <c r="J585" s="215">
        <v>134</v>
      </c>
      <c r="K585" s="163"/>
      <c r="L585" s="163"/>
      <c r="M585" s="163"/>
      <c r="N585" s="163"/>
      <c r="O585" s="163"/>
      <c r="P585" s="163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</row>
    <row r="586" spans="1:26" ht="18.75">
      <c r="A586" s="608"/>
      <c r="B586" s="618"/>
      <c r="C586" s="618"/>
      <c r="D586" s="618"/>
      <c r="E586" s="626" t="s">
        <v>249</v>
      </c>
      <c r="F586" s="626"/>
      <c r="G586" s="762"/>
      <c r="H586" s="764" t="s">
        <v>46</v>
      </c>
      <c r="I586" s="184"/>
      <c r="J586" s="215">
        <v>64.397499999999994</v>
      </c>
      <c r="K586" s="163"/>
      <c r="L586" s="163"/>
      <c r="M586" s="163"/>
      <c r="N586" s="163"/>
      <c r="O586" s="163"/>
      <c r="P586" s="163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</row>
    <row r="587" spans="1:26" ht="18.75">
      <c r="A587" s="608"/>
      <c r="B587" s="618"/>
      <c r="C587" s="618"/>
      <c r="D587" s="618"/>
      <c r="E587" s="618"/>
      <c r="F587" s="626"/>
      <c r="G587" s="762"/>
      <c r="H587" s="764" t="s">
        <v>34</v>
      </c>
      <c r="I587" s="184"/>
      <c r="J587" s="215">
        <v>5</v>
      </c>
      <c r="K587" s="163"/>
      <c r="L587" s="163"/>
      <c r="M587" s="163"/>
      <c r="N587" s="163"/>
      <c r="O587" s="163"/>
      <c r="P587" s="163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</row>
    <row r="588" spans="1:26" ht="18.75">
      <c r="A588" s="608"/>
      <c r="B588" s="618"/>
      <c r="C588" s="618"/>
      <c r="D588" s="626" t="s">
        <v>250</v>
      </c>
      <c r="E588" s="626"/>
      <c r="F588" s="626"/>
      <c r="G588" s="762"/>
      <c r="H588" s="764" t="s">
        <v>46</v>
      </c>
      <c r="I588" s="184"/>
      <c r="J588" s="215">
        <v>2524.85</v>
      </c>
      <c r="K588" s="163"/>
      <c r="L588" s="163"/>
      <c r="M588" s="163"/>
      <c r="N588" s="163"/>
      <c r="O588" s="163"/>
      <c r="P588" s="163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</row>
    <row r="589" spans="1:26" ht="18.75">
      <c r="A589" s="608"/>
      <c r="B589" s="618"/>
      <c r="C589" s="618"/>
      <c r="D589" s="618"/>
      <c r="E589" s="618"/>
      <c r="F589" s="626"/>
      <c r="G589" s="762"/>
      <c r="H589" s="764" t="s">
        <v>34</v>
      </c>
      <c r="I589" s="184"/>
      <c r="J589" s="215">
        <v>222</v>
      </c>
      <c r="K589" s="163"/>
      <c r="L589" s="163"/>
      <c r="M589" s="163"/>
      <c r="N589" s="163"/>
      <c r="O589" s="163"/>
      <c r="P589" s="163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</row>
    <row r="590" spans="1:26" ht="18.75">
      <c r="A590" s="608"/>
      <c r="B590" s="618"/>
      <c r="C590" s="618"/>
      <c r="D590" s="626" t="s">
        <v>251</v>
      </c>
      <c r="E590" s="626"/>
      <c r="F590" s="626"/>
      <c r="G590" s="762"/>
      <c r="H590" s="76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</row>
    <row r="591" spans="1:26" ht="18.75">
      <c r="A591" s="696"/>
      <c r="B591" s="697"/>
      <c r="C591" s="697"/>
      <c r="D591" s="697"/>
      <c r="E591" s="578"/>
      <c r="F591" s="578"/>
      <c r="G591" s="698"/>
      <c r="H591" s="699" t="s">
        <v>34</v>
      </c>
      <c r="I591" s="700"/>
      <c r="J591" s="701">
        <v>0</v>
      </c>
      <c r="K591" s="702"/>
      <c r="L591" s="702"/>
      <c r="M591" s="702"/>
      <c r="N591" s="702"/>
      <c r="O591" s="702"/>
      <c r="P591" s="702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</row>
    <row r="592" spans="1:26" ht="19.5">
      <c r="A592" s="692"/>
      <c r="B592" s="693" t="s">
        <v>252</v>
      </c>
      <c r="C592" s="694"/>
      <c r="D592" s="694"/>
      <c r="E592" s="673"/>
      <c r="F592" s="673"/>
      <c r="G592" s="674"/>
      <c r="H592" s="695" t="s">
        <v>46</v>
      </c>
      <c r="I592" s="703">
        <f t="shared" ref="I592:J592" ca="1" si="253">I593</f>
        <v>1340.38</v>
      </c>
      <c r="J592" s="708">
        <f t="shared" si="253"/>
        <v>1340.3775000000001</v>
      </c>
      <c r="K592" s="677">
        <f t="shared" ref="K592:K594" ca="1" si="254">IF(I592&gt;0,J592*100/I592,0)</f>
        <v>99.999813485727927</v>
      </c>
      <c r="L592" s="678"/>
      <c r="M592" s="678"/>
      <c r="N592" s="678"/>
      <c r="O592" s="678"/>
      <c r="P592" s="6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</row>
    <row r="593" spans="1:26" ht="19.5">
      <c r="A593" s="608"/>
      <c r="B593" s="618"/>
      <c r="C593" s="625" t="s">
        <v>253</v>
      </c>
      <c r="D593" s="618"/>
      <c r="E593" s="618"/>
      <c r="F593" s="626"/>
      <c r="G593" s="762"/>
      <c r="H593" s="767" t="s">
        <v>46</v>
      </c>
      <c r="I593" s="704">
        <f ca="1">IFERROR(__xludf.DUMMYFUNCTION("IMPORTRANGE(""https://docs.google.com/spreadsheets/d/1QqKyyYR6Q21VydFLVH3TRQUabQu_ym0Zz7PgGX0-kHA/edit?usp=sharing"",""แผน!HJ32"")"),1340.38)</f>
        <v>1340.38</v>
      </c>
      <c r="J593" s="193">
        <f t="shared" ref="J593:J594" si="255">J595+J603+J609</f>
        <v>1340.3775000000001</v>
      </c>
      <c r="K593" s="411">
        <f t="shared" ca="1" si="254"/>
        <v>99.999813485727927</v>
      </c>
      <c r="L593" s="163"/>
      <c r="M593" s="163"/>
      <c r="N593" s="163"/>
      <c r="O593" s="163"/>
      <c r="P593" s="163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</row>
    <row r="594" spans="1:26" ht="19.5">
      <c r="A594" s="608"/>
      <c r="B594" s="618"/>
      <c r="C594" s="618"/>
      <c r="D594" s="618"/>
      <c r="E594" s="626"/>
      <c r="F594" s="626"/>
      <c r="G594" s="762"/>
      <c r="H594" s="767" t="s">
        <v>34</v>
      </c>
      <c r="I594" s="193">
        <f ca="1">IFERROR(__xludf.DUMMYFUNCTION("IMPORTRANGE(""https://docs.google.com/spreadsheets/d/1QqKyyYR6Q21VydFLVH3TRQUabQu_ym0Zz7PgGX0-kHA/edit?usp=sharing"",""แผน!HI32"")"),137)</f>
        <v>137</v>
      </c>
      <c r="J594" s="193">
        <f t="shared" si="255"/>
        <v>137</v>
      </c>
      <c r="K594" s="411">
        <f t="shared" ca="1" si="254"/>
        <v>100</v>
      </c>
      <c r="L594" s="163"/>
      <c r="M594" s="163"/>
      <c r="N594" s="163"/>
      <c r="O594" s="163"/>
      <c r="P594" s="163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</row>
    <row r="595" spans="1:26" ht="18.75">
      <c r="A595" s="608"/>
      <c r="B595" s="618"/>
      <c r="C595" s="618" t="s">
        <v>254</v>
      </c>
      <c r="D595" s="618"/>
      <c r="E595" s="618"/>
      <c r="F595" s="626"/>
      <c r="G595" s="762"/>
      <c r="H595" s="764" t="s">
        <v>46</v>
      </c>
      <c r="I595" s="184"/>
      <c r="J595" s="184">
        <f t="shared" ref="J595:J596" si="256">J597+J599</f>
        <v>1209.4075</v>
      </c>
      <c r="K595" s="163"/>
      <c r="L595" s="163"/>
      <c r="M595" s="163"/>
      <c r="N595" s="163"/>
      <c r="O595" s="163"/>
      <c r="P595" s="163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</row>
    <row r="596" spans="1:26" ht="18.75">
      <c r="A596" s="608"/>
      <c r="B596" s="618"/>
      <c r="C596" s="618"/>
      <c r="D596" s="618"/>
      <c r="E596" s="626"/>
      <c r="F596" s="626"/>
      <c r="G596" s="762"/>
      <c r="H596" s="764" t="s">
        <v>34</v>
      </c>
      <c r="I596" s="184"/>
      <c r="J596" s="184">
        <f t="shared" si="256"/>
        <v>125</v>
      </c>
      <c r="K596" s="163"/>
      <c r="L596" s="163"/>
      <c r="M596" s="163"/>
      <c r="N596" s="163"/>
      <c r="O596" s="163"/>
      <c r="P596" s="163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</row>
    <row r="597" spans="1:26" ht="18.75">
      <c r="A597" s="608"/>
      <c r="B597" s="618"/>
      <c r="C597" s="618"/>
      <c r="D597" s="746" t="s">
        <v>255</v>
      </c>
      <c r="E597" s="626"/>
      <c r="F597" s="626"/>
      <c r="G597" s="762"/>
      <c r="H597" s="764" t="s">
        <v>46</v>
      </c>
      <c r="I597" s="184"/>
      <c r="J597" s="215">
        <v>509.89</v>
      </c>
      <c r="K597" s="163"/>
      <c r="L597" s="163"/>
      <c r="M597" s="163"/>
      <c r="N597" s="163"/>
      <c r="O597" s="163"/>
      <c r="P597" s="163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</row>
    <row r="598" spans="1:26" ht="18.75">
      <c r="A598" s="608"/>
      <c r="B598" s="618"/>
      <c r="C598" s="618"/>
      <c r="D598" s="618"/>
      <c r="E598" s="626"/>
      <c r="F598" s="626"/>
      <c r="G598" s="762"/>
      <c r="H598" s="764" t="s">
        <v>34</v>
      </c>
      <c r="I598" s="270"/>
      <c r="J598" s="215">
        <v>51</v>
      </c>
      <c r="K598" s="163"/>
      <c r="L598" s="163"/>
      <c r="M598" s="163"/>
      <c r="N598" s="163"/>
      <c r="O598" s="163"/>
      <c r="P598" s="163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</row>
    <row r="599" spans="1:26" ht="18.75">
      <c r="A599" s="608"/>
      <c r="B599" s="618"/>
      <c r="C599" s="618"/>
      <c r="D599" s="746" t="s">
        <v>256</v>
      </c>
      <c r="E599" s="626"/>
      <c r="F599" s="626"/>
      <c r="G599" s="762"/>
      <c r="H599" s="764" t="s">
        <v>46</v>
      </c>
      <c r="I599" s="270"/>
      <c r="J599" s="215">
        <v>699.51750000000004</v>
      </c>
      <c r="K599" s="163"/>
      <c r="L599" s="163"/>
      <c r="M599" s="163"/>
      <c r="N599" s="163"/>
      <c r="O599" s="163"/>
      <c r="P599" s="163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</row>
    <row r="600" spans="1:26" ht="18.75">
      <c r="A600" s="608"/>
      <c r="B600" s="618"/>
      <c r="C600" s="618"/>
      <c r="D600" s="618"/>
      <c r="E600" s="626"/>
      <c r="F600" s="626"/>
      <c r="G600" s="762"/>
      <c r="H600" s="764" t="s">
        <v>34</v>
      </c>
      <c r="I600" s="270"/>
      <c r="J600" s="215">
        <v>74</v>
      </c>
      <c r="K600" s="163"/>
      <c r="L600" s="163"/>
      <c r="M600" s="163"/>
      <c r="N600" s="163"/>
      <c r="O600" s="163"/>
      <c r="P600" s="163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</row>
    <row r="601" spans="1:26" ht="18.75">
      <c r="A601" s="608"/>
      <c r="B601" s="618"/>
      <c r="C601" s="618"/>
      <c r="D601" s="746" t="s">
        <v>257</v>
      </c>
      <c r="E601" s="626"/>
      <c r="F601" s="626"/>
      <c r="G601" s="762"/>
      <c r="H601" s="76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</row>
    <row r="602" spans="1:26" ht="18.75">
      <c r="A602" s="608"/>
      <c r="B602" s="618"/>
      <c r="C602" s="618"/>
      <c r="D602" s="618"/>
      <c r="E602" s="626"/>
      <c r="F602" s="626"/>
      <c r="G602" s="762"/>
      <c r="H602" s="76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</row>
    <row r="603" spans="1:26" ht="18.75">
      <c r="A603" s="608"/>
      <c r="B603" s="618"/>
      <c r="C603" s="705" t="s">
        <v>258</v>
      </c>
      <c r="D603" s="618"/>
      <c r="E603" s="618"/>
      <c r="F603" s="626"/>
      <c r="G603" s="762"/>
      <c r="H603" s="764" t="s">
        <v>46</v>
      </c>
      <c r="I603" s="270"/>
      <c r="J603" s="270">
        <f t="shared" ref="J603:J604" si="257">J605+J607</f>
        <v>118.81</v>
      </c>
      <c r="K603" s="163"/>
      <c r="L603" s="163"/>
      <c r="M603" s="163"/>
      <c r="N603" s="163"/>
      <c r="O603" s="163"/>
      <c r="P603" s="163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</row>
    <row r="604" spans="1:26" ht="18.75">
      <c r="A604" s="608"/>
      <c r="B604" s="618"/>
      <c r="C604" s="618"/>
      <c r="D604" s="618"/>
      <c r="E604" s="626"/>
      <c r="F604" s="626"/>
      <c r="G604" s="762"/>
      <c r="H604" s="764" t="s">
        <v>34</v>
      </c>
      <c r="I604" s="270"/>
      <c r="J604" s="270">
        <f t="shared" si="257"/>
        <v>11</v>
      </c>
      <c r="K604" s="163"/>
      <c r="L604" s="163"/>
      <c r="M604" s="163"/>
      <c r="N604" s="163"/>
      <c r="O604" s="163"/>
      <c r="P604" s="163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</row>
    <row r="605" spans="1:26" ht="18.75">
      <c r="A605" s="608"/>
      <c r="B605" s="618"/>
      <c r="C605" s="618"/>
      <c r="D605" s="705" t="s">
        <v>259</v>
      </c>
      <c r="E605" s="626"/>
      <c r="F605" s="626"/>
      <c r="G605" s="762"/>
      <c r="H605" s="764" t="s">
        <v>46</v>
      </c>
      <c r="I605" s="270"/>
      <c r="J605" s="215">
        <v>3.9525000000000001</v>
      </c>
      <c r="K605" s="163"/>
      <c r="L605" s="163"/>
      <c r="M605" s="163"/>
      <c r="N605" s="163"/>
      <c r="O605" s="163"/>
      <c r="P605" s="163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</row>
    <row r="606" spans="1:26" ht="18.75">
      <c r="A606" s="608"/>
      <c r="B606" s="618"/>
      <c r="C606" s="618"/>
      <c r="D606" s="618"/>
      <c r="E606" s="618"/>
      <c r="F606" s="626"/>
      <c r="G606" s="762"/>
      <c r="H606" s="764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</row>
    <row r="607" spans="1:26" ht="18.75">
      <c r="A607" s="608"/>
      <c r="B607" s="618"/>
      <c r="C607" s="618"/>
      <c r="D607" s="705" t="s">
        <v>260</v>
      </c>
      <c r="E607" s="618"/>
      <c r="F607" s="626"/>
      <c r="G607" s="762"/>
      <c r="H607" s="764" t="s">
        <v>46</v>
      </c>
      <c r="I607" s="270"/>
      <c r="J607" s="215">
        <v>114.8575</v>
      </c>
      <c r="K607" s="163"/>
      <c r="L607" s="163"/>
      <c r="M607" s="163"/>
      <c r="N607" s="163"/>
      <c r="O607" s="163"/>
      <c r="P607" s="163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</row>
    <row r="608" spans="1:26" ht="18.75">
      <c r="A608" s="608"/>
      <c r="B608" s="618"/>
      <c r="C608" s="618"/>
      <c r="D608" s="618"/>
      <c r="E608" s="626"/>
      <c r="F608" s="626"/>
      <c r="G608" s="762"/>
      <c r="H608" s="764" t="s">
        <v>34</v>
      </c>
      <c r="I608" s="270"/>
      <c r="J608" s="215">
        <v>10</v>
      </c>
      <c r="K608" s="163"/>
      <c r="L608" s="163"/>
      <c r="M608" s="163"/>
      <c r="N608" s="163"/>
      <c r="O608" s="163"/>
      <c r="P608" s="163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</row>
    <row r="609" spans="1:26" ht="18.75">
      <c r="A609" s="608"/>
      <c r="B609" s="618"/>
      <c r="C609" s="618" t="s">
        <v>261</v>
      </c>
      <c r="D609" s="618"/>
      <c r="E609" s="618"/>
      <c r="F609" s="626"/>
      <c r="G609" s="762"/>
      <c r="H609" s="764" t="s">
        <v>46</v>
      </c>
      <c r="I609" s="270"/>
      <c r="J609" s="215">
        <v>12.16</v>
      </c>
      <c r="K609" s="163"/>
      <c r="L609" s="163"/>
      <c r="M609" s="163"/>
      <c r="N609" s="163"/>
      <c r="O609" s="163"/>
      <c r="P609" s="163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</row>
    <row r="610" spans="1:26" ht="18.75">
      <c r="A610" s="608"/>
      <c r="B610" s="618"/>
      <c r="C610" s="618"/>
      <c r="D610" s="618"/>
      <c r="E610" s="626"/>
      <c r="F610" s="626"/>
      <c r="G610" s="762"/>
      <c r="H610" s="764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</row>
    <row r="611" spans="1:26" ht="19.5">
      <c r="A611" s="692"/>
      <c r="B611" s="706" t="s">
        <v>262</v>
      </c>
      <c r="C611" s="694"/>
      <c r="D611" s="694"/>
      <c r="E611" s="673"/>
      <c r="F611" s="673"/>
      <c r="G611" s="674"/>
      <c r="H611" s="707" t="s">
        <v>46</v>
      </c>
      <c r="I611" s="708">
        <v>0</v>
      </c>
      <c r="J611" s="708">
        <f>J614+J616</f>
        <v>0</v>
      </c>
      <c r="K611" s="677">
        <f t="shared" ref="K611:K613" si="258">IF(I611&gt;0,J611*100/I611,0)</f>
        <v>0</v>
      </c>
      <c r="L611" s="678"/>
      <c r="M611" s="678"/>
      <c r="N611" s="678"/>
      <c r="O611" s="678"/>
      <c r="P611" s="6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</row>
    <row r="612" spans="1:26" ht="19.5" hidden="1">
      <c r="A612" s="709"/>
      <c r="B612" s="719"/>
      <c r="C612" s="711" t="s">
        <v>263</v>
      </c>
      <c r="D612" s="719"/>
      <c r="E612" s="719"/>
      <c r="F612" s="712"/>
      <c r="G612" s="713"/>
      <c r="H612" s="714" t="s">
        <v>46</v>
      </c>
      <c r="I612" s="716">
        <v>0</v>
      </c>
      <c r="J612" s="716">
        <f t="shared" ref="J612:J613" si="259">J614+J616</f>
        <v>0</v>
      </c>
      <c r="K612" s="717">
        <f t="shared" si="258"/>
        <v>0</v>
      </c>
      <c r="L612" s="718"/>
      <c r="M612" s="718"/>
      <c r="N612" s="718"/>
      <c r="O612" s="718"/>
      <c r="P612" s="718"/>
      <c r="Q612" s="604"/>
      <c r="R612" s="604"/>
      <c r="S612" s="604"/>
      <c r="T612" s="604"/>
      <c r="U612" s="604"/>
      <c r="V612" s="604"/>
      <c r="W612" s="604"/>
      <c r="X612" s="604"/>
      <c r="Y612" s="604"/>
      <c r="Z612" s="604"/>
    </row>
    <row r="613" spans="1:26" ht="19.5" hidden="1">
      <c r="A613" s="709"/>
      <c r="B613" s="719"/>
      <c r="C613" s="719" t="s">
        <v>264</v>
      </c>
      <c r="D613" s="719"/>
      <c r="E613" s="719"/>
      <c r="F613" s="712"/>
      <c r="G613" s="713"/>
      <c r="H613" s="714" t="s">
        <v>34</v>
      </c>
      <c r="I613" s="716">
        <v>0</v>
      </c>
      <c r="J613" s="716">
        <f t="shared" si="259"/>
        <v>0</v>
      </c>
      <c r="K613" s="717">
        <f t="shared" si="258"/>
        <v>0</v>
      </c>
      <c r="L613" s="718"/>
      <c r="M613" s="718"/>
      <c r="N613" s="718"/>
      <c r="O613" s="718"/>
      <c r="P613" s="718"/>
      <c r="Q613" s="604"/>
      <c r="R613" s="604"/>
      <c r="S613" s="604"/>
      <c r="T613" s="604"/>
      <c r="U613" s="604"/>
      <c r="V613" s="604"/>
      <c r="W613" s="604"/>
      <c r="X613" s="604"/>
      <c r="Y613" s="604"/>
      <c r="Z613" s="604"/>
    </row>
    <row r="614" spans="1:26" ht="18.75" hidden="1">
      <c r="A614" s="614"/>
      <c r="B614" s="616"/>
      <c r="C614" s="616"/>
      <c r="D614" s="720" t="s">
        <v>265</v>
      </c>
      <c r="E614" s="616"/>
      <c r="F614" s="720"/>
      <c r="G614" s="366"/>
      <c r="H614" s="370" t="s">
        <v>46</v>
      </c>
      <c r="I614" s="617"/>
      <c r="J614" s="617">
        <v>0</v>
      </c>
      <c r="K614" s="167"/>
      <c r="L614" s="167"/>
      <c r="M614" s="167"/>
      <c r="N614" s="167"/>
      <c r="O614" s="167"/>
      <c r="P614" s="167"/>
      <c r="Q614" s="604"/>
      <c r="R614" s="604"/>
      <c r="S614" s="604"/>
      <c r="T614" s="604"/>
      <c r="U614" s="604"/>
      <c r="V614" s="604"/>
      <c r="W614" s="604"/>
      <c r="X614" s="604"/>
      <c r="Y614" s="604"/>
      <c r="Z614" s="604"/>
    </row>
    <row r="615" spans="1:26" ht="18.75" hidden="1">
      <c r="A615" s="614"/>
      <c r="B615" s="616"/>
      <c r="C615" s="616"/>
      <c r="D615" s="616"/>
      <c r="E615" s="616"/>
      <c r="F615" s="720"/>
      <c r="G615" s="366"/>
      <c r="H615" s="370" t="s">
        <v>34</v>
      </c>
      <c r="I615" s="617"/>
      <c r="J615" s="617">
        <v>0</v>
      </c>
      <c r="K615" s="167"/>
      <c r="L615" s="167"/>
      <c r="M615" s="167"/>
      <c r="N615" s="167"/>
      <c r="O615" s="167"/>
      <c r="P615" s="167"/>
      <c r="Q615" s="604"/>
      <c r="R615" s="604"/>
      <c r="S615" s="604"/>
      <c r="T615" s="604"/>
      <c r="U615" s="604"/>
      <c r="V615" s="604"/>
      <c r="W615" s="604"/>
      <c r="X615" s="604"/>
      <c r="Y615" s="604"/>
      <c r="Z615" s="604"/>
    </row>
    <row r="616" spans="1:26" ht="18.75" hidden="1">
      <c r="A616" s="614"/>
      <c r="B616" s="616"/>
      <c r="C616" s="616"/>
      <c r="D616" s="721" t="s">
        <v>265</v>
      </c>
      <c r="E616" s="720"/>
      <c r="F616" s="720"/>
      <c r="G616" s="366"/>
      <c r="H616" s="370" t="s">
        <v>46</v>
      </c>
      <c r="I616" s="617"/>
      <c r="J616" s="617">
        <v>0</v>
      </c>
      <c r="K616" s="167"/>
      <c r="L616" s="167"/>
      <c r="M616" s="167"/>
      <c r="N616" s="167"/>
      <c r="O616" s="167"/>
      <c r="P616" s="167"/>
      <c r="Q616" s="604"/>
      <c r="R616" s="604"/>
      <c r="S616" s="604"/>
      <c r="T616" s="604"/>
      <c r="U616" s="604"/>
      <c r="V616" s="604"/>
      <c r="W616" s="604"/>
      <c r="X616" s="604"/>
      <c r="Y616" s="604"/>
      <c r="Z616" s="604"/>
    </row>
    <row r="617" spans="1:26" ht="18.75" hidden="1">
      <c r="A617" s="614"/>
      <c r="B617" s="616"/>
      <c r="C617" s="616"/>
      <c r="D617" s="616"/>
      <c r="E617" s="720"/>
      <c r="F617" s="720"/>
      <c r="G617" s="366"/>
      <c r="H617" s="370" t="s">
        <v>34</v>
      </c>
      <c r="I617" s="617"/>
      <c r="J617" s="617">
        <v>0</v>
      </c>
      <c r="K617" s="167"/>
      <c r="L617" s="167"/>
      <c r="M617" s="167"/>
      <c r="N617" s="167"/>
      <c r="O617" s="167"/>
      <c r="P617" s="167"/>
      <c r="Q617" s="604"/>
      <c r="R617" s="604"/>
      <c r="S617" s="604"/>
      <c r="T617" s="604"/>
      <c r="U617" s="604"/>
      <c r="V617" s="604"/>
      <c r="W617" s="604"/>
      <c r="X617" s="604"/>
      <c r="Y617" s="604"/>
      <c r="Z617" s="604"/>
    </row>
    <row r="618" spans="1:26" ht="18.75" hidden="1">
      <c r="A618" s="614"/>
      <c r="B618" s="616"/>
      <c r="C618" s="616"/>
      <c r="D618" s="721" t="s">
        <v>266</v>
      </c>
      <c r="E618" s="720"/>
      <c r="F618" s="720"/>
      <c r="G618" s="366"/>
      <c r="H618" s="370" t="s">
        <v>46</v>
      </c>
      <c r="I618" s="617"/>
      <c r="J618" s="617">
        <v>0</v>
      </c>
      <c r="K618" s="167"/>
      <c r="L618" s="167"/>
      <c r="M618" s="167"/>
      <c r="N618" s="167"/>
      <c r="O618" s="167"/>
      <c r="P618" s="167"/>
      <c r="Q618" s="604"/>
      <c r="R618" s="604"/>
      <c r="S618" s="604"/>
      <c r="T618" s="604"/>
      <c r="U618" s="604"/>
      <c r="V618" s="604"/>
      <c r="W618" s="604"/>
      <c r="X618" s="604"/>
      <c r="Y618" s="604"/>
      <c r="Z618" s="604"/>
    </row>
    <row r="619" spans="1:26" ht="18.75" hidden="1">
      <c r="A619" s="614"/>
      <c r="B619" s="616"/>
      <c r="C619" s="616"/>
      <c r="D619" s="616"/>
      <c r="E619" s="720"/>
      <c r="F619" s="720"/>
      <c r="G619" s="366"/>
      <c r="H619" s="370" t="s">
        <v>34</v>
      </c>
      <c r="I619" s="617"/>
      <c r="J619" s="617">
        <v>0</v>
      </c>
      <c r="K619" s="167"/>
      <c r="L619" s="167"/>
      <c r="M619" s="167"/>
      <c r="N619" s="167"/>
      <c r="O619" s="167"/>
      <c r="P619" s="167"/>
      <c r="Q619" s="604"/>
      <c r="R619" s="604"/>
      <c r="S619" s="604"/>
      <c r="T619" s="604"/>
      <c r="U619" s="604"/>
      <c r="V619" s="604"/>
      <c r="W619" s="604"/>
      <c r="X619" s="604"/>
      <c r="Y619" s="604"/>
      <c r="Z619" s="604"/>
    </row>
    <row r="620" spans="1:26" ht="19.5">
      <c r="A620" s="722"/>
      <c r="B620" s="731"/>
      <c r="C620" s="724" t="s">
        <v>267</v>
      </c>
      <c r="D620" s="731"/>
      <c r="E620" s="731"/>
      <c r="F620" s="725"/>
      <c r="G620" s="726"/>
      <c r="H620" s="727" t="s">
        <v>46</v>
      </c>
      <c r="I620" s="728">
        <f ca="1">IFERROR(__xludf.DUMMYFUNCTION("IMPORTRANGE(""https://docs.google.com/spreadsheets/d/1QqKyyYR6Q21VydFLVH3TRQUabQu_ym0Zz7PgGX0-kHA/edit?usp=sharing"",""แผน!HL32"")"),4)</f>
        <v>4</v>
      </c>
      <c r="J620" s="728">
        <f t="shared" ref="J620:J621" si="260">J622+J624+J626</f>
        <v>4</v>
      </c>
      <c r="K620" s="729">
        <f t="shared" ref="K620:K621" ca="1" si="261">IF(I620&gt;0,J620*100/I620,0)</f>
        <v>100</v>
      </c>
      <c r="L620" s="730"/>
      <c r="M620" s="730"/>
      <c r="N620" s="730"/>
      <c r="O620" s="730"/>
      <c r="P620" s="730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</row>
    <row r="621" spans="1:26" ht="19.5">
      <c r="A621" s="722"/>
      <c r="B621" s="731"/>
      <c r="C621" s="731" t="s">
        <v>268</v>
      </c>
      <c r="D621" s="731"/>
      <c r="E621" s="731"/>
      <c r="F621" s="725"/>
      <c r="G621" s="726"/>
      <c r="H621" s="727" t="s">
        <v>34</v>
      </c>
      <c r="I621" s="728">
        <f ca="1">IFERROR(__xludf.DUMMYFUNCTION("IMPORTRANGE(""https://docs.google.com/spreadsheets/d/1QqKyyYR6Q21VydFLVH3TRQUabQu_ym0Zz7PgGX0-kHA/edit?usp=sharing"",""แผน!HK32"")"),3)</f>
        <v>3</v>
      </c>
      <c r="J621" s="728">
        <f t="shared" si="260"/>
        <v>3</v>
      </c>
      <c r="K621" s="729">
        <f t="shared" ca="1" si="261"/>
        <v>100</v>
      </c>
      <c r="L621" s="730"/>
      <c r="M621" s="730"/>
      <c r="N621" s="730"/>
      <c r="O621" s="730"/>
      <c r="P621" s="730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</row>
    <row r="622" spans="1:26" ht="18.75">
      <c r="A622" s="608"/>
      <c r="B622" s="618"/>
      <c r="C622" s="618"/>
      <c r="D622" s="746" t="s">
        <v>269</v>
      </c>
      <c r="E622" s="626"/>
      <c r="F622" s="626"/>
      <c r="G622" s="762"/>
      <c r="H622" s="764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</row>
    <row r="623" spans="1:26" ht="18.75">
      <c r="A623" s="608"/>
      <c r="B623" s="618"/>
      <c r="C623" s="618"/>
      <c r="D623" s="618"/>
      <c r="E623" s="626"/>
      <c r="F623" s="626"/>
      <c r="G623" s="762"/>
      <c r="H623" s="764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</row>
    <row r="624" spans="1:26" ht="18.75">
      <c r="A624" s="608"/>
      <c r="B624" s="618"/>
      <c r="C624" s="618"/>
      <c r="D624" s="746" t="s">
        <v>265</v>
      </c>
      <c r="E624" s="626"/>
      <c r="F624" s="626"/>
      <c r="G624" s="762"/>
      <c r="H624" s="764" t="s">
        <v>46</v>
      </c>
      <c r="I624" s="270"/>
      <c r="J624" s="215">
        <v>4</v>
      </c>
      <c r="K624" s="163"/>
      <c r="L624" s="163"/>
      <c r="M624" s="163"/>
      <c r="N624" s="163"/>
      <c r="O624" s="163"/>
      <c r="P624" s="163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</row>
    <row r="625" spans="1:26" ht="18.75">
      <c r="A625" s="608"/>
      <c r="B625" s="618"/>
      <c r="C625" s="618"/>
      <c r="D625" s="618"/>
      <c r="E625" s="626"/>
      <c r="F625" s="626"/>
      <c r="G625" s="762"/>
      <c r="H625" s="764" t="s">
        <v>34</v>
      </c>
      <c r="I625" s="270"/>
      <c r="J625" s="215">
        <v>3</v>
      </c>
      <c r="K625" s="163"/>
      <c r="L625" s="163"/>
      <c r="M625" s="163"/>
      <c r="N625" s="163"/>
      <c r="O625" s="163"/>
      <c r="P625" s="163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</row>
    <row r="626" spans="1:26" ht="18.75">
      <c r="A626" s="608"/>
      <c r="B626" s="618"/>
      <c r="C626" s="618"/>
      <c r="D626" s="746" t="s">
        <v>270</v>
      </c>
      <c r="E626" s="626"/>
      <c r="F626" s="626"/>
      <c r="G626" s="762"/>
      <c r="H626" s="76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</row>
    <row r="627" spans="1:26" ht="18.75">
      <c r="A627" s="732"/>
      <c r="B627" s="733"/>
      <c r="C627" s="733"/>
      <c r="D627" s="733"/>
      <c r="E627" s="734"/>
      <c r="F627" s="734"/>
      <c r="G627" s="735"/>
      <c r="H627" s="422" t="s">
        <v>34</v>
      </c>
      <c r="I627" s="506"/>
      <c r="J627" s="424">
        <v>0</v>
      </c>
      <c r="K627" s="385"/>
      <c r="L627" s="385"/>
      <c r="M627" s="385"/>
      <c r="N627" s="385"/>
      <c r="O627" s="385"/>
      <c r="P627" s="385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</row>
    <row r="628" spans="1:26" ht="19.5">
      <c r="A628" s="736">
        <v>7</v>
      </c>
      <c r="B628" s="737" t="s">
        <v>271</v>
      </c>
      <c r="C628" s="738"/>
      <c r="D628" s="738"/>
      <c r="E628" s="738"/>
      <c r="F628" s="738"/>
      <c r="G628" s="739"/>
      <c r="H628" s="740" t="s">
        <v>35</v>
      </c>
      <c r="I628" s="741">
        <f t="shared" ref="I628:J628" ca="1" si="262">I651</f>
        <v>100</v>
      </c>
      <c r="J628" s="741">
        <f t="shared" ca="1" si="262"/>
        <v>117</v>
      </c>
      <c r="K628" s="742">
        <f ca="1">IF(I628&gt;0,J628*100/I628,0)</f>
        <v>117</v>
      </c>
      <c r="L628" s="743"/>
      <c r="M628" s="743"/>
      <c r="N628" s="743"/>
      <c r="O628" s="743"/>
      <c r="P628" s="743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</row>
    <row r="629" spans="1:26" ht="19.5">
      <c r="A629" s="597"/>
      <c r="B629" s="763"/>
      <c r="C629" s="763" t="s">
        <v>16</v>
      </c>
      <c r="D629" s="863" t="s">
        <v>17</v>
      </c>
      <c r="E629" s="857"/>
      <c r="F629" s="857"/>
      <c r="G629" s="189"/>
      <c r="H629" s="598" t="s">
        <v>12</v>
      </c>
      <c r="I629" s="270"/>
      <c r="J629" s="270"/>
      <c r="K629" s="498"/>
      <c r="L629" s="195">
        <f t="shared" ref="L629:N629" ca="1" si="263">L630+L631</f>
        <v>381515</v>
      </c>
      <c r="M629" s="195">
        <f t="shared" ca="1" si="263"/>
        <v>381514.56</v>
      </c>
      <c r="N629" s="195">
        <f t="shared" si="263"/>
        <v>381514.56</v>
      </c>
      <c r="O629" s="195">
        <f t="shared" ref="O629:O634" ca="1" si="264">IF(L629&gt;0,N629*100/L629,0)</f>
        <v>99.999884670327503</v>
      </c>
      <c r="P629" s="195">
        <f t="shared" ref="P629:P634" ca="1" si="265">IF(M629&gt;0,N629*100/M629,0)</f>
        <v>100</v>
      </c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</row>
    <row r="630" spans="1:26" ht="18.75" hidden="1">
      <c r="A630" s="599"/>
      <c r="B630" s="759"/>
      <c r="C630" s="759"/>
      <c r="D630" s="720"/>
      <c r="E630" s="759" t="s">
        <v>185</v>
      </c>
      <c r="F630" s="759"/>
      <c r="G630" s="603"/>
      <c r="H630" s="165" t="s">
        <v>12</v>
      </c>
      <c r="I630" s="617"/>
      <c r="J630" s="617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4"/>
      <c r="R630" s="604"/>
      <c r="S630" s="604"/>
      <c r="T630" s="604"/>
      <c r="U630" s="604"/>
      <c r="V630" s="604"/>
      <c r="W630" s="604"/>
      <c r="X630" s="604"/>
      <c r="Y630" s="604"/>
      <c r="Z630" s="604"/>
    </row>
    <row r="631" spans="1:26" ht="18.75" hidden="1">
      <c r="A631" s="599"/>
      <c r="B631" s="607"/>
      <c r="C631" s="759"/>
      <c r="D631" s="720"/>
      <c r="E631" s="759" t="s">
        <v>186</v>
      </c>
      <c r="F631" s="759"/>
      <c r="G631" s="603"/>
      <c r="H631" s="165" t="s">
        <v>12</v>
      </c>
      <c r="I631" s="617"/>
      <c r="J631" s="617"/>
      <c r="K631" s="93"/>
      <c r="L631" s="93">
        <f t="shared" ca="1" si="266"/>
        <v>381515</v>
      </c>
      <c r="M631" s="93">
        <f t="shared" ca="1" si="266"/>
        <v>381514.56</v>
      </c>
      <c r="N631" s="93">
        <f t="shared" si="266"/>
        <v>381514.56</v>
      </c>
      <c r="O631" s="93">
        <f t="shared" ca="1" si="264"/>
        <v>99.999884670327503</v>
      </c>
      <c r="P631" s="93">
        <f t="shared" ca="1" si="265"/>
        <v>100</v>
      </c>
      <c r="Q631" s="604"/>
      <c r="R631" s="604"/>
      <c r="S631" s="604"/>
      <c r="T631" s="604"/>
      <c r="U631" s="604"/>
      <c r="V631" s="604"/>
      <c r="W631" s="604"/>
      <c r="X631" s="604"/>
      <c r="Y631" s="604"/>
      <c r="Z631" s="604"/>
    </row>
    <row r="632" spans="1:26" ht="18.75">
      <c r="A632" s="597"/>
      <c r="B632" s="575"/>
      <c r="C632" s="763"/>
      <c r="D632" s="606" t="s">
        <v>20</v>
      </c>
      <c r="E632" s="763"/>
      <c r="F632" s="763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381515</v>
      </c>
      <c r="M632" s="498">
        <f t="shared" ca="1" si="267"/>
        <v>381514.56</v>
      </c>
      <c r="N632" s="498">
        <f t="shared" si="267"/>
        <v>381514.56</v>
      </c>
      <c r="O632" s="498">
        <f t="shared" ca="1" si="264"/>
        <v>99.999884670327503</v>
      </c>
      <c r="P632" s="498">
        <f t="shared" ca="1" si="265"/>
        <v>100</v>
      </c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</row>
    <row r="633" spans="1:26" ht="18.75" hidden="1">
      <c r="A633" s="599"/>
      <c r="B633" s="607"/>
      <c r="C633" s="759"/>
      <c r="D633" s="720"/>
      <c r="E633" s="759" t="s">
        <v>185</v>
      </c>
      <c r="F633" s="759"/>
      <c r="G633" s="603"/>
      <c r="H633" s="165" t="s">
        <v>12</v>
      </c>
      <c r="I633" s="617"/>
      <c r="J633" s="617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4"/>
      <c r="R633" s="604"/>
      <c r="S633" s="604"/>
      <c r="T633" s="604"/>
      <c r="U633" s="604"/>
      <c r="V633" s="604"/>
      <c r="W633" s="604"/>
      <c r="X633" s="604"/>
      <c r="Y633" s="604"/>
      <c r="Z633" s="604"/>
    </row>
    <row r="634" spans="1:26" ht="18.75" hidden="1">
      <c r="A634" s="599"/>
      <c r="B634" s="607"/>
      <c r="C634" s="759"/>
      <c r="D634" s="720"/>
      <c r="E634" s="759" t="s">
        <v>186</v>
      </c>
      <c r="F634" s="759"/>
      <c r="G634" s="603"/>
      <c r="H634" s="165" t="s">
        <v>12</v>
      </c>
      <c r="I634" s="617"/>
      <c r="J634" s="617"/>
      <c r="K634" s="93"/>
      <c r="L634" s="93">
        <f ca="1">IFERROR(__xludf.DUMMYFUNCTION("IMPORTRANGE(""https://docs.google.com/spreadsheets/d/1QqKyyYR6Q21VydFLVH3TRQUabQu_ym0Zz7PgGX0-kHA/edit?usp=sharing"",""แผน!HN32"")"),381515)</f>
        <v>381515</v>
      </c>
      <c r="M634" s="93">
        <f ca="1">L634-0.44</f>
        <v>381514.56</v>
      </c>
      <c r="N634" s="93">
        <f>N635+N636+N637+N638</f>
        <v>381514.56</v>
      </c>
      <c r="O634" s="93">
        <f t="shared" ca="1" si="264"/>
        <v>99.999884670327503</v>
      </c>
      <c r="P634" s="93">
        <f t="shared" ca="1" si="265"/>
        <v>100</v>
      </c>
      <c r="Q634" s="604"/>
      <c r="R634" s="604"/>
      <c r="S634" s="604"/>
      <c r="T634" s="604"/>
      <c r="U634" s="604"/>
      <c r="V634" s="604"/>
      <c r="W634" s="604"/>
      <c r="X634" s="604"/>
      <c r="Y634" s="604"/>
      <c r="Z634" s="604"/>
    </row>
    <row r="635" spans="1:26" ht="18.75">
      <c r="A635" s="574"/>
      <c r="B635" s="575"/>
      <c r="C635" s="763"/>
      <c r="D635" s="763"/>
      <c r="E635" s="763"/>
      <c r="F635" s="763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40">
        <v>0</v>
      </c>
      <c r="O635" s="498"/>
      <c r="P635" s="49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</row>
    <row r="636" spans="1:26" ht="18.75">
      <c r="A636" s="574"/>
      <c r="B636" s="575"/>
      <c r="C636" s="763"/>
      <c r="D636" s="763"/>
      <c r="E636" s="763"/>
      <c r="F636" s="763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40">
        <v>0</v>
      </c>
      <c r="O636" s="498"/>
      <c r="P636" s="49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</row>
    <row r="637" spans="1:26" ht="18.75">
      <c r="A637" s="574"/>
      <c r="B637" s="575"/>
      <c r="C637" s="763"/>
      <c r="D637" s="763"/>
      <c r="E637" s="763"/>
      <c r="F637" s="763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40">
        <v>143000</v>
      </c>
      <c r="O637" s="498"/>
      <c r="P637" s="498"/>
      <c r="Q637" s="578"/>
      <c r="R637" s="578"/>
      <c r="S637" s="578"/>
      <c r="T637" s="578"/>
      <c r="U637" s="578"/>
      <c r="V637" s="578"/>
      <c r="W637" s="578"/>
      <c r="X637" s="578"/>
      <c r="Y637" s="578"/>
      <c r="Z637" s="578"/>
    </row>
    <row r="638" spans="1:26" ht="18.75">
      <c r="A638" s="574"/>
      <c r="B638" s="575"/>
      <c r="C638" s="763"/>
      <c r="D638" s="763"/>
      <c r="E638" s="763"/>
      <c r="F638" s="763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40">
        <f>38180+20280+70250+1750+15000+21500+6885.58+64668.98</f>
        <v>238514.56</v>
      </c>
      <c r="O638" s="498"/>
      <c r="P638" s="49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</row>
    <row r="639" spans="1:26" ht="18.75">
      <c r="A639" s="597"/>
      <c r="B639" s="575"/>
      <c r="C639" s="763"/>
      <c r="D639" s="606" t="s">
        <v>21</v>
      </c>
      <c r="E639" s="763"/>
      <c r="F639" s="763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</row>
    <row r="640" spans="1:26" ht="18.75" hidden="1">
      <c r="A640" s="599"/>
      <c r="B640" s="607"/>
      <c r="C640" s="759"/>
      <c r="D640" s="759"/>
      <c r="E640" s="759" t="s">
        <v>18</v>
      </c>
      <c r="F640" s="759"/>
      <c r="G640" s="603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4"/>
      <c r="R640" s="604"/>
      <c r="S640" s="604"/>
      <c r="T640" s="604"/>
      <c r="U640" s="604"/>
      <c r="V640" s="604"/>
      <c r="W640" s="604"/>
      <c r="X640" s="604"/>
      <c r="Y640" s="604"/>
      <c r="Z640" s="604"/>
    </row>
    <row r="641" spans="1:26" ht="18.75" hidden="1">
      <c r="A641" s="599"/>
      <c r="B641" s="607"/>
      <c r="C641" s="759"/>
      <c r="D641" s="759"/>
      <c r="E641" s="759" t="s">
        <v>19</v>
      </c>
      <c r="F641" s="759"/>
      <c r="G641" s="603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4"/>
      <c r="R641" s="604"/>
      <c r="S641" s="604"/>
      <c r="T641" s="604"/>
      <c r="U641" s="604"/>
      <c r="V641" s="604"/>
      <c r="W641" s="604"/>
      <c r="X641" s="604"/>
      <c r="Y641" s="604"/>
      <c r="Z641" s="604"/>
    </row>
    <row r="642" spans="1:26" ht="19.5">
      <c r="A642" s="608"/>
      <c r="B642" s="618"/>
      <c r="C642" s="763" t="s">
        <v>16</v>
      </c>
      <c r="D642" s="896" t="s">
        <v>38</v>
      </c>
      <c r="E642" s="761"/>
      <c r="F642" s="761"/>
      <c r="G642" s="613"/>
      <c r="H642" s="762"/>
      <c r="I642" s="184"/>
      <c r="J642" s="184"/>
      <c r="K642" s="163"/>
      <c r="L642" s="163"/>
      <c r="M642" s="163"/>
      <c r="N642" s="163"/>
      <c r="O642" s="163"/>
      <c r="P642" s="163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</row>
    <row r="643" spans="1:26" ht="18.75">
      <c r="A643" s="744"/>
      <c r="B643" s="575"/>
      <c r="C643" s="763"/>
      <c r="D643" s="626"/>
      <c r="E643" s="746" t="s">
        <v>272</v>
      </c>
      <c r="F643" s="626"/>
      <c r="G643" s="762"/>
      <c r="H643" s="764" t="s">
        <v>273</v>
      </c>
      <c r="I643" s="270">
        <f ca="1">IFERROR(__xludf.DUMMYFUNCTION("IMPORTRANGE(""https://docs.google.com/spreadsheets/d/1QqKyyYR6Q21VydFLVH3TRQUabQu_ym0Zz7PgGX0-kHA/edit?usp=sharing"",""แผน!HR32"")"),0)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</row>
    <row r="644" spans="1:26" ht="18.75">
      <c r="A644" s="744"/>
      <c r="B644" s="575"/>
      <c r="C644" s="763"/>
      <c r="D644" s="626"/>
      <c r="E644" s="746" t="s">
        <v>274</v>
      </c>
      <c r="F644" s="626"/>
      <c r="G644" s="762"/>
      <c r="H644" s="764" t="s">
        <v>275</v>
      </c>
      <c r="I644" s="270">
        <f ca="1">IFERROR(__xludf.DUMMYFUNCTION("IMPORTRANGE(""https://docs.google.com/spreadsheets/d/1QqKyyYR6Q21VydFLVH3TRQUabQu_ym0Zz7PgGX0-kHA/edit?usp=sharing"",""แผน!HR32"")"),0)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</row>
    <row r="645" spans="1:26" ht="18.75">
      <c r="A645" s="744"/>
      <c r="B645" s="575"/>
      <c r="C645" s="763"/>
      <c r="D645" s="626"/>
      <c r="E645" s="746" t="s">
        <v>276</v>
      </c>
      <c r="F645" s="626"/>
      <c r="G645" s="762"/>
      <c r="H645" s="76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IFERROR(__xludf.DUMMYFUNCTION("IMPORTRANGE(""https://docs.google.com/spreadsheets/d/1XWAQStnk-4SwqDmLtmXYiTMKHgktTP8We1SCoS47DrQ/edit?usp=sharing"",""จัดที่ดิน!AS32"")"),115)</f>
        <v>115</v>
      </c>
      <c r="K645" s="163">
        <f t="shared" si="271"/>
        <v>0</v>
      </c>
      <c r="L645" s="163"/>
      <c r="M645" s="163"/>
      <c r="N645" s="498"/>
      <c r="O645" s="163"/>
      <c r="P645" s="163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</row>
    <row r="646" spans="1:26" ht="18.75">
      <c r="A646" s="744"/>
      <c r="B646" s="575"/>
      <c r="C646" s="763"/>
      <c r="D646" s="626"/>
      <c r="E646" s="626"/>
      <c r="F646" s="626"/>
      <c r="G646" s="762"/>
      <c r="H646" s="76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IFERROR(__xludf.DUMMYFUNCTION("IMPORTRANGE(""https://docs.google.com/spreadsheets/d/1XWAQStnk-4SwqDmLtmXYiTMKHgktTP8We1SCoS47DrQ/edit?usp=sharing"",""จัดที่ดิน!AT32"")"),66)</f>
        <v>66</v>
      </c>
      <c r="K646" s="498">
        <f t="shared" si="271"/>
        <v>0</v>
      </c>
      <c r="L646" s="163"/>
      <c r="M646" s="163"/>
      <c r="N646" s="498"/>
      <c r="O646" s="163"/>
      <c r="P646" s="163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</row>
    <row r="647" spans="1:26" ht="18.75">
      <c r="A647" s="744"/>
      <c r="B647" s="575"/>
      <c r="C647" s="763"/>
      <c r="D647" s="626"/>
      <c r="E647" s="746" t="s">
        <v>162</v>
      </c>
      <c r="F647" s="626"/>
      <c r="G647" s="762"/>
      <c r="H647" s="764" t="s">
        <v>35</v>
      </c>
      <c r="I647" s="270">
        <f ca="1">IFERROR(__xludf.DUMMYFUNCTION("IMPORTRANGE(""https://docs.google.com/spreadsheets/d/1QqKyyYR6Q21VydFLVH3TRQUabQu_ym0Zz7PgGX0-kHA/edit?usp=sharing"",""แผน!HS32"")"),100)</f>
        <v>100</v>
      </c>
      <c r="J647" s="270">
        <f ca="1">IFERROR(__xludf.DUMMYFUNCTION("IMPORTRANGE(""https://docs.google.com/spreadsheets/d/1XWAQStnk-4SwqDmLtmXYiTMKHgktTP8We1SCoS47DrQ/edit?usp=sharing"",""จัดที่ดิน!AU32"")"),144)</f>
        <v>144</v>
      </c>
      <c r="K647" s="163">
        <f t="shared" ca="1" si="271"/>
        <v>144</v>
      </c>
      <c r="L647" s="163"/>
      <c r="M647" s="163"/>
      <c r="N647" s="163"/>
      <c r="O647" s="163"/>
      <c r="P647" s="163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</row>
    <row r="648" spans="1:26" ht="18.75">
      <c r="A648" s="744"/>
      <c r="B648" s="575"/>
      <c r="C648" s="763"/>
      <c r="D648" s="626"/>
      <c r="E648" s="626"/>
      <c r="F648" s="626"/>
      <c r="G648" s="762"/>
      <c r="H648" s="76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IFERROR(__xludf.DUMMYFUNCTION("IMPORTRANGE(""https://docs.google.com/spreadsheets/d/1XWAQStnk-4SwqDmLtmXYiTMKHgktTP8We1SCoS47DrQ/edit?usp=sharing"",""จัดที่ดิน!AV32"")"),86.22)</f>
        <v>86.22</v>
      </c>
      <c r="K648" s="498">
        <f t="shared" si="271"/>
        <v>0</v>
      </c>
      <c r="L648" s="163"/>
      <c r="M648" s="163"/>
      <c r="N648" s="163"/>
      <c r="O648" s="163"/>
      <c r="P648" s="163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</row>
    <row r="649" spans="1:26" ht="18.75">
      <c r="A649" s="744"/>
      <c r="B649" s="575"/>
      <c r="C649" s="763"/>
      <c r="D649" s="626"/>
      <c r="E649" s="746" t="s">
        <v>277</v>
      </c>
      <c r="F649" s="626"/>
      <c r="G649" s="762"/>
      <c r="H649" s="764" t="s">
        <v>35</v>
      </c>
      <c r="I649" s="270">
        <f ca="1">IFERROR(__xludf.DUMMYFUNCTION("IMPORTRANGE(""https://docs.google.com/spreadsheets/d/1QqKyyYR6Q21VydFLVH3TRQUabQu_ym0Zz7PgGX0-kHA/edit?usp=sharing"",""แผน!HS32"")"),100)</f>
        <v>100</v>
      </c>
      <c r="J649" s="270">
        <f ca="1">IFERROR(__xludf.DUMMYFUNCTION("IMPORTRANGE(""https://docs.google.com/spreadsheets/d/1XWAQStnk-4SwqDmLtmXYiTMKHgktTP8We1SCoS47DrQ/edit?usp=sharing"",""จัดที่ดิน!AW32"")"),126)</f>
        <v>126</v>
      </c>
      <c r="K649" s="163">
        <f t="shared" ca="1" si="271"/>
        <v>126</v>
      </c>
      <c r="L649" s="163"/>
      <c r="M649" s="163"/>
      <c r="N649" s="163"/>
      <c r="O649" s="163"/>
      <c r="P649" s="163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</row>
    <row r="650" spans="1:26" ht="18.75">
      <c r="A650" s="744"/>
      <c r="B650" s="575"/>
      <c r="C650" s="763"/>
      <c r="D650" s="626"/>
      <c r="E650" s="626"/>
      <c r="F650" s="626"/>
      <c r="G650" s="762"/>
      <c r="H650" s="76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IFERROR(__xludf.DUMMYFUNCTION("IMPORTRANGE(""https://docs.google.com/spreadsheets/d/1XWAQStnk-4SwqDmLtmXYiTMKHgktTP8We1SCoS47DrQ/edit?usp=sharing"",""จัดที่ดิน!AX32"")"),72.13)</f>
        <v>72.13</v>
      </c>
      <c r="K650" s="498">
        <f t="shared" si="271"/>
        <v>0</v>
      </c>
      <c r="L650" s="163"/>
      <c r="M650" s="163"/>
      <c r="N650" s="163"/>
      <c r="O650" s="163"/>
      <c r="P650" s="163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</row>
    <row r="651" spans="1:26" ht="18.75">
      <c r="A651" s="744"/>
      <c r="B651" s="575"/>
      <c r="C651" s="763"/>
      <c r="D651" s="626"/>
      <c r="E651" s="746" t="s">
        <v>278</v>
      </c>
      <c r="F651" s="626"/>
      <c r="G651" s="762"/>
      <c r="H651" s="764" t="s">
        <v>35</v>
      </c>
      <c r="I651" s="270">
        <f ca="1">IFERROR(__xludf.DUMMYFUNCTION("IMPORTRANGE(""https://docs.google.com/spreadsheets/d/1QqKyyYR6Q21VydFLVH3TRQUabQu_ym0Zz7PgGX0-kHA/edit?usp=sharing"",""แผน!HS32"")"),100)</f>
        <v>100</v>
      </c>
      <c r="J651" s="270">
        <f ca="1">IFERROR(__xludf.DUMMYFUNCTION("IMPORTRANGE(""https://docs.google.com/spreadsheets/d/1XWAQStnk-4SwqDmLtmXYiTMKHgktTP8We1SCoS47DrQ/edit?usp=sharing"",""จัดที่ดิน!AY32"")"),117)</f>
        <v>117</v>
      </c>
      <c r="K651" s="163">
        <f t="shared" ca="1" si="271"/>
        <v>117</v>
      </c>
      <c r="L651" s="163"/>
      <c r="M651" s="163"/>
      <c r="N651" s="163"/>
      <c r="O651" s="163"/>
      <c r="P651" s="163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</row>
    <row r="652" spans="1:26" ht="18.75">
      <c r="A652" s="74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8"/>
      <c r="C652" s="749"/>
      <c r="D652" s="734"/>
      <c r="E652" s="734"/>
      <c r="F652" s="734"/>
      <c r="G652" s="735"/>
      <c r="H652" s="505" t="s">
        <v>46</v>
      </c>
      <c r="I652" s="506">
        <v>0</v>
      </c>
      <c r="J652" s="506">
        <f ca="1">IFERROR(__xludf.DUMMYFUNCTION("IMPORTRANGE(""https://docs.google.com/spreadsheets/d/1XWAQStnk-4SwqDmLtmXYiTMKHgktTP8We1SCoS47DrQ/edit?usp=sharing"",""จัดที่ดิน!AZ32"")"),66.565)</f>
        <v>66.564999999999998</v>
      </c>
      <c r="K652" s="507">
        <f t="shared" si="271"/>
        <v>0</v>
      </c>
      <c r="L652" s="385"/>
      <c r="M652" s="385"/>
      <c r="N652" s="385"/>
      <c r="O652" s="385"/>
      <c r="P652" s="385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</row>
    <row r="653" spans="1:26" ht="19.5">
      <c r="A653" s="750">
        <v>8</v>
      </c>
      <c r="B653" s="737" t="s">
        <v>279</v>
      </c>
      <c r="C653" s="738"/>
      <c r="D653" s="738"/>
      <c r="E653" s="738"/>
      <c r="F653" s="738"/>
      <c r="G653" s="739"/>
      <c r="H653" s="739"/>
      <c r="I653" s="751"/>
      <c r="J653" s="751"/>
      <c r="K653" s="743"/>
      <c r="L653" s="743"/>
      <c r="M653" s="743"/>
      <c r="N653" s="743"/>
      <c r="O653" s="743"/>
      <c r="P653" s="743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</row>
    <row r="654" spans="1:26" ht="19.5">
      <c r="A654" s="673"/>
      <c r="B654" s="672" t="s">
        <v>280</v>
      </c>
      <c r="C654" s="673"/>
      <c r="D654" s="673"/>
      <c r="E654" s="673"/>
      <c r="F654" s="673"/>
      <c r="G654" s="674"/>
      <c r="H654" s="707" t="s">
        <v>46</v>
      </c>
      <c r="I654" s="708">
        <f t="shared" ref="I654:J654" ca="1" si="272">I669</f>
        <v>100</v>
      </c>
      <c r="J654" s="708">
        <f t="shared" si="272"/>
        <v>0</v>
      </c>
      <c r="K654" s="677">
        <f ca="1">IF(I654&gt;0,J654*100/I654,0)</f>
        <v>0</v>
      </c>
      <c r="L654" s="678"/>
      <c r="M654" s="678"/>
      <c r="N654" s="678"/>
      <c r="O654" s="678"/>
      <c r="P654" s="6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</row>
    <row r="655" spans="1:26" ht="19.5">
      <c r="A655" s="597"/>
      <c r="B655" s="763"/>
      <c r="C655" s="763" t="s">
        <v>16</v>
      </c>
      <c r="D655" s="863" t="s">
        <v>17</v>
      </c>
      <c r="E655" s="857"/>
      <c r="F655" s="857"/>
      <c r="G655" s="189"/>
      <c r="H655" s="598" t="s">
        <v>12</v>
      </c>
      <c r="I655" s="270"/>
      <c r="J655" s="270"/>
      <c r="K655" s="498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15600</v>
      </c>
      <c r="O655" s="195">
        <f t="shared" ref="O655:O660" ca="1" si="274">IF(L655&gt;0,N655*100/L655,0)</f>
        <v>100</v>
      </c>
      <c r="P655" s="195">
        <f t="shared" ref="P655:P660" ca="1" si="275">IF(M655&gt;0,N655*100/M655,0)</f>
        <v>100</v>
      </c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</row>
    <row r="656" spans="1:26" ht="18.75" hidden="1">
      <c r="A656" s="599"/>
      <c r="B656" s="759"/>
      <c r="C656" s="759"/>
      <c r="D656" s="720"/>
      <c r="E656" s="759" t="s">
        <v>185</v>
      </c>
      <c r="F656" s="759"/>
      <c r="G656" s="603"/>
      <c r="H656" s="165" t="s">
        <v>12</v>
      </c>
      <c r="I656" s="617"/>
      <c r="J656" s="617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4"/>
      <c r="R656" s="604"/>
      <c r="S656" s="604"/>
      <c r="T656" s="604"/>
      <c r="U656" s="604"/>
      <c r="V656" s="604"/>
      <c r="W656" s="604"/>
      <c r="X656" s="604"/>
      <c r="Y656" s="604"/>
      <c r="Z656" s="604"/>
    </row>
    <row r="657" spans="1:26" ht="18.75" hidden="1">
      <c r="A657" s="599"/>
      <c r="B657" s="607"/>
      <c r="C657" s="759"/>
      <c r="D657" s="720"/>
      <c r="E657" s="759" t="s">
        <v>186</v>
      </c>
      <c r="F657" s="759"/>
      <c r="G657" s="603"/>
      <c r="H657" s="165" t="s">
        <v>12</v>
      </c>
      <c r="I657" s="617"/>
      <c r="J657" s="617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15600</v>
      </c>
      <c r="O657" s="93">
        <f t="shared" ca="1" si="274"/>
        <v>100</v>
      </c>
      <c r="P657" s="93">
        <f t="shared" ca="1" si="275"/>
        <v>100</v>
      </c>
      <c r="Q657" s="604"/>
      <c r="R657" s="604"/>
      <c r="S657" s="604"/>
      <c r="T657" s="604"/>
      <c r="U657" s="604"/>
      <c r="V657" s="604"/>
      <c r="W657" s="604"/>
      <c r="X657" s="604"/>
      <c r="Y657" s="604"/>
      <c r="Z657" s="604"/>
    </row>
    <row r="658" spans="1:26" ht="18.75">
      <c r="A658" s="597"/>
      <c r="B658" s="575"/>
      <c r="C658" s="763"/>
      <c r="D658" s="606" t="s">
        <v>20</v>
      </c>
      <c r="E658" s="763"/>
      <c r="F658" s="763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15600</v>
      </c>
      <c r="M658" s="498">
        <f t="shared" ca="1" si="277"/>
        <v>15600</v>
      </c>
      <c r="N658" s="498">
        <f t="shared" si="277"/>
        <v>15600</v>
      </c>
      <c r="O658" s="498">
        <f t="shared" ca="1" si="274"/>
        <v>100</v>
      </c>
      <c r="P658" s="498">
        <f t="shared" ca="1" si="275"/>
        <v>100</v>
      </c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</row>
    <row r="659" spans="1:26" ht="18.75" hidden="1">
      <c r="A659" s="599"/>
      <c r="B659" s="607"/>
      <c r="C659" s="759"/>
      <c r="D659" s="720"/>
      <c r="E659" s="759" t="s">
        <v>185</v>
      </c>
      <c r="F659" s="759"/>
      <c r="G659" s="603"/>
      <c r="H659" s="165" t="s">
        <v>12</v>
      </c>
      <c r="I659" s="617"/>
      <c r="J659" s="617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4"/>
      <c r="R659" s="604"/>
      <c r="S659" s="604"/>
      <c r="T659" s="604"/>
      <c r="U659" s="604"/>
      <c r="V659" s="604"/>
      <c r="W659" s="604"/>
      <c r="X659" s="604"/>
      <c r="Y659" s="604"/>
      <c r="Z659" s="604"/>
    </row>
    <row r="660" spans="1:26" ht="18.75" hidden="1">
      <c r="A660" s="599"/>
      <c r="B660" s="607"/>
      <c r="C660" s="759"/>
      <c r="D660" s="720"/>
      <c r="E660" s="759" t="s">
        <v>186</v>
      </c>
      <c r="F660" s="759"/>
      <c r="G660" s="603"/>
      <c r="H660" s="165" t="s">
        <v>12</v>
      </c>
      <c r="I660" s="617"/>
      <c r="J660" s="617"/>
      <c r="K660" s="93"/>
      <c r="L660" s="93">
        <f ca="1">IFERROR(__xludf.DUMMYFUNCTION("IMPORTRANGE(""https://docs.google.com/spreadsheets/d/1QqKyyYR6Q21VydFLVH3TRQUabQu_ym0Zz7PgGX0-kHA/edit?usp=sharing"",""แผน!HV32"")"),15600)</f>
        <v>15600</v>
      </c>
      <c r="M660" s="93">
        <f ca="1">L660</f>
        <v>15600</v>
      </c>
      <c r="N660" s="93">
        <f>N661+N662+N663+N664</f>
        <v>15600</v>
      </c>
      <c r="O660" s="93">
        <f t="shared" ca="1" si="274"/>
        <v>100</v>
      </c>
      <c r="P660" s="93">
        <f t="shared" ca="1" si="275"/>
        <v>100</v>
      </c>
      <c r="Q660" s="604"/>
      <c r="R660" s="604"/>
      <c r="S660" s="604"/>
      <c r="T660" s="604"/>
      <c r="U660" s="604"/>
      <c r="V660" s="604"/>
      <c r="W660" s="604"/>
      <c r="X660" s="604"/>
      <c r="Y660" s="604"/>
      <c r="Z660" s="604"/>
    </row>
    <row r="661" spans="1:26" ht="18.75">
      <c r="A661" s="574"/>
      <c r="B661" s="575"/>
      <c r="C661" s="763"/>
      <c r="D661" s="763"/>
      <c r="E661" s="763"/>
      <c r="F661" s="763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40">
        <v>0</v>
      </c>
      <c r="O661" s="498"/>
      <c r="P661" s="49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</row>
    <row r="662" spans="1:26" ht="18.75">
      <c r="A662" s="574"/>
      <c r="B662" s="575"/>
      <c r="C662" s="763"/>
      <c r="D662" s="763"/>
      <c r="E662" s="763"/>
      <c r="F662" s="763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40">
        <v>0</v>
      </c>
      <c r="O662" s="498"/>
      <c r="P662" s="49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</row>
    <row r="663" spans="1:26" ht="18.75">
      <c r="A663" s="574"/>
      <c r="B663" s="575"/>
      <c r="C663" s="575"/>
      <c r="D663" s="763"/>
      <c r="E663" s="763"/>
      <c r="F663" s="763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40">
        <v>0</v>
      </c>
      <c r="O663" s="498"/>
      <c r="P663" s="49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</row>
    <row r="664" spans="1:26" ht="18.75">
      <c r="A664" s="574"/>
      <c r="B664" s="575"/>
      <c r="C664" s="575"/>
      <c r="D664" s="575"/>
      <c r="E664" s="763"/>
      <c r="F664" s="763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40">
        <f>14040+1560</f>
        <v>15600</v>
      </c>
      <c r="O664" s="498"/>
      <c r="P664" s="49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</row>
    <row r="665" spans="1:26" ht="18.75">
      <c r="A665" s="597"/>
      <c r="B665" s="575"/>
      <c r="C665" s="575"/>
      <c r="D665" s="606" t="s">
        <v>21</v>
      </c>
      <c r="E665" s="763"/>
      <c r="F665" s="763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</row>
    <row r="666" spans="1:26" ht="18.75" hidden="1">
      <c r="A666" s="599"/>
      <c r="B666" s="607"/>
      <c r="C666" s="607"/>
      <c r="D666" s="607"/>
      <c r="E666" s="759" t="s">
        <v>18</v>
      </c>
      <c r="F666" s="759"/>
      <c r="G666" s="603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4"/>
      <c r="R666" s="604"/>
      <c r="S666" s="604"/>
      <c r="T666" s="604"/>
      <c r="U666" s="604"/>
      <c r="V666" s="604"/>
      <c r="W666" s="604"/>
      <c r="X666" s="604"/>
      <c r="Y666" s="604"/>
      <c r="Z666" s="604"/>
    </row>
    <row r="667" spans="1:26" ht="18.75" hidden="1">
      <c r="A667" s="599"/>
      <c r="B667" s="607"/>
      <c r="C667" s="607"/>
      <c r="D667" s="607"/>
      <c r="E667" s="759" t="s">
        <v>19</v>
      </c>
      <c r="F667" s="759"/>
      <c r="G667" s="603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4"/>
      <c r="R667" s="604"/>
      <c r="S667" s="604"/>
      <c r="T667" s="604"/>
      <c r="U667" s="604"/>
      <c r="V667" s="604"/>
      <c r="W667" s="604"/>
      <c r="X667" s="604"/>
      <c r="Y667" s="604"/>
      <c r="Z667" s="604"/>
    </row>
    <row r="668" spans="1:26" ht="19.5">
      <c r="A668" s="608"/>
      <c r="B668" s="618"/>
      <c r="C668" s="575" t="s">
        <v>16</v>
      </c>
      <c r="D668" s="893" t="s">
        <v>38</v>
      </c>
      <c r="E668" s="761"/>
      <c r="F668" s="761"/>
      <c r="G668" s="613"/>
      <c r="H668" s="762"/>
      <c r="I668" s="184"/>
      <c r="J668" s="184"/>
      <c r="K668" s="163"/>
      <c r="L668" s="163"/>
      <c r="M668" s="163"/>
      <c r="N668" s="163"/>
      <c r="O668" s="163"/>
      <c r="P668" s="163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</row>
    <row r="669" spans="1:26" ht="19.5">
      <c r="A669" s="608"/>
      <c r="B669" s="618"/>
      <c r="C669" s="618"/>
      <c r="D669" s="618" t="s">
        <v>281</v>
      </c>
      <c r="E669" s="626"/>
      <c r="F669" s="626"/>
      <c r="G669" s="762"/>
      <c r="H669" s="767" t="s">
        <v>46</v>
      </c>
      <c r="I669" s="681">
        <f ca="1">IFERROR(__xludf.DUMMYFUNCTION("IMPORTRANGE(""https://docs.google.com/spreadsheets/d/1QqKyyYR6Q21VydFLVH3TRQUabQu_ym0Zz7PgGX0-kHA/edit?usp=sharing"",""แผน!IA32"")"),100)</f>
        <v>100</v>
      </c>
      <c r="J669" s="681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</row>
    <row r="670" spans="1:26" ht="18.75">
      <c r="A670" s="608"/>
      <c r="B670" s="618"/>
      <c r="C670" s="618"/>
      <c r="D670" s="618"/>
      <c r="E670" s="626" t="s">
        <v>282</v>
      </c>
      <c r="F670" s="626"/>
      <c r="G670" s="762"/>
      <c r="H670" s="764" t="s">
        <v>66</v>
      </c>
      <c r="I670" s="270">
        <f ca="1">IFERROR(__xludf.DUMMYFUNCTION("IMPORTRANGE(""https://docs.google.com/spreadsheets/d/1QqKyyYR6Q21VydFLVH3TRQUabQu_ym0Zz7PgGX0-kHA/edit?usp=sharing"",""แผน!HZ32"")"),6)</f>
        <v>6</v>
      </c>
      <c r="J670" s="215">
        <v>6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</row>
    <row r="671" spans="1:26" ht="18.75">
      <c r="A671" s="608"/>
      <c r="B671" s="618"/>
      <c r="C671" s="618"/>
      <c r="D671" s="618"/>
      <c r="E671" s="626" t="s">
        <v>283</v>
      </c>
      <c r="F671" s="626"/>
      <c r="G671" s="762"/>
      <c r="H671" s="764" t="s">
        <v>66</v>
      </c>
      <c r="I671" s="270">
        <f ca="1">IFERROR(__xludf.DUMMYFUNCTION("IMPORTRANGE(""https://docs.google.com/spreadsheets/d/1QqKyyYR6Q21VydFLVH3TRQUabQu_ym0Zz7PgGX0-kHA/edit?usp=sharing"",""แผน!HZ32"")"),6)</f>
        <v>6</v>
      </c>
      <c r="J671" s="215">
        <v>6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</row>
    <row r="672" spans="1:26" ht="18.75">
      <c r="A672" s="608"/>
      <c r="B672" s="618"/>
      <c r="C672" s="618"/>
      <c r="D672" s="618"/>
      <c r="E672" s="626" t="s">
        <v>284</v>
      </c>
      <c r="F672" s="626"/>
      <c r="G672" s="762"/>
      <c r="H672" s="764" t="s">
        <v>46</v>
      </c>
      <c r="I672" s="270"/>
      <c r="J672" s="215">
        <v>154</v>
      </c>
      <c r="K672" s="498">
        <f t="shared" ref="K672:K675" ca="1" si="281">IF(I$669&gt;0,J672*100/I$669,0)</f>
        <v>154</v>
      </c>
      <c r="L672" s="163"/>
      <c r="M672" s="163"/>
      <c r="N672" s="163"/>
      <c r="O672" s="163"/>
      <c r="P672" s="163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</row>
    <row r="673" spans="1:26" ht="18.75">
      <c r="A673" s="608"/>
      <c r="B673" s="618"/>
      <c r="C673" s="618"/>
      <c r="D673" s="618"/>
      <c r="E673" s="626" t="s">
        <v>285</v>
      </c>
      <c r="F673" s="626"/>
      <c r="G673" s="762"/>
      <c r="H673" s="764" t="s">
        <v>46</v>
      </c>
      <c r="I673" s="270"/>
      <c r="J673" s="215">
        <v>154</v>
      </c>
      <c r="K673" s="498">
        <f t="shared" ca="1" si="281"/>
        <v>154</v>
      </c>
      <c r="L673" s="163"/>
      <c r="M673" s="163"/>
      <c r="N673" s="163"/>
      <c r="O673" s="163"/>
      <c r="P673" s="163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</row>
    <row r="674" spans="1:26" ht="18.75">
      <c r="A674" s="608"/>
      <c r="B674" s="618"/>
      <c r="C674" s="618"/>
      <c r="D674" s="618"/>
      <c r="E674" s="626" t="s">
        <v>286</v>
      </c>
      <c r="F674" s="626"/>
      <c r="G674" s="762"/>
      <c r="H674" s="764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</row>
    <row r="675" spans="1:26" ht="19.5">
      <c r="A675" s="608"/>
      <c r="B675" s="618"/>
      <c r="C675" s="618"/>
      <c r="D675" s="618"/>
      <c r="E675" s="626" t="s">
        <v>287</v>
      </c>
      <c r="F675" s="626"/>
      <c r="G675" s="762"/>
      <c r="H675" s="764" t="s">
        <v>46</v>
      </c>
      <c r="I675" s="270"/>
      <c r="J675" s="681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</row>
    <row r="676" spans="1:26" ht="18.75">
      <c r="A676" s="608"/>
      <c r="B676" s="618"/>
      <c r="C676" s="618"/>
      <c r="D676" s="618"/>
      <c r="E676" s="626"/>
      <c r="F676" s="626" t="s">
        <v>288</v>
      </c>
      <c r="G676" s="762"/>
      <c r="H676" s="764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</row>
    <row r="677" spans="1:26" ht="18.75">
      <c r="A677" s="608"/>
      <c r="B677" s="618"/>
      <c r="C677" s="618"/>
      <c r="D677" s="618"/>
      <c r="E677" s="626"/>
      <c r="F677" s="626" t="s">
        <v>289</v>
      </c>
      <c r="G677" s="762"/>
      <c r="H677" s="764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</row>
    <row r="678" spans="1:26" ht="19.5">
      <c r="A678" s="608"/>
      <c r="B678" s="618"/>
      <c r="C678" s="618"/>
      <c r="D678" s="618" t="s">
        <v>290</v>
      </c>
      <c r="E678" s="626"/>
      <c r="F678" s="626"/>
      <c r="G678" s="762"/>
      <c r="H678" s="764" t="s">
        <v>46</v>
      </c>
      <c r="I678" s="681">
        <f ca="1">IFERROR(__xludf.DUMMYFUNCTION("IMPORTRANGE(""https://docs.google.com/spreadsheets/d/1QqKyyYR6Q21VydFLVH3TRQUabQu_ym0Zz7PgGX0-kHA/edit?usp=sharing"",""แผน!IB32"")"),0)</f>
        <v>0</v>
      </c>
      <c r="J678" s="681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</row>
    <row r="679" spans="1:26" ht="18.75">
      <c r="A679" s="608"/>
      <c r="B679" s="618"/>
      <c r="C679" s="618"/>
      <c r="D679" s="618"/>
      <c r="E679" s="626" t="s">
        <v>291</v>
      </c>
      <c r="F679" s="626"/>
      <c r="G679" s="762"/>
      <c r="H679" s="764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</row>
    <row r="680" spans="1:26" ht="18.75">
      <c r="A680" s="608"/>
      <c r="B680" s="618"/>
      <c r="C680" s="618"/>
      <c r="D680" s="618"/>
      <c r="E680" s="626"/>
      <c r="F680" s="626" t="s">
        <v>288</v>
      </c>
      <c r="G680" s="762"/>
      <c r="H680" s="764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</row>
    <row r="681" spans="1:26" ht="18.75">
      <c r="A681" s="608"/>
      <c r="B681" s="618"/>
      <c r="C681" s="618"/>
      <c r="D681" s="618"/>
      <c r="E681" s="626"/>
      <c r="F681" s="626" t="s">
        <v>289</v>
      </c>
      <c r="G681" s="762"/>
      <c r="H681" s="764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</row>
    <row r="682" spans="1:26" ht="18.75">
      <c r="A682" s="608"/>
      <c r="B682" s="618"/>
      <c r="C682" s="618"/>
      <c r="D682" s="618"/>
      <c r="E682" s="626" t="s">
        <v>292</v>
      </c>
      <c r="F682" s="626"/>
      <c r="G682" s="762"/>
      <c r="H682" s="764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</row>
    <row r="683" spans="1:26" ht="18.75">
      <c r="A683" s="608"/>
      <c r="B683" s="618"/>
      <c r="C683" s="618"/>
      <c r="D683" s="618"/>
      <c r="E683" s="626"/>
      <c r="F683" s="626" t="s">
        <v>293</v>
      </c>
      <c r="G683" s="762"/>
      <c r="H683" s="764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</row>
    <row r="684" spans="1:26" ht="19.5">
      <c r="A684" s="753"/>
      <c r="B684" s="754" t="s">
        <v>294</v>
      </c>
      <c r="C684" s="753"/>
      <c r="D684" s="753"/>
      <c r="E684" s="753"/>
      <c r="F684" s="753"/>
      <c r="G684" s="755"/>
      <c r="H684" s="755"/>
      <c r="I684" s="756"/>
      <c r="J684" s="756"/>
      <c r="K684" s="757"/>
      <c r="L684" s="757"/>
      <c r="M684" s="757"/>
      <c r="N684" s="757"/>
      <c r="O684" s="757"/>
      <c r="P684" s="757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</row>
    <row r="685" spans="1:26" ht="19.5">
      <c r="A685" s="597"/>
      <c r="B685" s="763"/>
      <c r="C685" s="763" t="s">
        <v>16</v>
      </c>
      <c r="D685" s="863" t="s">
        <v>17</v>
      </c>
      <c r="E685" s="857"/>
      <c r="F685" s="857"/>
      <c r="G685" s="189"/>
      <c r="H685" s="598" t="s">
        <v>12</v>
      </c>
      <c r="I685" s="270"/>
      <c r="J685" s="270"/>
      <c r="K685" s="498"/>
      <c r="L685" s="195">
        <f t="shared" ref="L685:N685" ca="1" si="282">L686+L687</f>
        <v>7440</v>
      </c>
      <c r="M685" s="195">
        <f t="shared" ca="1" si="282"/>
        <v>5880</v>
      </c>
      <c r="N685" s="195">
        <f t="shared" si="282"/>
        <v>5880</v>
      </c>
      <c r="O685" s="195">
        <f t="shared" ref="O685:O688" ca="1" si="283">IF(L685&gt;0,N685*100/L685,0)</f>
        <v>79.032258064516128</v>
      </c>
      <c r="P685" s="195">
        <f t="shared" ref="P685:P688" ca="1" si="284">IF(M685&gt;0,N685*100/M685,0)</f>
        <v>100</v>
      </c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</row>
    <row r="686" spans="1:26" ht="18.75" hidden="1">
      <c r="A686" s="599"/>
      <c r="B686" s="759"/>
      <c r="C686" s="759"/>
      <c r="D686" s="720"/>
      <c r="E686" s="759" t="s">
        <v>185</v>
      </c>
      <c r="F686" s="759"/>
      <c r="G686" s="603"/>
      <c r="H686" s="165" t="s">
        <v>12</v>
      </c>
      <c r="I686" s="617"/>
      <c r="J686" s="617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4"/>
      <c r="R686" s="604"/>
      <c r="S686" s="604"/>
      <c r="T686" s="604"/>
      <c r="U686" s="604"/>
      <c r="V686" s="604"/>
      <c r="W686" s="604"/>
      <c r="X686" s="604"/>
      <c r="Y686" s="604"/>
      <c r="Z686" s="604"/>
    </row>
    <row r="687" spans="1:26" ht="18.75" hidden="1">
      <c r="A687" s="599"/>
      <c r="B687" s="607"/>
      <c r="C687" s="759"/>
      <c r="D687" s="720"/>
      <c r="E687" s="759" t="s">
        <v>186</v>
      </c>
      <c r="F687" s="759"/>
      <c r="G687" s="603"/>
      <c r="H687" s="165" t="s">
        <v>12</v>
      </c>
      <c r="I687" s="617"/>
      <c r="J687" s="617"/>
      <c r="K687" s="93"/>
      <c r="L687" s="93">
        <f t="shared" ca="1" si="285"/>
        <v>7440</v>
      </c>
      <c r="M687" s="93">
        <f t="shared" ca="1" si="285"/>
        <v>5880</v>
      </c>
      <c r="N687" s="93">
        <f t="shared" si="285"/>
        <v>5880</v>
      </c>
      <c r="O687" s="93">
        <f t="shared" ca="1" si="283"/>
        <v>79.032258064516128</v>
      </c>
      <c r="P687" s="93">
        <f t="shared" ca="1" si="284"/>
        <v>100</v>
      </c>
      <c r="Q687" s="604"/>
      <c r="R687" s="604"/>
      <c r="S687" s="604"/>
      <c r="T687" s="604"/>
      <c r="U687" s="604"/>
      <c r="V687" s="604"/>
      <c r="W687" s="604"/>
      <c r="X687" s="604"/>
      <c r="Y687" s="604"/>
      <c r="Z687" s="604"/>
    </row>
    <row r="688" spans="1:26" ht="18.75">
      <c r="A688" s="597"/>
      <c r="B688" s="575"/>
      <c r="C688" s="763"/>
      <c r="D688" s="606" t="s">
        <v>20</v>
      </c>
      <c r="E688" s="763"/>
      <c r="F688" s="763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7440</v>
      </c>
      <c r="M688" s="498">
        <f t="shared" ca="1" si="286"/>
        <v>5880</v>
      </c>
      <c r="N688" s="498">
        <f t="shared" si="286"/>
        <v>5880</v>
      </c>
      <c r="O688" s="498">
        <f t="shared" ca="1" si="283"/>
        <v>79.032258064516128</v>
      </c>
      <c r="P688" s="498">
        <f t="shared" ca="1" si="284"/>
        <v>100</v>
      </c>
      <c r="Q688" s="578"/>
      <c r="R688" s="578"/>
      <c r="S688" s="578"/>
      <c r="T688" s="578"/>
      <c r="U688" s="578"/>
      <c r="V688" s="578"/>
      <c r="W688" s="578"/>
      <c r="X688" s="578"/>
      <c r="Y688" s="578"/>
      <c r="Z688" s="578"/>
    </row>
    <row r="689" spans="1:26" ht="18.75" hidden="1">
      <c r="A689" s="599"/>
      <c r="B689" s="607"/>
      <c r="C689" s="759"/>
      <c r="D689" s="720"/>
      <c r="E689" s="759" t="s">
        <v>185</v>
      </c>
      <c r="F689" s="759"/>
      <c r="G689" s="603"/>
      <c r="H689" s="165" t="s">
        <v>12</v>
      </c>
      <c r="I689" s="617"/>
      <c r="J689" s="617"/>
      <c r="K689" s="93"/>
      <c r="L689" s="93">
        <v>0</v>
      </c>
      <c r="M689" s="93">
        <v>0</v>
      </c>
      <c r="N689" s="93">
        <v>0</v>
      </c>
      <c r="O689" s="93"/>
      <c r="P689" s="93"/>
      <c r="Q689" s="604"/>
      <c r="R689" s="604"/>
      <c r="S689" s="604"/>
      <c r="T689" s="604"/>
      <c r="U689" s="604"/>
      <c r="V689" s="604"/>
      <c r="W689" s="604"/>
      <c r="X689" s="604"/>
      <c r="Y689" s="604"/>
      <c r="Z689" s="604"/>
    </row>
    <row r="690" spans="1:26" ht="18.75" hidden="1">
      <c r="A690" s="599"/>
      <c r="B690" s="607"/>
      <c r="C690" s="759"/>
      <c r="D690" s="720"/>
      <c r="E690" s="759" t="s">
        <v>186</v>
      </c>
      <c r="F690" s="759"/>
      <c r="G690" s="603"/>
      <c r="H690" s="165" t="s">
        <v>12</v>
      </c>
      <c r="I690" s="617"/>
      <c r="J690" s="617"/>
      <c r="K690" s="93"/>
      <c r="L690" s="93">
        <f ca="1">IFERROR(__xludf.DUMMYFUNCTION("IMPORTRANGE(""https://docs.google.com/spreadsheets/d/1QqKyyYR6Q21VydFLVH3TRQUabQu_ym0Zz7PgGX0-kHA/edit?usp=sharing"",""แผน!HW32"")"),7440)</f>
        <v>7440</v>
      </c>
      <c r="M690" s="93">
        <f ca="1">L690-1560</f>
        <v>5880</v>
      </c>
      <c r="N690" s="93">
        <f>N691+N692+N693+N694</f>
        <v>5880</v>
      </c>
      <c r="O690" s="93">
        <f ca="1">IF(L690&gt;0,N690*100/L690,0)</f>
        <v>79.032258064516128</v>
      </c>
      <c r="P690" s="93">
        <f ca="1">IF(M690&gt;0,N690*100/M690,0)</f>
        <v>100</v>
      </c>
      <c r="Q690" s="604"/>
      <c r="R690" s="604"/>
      <c r="S690" s="604"/>
      <c r="T690" s="604"/>
      <c r="U690" s="604"/>
      <c r="V690" s="604"/>
      <c r="W690" s="604"/>
      <c r="X690" s="604"/>
      <c r="Y690" s="604"/>
      <c r="Z690" s="604"/>
    </row>
    <row r="691" spans="1:26" ht="18.75">
      <c r="A691" s="574"/>
      <c r="B691" s="575"/>
      <c r="C691" s="763"/>
      <c r="D691" s="763"/>
      <c r="E691" s="763"/>
      <c r="F691" s="763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40">
        <v>0</v>
      </c>
      <c r="O691" s="498"/>
      <c r="P691" s="49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</row>
    <row r="692" spans="1:26" ht="18.75">
      <c r="A692" s="574"/>
      <c r="B692" s="575"/>
      <c r="C692" s="763"/>
      <c r="D692" s="763"/>
      <c r="E692" s="763"/>
      <c r="F692" s="763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40">
        <v>0</v>
      </c>
      <c r="O692" s="498"/>
      <c r="P692" s="49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</row>
    <row r="693" spans="1:26" ht="18.75">
      <c r="A693" s="574"/>
      <c r="B693" s="575"/>
      <c r="C693" s="763"/>
      <c r="D693" s="763"/>
      <c r="E693" s="763"/>
      <c r="F693" s="763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40">
        <v>0</v>
      </c>
      <c r="O693" s="498"/>
      <c r="P693" s="49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</row>
    <row r="694" spans="1:26" ht="18.75">
      <c r="A694" s="574"/>
      <c r="B694" s="575"/>
      <c r="C694" s="763"/>
      <c r="D694" s="763"/>
      <c r="E694" s="763"/>
      <c r="F694" s="763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40">
        <f>7440-1560</f>
        <v>5880</v>
      </c>
      <c r="O694" s="498"/>
      <c r="P694" s="49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</row>
    <row r="695" spans="1:26" ht="18.75">
      <c r="A695" s="597"/>
      <c r="B695" s="575"/>
      <c r="C695" s="763"/>
      <c r="D695" s="606" t="s">
        <v>21</v>
      </c>
      <c r="E695" s="763"/>
      <c r="F695" s="763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</row>
    <row r="696" spans="1:26" ht="18.75" hidden="1">
      <c r="A696" s="599"/>
      <c r="B696" s="607"/>
      <c r="C696" s="759"/>
      <c r="D696" s="759"/>
      <c r="E696" s="759" t="s">
        <v>18</v>
      </c>
      <c r="F696" s="759"/>
      <c r="G696" s="603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4"/>
      <c r="R696" s="604"/>
      <c r="S696" s="604"/>
      <c r="T696" s="604"/>
      <c r="U696" s="604"/>
      <c r="V696" s="604"/>
      <c r="W696" s="604"/>
      <c r="X696" s="604"/>
      <c r="Y696" s="604"/>
      <c r="Z696" s="604"/>
    </row>
    <row r="697" spans="1:26" ht="18.75" hidden="1">
      <c r="A697" s="599"/>
      <c r="B697" s="607"/>
      <c r="C697" s="759"/>
      <c r="D697" s="759"/>
      <c r="E697" s="759" t="s">
        <v>19</v>
      </c>
      <c r="F697" s="759"/>
      <c r="G697" s="603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4"/>
      <c r="R697" s="604"/>
      <c r="S697" s="604"/>
      <c r="T697" s="604"/>
      <c r="U697" s="604"/>
      <c r="V697" s="604"/>
      <c r="W697" s="604"/>
      <c r="X697" s="604"/>
      <c r="Y697" s="604"/>
      <c r="Z697" s="604"/>
    </row>
    <row r="698" spans="1:26" ht="19.5">
      <c r="A698" s="608"/>
      <c r="B698" s="618"/>
      <c r="C698" s="763" t="s">
        <v>16</v>
      </c>
      <c r="D698" s="898" t="s">
        <v>38</v>
      </c>
      <c r="E698" s="761"/>
      <c r="F698" s="761"/>
      <c r="G698" s="613"/>
      <c r="H698" s="762"/>
      <c r="I698" s="184"/>
      <c r="J698" s="184"/>
      <c r="K698" s="163"/>
      <c r="L698" s="163"/>
      <c r="M698" s="163"/>
      <c r="N698" s="163"/>
      <c r="O698" s="163"/>
      <c r="P698" s="163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</row>
    <row r="699" spans="1:26" ht="18.75">
      <c r="A699" s="744"/>
      <c r="B699" s="763"/>
      <c r="C699" s="763"/>
      <c r="D699" s="763" t="s">
        <v>295</v>
      </c>
      <c r="E699" s="763"/>
      <c r="F699" s="763"/>
      <c r="G699" s="189"/>
      <c r="H699" s="764" t="s">
        <v>46</v>
      </c>
      <c r="I699" s="765">
        <f ca="1">IFERROR(__xludf.DUMMYFUNCTION("IMPORTRANGE(""https://docs.google.com/spreadsheets/d/1QqKyyYR6Q21VydFLVH3TRQUabQu_ym0Zz7PgGX0-kHA/edit?usp=sharing"",""แผน!IC32"")"),0)</f>
        <v>0</v>
      </c>
      <c r="J699" s="270">
        <f ca="1">IFERROR(__xludf.DUMMYFUNCTION("IMPORTRANGE(""https://docs.google.com/spreadsheets/d/1XWAQStnk-4SwqDmLtmXYiTMKHgktTP8We1SCoS47DrQ/edit?usp=sharing"",""จัดที่ดิน!BB32"")"),0)</f>
        <v>0</v>
      </c>
      <c r="K699" s="498">
        <f t="shared" ref="K699:K701" ca="1" si="290">IF(I699&gt;0,J699*100/I699,0)</f>
        <v>0</v>
      </c>
      <c r="L699" s="498"/>
      <c r="M699" s="189"/>
      <c r="N699" s="766"/>
      <c r="O699" s="498"/>
      <c r="P699" s="49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</row>
    <row r="700" spans="1:26" ht="18.75">
      <c r="A700" s="744"/>
      <c r="B700" s="763"/>
      <c r="C700" s="763"/>
      <c r="D700" s="763" t="s">
        <v>296</v>
      </c>
      <c r="E700" s="763"/>
      <c r="F700" s="763"/>
      <c r="G700" s="189"/>
      <c r="H700" s="764" t="s">
        <v>35</v>
      </c>
      <c r="I700" s="765">
        <f ca="1">IFERROR(__xludf.DUMMYFUNCTION("IMPORTRANGE(""https://docs.google.com/spreadsheets/d/1QqKyyYR6Q21VydFLVH3TRQUabQu_ym0Zz7PgGX0-kHA/edit?usp=sharing"",""แผน!ID32"")"),50)</f>
        <v>50</v>
      </c>
      <c r="J700" s="270">
        <f ca="1">IFERROR(__xludf.DUMMYFUNCTION("IMPORTRANGE(""https://docs.google.com/spreadsheets/d/1XWAQStnk-4SwqDmLtmXYiTMKHgktTP8We1SCoS47DrQ/edit?usp=sharing"",""จัดที่ดิน!BD32"")"),37)</f>
        <v>37</v>
      </c>
      <c r="K700" s="498">
        <f t="shared" ca="1" si="290"/>
        <v>74</v>
      </c>
      <c r="L700" s="498"/>
      <c r="M700" s="189"/>
      <c r="N700" s="766"/>
      <c r="O700" s="498"/>
      <c r="P700" s="49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</row>
    <row r="701" spans="1:26" ht="19.5">
      <c r="A701" s="744"/>
      <c r="B701" s="763"/>
      <c r="C701" s="763"/>
      <c r="D701" s="763" t="s">
        <v>297</v>
      </c>
      <c r="E701" s="763"/>
      <c r="F701" s="763"/>
      <c r="G701" s="189"/>
      <c r="H701" s="767" t="s">
        <v>46</v>
      </c>
      <c r="I701" s="768">
        <f ca="1">IFERROR(__xludf.DUMMYFUNCTION("IMPORTRANGE(""https://docs.google.com/spreadsheets/d/1QqKyyYR6Q21VydFLVH3TRQUabQu_ym0Zz7PgGX0-kHA/edit?usp=sharing"",""แผน!IE32"")"),4)</f>
        <v>4</v>
      </c>
      <c r="J701" s="681">
        <f>J704+J707</f>
        <v>4</v>
      </c>
      <c r="K701" s="195">
        <f t="shared" ca="1" si="290"/>
        <v>100</v>
      </c>
      <c r="L701" s="498"/>
      <c r="M701" s="189"/>
      <c r="N701" s="766"/>
      <c r="O701" s="498"/>
      <c r="P701" s="49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</row>
    <row r="702" spans="1:26" ht="18.75">
      <c r="A702" s="744"/>
      <c r="B702" s="763"/>
      <c r="C702" s="763"/>
      <c r="D702" s="763"/>
      <c r="E702" s="763" t="s">
        <v>298</v>
      </c>
      <c r="F702" s="763"/>
      <c r="G702" s="189"/>
      <c r="H702" s="764" t="s">
        <v>35</v>
      </c>
      <c r="I702" s="765"/>
      <c r="J702" s="215">
        <v>0</v>
      </c>
      <c r="K702" s="498"/>
      <c r="L702" s="498"/>
      <c r="M702" s="189"/>
      <c r="N702" s="766"/>
      <c r="O702" s="498"/>
      <c r="P702" s="49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</row>
    <row r="703" spans="1:26" ht="18.75">
      <c r="A703" s="744"/>
      <c r="B703" s="763"/>
      <c r="C703" s="763"/>
      <c r="D703" s="763"/>
      <c r="E703" s="763"/>
      <c r="F703" s="763"/>
      <c r="G703" s="189"/>
      <c r="H703" s="764" t="s">
        <v>34</v>
      </c>
      <c r="I703" s="765"/>
      <c r="J703" s="215">
        <v>0</v>
      </c>
      <c r="K703" s="498"/>
      <c r="L703" s="498"/>
      <c r="M703" s="189"/>
      <c r="N703" s="766"/>
      <c r="O703" s="498"/>
      <c r="P703" s="49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</row>
    <row r="704" spans="1:26" ht="18.75">
      <c r="A704" s="744"/>
      <c r="B704" s="763"/>
      <c r="C704" s="763"/>
      <c r="D704" s="763"/>
      <c r="E704" s="763"/>
      <c r="F704" s="763"/>
      <c r="G704" s="189"/>
      <c r="H704" s="764" t="s">
        <v>46</v>
      </c>
      <c r="I704" s="765">
        <f ca="1">IFERROR(__xludf.DUMMYFUNCTION("IMPORTRANGE(""https://docs.google.com/spreadsheets/d/1QqKyyYR6Q21VydFLVH3TRQUabQu_ym0Zz7PgGX0-kHA/edit?usp=sharing"",""แผน!IF32"")"),4)</f>
        <v>4</v>
      </c>
      <c r="J704" s="215">
        <v>4</v>
      </c>
      <c r="K704" s="498"/>
      <c r="L704" s="498"/>
      <c r="M704" s="189"/>
      <c r="N704" s="766"/>
      <c r="O704" s="498"/>
      <c r="P704" s="49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</row>
    <row r="705" spans="1:26" ht="18.75">
      <c r="A705" s="744"/>
      <c r="B705" s="763"/>
      <c r="C705" s="763"/>
      <c r="D705" s="763"/>
      <c r="E705" s="763" t="s">
        <v>299</v>
      </c>
      <c r="F705" s="763"/>
      <c r="G705" s="189"/>
      <c r="H705" s="764" t="s">
        <v>35</v>
      </c>
      <c r="I705" s="765"/>
      <c r="J705" s="215">
        <v>0</v>
      </c>
      <c r="K705" s="498"/>
      <c r="L705" s="498"/>
      <c r="M705" s="189"/>
      <c r="N705" s="766"/>
      <c r="O705" s="498"/>
      <c r="P705" s="49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</row>
    <row r="706" spans="1:26" ht="18.75">
      <c r="A706" s="744"/>
      <c r="B706" s="763"/>
      <c r="C706" s="763"/>
      <c r="D706" s="763"/>
      <c r="E706" s="763"/>
      <c r="F706" s="763"/>
      <c r="G706" s="189"/>
      <c r="H706" s="764" t="s">
        <v>34</v>
      </c>
      <c r="I706" s="765"/>
      <c r="J706" s="215">
        <v>0</v>
      </c>
      <c r="K706" s="498"/>
      <c r="L706" s="498"/>
      <c r="M706" s="189"/>
      <c r="N706" s="766"/>
      <c r="O706" s="498"/>
      <c r="P706" s="49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</row>
    <row r="707" spans="1:26" ht="18.75">
      <c r="A707" s="744"/>
      <c r="B707" s="763"/>
      <c r="C707" s="763"/>
      <c r="D707" s="763"/>
      <c r="E707" s="763"/>
      <c r="F707" s="763"/>
      <c r="G707" s="189"/>
      <c r="H707" s="764" t="s">
        <v>46</v>
      </c>
      <c r="I707" s="765">
        <f ca="1">IFERROR(__xludf.DUMMYFUNCTION("IMPORTRANGE(""https://docs.google.com/spreadsheets/d/1QqKyyYR6Q21VydFLVH3TRQUabQu_ym0Zz7PgGX0-kHA/edit?usp=sharing"",""แผน!IG32"")"),0)</f>
        <v>0</v>
      </c>
      <c r="J707" s="215">
        <v>0</v>
      </c>
      <c r="K707" s="498"/>
      <c r="L707" s="498"/>
      <c r="M707" s="189"/>
      <c r="N707" s="766"/>
      <c r="O707" s="498"/>
      <c r="P707" s="49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</row>
    <row r="708" spans="1:26" ht="19.5">
      <c r="A708" s="744"/>
      <c r="B708" s="763"/>
      <c r="C708" s="763"/>
      <c r="D708" s="769" t="s">
        <v>300</v>
      </c>
      <c r="E708" s="763"/>
      <c r="F708" s="763"/>
      <c r="G708" s="189"/>
      <c r="H708" s="767" t="s">
        <v>46</v>
      </c>
      <c r="I708" s="768">
        <f ca="1">IFERROR(__xludf.DUMMYFUNCTION("IMPORTRANGE(""https://docs.google.com/spreadsheets/d/1QqKyyYR6Q21VydFLVH3TRQUabQu_ym0Zz7PgGX0-kHA/edit?usp=sharing"",""แผน!IH32"")"),0)</f>
        <v>0</v>
      </c>
      <c r="J708" s="681">
        <f>J714+J717</f>
        <v>0</v>
      </c>
      <c r="K708" s="195">
        <f ca="1">IF(I708&gt;0,J708*100/I708,0)</f>
        <v>0</v>
      </c>
      <c r="L708" s="498"/>
      <c r="M708" s="189"/>
      <c r="N708" s="766"/>
      <c r="O708" s="498"/>
      <c r="P708" s="49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</row>
    <row r="709" spans="1:26" ht="18.75">
      <c r="A709" s="744"/>
      <c r="B709" s="763"/>
      <c r="C709" s="763"/>
      <c r="D709" s="763"/>
      <c r="E709" s="763" t="s">
        <v>301</v>
      </c>
      <c r="F709" s="763"/>
      <c r="G709" s="189"/>
      <c r="H709" s="764" t="s">
        <v>34</v>
      </c>
      <c r="I709" s="765"/>
      <c r="J709" s="215">
        <v>0</v>
      </c>
      <c r="K709" s="498"/>
      <c r="L709" s="766"/>
      <c r="M709" s="189"/>
      <c r="N709" s="766"/>
      <c r="O709" s="498"/>
      <c r="P709" s="49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</row>
    <row r="710" spans="1:26" ht="18.75">
      <c r="A710" s="744"/>
      <c r="B710" s="763"/>
      <c r="C710" s="763"/>
      <c r="D710" s="763"/>
      <c r="E710" s="763"/>
      <c r="F710" s="763"/>
      <c r="G710" s="189"/>
      <c r="H710" s="764" t="s">
        <v>46</v>
      </c>
      <c r="I710" s="765"/>
      <c r="J710" s="215">
        <v>0</v>
      </c>
      <c r="K710" s="498"/>
      <c r="L710" s="766"/>
      <c r="M710" s="189"/>
      <c r="N710" s="766"/>
      <c r="O710" s="498"/>
      <c r="P710" s="49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</row>
    <row r="711" spans="1:26" ht="18.75">
      <c r="A711" s="744"/>
      <c r="B711" s="763"/>
      <c r="C711" s="763"/>
      <c r="D711" s="763"/>
      <c r="E711" s="763" t="s">
        <v>302</v>
      </c>
      <c r="F711" s="763"/>
      <c r="G711" s="189"/>
      <c r="H711" s="762"/>
      <c r="I711" s="765"/>
      <c r="J711" s="270"/>
      <c r="K711" s="498"/>
      <c r="L711" s="766"/>
      <c r="M711" s="189"/>
      <c r="N711" s="766"/>
      <c r="O711" s="498"/>
      <c r="P711" s="49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</row>
    <row r="712" spans="1:26" ht="18.75">
      <c r="A712" s="744"/>
      <c r="B712" s="763"/>
      <c r="C712" s="763"/>
      <c r="D712" s="763"/>
      <c r="E712" s="763"/>
      <c r="F712" s="763" t="s">
        <v>303</v>
      </c>
      <c r="G712" s="189"/>
      <c r="H712" s="764" t="s">
        <v>35</v>
      </c>
      <c r="I712" s="765"/>
      <c r="J712" s="215">
        <v>0</v>
      </c>
      <c r="K712" s="498"/>
      <c r="L712" s="766"/>
      <c r="M712" s="189"/>
      <c r="N712" s="766"/>
      <c r="O712" s="498"/>
      <c r="P712" s="49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</row>
    <row r="713" spans="1:26" ht="18.75">
      <c r="A713" s="744"/>
      <c r="B713" s="763"/>
      <c r="C713" s="763"/>
      <c r="D713" s="763"/>
      <c r="E713" s="763"/>
      <c r="F713" s="763"/>
      <c r="G713" s="189"/>
      <c r="H713" s="764" t="s">
        <v>34</v>
      </c>
      <c r="I713" s="765"/>
      <c r="J713" s="215">
        <v>0</v>
      </c>
      <c r="K713" s="498"/>
      <c r="L713" s="766"/>
      <c r="M713" s="189"/>
      <c r="N713" s="766"/>
      <c r="O713" s="498"/>
      <c r="P713" s="49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</row>
    <row r="714" spans="1:26" ht="18.75">
      <c r="A714" s="744"/>
      <c r="B714" s="763"/>
      <c r="C714" s="763"/>
      <c r="D714" s="763"/>
      <c r="E714" s="763"/>
      <c r="F714" s="763"/>
      <c r="G714" s="189"/>
      <c r="H714" s="764" t="s">
        <v>46</v>
      </c>
      <c r="I714" s="765"/>
      <c r="J714" s="215">
        <v>0</v>
      </c>
      <c r="K714" s="498"/>
      <c r="L714" s="766"/>
      <c r="M714" s="189"/>
      <c r="N714" s="766"/>
      <c r="O714" s="498"/>
      <c r="P714" s="49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</row>
    <row r="715" spans="1:26" ht="18.75">
      <c r="A715" s="744"/>
      <c r="B715" s="763"/>
      <c r="C715" s="763"/>
      <c r="D715" s="763"/>
      <c r="E715" s="763"/>
      <c r="F715" s="763" t="s">
        <v>304</v>
      </c>
      <c r="G715" s="189"/>
      <c r="H715" s="764" t="s">
        <v>35</v>
      </c>
      <c r="I715" s="765"/>
      <c r="J715" s="215">
        <v>0</v>
      </c>
      <c r="K715" s="498"/>
      <c r="L715" s="766"/>
      <c r="M715" s="189"/>
      <c r="N715" s="766"/>
      <c r="O715" s="498"/>
      <c r="P715" s="49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</row>
    <row r="716" spans="1:26" ht="18.75">
      <c r="A716" s="744"/>
      <c r="B716" s="763"/>
      <c r="C716" s="763"/>
      <c r="D716" s="763"/>
      <c r="E716" s="763"/>
      <c r="F716" s="763"/>
      <c r="G716" s="189"/>
      <c r="H716" s="764" t="s">
        <v>34</v>
      </c>
      <c r="I716" s="765"/>
      <c r="J716" s="215">
        <v>0</v>
      </c>
      <c r="K716" s="498"/>
      <c r="L716" s="766"/>
      <c r="M716" s="189"/>
      <c r="N716" s="766"/>
      <c r="O716" s="498"/>
      <c r="P716" s="49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</row>
    <row r="717" spans="1:26" ht="18.75">
      <c r="A717" s="744"/>
      <c r="B717" s="763"/>
      <c r="C717" s="763"/>
      <c r="D717" s="763"/>
      <c r="E717" s="763"/>
      <c r="F717" s="763"/>
      <c r="G717" s="189"/>
      <c r="H717" s="764" t="s">
        <v>46</v>
      </c>
      <c r="I717" s="765"/>
      <c r="J717" s="215">
        <v>0</v>
      </c>
      <c r="K717" s="498"/>
      <c r="L717" s="766"/>
      <c r="M717" s="189"/>
      <c r="N717" s="766"/>
      <c r="O717" s="498"/>
      <c r="P717" s="49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</row>
    <row r="718" spans="1:26" ht="18.75">
      <c r="A718" s="744"/>
      <c r="B718" s="763"/>
      <c r="C718" s="763"/>
      <c r="D718" s="763" t="s">
        <v>305</v>
      </c>
      <c r="E718" s="763"/>
      <c r="F718" s="763"/>
      <c r="G718" s="189"/>
      <c r="H718" s="764" t="s">
        <v>35</v>
      </c>
      <c r="I718" s="765"/>
      <c r="J718" s="270">
        <f ca="1">IFERROR(__xludf.DUMMYFUNCTION("IMPORTRANGE(""https://docs.google.com/spreadsheets/d/1XWAQStnk-4SwqDmLtmXYiTMKHgktTP8We1SCoS47DrQ/edit?usp=sharing"",""จัดที่ดิน!BF32"")"),0)</f>
        <v>0</v>
      </c>
      <c r="K718" s="498"/>
      <c r="L718" s="498"/>
      <c r="M718" s="189"/>
      <c r="N718" s="766"/>
      <c r="O718" s="498"/>
      <c r="P718" s="49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</row>
    <row r="719" spans="1:26" ht="18.75">
      <c r="A719" s="744"/>
      <c r="B719" s="763"/>
      <c r="C719" s="763"/>
      <c r="D719" s="763"/>
      <c r="E719" s="763"/>
      <c r="F719" s="763"/>
      <c r="G719" s="189"/>
      <c r="H719" s="764" t="s">
        <v>34</v>
      </c>
      <c r="I719" s="765"/>
      <c r="J719" s="270">
        <f ca="1">IFERROR(__xludf.DUMMYFUNCTION("IMPORTRANGE(""https://docs.google.com/spreadsheets/d/1XWAQStnk-4SwqDmLtmXYiTMKHgktTP8We1SCoS47DrQ/edit?usp=sharing"",""จัดที่ดิน!BG32"")"),0)</f>
        <v>0</v>
      </c>
      <c r="K719" s="498"/>
      <c r="L719" s="766"/>
      <c r="M719" s="189"/>
      <c r="N719" s="766"/>
      <c r="O719" s="498"/>
      <c r="P719" s="49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</row>
    <row r="720" spans="1:26" ht="18.75">
      <c r="A720" s="744"/>
      <c r="B720" s="763"/>
      <c r="C720" s="763"/>
      <c r="D720" s="763"/>
      <c r="E720" s="763"/>
      <c r="F720" s="763"/>
      <c r="G720" s="189"/>
      <c r="H720" s="764" t="s">
        <v>46</v>
      </c>
      <c r="I720" s="765">
        <f ca="1">IFERROR(__xludf.DUMMYFUNCTION("IMPORTRANGE(""https://docs.google.com/spreadsheets/d/1QqKyyYR6Q21VydFLVH3TRQUabQu_ym0Zz7PgGX0-kHA/edit?usp=sharing"",""แผน!II32"")"),0)</f>
        <v>0</v>
      </c>
      <c r="J720" s="270">
        <f ca="1">IFERROR(__xludf.DUMMYFUNCTION("IMPORTRANGE(""https://docs.google.com/spreadsheets/d/1XWAQStnk-4SwqDmLtmXYiTMKHgktTP8We1SCoS47DrQ/edit?usp=sharing"",""จัดที่ดิน!BH32"")"),0)</f>
        <v>0</v>
      </c>
      <c r="K720" s="498">
        <f t="shared" ref="K720:K723" ca="1" si="291">IF(I720&gt;0,J720*100/I720,0)</f>
        <v>0</v>
      </c>
      <c r="L720" s="766"/>
      <c r="M720" s="189"/>
      <c r="N720" s="766"/>
      <c r="O720" s="498"/>
      <c r="P720" s="49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</row>
    <row r="721" spans="1:26" ht="19.5">
      <c r="A721" s="744"/>
      <c r="B721" s="763"/>
      <c r="C721" s="763"/>
      <c r="D721" s="763" t="s">
        <v>306</v>
      </c>
      <c r="E721" s="763"/>
      <c r="F721" s="763"/>
      <c r="G721" s="189"/>
      <c r="H721" s="767" t="s">
        <v>35</v>
      </c>
      <c r="I721" s="768">
        <f ca="1">IFERROR(__xludf.DUMMYFUNCTION("IMPORTRANGE(""https://docs.google.com/spreadsheets/d/1QqKyyYR6Q21VydFLVH3TRQUabQu_ym0Zz7PgGX0-kHA/edit?usp=sharing"",""แผน!IJ32"")"),3)</f>
        <v>3</v>
      </c>
      <c r="J721" s="681">
        <f ca="1">J723+J726</f>
        <v>3</v>
      </c>
      <c r="K721" s="195">
        <f t="shared" ca="1" si="291"/>
        <v>100</v>
      </c>
      <c r="L721" s="766"/>
      <c r="M721" s="189"/>
      <c r="N721" s="766"/>
      <c r="O721" s="498"/>
      <c r="P721" s="49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</row>
    <row r="722" spans="1:26" ht="19.5">
      <c r="A722" s="744"/>
      <c r="B722" s="763"/>
      <c r="C722" s="763"/>
      <c r="D722" s="763"/>
      <c r="E722" s="763"/>
      <c r="F722" s="763"/>
      <c r="G722" s="189"/>
      <c r="H722" s="767" t="s">
        <v>46</v>
      </c>
      <c r="I722" s="768">
        <f ca="1">IFERROR(__xludf.DUMMYFUNCTION("IMPORTRANGE(""https://docs.google.com/spreadsheets/d/1QqKyyYR6Q21VydFLVH3TRQUabQu_ym0Zz7PgGX0-kHA/edit?usp=sharing"",""แผน!IK32"")"),2)</f>
        <v>2</v>
      </c>
      <c r="J722" s="681">
        <f ca="1">J725+J728</f>
        <v>44.59</v>
      </c>
      <c r="K722" s="195">
        <f t="shared" ca="1" si="291"/>
        <v>2229.5</v>
      </c>
      <c r="L722" s="498"/>
      <c r="M722" s="189"/>
      <c r="N722" s="766"/>
      <c r="O722" s="498"/>
      <c r="P722" s="49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</row>
    <row r="723" spans="1:26" ht="18.75">
      <c r="A723" s="744"/>
      <c r="B723" s="763"/>
      <c r="C723" s="763"/>
      <c r="D723" s="763"/>
      <c r="E723" s="763" t="s">
        <v>307</v>
      </c>
      <c r="F723" s="763"/>
      <c r="G723" s="189"/>
      <c r="H723" s="764" t="s">
        <v>35</v>
      </c>
      <c r="I723" s="765">
        <f ca="1">IFERROR(__xludf.DUMMYFUNCTION("IMPORTRANGE(""https://docs.google.com/spreadsheets/d/1QqKyyYR6Q21VydFLVH3TRQUabQu_ym0Zz7PgGX0-kHA/edit?usp=sharing"",""แผน!IL32"")"),3)</f>
        <v>3</v>
      </c>
      <c r="J723" s="270">
        <f ca="1">IFERROR(__xludf.DUMMYFUNCTION("IMPORTRANGE(""https://docs.google.com/spreadsheets/d/1XWAQStnk-4SwqDmLtmXYiTMKHgktTP8We1SCoS47DrQ/edit?usp=sharing"",""จัดที่ดิน!BM32"")"),3)</f>
        <v>3</v>
      </c>
      <c r="K723" s="498">
        <f t="shared" ca="1" si="291"/>
        <v>100</v>
      </c>
      <c r="L723" s="498"/>
      <c r="M723" s="189"/>
      <c r="N723" s="766"/>
      <c r="O723" s="498"/>
      <c r="P723" s="49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</row>
    <row r="724" spans="1:26" ht="18.75">
      <c r="A724" s="744"/>
      <c r="B724" s="763"/>
      <c r="C724" s="763"/>
      <c r="D724" s="763"/>
      <c r="E724" s="763"/>
      <c r="F724" s="763"/>
      <c r="G724" s="189"/>
      <c r="H724" s="764" t="s">
        <v>34</v>
      </c>
      <c r="I724" s="765"/>
      <c r="J724" s="270">
        <f ca="1">IFERROR(__xludf.DUMMYFUNCTION("IMPORTRANGE(""https://docs.google.com/spreadsheets/d/1XWAQStnk-4SwqDmLtmXYiTMKHgktTP8We1SCoS47DrQ/edit?usp=sharing"",""จัดที่ดิน!BN32"")"),3)</f>
        <v>3</v>
      </c>
      <c r="K724" s="498"/>
      <c r="L724" s="766"/>
      <c r="M724" s="189"/>
      <c r="N724" s="766"/>
      <c r="O724" s="498"/>
      <c r="P724" s="49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</row>
    <row r="725" spans="1:26" ht="18.75">
      <c r="A725" s="744"/>
      <c r="B725" s="763"/>
      <c r="C725" s="763"/>
      <c r="D725" s="763"/>
      <c r="E725" s="763"/>
      <c r="F725" s="763"/>
      <c r="G725" s="189"/>
      <c r="H725" s="764" t="s">
        <v>46</v>
      </c>
      <c r="I725" s="765">
        <f ca="1">IFERROR(__xludf.DUMMYFUNCTION("IMPORTRANGE(""https://docs.google.com/spreadsheets/d/1QqKyyYR6Q21VydFLVH3TRQUabQu_ym0Zz7PgGX0-kHA/edit?usp=sharing"",""แผน!IM32"")"),2)</f>
        <v>2</v>
      </c>
      <c r="J725" s="270">
        <f ca="1">IFERROR(__xludf.DUMMYFUNCTION("IMPORTRANGE(""https://docs.google.com/spreadsheets/d/1XWAQStnk-4SwqDmLtmXYiTMKHgktTP8We1SCoS47DrQ/edit?usp=sharing"",""จัดที่ดิน!BO32"")"),44.59)</f>
        <v>44.59</v>
      </c>
      <c r="K725" s="498">
        <f t="shared" ref="K725:K726" ca="1" si="292">IF(I725&gt;0,J725*100/I725,0)</f>
        <v>2229.5</v>
      </c>
      <c r="L725" s="766"/>
      <c r="M725" s="189"/>
      <c r="N725" s="766"/>
      <c r="O725" s="498"/>
      <c r="P725" s="49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</row>
    <row r="726" spans="1:26" ht="18.75">
      <c r="A726" s="744"/>
      <c r="B726" s="763"/>
      <c r="C726" s="763"/>
      <c r="D726" s="763"/>
      <c r="E726" s="763" t="s">
        <v>308</v>
      </c>
      <c r="F726" s="763"/>
      <c r="G726" s="189"/>
      <c r="H726" s="764" t="s">
        <v>35</v>
      </c>
      <c r="I726" s="765">
        <f ca="1">IFERROR(__xludf.DUMMYFUNCTION("IMPORTRANGE(""https://docs.google.com/spreadsheets/d/1QqKyyYR6Q21VydFLVH3TRQUabQu_ym0Zz7PgGX0-kHA/edit?usp=sharing"",""แผน!IN32"")"),0)</f>
        <v>0</v>
      </c>
      <c r="J726" s="270">
        <f ca="1">IFERROR(__xludf.DUMMYFUNCTION("IMPORTRANGE(""https://docs.google.com/spreadsheets/d/1XWAQStnk-4SwqDmLtmXYiTMKHgktTP8We1SCoS47DrQ/edit?usp=sharing"",""จัดที่ดิน!BR32"")"),0)</f>
        <v>0</v>
      </c>
      <c r="K726" s="498">
        <f t="shared" ca="1" si="292"/>
        <v>0</v>
      </c>
      <c r="L726" s="498"/>
      <c r="M726" s="189"/>
      <c r="N726" s="766"/>
      <c r="O726" s="498"/>
      <c r="P726" s="49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</row>
    <row r="727" spans="1:26" ht="18.75">
      <c r="A727" s="744"/>
      <c r="B727" s="763"/>
      <c r="C727" s="763"/>
      <c r="D727" s="763"/>
      <c r="E727" s="763"/>
      <c r="F727" s="763"/>
      <c r="G727" s="189"/>
      <c r="H727" s="764" t="s">
        <v>34</v>
      </c>
      <c r="I727" s="765"/>
      <c r="J727" s="270">
        <f ca="1">IFERROR(__xludf.DUMMYFUNCTION("IMPORTRANGE(""https://docs.google.com/spreadsheets/d/1XWAQStnk-4SwqDmLtmXYiTMKHgktTP8We1SCoS47DrQ/edit?usp=sharing"",""จัดที่ดิน!BS32"")"),0)</f>
        <v>0</v>
      </c>
      <c r="K727" s="498"/>
      <c r="L727" s="766"/>
      <c r="M727" s="189"/>
      <c r="N727" s="766"/>
      <c r="O727" s="498"/>
      <c r="P727" s="49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</row>
    <row r="728" spans="1:26" ht="18.75">
      <c r="A728" s="744"/>
      <c r="B728" s="763"/>
      <c r="C728" s="763"/>
      <c r="D728" s="763"/>
      <c r="E728" s="763"/>
      <c r="F728" s="763"/>
      <c r="G728" s="189"/>
      <c r="H728" s="764" t="s">
        <v>46</v>
      </c>
      <c r="I728" s="765">
        <f ca="1">IFERROR(__xludf.DUMMYFUNCTION("IMPORTRANGE(""https://docs.google.com/spreadsheets/d/1QqKyyYR6Q21VydFLVH3TRQUabQu_ym0Zz7PgGX0-kHA/edit?usp=sharing"",""แผน!IO32"")"),0)</f>
        <v>0</v>
      </c>
      <c r="J728" s="270">
        <f ca="1">IFERROR(__xludf.DUMMYFUNCTION("IMPORTRANGE(""https://docs.google.com/spreadsheets/d/1XWAQStnk-4SwqDmLtmXYiTMKHgktTP8We1SCoS47DrQ/edit?usp=sharing"",""จัดที่ดิน!BT32"")"),0)</f>
        <v>0</v>
      </c>
      <c r="K728" s="498">
        <f t="shared" ref="K728:K729" ca="1" si="293">IF(I728&gt;0,J728*100/I728,0)</f>
        <v>0</v>
      </c>
      <c r="L728" s="766"/>
      <c r="M728" s="189"/>
      <c r="N728" s="766"/>
      <c r="O728" s="498"/>
      <c r="P728" s="49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</row>
    <row r="729" spans="1:26" ht="19.5">
      <c r="A729" s="744"/>
      <c r="B729" s="763"/>
      <c r="C729" s="763"/>
      <c r="D729" s="763" t="s">
        <v>309</v>
      </c>
      <c r="E729" s="763"/>
      <c r="F729" s="763"/>
      <c r="G729" s="189"/>
      <c r="H729" s="767" t="s">
        <v>46</v>
      </c>
      <c r="I729" s="768">
        <f ca="1">IFERROR(__xludf.DUMMYFUNCTION("IMPORTRANGE(""https://docs.google.com/spreadsheets/d/1QqKyyYR6Q21VydFLVH3TRQUabQu_ym0Zz7PgGX0-kHA/edit?usp=sharing"",""แผน!IP32"")"),0)</f>
        <v>0</v>
      </c>
      <c r="J729" s="681">
        <f>J732+J735</f>
        <v>0</v>
      </c>
      <c r="K729" s="195">
        <f t="shared" ca="1" si="293"/>
        <v>0</v>
      </c>
      <c r="L729" s="498"/>
      <c r="M729" s="189"/>
      <c r="N729" s="766"/>
      <c r="O729" s="498"/>
      <c r="P729" s="49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</row>
    <row r="730" spans="1:26" ht="18.75">
      <c r="A730" s="744"/>
      <c r="B730" s="763"/>
      <c r="C730" s="763"/>
      <c r="D730" s="763"/>
      <c r="E730" s="763" t="s">
        <v>310</v>
      </c>
      <c r="F730" s="763"/>
      <c r="G730" s="189"/>
      <c r="H730" s="764" t="s">
        <v>35</v>
      </c>
      <c r="I730" s="765"/>
      <c r="J730" s="215">
        <v>0</v>
      </c>
      <c r="K730" s="498"/>
      <c r="L730" s="766"/>
      <c r="M730" s="498"/>
      <c r="N730" s="766"/>
      <c r="O730" s="498"/>
      <c r="P730" s="49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</row>
    <row r="731" spans="1:26" ht="18.75">
      <c r="A731" s="744"/>
      <c r="B731" s="763"/>
      <c r="C731" s="763"/>
      <c r="D731" s="763"/>
      <c r="E731" s="763"/>
      <c r="F731" s="763"/>
      <c r="G731" s="189"/>
      <c r="H731" s="764" t="s">
        <v>34</v>
      </c>
      <c r="I731" s="765"/>
      <c r="J731" s="215">
        <v>0</v>
      </c>
      <c r="K731" s="498"/>
      <c r="L731" s="766"/>
      <c r="M731" s="498"/>
      <c r="N731" s="766"/>
      <c r="O731" s="498"/>
      <c r="P731" s="49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</row>
    <row r="732" spans="1:26" ht="18.75">
      <c r="A732" s="744"/>
      <c r="B732" s="763"/>
      <c r="C732" s="763"/>
      <c r="D732" s="763"/>
      <c r="E732" s="763"/>
      <c r="F732" s="763"/>
      <c r="G732" s="189"/>
      <c r="H732" s="764" t="s">
        <v>46</v>
      </c>
      <c r="I732" s="765"/>
      <c r="J732" s="215">
        <v>0</v>
      </c>
      <c r="K732" s="498"/>
      <c r="L732" s="766"/>
      <c r="M732" s="498"/>
      <c r="N732" s="766"/>
      <c r="O732" s="498"/>
      <c r="P732" s="49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</row>
    <row r="733" spans="1:26" ht="18.75">
      <c r="A733" s="744"/>
      <c r="B733" s="763"/>
      <c r="C733" s="763"/>
      <c r="D733" s="763"/>
      <c r="E733" s="763" t="s">
        <v>311</v>
      </c>
      <c r="F733" s="763"/>
      <c r="G733" s="189"/>
      <c r="H733" s="764" t="s">
        <v>35</v>
      </c>
      <c r="I733" s="765"/>
      <c r="J733" s="215">
        <v>0</v>
      </c>
      <c r="K733" s="498"/>
      <c r="L733" s="766"/>
      <c r="M733" s="498"/>
      <c r="N733" s="766"/>
      <c r="O733" s="498"/>
      <c r="P733" s="49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</row>
    <row r="734" spans="1:26" ht="18.75">
      <c r="A734" s="744"/>
      <c r="B734" s="763"/>
      <c r="C734" s="763"/>
      <c r="D734" s="763"/>
      <c r="E734" s="763"/>
      <c r="F734" s="763"/>
      <c r="G734" s="189"/>
      <c r="H734" s="764" t="s">
        <v>34</v>
      </c>
      <c r="I734" s="765"/>
      <c r="J734" s="215">
        <v>0</v>
      </c>
      <c r="K734" s="498"/>
      <c r="L734" s="766"/>
      <c r="M734" s="498"/>
      <c r="N734" s="766"/>
      <c r="O734" s="498"/>
      <c r="P734" s="49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</row>
    <row r="735" spans="1:26" ht="19.5">
      <c r="A735" s="770"/>
      <c r="B735" s="771" t="s">
        <v>312</v>
      </c>
      <c r="C735" s="734"/>
      <c r="D735" s="734"/>
      <c r="E735" s="734"/>
      <c r="F735" s="734"/>
      <c r="G735" s="735"/>
      <c r="H735" s="422" t="s">
        <v>46</v>
      </c>
      <c r="I735" s="772"/>
      <c r="J735" s="424">
        <v>0</v>
      </c>
      <c r="K735" s="507"/>
      <c r="L735" s="773"/>
      <c r="M735" s="507"/>
      <c r="N735" s="773"/>
      <c r="O735" s="507"/>
      <c r="P735" s="507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</row>
    <row r="736" spans="1:26" ht="19.5" hidden="1">
      <c r="A736" s="774">
        <v>9</v>
      </c>
      <c r="B736" s="775" t="s">
        <v>313</v>
      </c>
      <c r="C736" s="776"/>
      <c r="D736" s="776"/>
      <c r="E736" s="776"/>
      <c r="F736" s="776"/>
      <c r="G736" s="777"/>
      <c r="H736" s="778" t="s">
        <v>46</v>
      </c>
      <c r="I736" s="779"/>
      <c r="J736" s="779">
        <f>J751</f>
        <v>0</v>
      </c>
      <c r="K736" s="780">
        <f>IF(I736&gt;0,J736*100/I736,0)</f>
        <v>0</v>
      </c>
      <c r="L736" s="781"/>
      <c r="M736" s="781"/>
      <c r="N736" s="781"/>
      <c r="O736" s="781"/>
      <c r="P736" s="781"/>
      <c r="Q736" s="604"/>
      <c r="R736" s="604"/>
      <c r="S736" s="604"/>
      <c r="T736" s="604"/>
      <c r="U736" s="604"/>
      <c r="V736" s="604"/>
      <c r="W736" s="604"/>
      <c r="X736" s="604"/>
      <c r="Y736" s="604"/>
      <c r="Z736" s="604"/>
    </row>
    <row r="737" spans="1:26" ht="19.5" hidden="1">
      <c r="A737" s="599"/>
      <c r="B737" s="759"/>
      <c r="C737" s="759" t="s">
        <v>16</v>
      </c>
      <c r="D737" s="864" t="s">
        <v>17</v>
      </c>
      <c r="E737" s="857"/>
      <c r="F737" s="857"/>
      <c r="G737" s="603"/>
      <c r="H737" s="646" t="s">
        <v>12</v>
      </c>
      <c r="I737" s="617"/>
      <c r="J737" s="617"/>
      <c r="K737" s="93"/>
      <c r="L737" s="647">
        <f t="shared" ref="L737:N737" si="294">L738+L739</f>
        <v>0</v>
      </c>
      <c r="M737" s="647">
        <f t="shared" si="294"/>
        <v>0</v>
      </c>
      <c r="N737" s="647">
        <f t="shared" si="294"/>
        <v>0</v>
      </c>
      <c r="O737" s="647">
        <f t="shared" ref="O737:O742" si="295">IF(L737&gt;0,N737*100/L737,0)</f>
        <v>0</v>
      </c>
      <c r="P737" s="647">
        <f t="shared" ref="P737:P742" si="296">IF(M737&gt;0,N737*100/M737,0)</f>
        <v>0</v>
      </c>
      <c r="Q737" s="604"/>
      <c r="R737" s="604"/>
      <c r="S737" s="604"/>
      <c r="T737" s="604"/>
      <c r="U737" s="604"/>
      <c r="V737" s="604"/>
      <c r="W737" s="604"/>
      <c r="X737" s="604"/>
      <c r="Y737" s="604"/>
      <c r="Z737" s="604"/>
    </row>
    <row r="738" spans="1:26" ht="18.75" hidden="1">
      <c r="A738" s="599"/>
      <c r="B738" s="759"/>
      <c r="C738" s="759"/>
      <c r="D738" s="720"/>
      <c r="E738" s="759" t="s">
        <v>185</v>
      </c>
      <c r="F738" s="759"/>
      <c r="G738" s="603"/>
      <c r="H738" s="165" t="s">
        <v>12</v>
      </c>
      <c r="I738" s="617"/>
      <c r="J738" s="617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4"/>
      <c r="R738" s="604"/>
      <c r="S738" s="604"/>
      <c r="T738" s="604"/>
      <c r="U738" s="604"/>
      <c r="V738" s="604"/>
      <c r="W738" s="604"/>
      <c r="X738" s="604"/>
      <c r="Y738" s="604"/>
      <c r="Z738" s="604"/>
    </row>
    <row r="739" spans="1:26" ht="18.75" hidden="1">
      <c r="A739" s="599"/>
      <c r="B739" s="607"/>
      <c r="C739" s="759"/>
      <c r="D739" s="720"/>
      <c r="E739" s="759" t="s">
        <v>186</v>
      </c>
      <c r="F739" s="759"/>
      <c r="G739" s="603"/>
      <c r="H739" s="165" t="s">
        <v>12</v>
      </c>
      <c r="I739" s="617"/>
      <c r="J739" s="617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4"/>
      <c r="R739" s="604"/>
      <c r="S739" s="604"/>
      <c r="T739" s="604"/>
      <c r="U739" s="604"/>
      <c r="V739" s="604"/>
      <c r="W739" s="604"/>
      <c r="X739" s="604"/>
      <c r="Y739" s="604"/>
      <c r="Z739" s="604"/>
    </row>
    <row r="740" spans="1:26" ht="19.5" hidden="1">
      <c r="A740" s="599"/>
      <c r="B740" s="607"/>
      <c r="C740" s="759"/>
      <c r="D740" s="645" t="s">
        <v>20</v>
      </c>
      <c r="E740" s="759"/>
      <c r="F740" s="759"/>
      <c r="G740" s="603"/>
      <c r="H740" s="646" t="s">
        <v>12</v>
      </c>
      <c r="I740" s="166"/>
      <c r="J740" s="166"/>
      <c r="K740" s="167"/>
      <c r="L740" s="647">
        <f t="shared" ref="L740:N740" si="298">L741+L742</f>
        <v>0</v>
      </c>
      <c r="M740" s="647">
        <f t="shared" si="298"/>
        <v>0</v>
      </c>
      <c r="N740" s="647">
        <f t="shared" si="298"/>
        <v>0</v>
      </c>
      <c r="O740" s="647">
        <f t="shared" si="295"/>
        <v>0</v>
      </c>
      <c r="P740" s="647">
        <f t="shared" si="296"/>
        <v>0</v>
      </c>
      <c r="Q740" s="604"/>
      <c r="R740" s="604"/>
      <c r="S740" s="604"/>
      <c r="T740" s="604"/>
      <c r="U740" s="604"/>
      <c r="V740" s="604"/>
      <c r="W740" s="604"/>
      <c r="X740" s="604"/>
      <c r="Y740" s="604"/>
      <c r="Z740" s="604"/>
    </row>
    <row r="741" spans="1:26" ht="18.75" hidden="1">
      <c r="A741" s="599"/>
      <c r="B741" s="607"/>
      <c r="C741" s="759"/>
      <c r="D741" s="720"/>
      <c r="E741" s="759" t="s">
        <v>185</v>
      </c>
      <c r="F741" s="759"/>
      <c r="G741" s="603"/>
      <c r="H741" s="165" t="s">
        <v>12</v>
      </c>
      <c r="I741" s="617"/>
      <c r="J741" s="617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4"/>
      <c r="R741" s="604"/>
      <c r="S741" s="604"/>
      <c r="T741" s="604"/>
      <c r="U741" s="604"/>
      <c r="V741" s="604"/>
      <c r="W741" s="604"/>
      <c r="X741" s="604"/>
      <c r="Y741" s="604"/>
      <c r="Z741" s="604"/>
    </row>
    <row r="742" spans="1:26" ht="18.75" hidden="1">
      <c r="A742" s="599"/>
      <c r="B742" s="607"/>
      <c r="C742" s="759"/>
      <c r="D742" s="720"/>
      <c r="E742" s="759" t="s">
        <v>186</v>
      </c>
      <c r="F742" s="759"/>
      <c r="G742" s="603"/>
      <c r="H742" s="165" t="s">
        <v>12</v>
      </c>
      <c r="I742" s="617"/>
      <c r="J742" s="617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4"/>
      <c r="R742" s="604"/>
      <c r="S742" s="604"/>
      <c r="T742" s="604"/>
      <c r="U742" s="604"/>
      <c r="V742" s="604"/>
      <c r="W742" s="604"/>
      <c r="X742" s="604"/>
      <c r="Y742" s="604"/>
      <c r="Z742" s="604"/>
    </row>
    <row r="743" spans="1:26" ht="18.75" hidden="1">
      <c r="A743" s="649"/>
      <c r="B743" s="607"/>
      <c r="C743" s="759"/>
      <c r="D743" s="759"/>
      <c r="E743" s="759"/>
      <c r="F743" s="759" t="s">
        <v>187</v>
      </c>
      <c r="G743" s="603"/>
      <c r="H743" s="165" t="s">
        <v>12</v>
      </c>
      <c r="I743" s="617"/>
      <c r="J743" s="617"/>
      <c r="K743" s="93"/>
      <c r="L743" s="93"/>
      <c r="M743" s="93"/>
      <c r="N743" s="93"/>
      <c r="O743" s="93"/>
      <c r="P743" s="93"/>
      <c r="Q743" s="604"/>
      <c r="R743" s="604"/>
      <c r="S743" s="604"/>
      <c r="T743" s="604"/>
      <c r="U743" s="604"/>
      <c r="V743" s="604"/>
      <c r="W743" s="604"/>
      <c r="X743" s="604"/>
      <c r="Y743" s="604"/>
      <c r="Z743" s="604"/>
    </row>
    <row r="744" spans="1:26" ht="18.75" hidden="1">
      <c r="A744" s="649"/>
      <c r="B744" s="607"/>
      <c r="C744" s="759"/>
      <c r="D744" s="759"/>
      <c r="E744" s="759"/>
      <c r="F744" s="759" t="s">
        <v>188</v>
      </c>
      <c r="G744" s="603"/>
      <c r="H744" s="165" t="s">
        <v>12</v>
      </c>
      <c r="I744" s="617"/>
      <c r="J744" s="617"/>
      <c r="K744" s="93"/>
      <c r="L744" s="93"/>
      <c r="M744" s="93"/>
      <c r="N744" s="93"/>
      <c r="O744" s="93"/>
      <c r="P744" s="93"/>
      <c r="Q744" s="604"/>
      <c r="R744" s="604"/>
      <c r="S744" s="604"/>
      <c r="T744" s="604"/>
      <c r="U744" s="604"/>
      <c r="V744" s="604"/>
      <c r="W744" s="604"/>
      <c r="X744" s="604"/>
      <c r="Y744" s="604"/>
      <c r="Z744" s="604"/>
    </row>
    <row r="745" spans="1:26" ht="18.75" hidden="1">
      <c r="A745" s="649"/>
      <c r="B745" s="607"/>
      <c r="C745" s="759"/>
      <c r="D745" s="759"/>
      <c r="E745" s="759"/>
      <c r="F745" s="759" t="s">
        <v>189</v>
      </c>
      <c r="G745" s="603"/>
      <c r="H745" s="165" t="s">
        <v>12</v>
      </c>
      <c r="I745" s="617"/>
      <c r="J745" s="617"/>
      <c r="K745" s="93"/>
      <c r="L745" s="93"/>
      <c r="M745" s="93"/>
      <c r="N745" s="93"/>
      <c r="O745" s="93"/>
      <c r="P745" s="93"/>
      <c r="Q745" s="604"/>
      <c r="R745" s="604"/>
      <c r="S745" s="604"/>
      <c r="T745" s="604"/>
      <c r="U745" s="604"/>
      <c r="V745" s="604"/>
      <c r="W745" s="604"/>
      <c r="X745" s="604"/>
      <c r="Y745" s="604"/>
      <c r="Z745" s="604"/>
    </row>
    <row r="746" spans="1:26" ht="18.75" hidden="1">
      <c r="A746" s="649"/>
      <c r="B746" s="607"/>
      <c r="C746" s="759"/>
      <c r="D746" s="759"/>
      <c r="E746" s="759"/>
      <c r="F746" s="759" t="s">
        <v>190</v>
      </c>
      <c r="G746" s="603"/>
      <c r="H746" s="165" t="s">
        <v>12</v>
      </c>
      <c r="I746" s="617"/>
      <c r="J746" s="617"/>
      <c r="K746" s="93"/>
      <c r="L746" s="93"/>
      <c r="M746" s="93"/>
      <c r="N746" s="93"/>
      <c r="O746" s="93"/>
      <c r="P746" s="93"/>
      <c r="Q746" s="604"/>
      <c r="R746" s="604"/>
      <c r="S746" s="604"/>
      <c r="T746" s="604"/>
      <c r="U746" s="604"/>
      <c r="V746" s="604"/>
      <c r="W746" s="604"/>
      <c r="X746" s="604"/>
      <c r="Y746" s="604"/>
      <c r="Z746" s="604"/>
    </row>
    <row r="747" spans="1:26" ht="19.5" hidden="1">
      <c r="A747" s="599"/>
      <c r="B747" s="607"/>
      <c r="C747" s="759"/>
      <c r="D747" s="645" t="s">
        <v>21</v>
      </c>
      <c r="E747" s="759"/>
      <c r="F747" s="759"/>
      <c r="G747" s="603"/>
      <c r="H747" s="783" t="s">
        <v>12</v>
      </c>
      <c r="I747" s="166"/>
      <c r="J747" s="166"/>
      <c r="K747" s="167"/>
      <c r="L747" s="647">
        <f t="shared" ref="L747:N747" si="299">L748+L749</f>
        <v>0</v>
      </c>
      <c r="M747" s="647">
        <f t="shared" si="299"/>
        <v>0</v>
      </c>
      <c r="N747" s="647">
        <f t="shared" si="299"/>
        <v>0</v>
      </c>
      <c r="O747" s="647">
        <f t="shared" ref="O747:O749" si="300">IF(L747&gt;0,N747*100/L747,0)</f>
        <v>0</v>
      </c>
      <c r="P747" s="647">
        <f t="shared" ref="P747:P749" si="301">IF(M747&gt;0,N747*100/M747,0)</f>
        <v>0</v>
      </c>
      <c r="Q747" s="604"/>
      <c r="R747" s="604"/>
      <c r="S747" s="604"/>
      <c r="T747" s="604"/>
      <c r="U747" s="604"/>
      <c r="V747" s="604"/>
      <c r="W747" s="604"/>
      <c r="X747" s="604"/>
      <c r="Y747" s="604"/>
      <c r="Z747" s="604"/>
    </row>
    <row r="748" spans="1:26" ht="18.75" hidden="1">
      <c r="A748" s="599"/>
      <c r="B748" s="607"/>
      <c r="C748" s="759"/>
      <c r="D748" s="759"/>
      <c r="E748" s="759" t="s">
        <v>18</v>
      </c>
      <c r="F748" s="759"/>
      <c r="G748" s="603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4"/>
      <c r="R748" s="604"/>
      <c r="S748" s="604"/>
      <c r="T748" s="604"/>
      <c r="U748" s="604"/>
      <c r="V748" s="604"/>
      <c r="W748" s="604"/>
      <c r="X748" s="604"/>
      <c r="Y748" s="604"/>
      <c r="Z748" s="604"/>
    </row>
    <row r="749" spans="1:26" ht="18.75" hidden="1">
      <c r="A749" s="599"/>
      <c r="B749" s="607"/>
      <c r="C749" s="759"/>
      <c r="D749" s="759"/>
      <c r="E749" s="759" t="s">
        <v>19</v>
      </c>
      <c r="F749" s="759"/>
      <c r="G749" s="603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4"/>
      <c r="R749" s="604"/>
      <c r="S749" s="604"/>
      <c r="T749" s="604"/>
      <c r="U749" s="604"/>
      <c r="V749" s="604"/>
      <c r="W749" s="604"/>
      <c r="X749" s="604"/>
      <c r="Y749" s="604"/>
      <c r="Z749" s="604"/>
    </row>
    <row r="750" spans="1:26" ht="19.5" hidden="1">
      <c r="A750" s="614"/>
      <c r="B750" s="616"/>
      <c r="C750" s="759" t="s">
        <v>16</v>
      </c>
      <c r="D750" s="899" t="s">
        <v>38</v>
      </c>
      <c r="E750" s="651"/>
      <c r="F750" s="651"/>
      <c r="G750" s="652"/>
      <c r="H750" s="366"/>
      <c r="I750" s="166"/>
      <c r="J750" s="166"/>
      <c r="K750" s="167"/>
      <c r="L750" s="167"/>
      <c r="M750" s="167"/>
      <c r="N750" s="167"/>
      <c r="O750" s="167"/>
      <c r="P750" s="167"/>
      <c r="Q750" s="604"/>
      <c r="R750" s="604"/>
      <c r="S750" s="604"/>
      <c r="T750" s="604"/>
      <c r="U750" s="604"/>
      <c r="V750" s="604"/>
      <c r="W750" s="604"/>
      <c r="X750" s="604"/>
      <c r="Y750" s="604"/>
      <c r="Z750" s="604"/>
    </row>
    <row r="751" spans="1:26" ht="18.75" hidden="1">
      <c r="A751" s="649"/>
      <c r="B751" s="607"/>
      <c r="C751" s="759"/>
      <c r="D751" s="759"/>
      <c r="E751" s="759" t="s">
        <v>314</v>
      </c>
      <c r="F751" s="759"/>
      <c r="G751" s="603"/>
      <c r="H751" s="165" t="s">
        <v>46</v>
      </c>
      <c r="I751" s="617"/>
      <c r="J751" s="617"/>
      <c r="K751" s="93"/>
      <c r="L751" s="93"/>
      <c r="M751" s="93"/>
      <c r="N751" s="93"/>
      <c r="O751" s="93"/>
      <c r="P751" s="93"/>
      <c r="Q751" s="604"/>
      <c r="R751" s="604"/>
      <c r="S751" s="604"/>
      <c r="T751" s="604"/>
      <c r="U751" s="604"/>
      <c r="V751" s="604"/>
      <c r="W751" s="604"/>
      <c r="X751" s="604"/>
      <c r="Y751" s="604"/>
      <c r="Z751" s="604"/>
    </row>
    <row r="752" spans="1:26" ht="18.75" hidden="1">
      <c r="A752" s="649"/>
      <c r="B752" s="607"/>
      <c r="C752" s="759"/>
      <c r="D752" s="759"/>
      <c r="E752" s="759"/>
      <c r="F752" s="759"/>
      <c r="G752" s="603"/>
      <c r="H752" s="165" t="s">
        <v>315</v>
      </c>
      <c r="I752" s="617"/>
      <c r="J752" s="617"/>
      <c r="K752" s="93"/>
      <c r="L752" s="93"/>
      <c r="M752" s="93"/>
      <c r="N752" s="93"/>
      <c r="O752" s="93"/>
      <c r="P752" s="93"/>
      <c r="Q752" s="604"/>
      <c r="R752" s="604"/>
      <c r="S752" s="604"/>
      <c r="T752" s="604"/>
      <c r="U752" s="604"/>
      <c r="V752" s="604"/>
      <c r="W752" s="604"/>
      <c r="X752" s="604"/>
      <c r="Y752" s="604"/>
      <c r="Z752" s="604"/>
    </row>
    <row r="753" spans="1:26" ht="19.5" hidden="1">
      <c r="A753" s="785">
        <v>10</v>
      </c>
      <c r="B753" s="786" t="s">
        <v>316</v>
      </c>
      <c r="C753" s="787"/>
      <c r="D753" s="787"/>
      <c r="E753" s="787"/>
      <c r="F753" s="787"/>
      <c r="G753" s="788"/>
      <c r="H753" s="789" t="s">
        <v>46</v>
      </c>
      <c r="I753" s="790"/>
      <c r="J753" s="790">
        <f>J768</f>
        <v>0</v>
      </c>
      <c r="K753" s="791">
        <f>IF(I753&gt;0,J753*100/I753,0)</f>
        <v>0</v>
      </c>
      <c r="L753" s="792"/>
      <c r="M753" s="792"/>
      <c r="N753" s="792"/>
      <c r="O753" s="792"/>
      <c r="P753" s="792"/>
      <c r="Q753" s="604"/>
      <c r="R753" s="604"/>
      <c r="S753" s="604"/>
      <c r="T753" s="604"/>
      <c r="U753" s="604"/>
      <c r="V753" s="604"/>
      <c r="W753" s="604"/>
      <c r="X753" s="604"/>
      <c r="Y753" s="604"/>
      <c r="Z753" s="604"/>
    </row>
    <row r="754" spans="1:26" ht="19.5" hidden="1">
      <c r="A754" s="599"/>
      <c r="B754" s="759"/>
      <c r="C754" s="759" t="s">
        <v>16</v>
      </c>
      <c r="D754" s="864" t="s">
        <v>17</v>
      </c>
      <c r="E754" s="857"/>
      <c r="F754" s="857"/>
      <c r="G754" s="603"/>
      <c r="H754" s="646" t="s">
        <v>12</v>
      </c>
      <c r="I754" s="617"/>
      <c r="J754" s="617"/>
      <c r="K754" s="93"/>
      <c r="L754" s="647">
        <f t="shared" ref="L754:N754" si="302">L755+L756</f>
        <v>0</v>
      </c>
      <c r="M754" s="647">
        <f t="shared" si="302"/>
        <v>0</v>
      </c>
      <c r="N754" s="647">
        <f t="shared" si="302"/>
        <v>0</v>
      </c>
      <c r="O754" s="647">
        <f t="shared" ref="O754:O759" si="303">IF(L754&gt;0,N754*100/L754,0)</f>
        <v>0</v>
      </c>
      <c r="P754" s="647">
        <f t="shared" ref="P754:P759" si="304">IF(M754&gt;0,N754*100/M754,0)</f>
        <v>0</v>
      </c>
      <c r="Q754" s="604"/>
      <c r="R754" s="604"/>
      <c r="S754" s="604"/>
      <c r="T754" s="604"/>
      <c r="U754" s="604"/>
      <c r="V754" s="604"/>
      <c r="W754" s="604"/>
      <c r="X754" s="604"/>
      <c r="Y754" s="604"/>
      <c r="Z754" s="604"/>
    </row>
    <row r="755" spans="1:26" ht="18.75" hidden="1">
      <c r="A755" s="599"/>
      <c r="B755" s="759"/>
      <c r="C755" s="759"/>
      <c r="D755" s="720"/>
      <c r="E755" s="759" t="s">
        <v>185</v>
      </c>
      <c r="F755" s="759"/>
      <c r="G755" s="603"/>
      <c r="H755" s="165" t="s">
        <v>12</v>
      </c>
      <c r="I755" s="617"/>
      <c r="J755" s="617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4"/>
      <c r="R755" s="604"/>
      <c r="S755" s="604"/>
      <c r="T755" s="604"/>
      <c r="U755" s="604"/>
      <c r="V755" s="604"/>
      <c r="W755" s="604"/>
      <c r="X755" s="604"/>
      <c r="Y755" s="604"/>
      <c r="Z755" s="604"/>
    </row>
    <row r="756" spans="1:26" ht="18.75" hidden="1">
      <c r="A756" s="599"/>
      <c r="B756" s="607"/>
      <c r="C756" s="759"/>
      <c r="D756" s="720"/>
      <c r="E756" s="759" t="s">
        <v>186</v>
      </c>
      <c r="F756" s="759"/>
      <c r="G756" s="603"/>
      <c r="H756" s="165" t="s">
        <v>12</v>
      </c>
      <c r="I756" s="617"/>
      <c r="J756" s="617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4"/>
      <c r="R756" s="604"/>
      <c r="S756" s="604"/>
      <c r="T756" s="604"/>
      <c r="U756" s="604"/>
      <c r="V756" s="604"/>
      <c r="W756" s="604"/>
      <c r="X756" s="604"/>
      <c r="Y756" s="604"/>
      <c r="Z756" s="604"/>
    </row>
    <row r="757" spans="1:26" ht="19.5" hidden="1">
      <c r="A757" s="599"/>
      <c r="B757" s="607"/>
      <c r="C757" s="759"/>
      <c r="D757" s="645" t="s">
        <v>20</v>
      </c>
      <c r="E757" s="759"/>
      <c r="F757" s="759"/>
      <c r="G757" s="603"/>
      <c r="H757" s="646" t="s">
        <v>12</v>
      </c>
      <c r="I757" s="166"/>
      <c r="J757" s="166"/>
      <c r="K757" s="167"/>
      <c r="L757" s="647">
        <f t="shared" ref="L757:N757" si="306">L758+L759</f>
        <v>0</v>
      </c>
      <c r="M757" s="647">
        <f t="shared" si="306"/>
        <v>0</v>
      </c>
      <c r="N757" s="647">
        <f t="shared" si="306"/>
        <v>0</v>
      </c>
      <c r="O757" s="647">
        <f t="shared" si="303"/>
        <v>0</v>
      </c>
      <c r="P757" s="647">
        <f t="shared" si="304"/>
        <v>0</v>
      </c>
      <c r="Q757" s="604"/>
      <c r="R757" s="604"/>
      <c r="S757" s="604"/>
      <c r="T757" s="604"/>
      <c r="U757" s="604"/>
      <c r="V757" s="604"/>
      <c r="W757" s="604"/>
      <c r="X757" s="604"/>
      <c r="Y757" s="604"/>
      <c r="Z757" s="604"/>
    </row>
    <row r="758" spans="1:26" ht="18.75" hidden="1">
      <c r="A758" s="599"/>
      <c r="B758" s="607"/>
      <c r="C758" s="759"/>
      <c r="D758" s="720"/>
      <c r="E758" s="759" t="s">
        <v>185</v>
      </c>
      <c r="F758" s="759"/>
      <c r="G758" s="603"/>
      <c r="H758" s="165" t="s">
        <v>12</v>
      </c>
      <c r="I758" s="617"/>
      <c r="J758" s="617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4"/>
      <c r="R758" s="604"/>
      <c r="S758" s="604"/>
      <c r="T758" s="604"/>
      <c r="U758" s="604"/>
      <c r="V758" s="604"/>
      <c r="W758" s="604"/>
      <c r="X758" s="604"/>
      <c r="Y758" s="604"/>
      <c r="Z758" s="604"/>
    </row>
    <row r="759" spans="1:26" ht="18.75" hidden="1">
      <c r="A759" s="599"/>
      <c r="B759" s="607"/>
      <c r="C759" s="759"/>
      <c r="D759" s="720"/>
      <c r="E759" s="759" t="s">
        <v>186</v>
      </c>
      <c r="F759" s="759"/>
      <c r="G759" s="603"/>
      <c r="H759" s="165" t="s">
        <v>12</v>
      </c>
      <c r="I759" s="617"/>
      <c r="J759" s="617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4"/>
      <c r="R759" s="604"/>
      <c r="S759" s="604"/>
      <c r="T759" s="604"/>
      <c r="U759" s="604"/>
      <c r="V759" s="604"/>
      <c r="W759" s="604"/>
      <c r="X759" s="604"/>
      <c r="Y759" s="604"/>
      <c r="Z759" s="604"/>
    </row>
    <row r="760" spans="1:26" ht="18.75" hidden="1">
      <c r="A760" s="649"/>
      <c r="B760" s="607"/>
      <c r="C760" s="759"/>
      <c r="D760" s="759"/>
      <c r="E760" s="759"/>
      <c r="F760" s="759" t="s">
        <v>187</v>
      </c>
      <c r="G760" s="603"/>
      <c r="H760" s="165" t="s">
        <v>12</v>
      </c>
      <c r="I760" s="617"/>
      <c r="J760" s="617"/>
      <c r="K760" s="93"/>
      <c r="L760" s="93"/>
      <c r="M760" s="93"/>
      <c r="N760" s="93"/>
      <c r="O760" s="93"/>
      <c r="P760" s="93"/>
      <c r="Q760" s="604"/>
      <c r="R760" s="604"/>
      <c r="S760" s="604"/>
      <c r="T760" s="604"/>
      <c r="U760" s="604"/>
      <c r="V760" s="604"/>
      <c r="W760" s="604"/>
      <c r="X760" s="604"/>
      <c r="Y760" s="604"/>
      <c r="Z760" s="604"/>
    </row>
    <row r="761" spans="1:26" ht="18.75" hidden="1">
      <c r="A761" s="649"/>
      <c r="B761" s="607"/>
      <c r="C761" s="759"/>
      <c r="D761" s="759"/>
      <c r="E761" s="759"/>
      <c r="F761" s="759" t="s">
        <v>188</v>
      </c>
      <c r="G761" s="603"/>
      <c r="H761" s="165" t="s">
        <v>12</v>
      </c>
      <c r="I761" s="617"/>
      <c r="J761" s="617"/>
      <c r="K761" s="93"/>
      <c r="L761" s="93"/>
      <c r="M761" s="93"/>
      <c r="N761" s="93"/>
      <c r="O761" s="93"/>
      <c r="P761" s="93"/>
      <c r="Q761" s="604"/>
      <c r="R761" s="604"/>
      <c r="S761" s="604"/>
      <c r="T761" s="604"/>
      <c r="U761" s="604"/>
      <c r="V761" s="604"/>
      <c r="W761" s="604"/>
      <c r="X761" s="604"/>
      <c r="Y761" s="604"/>
      <c r="Z761" s="604"/>
    </row>
    <row r="762" spans="1:26" ht="18.75" hidden="1">
      <c r="A762" s="649"/>
      <c r="B762" s="607"/>
      <c r="C762" s="759"/>
      <c r="D762" s="759"/>
      <c r="E762" s="759"/>
      <c r="F762" s="759" t="s">
        <v>189</v>
      </c>
      <c r="G762" s="603"/>
      <c r="H762" s="165" t="s">
        <v>12</v>
      </c>
      <c r="I762" s="617"/>
      <c r="J762" s="617"/>
      <c r="K762" s="93"/>
      <c r="L762" s="93"/>
      <c r="M762" s="93"/>
      <c r="N762" s="93"/>
      <c r="O762" s="93"/>
      <c r="P762" s="93"/>
      <c r="Q762" s="604"/>
      <c r="R762" s="604"/>
      <c r="S762" s="604"/>
      <c r="T762" s="604"/>
      <c r="U762" s="604"/>
      <c r="V762" s="604"/>
      <c r="W762" s="604"/>
      <c r="X762" s="604"/>
      <c r="Y762" s="604"/>
      <c r="Z762" s="604"/>
    </row>
    <row r="763" spans="1:26" ht="18.75" hidden="1">
      <c r="A763" s="649"/>
      <c r="B763" s="607"/>
      <c r="C763" s="759"/>
      <c r="D763" s="759"/>
      <c r="E763" s="759"/>
      <c r="F763" s="759" t="s">
        <v>190</v>
      </c>
      <c r="G763" s="603"/>
      <c r="H763" s="165" t="s">
        <v>12</v>
      </c>
      <c r="I763" s="617"/>
      <c r="J763" s="617"/>
      <c r="K763" s="93"/>
      <c r="L763" s="93"/>
      <c r="M763" s="93"/>
      <c r="N763" s="93"/>
      <c r="O763" s="93"/>
      <c r="P763" s="93"/>
      <c r="Q763" s="604"/>
      <c r="R763" s="604"/>
      <c r="S763" s="604"/>
      <c r="T763" s="604"/>
      <c r="U763" s="604"/>
      <c r="V763" s="604"/>
      <c r="W763" s="604"/>
      <c r="X763" s="604"/>
      <c r="Y763" s="604"/>
      <c r="Z763" s="604"/>
    </row>
    <row r="764" spans="1:26" ht="19.5" hidden="1">
      <c r="A764" s="599"/>
      <c r="B764" s="607"/>
      <c r="C764" s="759"/>
      <c r="D764" s="645" t="s">
        <v>21</v>
      </c>
      <c r="E764" s="759"/>
      <c r="F764" s="759"/>
      <c r="G764" s="603"/>
      <c r="H764" s="783" t="s">
        <v>12</v>
      </c>
      <c r="I764" s="166"/>
      <c r="J764" s="166"/>
      <c r="K764" s="167"/>
      <c r="L764" s="647">
        <f t="shared" ref="L764:N764" si="307">L765+L766</f>
        <v>0</v>
      </c>
      <c r="M764" s="647">
        <f t="shared" si="307"/>
        <v>0</v>
      </c>
      <c r="N764" s="647">
        <f t="shared" si="307"/>
        <v>0</v>
      </c>
      <c r="O764" s="647">
        <f t="shared" ref="O764:O766" si="308">IF(L764&gt;0,N764*100/L764,0)</f>
        <v>0</v>
      </c>
      <c r="P764" s="647">
        <f t="shared" ref="P764:P766" si="309">IF(M764&gt;0,N764*100/M764,0)</f>
        <v>0</v>
      </c>
      <c r="Q764" s="604"/>
      <c r="R764" s="604"/>
      <c r="S764" s="604"/>
      <c r="T764" s="604"/>
      <c r="U764" s="604"/>
      <c r="V764" s="604"/>
      <c r="W764" s="604"/>
      <c r="X764" s="604"/>
      <c r="Y764" s="604"/>
      <c r="Z764" s="604"/>
    </row>
    <row r="765" spans="1:26" ht="18.75" hidden="1">
      <c r="A765" s="599"/>
      <c r="B765" s="607"/>
      <c r="C765" s="759"/>
      <c r="D765" s="759"/>
      <c r="E765" s="759" t="s">
        <v>18</v>
      </c>
      <c r="F765" s="759"/>
      <c r="G765" s="603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4"/>
      <c r="R765" s="604"/>
      <c r="S765" s="604"/>
      <c r="T765" s="604"/>
      <c r="U765" s="604"/>
      <c r="V765" s="604"/>
      <c r="W765" s="604"/>
      <c r="X765" s="604"/>
      <c r="Y765" s="604"/>
      <c r="Z765" s="604"/>
    </row>
    <row r="766" spans="1:26" ht="18.75" hidden="1">
      <c r="A766" s="599"/>
      <c r="B766" s="607"/>
      <c r="C766" s="759"/>
      <c r="D766" s="759"/>
      <c r="E766" s="759" t="s">
        <v>19</v>
      </c>
      <c r="F766" s="759"/>
      <c r="G766" s="603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4"/>
      <c r="R766" s="604"/>
      <c r="S766" s="604"/>
      <c r="T766" s="604"/>
      <c r="U766" s="604"/>
      <c r="V766" s="604"/>
      <c r="W766" s="604"/>
      <c r="X766" s="604"/>
      <c r="Y766" s="604"/>
      <c r="Z766" s="604"/>
    </row>
    <row r="767" spans="1:26" ht="19.5" hidden="1">
      <c r="A767" s="614"/>
      <c r="B767" s="616"/>
      <c r="C767" s="759" t="s">
        <v>16</v>
      </c>
      <c r="D767" s="899" t="s">
        <v>38</v>
      </c>
      <c r="E767" s="651"/>
      <c r="F767" s="651"/>
      <c r="G767" s="652"/>
      <c r="H767" s="366"/>
      <c r="I767" s="166"/>
      <c r="J767" s="166"/>
      <c r="K767" s="167"/>
      <c r="L767" s="167"/>
      <c r="M767" s="167"/>
      <c r="N767" s="167"/>
      <c r="O767" s="167"/>
      <c r="P767" s="167"/>
      <c r="Q767" s="604"/>
      <c r="R767" s="604"/>
      <c r="S767" s="604"/>
      <c r="T767" s="604"/>
      <c r="U767" s="604"/>
      <c r="V767" s="604"/>
      <c r="W767" s="604"/>
      <c r="X767" s="604"/>
      <c r="Y767" s="604"/>
      <c r="Z767" s="604"/>
    </row>
    <row r="768" spans="1:26" ht="18.75" hidden="1">
      <c r="A768" s="649"/>
      <c r="B768" s="607"/>
      <c r="C768" s="759"/>
      <c r="D768" s="759"/>
      <c r="E768" s="759" t="s">
        <v>317</v>
      </c>
      <c r="F768" s="759"/>
      <c r="G768" s="603"/>
      <c r="H768" s="165" t="s">
        <v>46</v>
      </c>
      <c r="I768" s="617"/>
      <c r="J768" s="617"/>
      <c r="K768" s="93"/>
      <c r="L768" s="93"/>
      <c r="M768" s="93"/>
      <c r="N768" s="93"/>
      <c r="O768" s="93"/>
      <c r="P768" s="93"/>
      <c r="Q768" s="604"/>
      <c r="R768" s="604"/>
      <c r="S768" s="604"/>
      <c r="T768" s="604"/>
      <c r="U768" s="604"/>
      <c r="V768" s="604"/>
      <c r="W768" s="604"/>
      <c r="X768" s="604"/>
      <c r="Y768" s="604"/>
      <c r="Z768" s="604"/>
    </row>
    <row r="769" spans="1:26" ht="19.5" hidden="1">
      <c r="A769" s="793">
        <v>11</v>
      </c>
      <c r="B769" s="794" t="s">
        <v>318</v>
      </c>
      <c r="C769" s="795"/>
      <c r="D769" s="795"/>
      <c r="E769" s="795"/>
      <c r="F769" s="795"/>
      <c r="G769" s="796"/>
      <c r="H769" s="797" t="s">
        <v>46</v>
      </c>
      <c r="I769" s="798"/>
      <c r="J769" s="798">
        <f>J784</f>
        <v>0</v>
      </c>
      <c r="K769" s="799">
        <f>IF(I769&gt;0,J769*100/I769,0)</f>
        <v>0</v>
      </c>
      <c r="L769" s="800"/>
      <c r="M769" s="800"/>
      <c r="N769" s="800"/>
      <c r="O769" s="800"/>
      <c r="P769" s="800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</row>
    <row r="770" spans="1:26" ht="19.5" hidden="1">
      <c r="A770" s="599"/>
      <c r="B770" s="759"/>
      <c r="C770" s="759" t="s">
        <v>16</v>
      </c>
      <c r="D770" s="864" t="s">
        <v>17</v>
      </c>
      <c r="E770" s="857"/>
      <c r="F770" s="857"/>
      <c r="G770" s="603"/>
      <c r="H770" s="646" t="s">
        <v>12</v>
      </c>
      <c r="I770" s="617"/>
      <c r="J770" s="617"/>
      <c r="K770" s="93"/>
      <c r="L770" s="647">
        <f t="shared" ref="L770:N770" si="310">L771+L772</f>
        <v>0</v>
      </c>
      <c r="M770" s="647">
        <f t="shared" si="310"/>
        <v>0</v>
      </c>
      <c r="N770" s="647">
        <f t="shared" si="310"/>
        <v>0</v>
      </c>
      <c r="O770" s="647">
        <f t="shared" ref="O770:O775" si="311">IF(L770&gt;0,N770*100/L770,0)</f>
        <v>0</v>
      </c>
      <c r="P770" s="647">
        <f t="shared" ref="P770:P775" si="312">IF(M770&gt;0,N770*100/M770,0)</f>
        <v>0</v>
      </c>
      <c r="Q770" s="604"/>
      <c r="R770" s="604"/>
      <c r="S770" s="604"/>
      <c r="T770" s="604"/>
      <c r="U770" s="604"/>
      <c r="V770" s="604"/>
      <c r="W770" s="604"/>
      <c r="X770" s="604"/>
      <c r="Y770" s="604"/>
      <c r="Z770" s="604"/>
    </row>
    <row r="771" spans="1:26" ht="18.75" hidden="1">
      <c r="A771" s="599"/>
      <c r="B771" s="759"/>
      <c r="C771" s="759"/>
      <c r="D771" s="720"/>
      <c r="E771" s="759" t="s">
        <v>185</v>
      </c>
      <c r="F771" s="759"/>
      <c r="G771" s="603"/>
      <c r="H771" s="165" t="s">
        <v>12</v>
      </c>
      <c r="I771" s="617"/>
      <c r="J771" s="617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4"/>
      <c r="R771" s="604"/>
      <c r="S771" s="604"/>
      <c r="T771" s="604"/>
      <c r="U771" s="604"/>
      <c r="V771" s="604"/>
      <c r="W771" s="604"/>
      <c r="X771" s="604"/>
      <c r="Y771" s="604"/>
      <c r="Z771" s="604"/>
    </row>
    <row r="772" spans="1:26" ht="18.75" hidden="1">
      <c r="A772" s="599"/>
      <c r="B772" s="607"/>
      <c r="C772" s="759"/>
      <c r="D772" s="720"/>
      <c r="E772" s="759" t="s">
        <v>186</v>
      </c>
      <c r="F772" s="759"/>
      <c r="G772" s="603"/>
      <c r="H772" s="165" t="s">
        <v>12</v>
      </c>
      <c r="I772" s="617"/>
      <c r="J772" s="617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4"/>
      <c r="R772" s="604"/>
      <c r="S772" s="604"/>
      <c r="T772" s="604"/>
      <c r="U772" s="604"/>
      <c r="V772" s="604"/>
      <c r="W772" s="604"/>
      <c r="X772" s="604"/>
      <c r="Y772" s="604"/>
      <c r="Z772" s="604"/>
    </row>
    <row r="773" spans="1:26" ht="19.5" hidden="1">
      <c r="A773" s="599"/>
      <c r="B773" s="607"/>
      <c r="C773" s="759"/>
      <c r="D773" s="645" t="s">
        <v>20</v>
      </c>
      <c r="E773" s="759"/>
      <c r="F773" s="759"/>
      <c r="G773" s="603"/>
      <c r="H773" s="646" t="s">
        <v>12</v>
      </c>
      <c r="I773" s="166"/>
      <c r="J773" s="166"/>
      <c r="K773" s="167"/>
      <c r="L773" s="647">
        <f t="shared" ref="L773:N773" si="314">L774+L775</f>
        <v>0</v>
      </c>
      <c r="M773" s="647">
        <f t="shared" si="314"/>
        <v>0</v>
      </c>
      <c r="N773" s="647">
        <f t="shared" si="314"/>
        <v>0</v>
      </c>
      <c r="O773" s="647">
        <f t="shared" si="311"/>
        <v>0</v>
      </c>
      <c r="P773" s="647">
        <f t="shared" si="312"/>
        <v>0</v>
      </c>
      <c r="Q773" s="604"/>
      <c r="R773" s="604"/>
      <c r="S773" s="604"/>
      <c r="T773" s="604"/>
      <c r="U773" s="604"/>
      <c r="V773" s="604"/>
      <c r="W773" s="604"/>
      <c r="X773" s="604"/>
      <c r="Y773" s="604"/>
      <c r="Z773" s="604"/>
    </row>
    <row r="774" spans="1:26" ht="18.75" hidden="1">
      <c r="A774" s="599"/>
      <c r="B774" s="607"/>
      <c r="C774" s="759"/>
      <c r="D774" s="720"/>
      <c r="E774" s="759" t="s">
        <v>185</v>
      </c>
      <c r="F774" s="759"/>
      <c r="G774" s="603"/>
      <c r="H774" s="165" t="s">
        <v>12</v>
      </c>
      <c r="I774" s="617"/>
      <c r="J774" s="617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4"/>
      <c r="R774" s="604"/>
      <c r="S774" s="604"/>
      <c r="T774" s="604"/>
      <c r="U774" s="604"/>
      <c r="V774" s="604"/>
      <c r="W774" s="604"/>
      <c r="X774" s="604"/>
      <c r="Y774" s="604"/>
      <c r="Z774" s="604"/>
    </row>
    <row r="775" spans="1:26" ht="18.75" hidden="1">
      <c r="A775" s="599"/>
      <c r="B775" s="607"/>
      <c r="C775" s="759"/>
      <c r="D775" s="720"/>
      <c r="E775" s="759" t="s">
        <v>186</v>
      </c>
      <c r="F775" s="759"/>
      <c r="G775" s="603"/>
      <c r="H775" s="165" t="s">
        <v>12</v>
      </c>
      <c r="I775" s="617"/>
      <c r="J775" s="617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4"/>
      <c r="R775" s="604"/>
      <c r="S775" s="604"/>
      <c r="T775" s="604"/>
      <c r="U775" s="604"/>
      <c r="V775" s="604"/>
      <c r="W775" s="604"/>
      <c r="X775" s="604"/>
      <c r="Y775" s="604"/>
      <c r="Z775" s="604"/>
    </row>
    <row r="776" spans="1:26" ht="18.75" hidden="1">
      <c r="A776" s="649"/>
      <c r="B776" s="607"/>
      <c r="C776" s="759"/>
      <c r="D776" s="759"/>
      <c r="E776" s="759"/>
      <c r="F776" s="759" t="s">
        <v>187</v>
      </c>
      <c r="G776" s="603"/>
      <c r="H776" s="165" t="s">
        <v>12</v>
      </c>
      <c r="I776" s="617"/>
      <c r="J776" s="617"/>
      <c r="K776" s="93"/>
      <c r="L776" s="93"/>
      <c r="M776" s="93"/>
      <c r="N776" s="93"/>
      <c r="O776" s="93"/>
      <c r="P776" s="93"/>
      <c r="Q776" s="604"/>
      <c r="R776" s="604"/>
      <c r="S776" s="604"/>
      <c r="T776" s="604"/>
      <c r="U776" s="604"/>
      <c r="V776" s="604"/>
      <c r="W776" s="604"/>
      <c r="X776" s="604"/>
      <c r="Y776" s="604"/>
      <c r="Z776" s="604"/>
    </row>
    <row r="777" spans="1:26" ht="18.75" hidden="1">
      <c r="A777" s="649"/>
      <c r="B777" s="607"/>
      <c r="C777" s="759"/>
      <c r="D777" s="759"/>
      <c r="E777" s="759"/>
      <c r="F777" s="759" t="s">
        <v>188</v>
      </c>
      <c r="G777" s="603"/>
      <c r="H777" s="165" t="s">
        <v>12</v>
      </c>
      <c r="I777" s="617"/>
      <c r="J777" s="617"/>
      <c r="K777" s="93"/>
      <c r="L777" s="93"/>
      <c r="M777" s="93"/>
      <c r="N777" s="93"/>
      <c r="O777" s="93"/>
      <c r="P777" s="93"/>
      <c r="Q777" s="604"/>
      <c r="R777" s="604"/>
      <c r="S777" s="604"/>
      <c r="T777" s="604"/>
      <c r="U777" s="604"/>
      <c r="V777" s="604"/>
      <c r="W777" s="604"/>
      <c r="X777" s="604"/>
      <c r="Y777" s="604"/>
      <c r="Z777" s="604"/>
    </row>
    <row r="778" spans="1:26" ht="18.75" hidden="1">
      <c r="A778" s="649"/>
      <c r="B778" s="607"/>
      <c r="C778" s="759"/>
      <c r="D778" s="759"/>
      <c r="E778" s="759"/>
      <c r="F778" s="759" t="s">
        <v>189</v>
      </c>
      <c r="G778" s="603"/>
      <c r="H778" s="165" t="s">
        <v>12</v>
      </c>
      <c r="I778" s="617"/>
      <c r="J778" s="617"/>
      <c r="K778" s="93"/>
      <c r="L778" s="93"/>
      <c r="M778" s="93"/>
      <c r="N778" s="93"/>
      <c r="O778" s="93"/>
      <c r="P778" s="93"/>
      <c r="Q778" s="604"/>
      <c r="R778" s="604"/>
      <c r="S778" s="604"/>
      <c r="T778" s="604"/>
      <c r="U778" s="604"/>
      <c r="V778" s="604"/>
      <c r="W778" s="604"/>
      <c r="X778" s="604"/>
      <c r="Y778" s="604"/>
      <c r="Z778" s="604"/>
    </row>
    <row r="779" spans="1:26" ht="18.75" hidden="1">
      <c r="A779" s="649"/>
      <c r="B779" s="607"/>
      <c r="C779" s="759"/>
      <c r="D779" s="759"/>
      <c r="E779" s="759"/>
      <c r="F779" s="759" t="s">
        <v>190</v>
      </c>
      <c r="G779" s="603"/>
      <c r="H779" s="165" t="s">
        <v>12</v>
      </c>
      <c r="I779" s="617"/>
      <c r="J779" s="617"/>
      <c r="K779" s="93"/>
      <c r="L779" s="93"/>
      <c r="M779" s="93"/>
      <c r="N779" s="93"/>
      <c r="O779" s="93"/>
      <c r="P779" s="93"/>
      <c r="Q779" s="604"/>
      <c r="R779" s="604"/>
      <c r="S779" s="604"/>
      <c r="T779" s="604"/>
      <c r="U779" s="604"/>
      <c r="V779" s="604"/>
      <c r="W779" s="604"/>
      <c r="X779" s="604"/>
      <c r="Y779" s="604"/>
      <c r="Z779" s="604"/>
    </row>
    <row r="780" spans="1:26" ht="19.5" hidden="1">
      <c r="A780" s="599"/>
      <c r="B780" s="607"/>
      <c r="C780" s="759"/>
      <c r="D780" s="645" t="s">
        <v>21</v>
      </c>
      <c r="E780" s="759"/>
      <c r="F780" s="759"/>
      <c r="G780" s="603"/>
      <c r="H780" s="783" t="s">
        <v>12</v>
      </c>
      <c r="I780" s="166"/>
      <c r="J780" s="166"/>
      <c r="K780" s="167"/>
      <c r="L780" s="647">
        <f t="shared" ref="L780:N780" si="315">L781+L782</f>
        <v>0</v>
      </c>
      <c r="M780" s="647">
        <f t="shared" si="315"/>
        <v>0</v>
      </c>
      <c r="N780" s="647">
        <f t="shared" si="315"/>
        <v>0</v>
      </c>
      <c r="O780" s="647">
        <f t="shared" ref="O780:O782" si="316">IF(L780&gt;0,N780*100/L780,0)</f>
        <v>0</v>
      </c>
      <c r="P780" s="647">
        <f t="shared" ref="P780:P782" si="317">IF(M780&gt;0,N780*100/M780,0)</f>
        <v>0</v>
      </c>
      <c r="Q780" s="604"/>
      <c r="R780" s="604"/>
      <c r="S780" s="604"/>
      <c r="T780" s="604"/>
      <c r="U780" s="604"/>
      <c r="V780" s="604"/>
      <c r="W780" s="604"/>
      <c r="X780" s="604"/>
      <c r="Y780" s="604"/>
      <c r="Z780" s="604"/>
    </row>
    <row r="781" spans="1:26" ht="18.75" hidden="1">
      <c r="A781" s="599"/>
      <c r="B781" s="607"/>
      <c r="C781" s="759"/>
      <c r="D781" s="759"/>
      <c r="E781" s="759" t="s">
        <v>18</v>
      </c>
      <c r="F781" s="759"/>
      <c r="G781" s="603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4"/>
      <c r="R781" s="604"/>
      <c r="S781" s="604"/>
      <c r="T781" s="604"/>
      <c r="U781" s="604"/>
      <c r="V781" s="604"/>
      <c r="W781" s="604"/>
      <c r="X781" s="604"/>
      <c r="Y781" s="604"/>
      <c r="Z781" s="604"/>
    </row>
    <row r="782" spans="1:26" ht="18.75" hidden="1">
      <c r="A782" s="599"/>
      <c r="B782" s="607"/>
      <c r="C782" s="759"/>
      <c r="D782" s="759"/>
      <c r="E782" s="759" t="s">
        <v>19</v>
      </c>
      <c r="F782" s="759"/>
      <c r="G782" s="603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4"/>
      <c r="R782" s="604"/>
      <c r="S782" s="604"/>
      <c r="T782" s="604"/>
      <c r="U782" s="604"/>
      <c r="V782" s="604"/>
      <c r="W782" s="604"/>
      <c r="X782" s="604"/>
      <c r="Y782" s="604"/>
      <c r="Z782" s="604"/>
    </row>
    <row r="783" spans="1:26" ht="19.5" hidden="1">
      <c r="A783" s="614"/>
      <c r="B783" s="616"/>
      <c r="C783" s="759" t="s">
        <v>16</v>
      </c>
      <c r="D783" s="899" t="s">
        <v>38</v>
      </c>
      <c r="E783" s="651"/>
      <c r="F783" s="651"/>
      <c r="G783" s="652"/>
      <c r="H783" s="801"/>
      <c r="I783" s="166"/>
      <c r="J783" s="166"/>
      <c r="K783" s="167"/>
      <c r="L783" s="167"/>
      <c r="M783" s="167"/>
      <c r="N783" s="167"/>
      <c r="O783" s="167"/>
      <c r="P783" s="167"/>
      <c r="Q783" s="604"/>
      <c r="R783" s="604"/>
      <c r="S783" s="604"/>
      <c r="T783" s="604"/>
      <c r="U783" s="604"/>
      <c r="V783" s="604"/>
      <c r="W783" s="604"/>
      <c r="X783" s="604"/>
      <c r="Y783" s="604"/>
      <c r="Z783" s="604"/>
    </row>
    <row r="784" spans="1:26" ht="18.75" hidden="1">
      <c r="A784" s="649"/>
      <c r="B784" s="607"/>
      <c r="C784" s="759"/>
      <c r="D784" s="759"/>
      <c r="E784" s="759" t="s">
        <v>319</v>
      </c>
      <c r="F784" s="759"/>
      <c r="G784" s="603"/>
      <c r="H784" s="165" t="s">
        <v>46</v>
      </c>
      <c r="I784" s="617"/>
      <c r="J784" s="617"/>
      <c r="K784" s="93"/>
      <c r="L784" s="93"/>
      <c r="M784" s="93"/>
      <c r="N784" s="93"/>
      <c r="O784" s="93"/>
      <c r="P784" s="93"/>
      <c r="Q784" s="604"/>
      <c r="R784" s="604"/>
      <c r="S784" s="604"/>
      <c r="T784" s="604"/>
      <c r="U784" s="604"/>
      <c r="V784" s="604"/>
      <c r="W784" s="604"/>
      <c r="X784" s="604"/>
      <c r="Y784" s="604"/>
      <c r="Z784" s="604"/>
    </row>
    <row r="785" spans="1:26" ht="19.5" hidden="1">
      <c r="A785" s="802">
        <v>12</v>
      </c>
      <c r="B785" s="803" t="s">
        <v>320</v>
      </c>
      <c r="C785" s="804"/>
      <c r="D785" s="804"/>
      <c r="E785" s="804"/>
      <c r="F785" s="804"/>
      <c r="G785" s="805"/>
      <c r="H785" s="900" t="s">
        <v>46</v>
      </c>
      <c r="I785" s="901">
        <f t="shared" ref="I785:J785" ca="1" si="318">I800</f>
        <v>0</v>
      </c>
      <c r="J785" s="902">
        <f t="shared" ca="1" si="318"/>
        <v>0</v>
      </c>
      <c r="K785" s="903">
        <f ca="1">IF(I785&gt;0,J785*100/I785,0)</f>
        <v>0</v>
      </c>
      <c r="L785" s="809"/>
      <c r="M785" s="809"/>
      <c r="N785" s="809"/>
      <c r="O785" s="809"/>
      <c r="P785" s="809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</row>
    <row r="786" spans="1:26" ht="19.5" hidden="1">
      <c r="A786" s="597"/>
      <c r="B786" s="575"/>
      <c r="C786" s="763" t="s">
        <v>16</v>
      </c>
      <c r="D786" s="863" t="s">
        <v>17</v>
      </c>
      <c r="E786" s="857"/>
      <c r="F786" s="857"/>
      <c r="G786" s="189"/>
      <c r="H786" s="598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</row>
    <row r="787" spans="1:26" ht="18.75" hidden="1">
      <c r="A787" s="599"/>
      <c r="B787" s="607"/>
      <c r="C787" s="759"/>
      <c r="D787" s="720"/>
      <c r="E787" s="759" t="s">
        <v>185</v>
      </c>
      <c r="F787" s="759"/>
      <c r="G787" s="603"/>
      <c r="H787" s="165" t="s">
        <v>12</v>
      </c>
      <c r="I787" s="617"/>
      <c r="J787" s="617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4"/>
      <c r="R787" s="604"/>
      <c r="S787" s="604"/>
      <c r="T787" s="604"/>
      <c r="U787" s="604"/>
      <c r="V787" s="604"/>
      <c r="W787" s="604"/>
      <c r="X787" s="604"/>
      <c r="Y787" s="604"/>
      <c r="Z787" s="604"/>
    </row>
    <row r="788" spans="1:26" ht="18.75" hidden="1">
      <c r="A788" s="599"/>
      <c r="B788" s="607"/>
      <c r="C788" s="607"/>
      <c r="D788" s="616"/>
      <c r="E788" s="759" t="s">
        <v>186</v>
      </c>
      <c r="F788" s="759"/>
      <c r="G788" s="603"/>
      <c r="H788" s="165" t="s">
        <v>12</v>
      </c>
      <c r="I788" s="617"/>
      <c r="J788" s="617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4"/>
      <c r="R788" s="604"/>
      <c r="S788" s="604"/>
      <c r="T788" s="604"/>
      <c r="U788" s="604"/>
      <c r="V788" s="604"/>
      <c r="W788" s="604"/>
      <c r="X788" s="604"/>
      <c r="Y788" s="604"/>
      <c r="Z788" s="604"/>
    </row>
    <row r="789" spans="1:26" ht="18.75" hidden="1">
      <c r="A789" s="597"/>
      <c r="B789" s="575"/>
      <c r="C789" s="575"/>
      <c r="D789" s="606" t="s">
        <v>20</v>
      </c>
      <c r="E789" s="763"/>
      <c r="F789" s="763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</row>
    <row r="790" spans="1:26" ht="18.75" hidden="1">
      <c r="A790" s="599"/>
      <c r="B790" s="607"/>
      <c r="C790" s="607"/>
      <c r="D790" s="616"/>
      <c r="E790" s="759" t="s">
        <v>185</v>
      </c>
      <c r="F790" s="759"/>
      <c r="G790" s="603"/>
      <c r="H790" s="165" t="s">
        <v>12</v>
      </c>
      <c r="I790" s="617"/>
      <c r="J790" s="617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4"/>
      <c r="R790" s="604"/>
      <c r="S790" s="604"/>
      <c r="T790" s="604"/>
      <c r="U790" s="604"/>
      <c r="V790" s="604"/>
      <c r="W790" s="604"/>
      <c r="X790" s="604"/>
      <c r="Y790" s="604"/>
      <c r="Z790" s="604"/>
    </row>
    <row r="791" spans="1:26" ht="18.75" hidden="1">
      <c r="A791" s="599"/>
      <c r="B791" s="607"/>
      <c r="C791" s="607"/>
      <c r="D791" s="616"/>
      <c r="E791" s="759" t="s">
        <v>186</v>
      </c>
      <c r="F791" s="759"/>
      <c r="G791" s="603"/>
      <c r="H791" s="165" t="s">
        <v>12</v>
      </c>
      <c r="I791" s="617"/>
      <c r="J791" s="617"/>
      <c r="K791" s="93"/>
      <c r="L791" s="93">
        <f ca="1">IFERROR(__xludf.DUMMYFUNCTION("IMPORTRANGE(""https://docs.google.com/spreadsheets/d/1QqKyyYR6Q21VydFLVH3TRQUabQu_ym0Zz7PgGX0-kHA/edit?usp=sharing"",""แผน!JJ32"")"),0)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4"/>
      <c r="R791" s="604"/>
      <c r="S791" s="604"/>
      <c r="T791" s="604"/>
      <c r="U791" s="604"/>
      <c r="V791" s="604"/>
      <c r="W791" s="604"/>
      <c r="X791" s="604"/>
      <c r="Y791" s="604"/>
      <c r="Z791" s="604"/>
    </row>
    <row r="792" spans="1:26" ht="18.75" hidden="1">
      <c r="A792" s="574"/>
      <c r="B792" s="575"/>
      <c r="C792" s="763"/>
      <c r="D792" s="763"/>
      <c r="E792" s="763"/>
      <c r="F792" s="763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40">
        <v>0</v>
      </c>
      <c r="O792" s="498"/>
      <c r="P792" s="49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</row>
    <row r="793" spans="1:26" ht="18.75" hidden="1">
      <c r="A793" s="574"/>
      <c r="B793" s="575"/>
      <c r="C793" s="763"/>
      <c r="D793" s="763"/>
      <c r="E793" s="763"/>
      <c r="F793" s="763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40">
        <v>0</v>
      </c>
      <c r="O793" s="498"/>
      <c r="P793" s="49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</row>
    <row r="794" spans="1:26" ht="18.75" hidden="1">
      <c r="A794" s="574"/>
      <c r="B794" s="575"/>
      <c r="C794" s="763"/>
      <c r="D794" s="763"/>
      <c r="E794" s="763"/>
      <c r="F794" s="763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40">
        <v>0</v>
      </c>
      <c r="O794" s="498"/>
      <c r="P794" s="49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</row>
    <row r="795" spans="1:26" ht="18.75" hidden="1">
      <c r="A795" s="574"/>
      <c r="B795" s="575"/>
      <c r="C795" s="763"/>
      <c r="D795" s="763"/>
      <c r="E795" s="763"/>
      <c r="F795" s="763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40">
        <v>0</v>
      </c>
      <c r="O795" s="498"/>
      <c r="P795" s="49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</row>
    <row r="796" spans="1:26" ht="18.75" hidden="1">
      <c r="A796" s="597"/>
      <c r="B796" s="575"/>
      <c r="C796" s="763"/>
      <c r="D796" s="606" t="s">
        <v>21</v>
      </c>
      <c r="E796" s="763"/>
      <c r="F796" s="763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</row>
    <row r="797" spans="1:26" ht="18.75" hidden="1">
      <c r="A797" s="599"/>
      <c r="B797" s="607"/>
      <c r="C797" s="759"/>
      <c r="D797" s="759"/>
      <c r="E797" s="759" t="s">
        <v>18</v>
      </c>
      <c r="F797" s="759"/>
      <c r="G797" s="603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4"/>
      <c r="R797" s="604"/>
      <c r="S797" s="604"/>
      <c r="T797" s="604"/>
      <c r="U797" s="604"/>
      <c r="V797" s="604"/>
      <c r="W797" s="604"/>
      <c r="X797" s="604"/>
      <c r="Y797" s="604"/>
      <c r="Z797" s="604"/>
    </row>
    <row r="798" spans="1:26" ht="18.75" hidden="1">
      <c r="A798" s="599"/>
      <c r="B798" s="607"/>
      <c r="C798" s="759"/>
      <c r="D798" s="759"/>
      <c r="E798" s="759" t="s">
        <v>19</v>
      </c>
      <c r="F798" s="759"/>
      <c r="G798" s="603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4"/>
      <c r="R798" s="604"/>
      <c r="S798" s="604"/>
      <c r="T798" s="604"/>
      <c r="U798" s="604"/>
      <c r="V798" s="604"/>
      <c r="W798" s="604"/>
      <c r="X798" s="604"/>
      <c r="Y798" s="604"/>
      <c r="Z798" s="604"/>
    </row>
    <row r="799" spans="1:26" ht="19.5" hidden="1">
      <c r="A799" s="608"/>
      <c r="B799" s="618"/>
      <c r="C799" s="763" t="s">
        <v>16</v>
      </c>
      <c r="D799" s="898" t="s">
        <v>38</v>
      </c>
      <c r="E799" s="761"/>
      <c r="F799" s="761"/>
      <c r="G799" s="613"/>
      <c r="H799" s="904"/>
      <c r="I799" s="184"/>
      <c r="J799" s="184"/>
      <c r="K799" s="163"/>
      <c r="L799" s="163"/>
      <c r="M799" s="163"/>
      <c r="N799" s="163"/>
      <c r="O799" s="163"/>
      <c r="P799" s="163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</row>
    <row r="800" spans="1:26" ht="18.75" hidden="1">
      <c r="A800" s="608"/>
      <c r="B800" s="618"/>
      <c r="C800" s="618"/>
      <c r="D800" s="618"/>
      <c r="E800" s="626"/>
      <c r="F800" s="626" t="s">
        <v>321</v>
      </c>
      <c r="G800" s="762"/>
      <c r="H800" s="185" t="s">
        <v>46</v>
      </c>
      <c r="I800" s="184">
        <f ca="1">IFERROR(__xludf.DUMMYFUNCTION("IMPORTRANGE(""https://docs.google.com/spreadsheets/d/1QqKyyYR6Q21VydFLVH3TRQUabQu_ym0Zz7PgGX0-kHA/edit?usp=sharing"",""แผน!JN32"")"),0)</f>
        <v>0</v>
      </c>
      <c r="J800" s="184">
        <f ca="1">IFERROR(__xludf.DUMMYFUNCTION("IMPORTRANGE(""https://docs.google.com/spreadsheets/d/1MaWodYyGHDf7siQLGxnXhG4mBNTNIuy296niS2xXulU/edit?usp=sharing"",""RTK!H32"")"),0)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</row>
    <row r="801" spans="1:26" ht="18.75" hidden="1">
      <c r="A801" s="608"/>
      <c r="B801" s="618"/>
      <c r="C801" s="618"/>
      <c r="D801" s="618"/>
      <c r="E801" s="626"/>
      <c r="F801" s="626"/>
      <c r="G801" s="762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IFERROR(__xludf.DUMMYFUNCTION("IMPORTRANGE(""https://docs.google.com/spreadsheets/d/1MaWodYyGHDf7siQLGxnXhG4mBNTNIuy296niS2xXulU/edit?usp=sharing"",""RTK!I32"")"),0)</f>
        <v>0</v>
      </c>
      <c r="K801" s="498"/>
      <c r="L801" s="498"/>
      <c r="M801" s="498"/>
      <c r="N801" s="498"/>
      <c r="O801" s="163"/>
      <c r="P801" s="163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</row>
    <row r="802" spans="1:26" ht="18.75" hidden="1">
      <c r="A802" s="614"/>
      <c r="B802" s="616"/>
      <c r="C802" s="616"/>
      <c r="D802" s="616"/>
      <c r="E802" s="720"/>
      <c r="F802" s="720" t="s">
        <v>322</v>
      </c>
      <c r="G802" s="366"/>
      <c r="H802" s="653" t="s">
        <v>46</v>
      </c>
      <c r="I802" s="166"/>
      <c r="J802" s="617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4"/>
      <c r="R802" s="604"/>
      <c r="S802" s="604"/>
      <c r="T802" s="604"/>
      <c r="U802" s="604"/>
      <c r="V802" s="604"/>
      <c r="W802" s="604"/>
      <c r="X802" s="604"/>
      <c r="Y802" s="604"/>
      <c r="Z802" s="604"/>
    </row>
    <row r="803" spans="1:26" ht="18.75" hidden="1">
      <c r="A803" s="614"/>
      <c r="B803" s="616"/>
      <c r="C803" s="616"/>
      <c r="D803" s="616"/>
      <c r="E803" s="720"/>
      <c r="F803" s="720"/>
      <c r="G803" s="366"/>
      <c r="H803" s="653" t="s">
        <v>34</v>
      </c>
      <c r="I803" s="166"/>
      <c r="J803" s="617">
        <v>0</v>
      </c>
      <c r="K803" s="167"/>
      <c r="L803" s="167"/>
      <c r="M803" s="167"/>
      <c r="N803" s="167"/>
      <c r="O803" s="167"/>
      <c r="P803" s="167"/>
      <c r="Q803" s="604"/>
      <c r="R803" s="604"/>
      <c r="S803" s="604"/>
      <c r="T803" s="604"/>
      <c r="U803" s="604"/>
      <c r="V803" s="604"/>
      <c r="W803" s="604"/>
      <c r="X803" s="604"/>
      <c r="Y803" s="604"/>
      <c r="Z803" s="604"/>
    </row>
    <row r="804" spans="1:26" ht="19.5" hidden="1">
      <c r="A804" s="793">
        <v>13</v>
      </c>
      <c r="B804" s="794" t="s">
        <v>323</v>
      </c>
      <c r="C804" s="795"/>
      <c r="D804" s="825"/>
      <c r="E804" s="795"/>
      <c r="F804" s="795"/>
      <c r="G804" s="796"/>
      <c r="H804" s="797" t="s">
        <v>46</v>
      </c>
      <c r="I804" s="798"/>
      <c r="J804" s="798">
        <f>J819</f>
        <v>0</v>
      </c>
      <c r="K804" s="799">
        <f>IF(I804&gt;0,J804*100/I804,0)</f>
        <v>0</v>
      </c>
      <c r="L804" s="800"/>
      <c r="M804" s="800"/>
      <c r="N804" s="800"/>
      <c r="O804" s="800"/>
      <c r="P804" s="800"/>
      <c r="Q804" s="604"/>
      <c r="R804" s="604"/>
      <c r="S804" s="604"/>
      <c r="T804" s="604"/>
      <c r="U804" s="604"/>
      <c r="V804" s="604"/>
      <c r="W804" s="604"/>
      <c r="X804" s="604"/>
      <c r="Y804" s="604"/>
      <c r="Z804" s="604"/>
    </row>
    <row r="805" spans="1:26" ht="19.5" hidden="1">
      <c r="A805" s="599"/>
      <c r="B805" s="759"/>
      <c r="C805" s="759" t="s">
        <v>16</v>
      </c>
      <c r="D805" s="864" t="s">
        <v>17</v>
      </c>
      <c r="E805" s="857"/>
      <c r="F805" s="857"/>
      <c r="G805" s="603"/>
      <c r="H805" s="646" t="s">
        <v>12</v>
      </c>
      <c r="I805" s="617"/>
      <c r="J805" s="617"/>
      <c r="K805" s="93"/>
      <c r="L805" s="647">
        <f t="shared" ref="L805:N805" si="327">L806+L807</f>
        <v>0</v>
      </c>
      <c r="M805" s="647">
        <f t="shared" si="327"/>
        <v>0</v>
      </c>
      <c r="N805" s="647">
        <f t="shared" si="327"/>
        <v>0</v>
      </c>
      <c r="O805" s="647">
        <f t="shared" ref="O805:O810" si="328">IF(L805&gt;0,N805*100/L805,0)</f>
        <v>0</v>
      </c>
      <c r="P805" s="647">
        <f t="shared" ref="P805:P810" si="329">IF(M805&gt;0,N805*100/M805,0)</f>
        <v>0</v>
      </c>
      <c r="Q805" s="604"/>
      <c r="R805" s="604"/>
      <c r="S805" s="604"/>
      <c r="T805" s="604"/>
      <c r="U805" s="604"/>
      <c r="V805" s="604"/>
      <c r="W805" s="604"/>
      <c r="X805" s="604"/>
      <c r="Y805" s="604"/>
      <c r="Z805" s="604"/>
    </row>
    <row r="806" spans="1:26" ht="18.75" hidden="1">
      <c r="A806" s="599"/>
      <c r="B806" s="759"/>
      <c r="C806" s="759"/>
      <c r="D806" s="616"/>
      <c r="E806" s="759" t="s">
        <v>185</v>
      </c>
      <c r="F806" s="759"/>
      <c r="G806" s="603"/>
      <c r="H806" s="165" t="s">
        <v>12</v>
      </c>
      <c r="I806" s="617"/>
      <c r="J806" s="617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4"/>
      <c r="R806" s="604"/>
      <c r="S806" s="604"/>
      <c r="T806" s="604"/>
      <c r="U806" s="604"/>
      <c r="V806" s="604"/>
      <c r="W806" s="604"/>
      <c r="X806" s="604"/>
      <c r="Y806" s="604"/>
      <c r="Z806" s="604"/>
    </row>
    <row r="807" spans="1:26" ht="18.75" hidden="1">
      <c r="A807" s="599"/>
      <c r="B807" s="759"/>
      <c r="C807" s="759"/>
      <c r="D807" s="616"/>
      <c r="E807" s="759" t="s">
        <v>186</v>
      </c>
      <c r="F807" s="759"/>
      <c r="G807" s="603"/>
      <c r="H807" s="165" t="s">
        <v>12</v>
      </c>
      <c r="I807" s="617"/>
      <c r="J807" s="617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4"/>
      <c r="R807" s="604"/>
      <c r="S807" s="604"/>
      <c r="T807" s="604"/>
      <c r="U807" s="604"/>
      <c r="V807" s="604"/>
      <c r="W807" s="604"/>
      <c r="X807" s="604"/>
      <c r="Y807" s="604"/>
      <c r="Z807" s="604"/>
    </row>
    <row r="808" spans="1:26" ht="19.5" hidden="1">
      <c r="A808" s="599"/>
      <c r="B808" s="607"/>
      <c r="C808" s="759"/>
      <c r="D808" s="905" t="s">
        <v>20</v>
      </c>
      <c r="E808" s="857"/>
      <c r="F808" s="857"/>
      <c r="G808" s="603"/>
      <c r="H808" s="646" t="s">
        <v>12</v>
      </c>
      <c r="I808" s="166"/>
      <c r="J808" s="166"/>
      <c r="K808" s="167"/>
      <c r="L808" s="647">
        <f t="shared" ref="L808:N808" si="331">L809+L810</f>
        <v>0</v>
      </c>
      <c r="M808" s="647">
        <f t="shared" si="331"/>
        <v>0</v>
      </c>
      <c r="N808" s="647">
        <f t="shared" si="331"/>
        <v>0</v>
      </c>
      <c r="O808" s="647">
        <f t="shared" si="328"/>
        <v>0</v>
      </c>
      <c r="P808" s="647">
        <f t="shared" si="329"/>
        <v>0</v>
      </c>
      <c r="Q808" s="604"/>
      <c r="R808" s="604"/>
      <c r="S808" s="604"/>
      <c r="T808" s="604"/>
      <c r="U808" s="604"/>
      <c r="V808" s="604"/>
      <c r="W808" s="604"/>
      <c r="X808" s="604"/>
      <c r="Y808" s="604"/>
      <c r="Z808" s="604"/>
    </row>
    <row r="809" spans="1:26" ht="18.75" hidden="1">
      <c r="A809" s="599"/>
      <c r="B809" s="759"/>
      <c r="C809" s="759"/>
      <c r="D809" s="616"/>
      <c r="E809" s="759" t="s">
        <v>185</v>
      </c>
      <c r="F809" s="759"/>
      <c r="G809" s="603"/>
      <c r="H809" s="165" t="s">
        <v>12</v>
      </c>
      <c r="I809" s="617"/>
      <c r="J809" s="617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4"/>
      <c r="R809" s="604"/>
      <c r="S809" s="604"/>
      <c r="T809" s="604"/>
      <c r="U809" s="604"/>
      <c r="V809" s="604"/>
      <c r="W809" s="604"/>
      <c r="X809" s="604"/>
      <c r="Y809" s="604"/>
      <c r="Z809" s="604"/>
    </row>
    <row r="810" spans="1:26" ht="18.75" hidden="1">
      <c r="A810" s="599"/>
      <c r="B810" s="759"/>
      <c r="C810" s="759"/>
      <c r="D810" s="616"/>
      <c r="E810" s="759" t="s">
        <v>186</v>
      </c>
      <c r="F810" s="759"/>
      <c r="G810" s="603"/>
      <c r="H810" s="165" t="s">
        <v>12</v>
      </c>
      <c r="I810" s="617"/>
      <c r="J810" s="617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4"/>
      <c r="R810" s="604"/>
      <c r="S810" s="604"/>
      <c r="T810" s="604"/>
      <c r="U810" s="604"/>
      <c r="V810" s="604"/>
      <c r="W810" s="604"/>
      <c r="X810" s="604"/>
      <c r="Y810" s="604"/>
      <c r="Z810" s="604"/>
    </row>
    <row r="811" spans="1:26" ht="18.75" hidden="1">
      <c r="A811" s="649"/>
      <c r="B811" s="607"/>
      <c r="C811" s="759"/>
      <c r="D811" s="607"/>
      <c r="E811" s="759"/>
      <c r="F811" s="759" t="s">
        <v>187</v>
      </c>
      <c r="G811" s="603"/>
      <c r="H811" s="165" t="s">
        <v>12</v>
      </c>
      <c r="I811" s="617"/>
      <c r="J811" s="617"/>
      <c r="K811" s="93"/>
      <c r="L811" s="93"/>
      <c r="M811" s="93"/>
      <c r="N811" s="93"/>
      <c r="O811" s="93"/>
      <c r="P811" s="93"/>
      <c r="Q811" s="604"/>
      <c r="R811" s="604"/>
      <c r="S811" s="604"/>
      <c r="T811" s="604"/>
      <c r="U811" s="604"/>
      <c r="V811" s="604"/>
      <c r="W811" s="604"/>
      <c r="X811" s="604"/>
      <c r="Y811" s="604"/>
      <c r="Z811" s="604"/>
    </row>
    <row r="812" spans="1:26" ht="18.75" hidden="1">
      <c r="A812" s="649"/>
      <c r="B812" s="607"/>
      <c r="C812" s="759"/>
      <c r="D812" s="607"/>
      <c r="E812" s="759"/>
      <c r="F812" s="759" t="s">
        <v>188</v>
      </c>
      <c r="G812" s="603"/>
      <c r="H812" s="165" t="s">
        <v>12</v>
      </c>
      <c r="I812" s="617"/>
      <c r="J812" s="617"/>
      <c r="K812" s="93"/>
      <c r="L812" s="93"/>
      <c r="M812" s="93"/>
      <c r="N812" s="93"/>
      <c r="O812" s="93"/>
      <c r="P812" s="93"/>
      <c r="Q812" s="604"/>
      <c r="R812" s="604"/>
      <c r="S812" s="604"/>
      <c r="T812" s="604"/>
      <c r="U812" s="604"/>
      <c r="V812" s="604"/>
      <c r="W812" s="604"/>
      <c r="X812" s="604"/>
      <c r="Y812" s="604"/>
      <c r="Z812" s="604"/>
    </row>
    <row r="813" spans="1:26" ht="18.75" hidden="1">
      <c r="A813" s="649"/>
      <c r="B813" s="607"/>
      <c r="C813" s="759"/>
      <c r="D813" s="607"/>
      <c r="E813" s="759"/>
      <c r="F813" s="759" t="s">
        <v>189</v>
      </c>
      <c r="G813" s="603"/>
      <c r="H813" s="165" t="s">
        <v>12</v>
      </c>
      <c r="I813" s="617"/>
      <c r="J813" s="617"/>
      <c r="K813" s="93"/>
      <c r="L813" s="93"/>
      <c r="M813" s="93"/>
      <c r="N813" s="93"/>
      <c r="O813" s="93"/>
      <c r="P813" s="93"/>
      <c r="Q813" s="604"/>
      <c r="R813" s="604"/>
      <c r="S813" s="604"/>
      <c r="T813" s="604"/>
      <c r="U813" s="604"/>
      <c r="V813" s="604"/>
      <c r="W813" s="604"/>
      <c r="X813" s="604"/>
      <c r="Y813" s="604"/>
      <c r="Z813" s="604"/>
    </row>
    <row r="814" spans="1:26" ht="18.75" hidden="1">
      <c r="A814" s="649"/>
      <c r="B814" s="607"/>
      <c r="C814" s="759"/>
      <c r="D814" s="607"/>
      <c r="E814" s="759"/>
      <c r="F814" s="759" t="s">
        <v>190</v>
      </c>
      <c r="G814" s="603"/>
      <c r="H814" s="165" t="s">
        <v>12</v>
      </c>
      <c r="I814" s="617"/>
      <c r="J814" s="617"/>
      <c r="K814" s="93"/>
      <c r="L814" s="93"/>
      <c r="M814" s="93"/>
      <c r="N814" s="93"/>
      <c r="O814" s="93"/>
      <c r="P814" s="93"/>
      <c r="Q814" s="604"/>
      <c r="R814" s="604"/>
      <c r="S814" s="604"/>
      <c r="T814" s="604"/>
      <c r="U814" s="604"/>
      <c r="V814" s="604"/>
      <c r="W814" s="604"/>
      <c r="X814" s="604"/>
      <c r="Y814" s="604"/>
      <c r="Z814" s="604"/>
    </row>
    <row r="815" spans="1:26" ht="19.5" hidden="1">
      <c r="A815" s="599"/>
      <c r="B815" s="607"/>
      <c r="C815" s="759"/>
      <c r="D815" s="905" t="s">
        <v>21</v>
      </c>
      <c r="E815" s="857"/>
      <c r="F815" s="857"/>
      <c r="G815" s="603"/>
      <c r="H815" s="783" t="s">
        <v>12</v>
      </c>
      <c r="I815" s="166"/>
      <c r="J815" s="166"/>
      <c r="K815" s="167"/>
      <c r="L815" s="647">
        <f t="shared" ref="L815:N815" si="332">L816+L817</f>
        <v>0</v>
      </c>
      <c r="M815" s="647">
        <f t="shared" si="332"/>
        <v>0</v>
      </c>
      <c r="N815" s="647">
        <f t="shared" si="332"/>
        <v>0</v>
      </c>
      <c r="O815" s="647">
        <f t="shared" ref="O815:O817" si="333">IF(L815&gt;0,N815*100/L815,0)</f>
        <v>0</v>
      </c>
      <c r="P815" s="647">
        <f t="shared" ref="P815:P817" si="334">IF(M815&gt;0,N815*100/M815,0)</f>
        <v>0</v>
      </c>
      <c r="Q815" s="604"/>
      <c r="R815" s="604"/>
      <c r="S815" s="604"/>
      <c r="T815" s="604"/>
      <c r="U815" s="604"/>
      <c r="V815" s="604"/>
      <c r="W815" s="604"/>
      <c r="X815" s="604"/>
      <c r="Y815" s="604"/>
      <c r="Z815" s="604"/>
    </row>
    <row r="816" spans="1:26" ht="18.75" hidden="1">
      <c r="A816" s="599"/>
      <c r="B816" s="607"/>
      <c r="C816" s="759"/>
      <c r="D816" s="607"/>
      <c r="E816" s="759" t="s">
        <v>18</v>
      </c>
      <c r="F816" s="759"/>
      <c r="G816" s="603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4"/>
      <c r="R816" s="604"/>
      <c r="S816" s="604"/>
      <c r="T816" s="604"/>
      <c r="U816" s="604"/>
      <c r="V816" s="604"/>
      <c r="W816" s="604"/>
      <c r="X816" s="604"/>
      <c r="Y816" s="604"/>
      <c r="Z816" s="604"/>
    </row>
    <row r="817" spans="1:26" ht="18.75" hidden="1">
      <c r="A817" s="599"/>
      <c r="B817" s="607"/>
      <c r="C817" s="759"/>
      <c r="D817" s="607"/>
      <c r="E817" s="759" t="s">
        <v>19</v>
      </c>
      <c r="F817" s="759"/>
      <c r="G817" s="603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4"/>
      <c r="R817" s="604"/>
      <c r="S817" s="604"/>
      <c r="T817" s="604"/>
      <c r="U817" s="604"/>
      <c r="V817" s="604"/>
      <c r="W817" s="604"/>
      <c r="X817" s="604"/>
      <c r="Y817" s="604"/>
      <c r="Z817" s="604"/>
    </row>
    <row r="818" spans="1:26" ht="19.5" hidden="1">
      <c r="A818" s="614"/>
      <c r="B818" s="616"/>
      <c r="C818" s="759" t="s">
        <v>16</v>
      </c>
      <c r="D818" s="906" t="s">
        <v>38</v>
      </c>
      <c r="E818" s="651"/>
      <c r="F818" s="651"/>
      <c r="G818" s="652"/>
      <c r="H818" s="366"/>
      <c r="I818" s="166"/>
      <c r="J818" s="166"/>
      <c r="K818" s="167"/>
      <c r="L818" s="167"/>
      <c r="M818" s="167"/>
      <c r="N818" s="167"/>
      <c r="O818" s="167"/>
      <c r="P818" s="167"/>
      <c r="Q818" s="604"/>
      <c r="R818" s="604"/>
      <c r="S818" s="604"/>
      <c r="T818" s="604"/>
      <c r="U818" s="604"/>
      <c r="V818" s="604"/>
      <c r="W818" s="604"/>
      <c r="X818" s="604"/>
      <c r="Y818" s="604"/>
      <c r="Z818" s="604"/>
    </row>
    <row r="819" spans="1:26" ht="19.5" hidden="1" thickBot="1">
      <c r="A819" s="827"/>
      <c r="B819" s="828"/>
      <c r="C819" s="830"/>
      <c r="D819" s="828"/>
      <c r="E819" s="830" t="s">
        <v>324</v>
      </c>
      <c r="F819" s="830"/>
      <c r="G819" s="831"/>
      <c r="H819" s="832" t="s">
        <v>46</v>
      </c>
      <c r="I819" s="833"/>
      <c r="J819" s="833"/>
      <c r="K819" s="834"/>
      <c r="L819" s="834"/>
      <c r="M819" s="834"/>
      <c r="N819" s="834"/>
      <c r="O819" s="834"/>
      <c r="P819" s="834"/>
      <c r="Q819" s="604"/>
      <c r="R819" s="604"/>
      <c r="S819" s="604"/>
      <c r="T819" s="604"/>
      <c r="U819" s="604"/>
      <c r="V819" s="604"/>
      <c r="W819" s="604"/>
      <c r="X819" s="604"/>
      <c r="Y819" s="604"/>
      <c r="Z819" s="604"/>
    </row>
    <row r="820" spans="1:26" ht="19.5">
      <c r="A820" s="907" t="s">
        <v>335</v>
      </c>
      <c r="B820" s="908"/>
      <c r="C820" s="908"/>
      <c r="D820" s="909"/>
      <c r="E820" s="908"/>
      <c r="F820" s="908"/>
      <c r="G820" s="910"/>
      <c r="H820" s="91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912"/>
      <c r="J820" s="912"/>
      <c r="K820" s="913"/>
      <c r="L820" s="913"/>
      <c r="M820" s="913"/>
      <c r="N820" s="913"/>
      <c r="O820" s="913"/>
      <c r="P820" s="913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</row>
    <row r="821" spans="1:26" ht="18.75">
      <c r="A821" s="744"/>
      <c r="B821" s="763" t="s">
        <v>326</v>
      </c>
      <c r="C821" s="763"/>
      <c r="D821" s="575"/>
      <c r="E821" s="763"/>
      <c r="F821" s="763"/>
      <c r="G821" s="189"/>
      <c r="H821" s="623" t="s">
        <v>12</v>
      </c>
      <c r="I821" s="270">
        <f ca="1">IFERROR(__xludf.DUMMYFUNCTION("IMPORTRANGE(""https://docs.google.com/spreadsheets/d/19vJNZY_5yjcGF2XGBMNZRCAIB0Kwfpjp8YEOfu-bneM/edit?usp=sharing"",""งานกองทุน!D32"")"),3766166.49)</f>
        <v>3766166.49</v>
      </c>
      <c r="J821" s="270">
        <f ca="1">IFERROR(__xludf.DUMMYFUNCTION("IMPORTRANGE(""https://docs.google.com/spreadsheets/d/19vJNZY_5yjcGF2XGBMNZRCAIB0Kwfpjp8YEOfu-bneM/edit?usp=sharing"",""งานกองทุน!F32"")"),4035910.18)</f>
        <v>4035910.18</v>
      </c>
      <c r="K821" s="498">
        <f t="shared" ref="K821:K828" ca="1" si="335">IF(I821&gt;0,J821*100/I821,0)</f>
        <v>107.16228798477785</v>
      </c>
      <c r="L821" s="498"/>
      <c r="M821" s="498"/>
      <c r="N821" s="498"/>
      <c r="O821" s="498"/>
      <c r="P821" s="49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</row>
    <row r="822" spans="1:26" ht="18.75">
      <c r="A822" s="744"/>
      <c r="B822" s="763"/>
      <c r="C822" s="763"/>
      <c r="D822" s="575"/>
      <c r="E822" s="763"/>
      <c r="F822" s="763"/>
      <c r="G822" s="189"/>
      <c r="H822" s="623" t="s">
        <v>35</v>
      </c>
      <c r="I822" s="270">
        <f ca="1">IFERROR(__xludf.DUMMYFUNCTION("IMPORTRANGE(""https://docs.google.com/spreadsheets/d/19vJNZY_5yjcGF2XGBMNZRCAIB0Kwfpjp8YEOfu-bneM/edit?usp=sharing"",""งานกองทุน!C32"")"),247)</f>
        <v>247</v>
      </c>
      <c r="J822" s="270">
        <f ca="1">IFERROR(__xludf.DUMMYFUNCTION("IMPORTRANGE(""https://docs.google.com/spreadsheets/d/19vJNZY_5yjcGF2XGBMNZRCAIB0Kwfpjp8YEOfu-bneM/edit?usp=sharing"",""งานกองทุน!E32"")"),333)</f>
        <v>333</v>
      </c>
      <c r="K822" s="498">
        <f t="shared" ca="1" si="335"/>
        <v>134.81781376518219</v>
      </c>
      <c r="L822" s="498"/>
      <c r="M822" s="498"/>
      <c r="N822" s="498"/>
      <c r="O822" s="498"/>
      <c r="P822" s="49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</row>
    <row r="823" spans="1:26" ht="18.75">
      <c r="A823" s="744"/>
      <c r="B823" s="763" t="s">
        <v>327</v>
      </c>
      <c r="C823" s="763"/>
      <c r="D823" s="575"/>
      <c r="E823" s="763"/>
      <c r="F823" s="763"/>
      <c r="G823" s="189"/>
      <c r="H823" s="623" t="s">
        <v>12</v>
      </c>
      <c r="I823" s="270">
        <f ca="1">IFERROR(__xludf.DUMMYFUNCTION("IMPORTRANGE(""https://docs.google.com/spreadsheets/d/19vJNZY_5yjcGF2XGBMNZRCAIB0Kwfpjp8YEOfu-bneM/edit?usp=sharing"",""งานกองทุน!I32"")"),10192766.94)</f>
        <v>10192766.939999999</v>
      </c>
      <c r="J823" s="270">
        <f ca="1">IFERROR(__xludf.DUMMYFUNCTION("IMPORTRANGE(""https://docs.google.com/spreadsheets/d/19vJNZY_5yjcGF2XGBMNZRCAIB0Kwfpjp8YEOfu-bneM/edit?usp=sharing"",""งานกองทุน!K32"")"),1729438.35)</f>
        <v>1729438.35</v>
      </c>
      <c r="K823" s="498">
        <f t="shared" ca="1" si="335"/>
        <v>16.967309859828898</v>
      </c>
      <c r="L823" s="498"/>
      <c r="M823" s="498"/>
      <c r="N823" s="498"/>
      <c r="O823" s="498"/>
      <c r="P823" s="49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</row>
    <row r="824" spans="1:26" ht="18.75">
      <c r="A824" s="744"/>
      <c r="B824" s="763"/>
      <c r="C824" s="763"/>
      <c r="D824" s="575"/>
      <c r="E824" s="763"/>
      <c r="F824" s="763"/>
      <c r="G824" s="189"/>
      <c r="H824" s="623" t="s">
        <v>35</v>
      </c>
      <c r="I824" s="270">
        <f ca="1">IFERROR(__xludf.DUMMYFUNCTION("IMPORTRANGE(""https://docs.google.com/spreadsheets/d/19vJNZY_5yjcGF2XGBMNZRCAIB0Kwfpjp8YEOfu-bneM/edit?usp=sharing"",""งานกองทุน!H32"")"),488)</f>
        <v>488</v>
      </c>
      <c r="J824" s="270">
        <f ca="1">IFERROR(__xludf.DUMMYFUNCTION("IMPORTRANGE(""https://docs.google.com/spreadsheets/d/19vJNZY_5yjcGF2XGBMNZRCAIB0Kwfpjp8YEOfu-bneM/edit?usp=sharing"",""งานกองทุน!J32"")"),210)</f>
        <v>210</v>
      </c>
      <c r="K824" s="498">
        <f t="shared" ca="1" si="335"/>
        <v>43.032786885245905</v>
      </c>
      <c r="L824" s="498"/>
      <c r="M824" s="498"/>
      <c r="N824" s="498"/>
      <c r="O824" s="498"/>
      <c r="P824" s="49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</row>
    <row r="825" spans="1:26" ht="18.75">
      <c r="A825" s="744"/>
      <c r="B825" s="763" t="s">
        <v>328</v>
      </c>
      <c r="C825" s="763"/>
      <c r="D825" s="575"/>
      <c r="E825" s="763"/>
      <c r="F825" s="763"/>
      <c r="G825" s="189"/>
      <c r="H825" s="623" t="s">
        <v>12</v>
      </c>
      <c r="I825" s="270">
        <f ca="1">IFERROR(__xludf.DUMMYFUNCTION("IMPORTRANGE(""https://docs.google.com/spreadsheets/d/19vJNZY_5yjcGF2XGBMNZRCAIB0Kwfpjp8YEOfu-bneM/edit?usp=sharing"",""งานกองทุน!N32"")"),2527062.04)</f>
        <v>2527062.04</v>
      </c>
      <c r="J825" s="270">
        <f ca="1">IFERROR(__xludf.DUMMYFUNCTION("IMPORTRANGE(""https://docs.google.com/spreadsheets/d/19vJNZY_5yjcGF2XGBMNZRCAIB0Kwfpjp8YEOfu-bneM/edit?usp=sharing"",""งานกองทุน!P32"")"),505729.43)</f>
        <v>505729.43</v>
      </c>
      <c r="K825" s="498">
        <f t="shared" ca="1" si="335"/>
        <v>20.012545081797832</v>
      </c>
      <c r="L825" s="498"/>
      <c r="M825" s="498"/>
      <c r="N825" s="498"/>
      <c r="O825" s="498"/>
      <c r="P825" s="49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</row>
    <row r="826" spans="1:26" ht="18.75">
      <c r="A826" s="744"/>
      <c r="B826" s="763"/>
      <c r="C826" s="763"/>
      <c r="D826" s="575"/>
      <c r="E826" s="763"/>
      <c r="F826" s="763"/>
      <c r="G826" s="189"/>
      <c r="H826" s="623" t="s">
        <v>35</v>
      </c>
      <c r="I826" s="270">
        <f ca="1">IFERROR(__xludf.DUMMYFUNCTION("IMPORTRANGE(""https://docs.google.com/spreadsheets/d/19vJNZY_5yjcGF2XGBMNZRCAIB0Kwfpjp8YEOfu-bneM/edit?usp=sharing"",""งานกองทุน!M32"")"),185)</f>
        <v>185</v>
      </c>
      <c r="J826" s="270">
        <f ca="1">IFERROR(__xludf.DUMMYFUNCTION("IMPORTRANGE(""https://docs.google.com/spreadsheets/d/19vJNZY_5yjcGF2XGBMNZRCAIB0Kwfpjp8YEOfu-bneM/edit?usp=sharing"",""งานกองทุน!O32"")"),162)</f>
        <v>162</v>
      </c>
      <c r="K826" s="498">
        <f t="shared" ca="1" si="335"/>
        <v>87.567567567567565</v>
      </c>
      <c r="L826" s="498"/>
      <c r="M826" s="498"/>
      <c r="N826" s="498"/>
      <c r="O826" s="498"/>
      <c r="P826" s="49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</row>
    <row r="827" spans="1:26" ht="18.75">
      <c r="A827" s="744"/>
      <c r="B827" s="763" t="s">
        <v>329</v>
      </c>
      <c r="C827" s="763"/>
      <c r="D827" s="575"/>
      <c r="E827" s="763"/>
      <c r="F827" s="763"/>
      <c r="G827" s="189"/>
      <c r="H827" s="623" t="s">
        <v>12</v>
      </c>
      <c r="I827" s="270">
        <f ca="1">IFERROR(__xludf.DUMMYFUNCTION("IMPORTRANGE(""https://docs.google.com/spreadsheets/d/19vJNZY_5yjcGF2XGBMNZRCAIB0Kwfpjp8YEOfu-bneM/edit?usp=sharing"",""งานกองทุน!S32"")"),5730000)</f>
        <v>5730000</v>
      </c>
      <c r="J827" s="270">
        <f ca="1">IFERROR(__xludf.DUMMYFUNCTION("IMPORTRANGE(""https://docs.google.com/spreadsheets/d/19vJNZY_5yjcGF2XGBMNZRCAIB0Kwfpjp8YEOfu-bneM/edit?usp=sharing"",""งานกองทุน!U32"")"),5730000)</f>
        <v>5730000</v>
      </c>
      <c r="K827" s="498">
        <f t="shared" ca="1" si="335"/>
        <v>100</v>
      </c>
      <c r="L827" s="498"/>
      <c r="M827" s="498"/>
      <c r="N827" s="498"/>
      <c r="O827" s="498"/>
      <c r="P827" s="49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</row>
    <row r="828" spans="1:26" ht="18.75">
      <c r="A828" s="841"/>
      <c r="B828" s="749"/>
      <c r="C828" s="749"/>
      <c r="D828" s="748"/>
      <c r="E828" s="749"/>
      <c r="F828" s="749"/>
      <c r="G828" s="842"/>
      <c r="H828" s="843" t="s">
        <v>35</v>
      </c>
      <c r="I828" s="506">
        <f ca="1">IFERROR(__xludf.DUMMYFUNCTION("IMPORTRANGE(""https://docs.google.com/spreadsheets/d/19vJNZY_5yjcGF2XGBMNZRCAIB0Kwfpjp8YEOfu-bneM/edit?usp=sharing"",""งานกองทุน!R32"")"),229)</f>
        <v>229</v>
      </c>
      <c r="J828" s="506">
        <f ca="1">IFERROR(__xludf.DUMMYFUNCTION("IMPORTRANGE(""https://docs.google.com/spreadsheets/d/19vJNZY_5yjcGF2XGBMNZRCAIB0Kwfpjp8YEOfu-bneM/edit?usp=sharing"",""งานกองทุน!T32"")"),132)</f>
        <v>132</v>
      </c>
      <c r="K828" s="507">
        <f t="shared" ca="1" si="335"/>
        <v>57.64192139737991</v>
      </c>
      <c r="L828" s="507"/>
      <c r="M828" s="507"/>
      <c r="N828" s="507"/>
      <c r="O828" s="507"/>
      <c r="P828" s="507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</row>
    <row r="829" spans="1:26" ht="18.75">
      <c r="A829" s="682"/>
      <c r="B829" s="682"/>
      <c r="C829" s="682"/>
      <c r="D829" s="914"/>
      <c r="E829" s="682"/>
      <c r="F829" s="682"/>
      <c r="G829" s="682"/>
      <c r="H829" s="915"/>
      <c r="I829" s="916"/>
      <c r="J829" s="916"/>
      <c r="K829" s="917"/>
      <c r="L829" s="917"/>
      <c r="M829" s="917"/>
      <c r="N829" s="917"/>
      <c r="O829" s="917"/>
      <c r="P829" s="917"/>
      <c r="Q829" s="578"/>
      <c r="R829" s="578"/>
      <c r="S829" s="578"/>
      <c r="T829" s="578"/>
      <c r="U829" s="578"/>
      <c r="V829" s="578"/>
      <c r="W829" s="578"/>
      <c r="X829" s="578"/>
      <c r="Y829" s="578"/>
      <c r="Z829" s="578"/>
    </row>
    <row r="830" spans="1:26" ht="18.75">
      <c r="A830" s="682"/>
      <c r="B830" s="682"/>
      <c r="C830" s="682"/>
      <c r="D830" s="914"/>
      <c r="E830" s="682"/>
      <c r="F830" s="682"/>
      <c r="G830" s="682"/>
      <c r="H830" s="915"/>
      <c r="I830" s="916"/>
      <c r="J830" s="916"/>
      <c r="K830" s="917"/>
      <c r="L830" s="917"/>
      <c r="M830" s="917"/>
      <c r="N830" s="917"/>
      <c r="O830" s="917"/>
      <c r="P830" s="917"/>
      <c r="Q830" s="578"/>
      <c r="R830" s="578"/>
      <c r="S830" s="578"/>
      <c r="T830" s="578"/>
      <c r="U830" s="578"/>
      <c r="V830" s="578"/>
      <c r="W830" s="578"/>
      <c r="X830" s="578"/>
      <c r="Y830" s="578"/>
      <c r="Z830" s="578"/>
    </row>
    <row r="831" spans="1:26" ht="18.75">
      <c r="A831" s="682"/>
      <c r="B831" s="682"/>
      <c r="C831" s="682"/>
      <c r="D831" s="914"/>
      <c r="E831" s="682"/>
      <c r="F831" s="682"/>
      <c r="G831" s="682"/>
      <c r="H831" s="915"/>
      <c r="I831" s="916"/>
      <c r="J831" s="916"/>
      <c r="K831" s="917"/>
      <c r="L831" s="917"/>
      <c r="M831" s="917"/>
      <c r="N831" s="917"/>
      <c r="O831" s="917"/>
      <c r="P831" s="917"/>
      <c r="Q831" s="578"/>
      <c r="R831" s="578"/>
      <c r="S831" s="578"/>
      <c r="T831" s="578"/>
      <c r="U831" s="578"/>
      <c r="V831" s="578"/>
      <c r="W831" s="578"/>
      <c r="X831" s="578"/>
      <c r="Y831" s="578"/>
      <c r="Z831" s="578"/>
    </row>
    <row r="832" spans="1:26" ht="18.75">
      <c r="A832" s="682"/>
      <c r="B832" s="682"/>
      <c r="C832" s="682"/>
      <c r="D832" s="914"/>
      <c r="E832" s="682"/>
      <c r="F832" s="682"/>
      <c r="G832" s="682"/>
      <c r="H832" s="915"/>
      <c r="I832" s="916"/>
      <c r="J832" s="916"/>
      <c r="K832" s="917"/>
      <c r="L832" s="917"/>
      <c r="M832" s="917"/>
      <c r="N832" s="917"/>
      <c r="O832" s="917"/>
      <c r="P832" s="917"/>
      <c r="Q832" s="578"/>
      <c r="R832" s="578"/>
      <c r="S832" s="578"/>
      <c r="T832" s="578"/>
      <c r="U832" s="578"/>
      <c r="V832" s="578"/>
      <c r="W832" s="578"/>
      <c r="X832" s="578"/>
      <c r="Y832" s="578"/>
      <c r="Z832" s="578"/>
    </row>
    <row r="833" spans="1:26" ht="18.75">
      <c r="A833" s="682"/>
      <c r="B833" s="682"/>
      <c r="C833" s="682"/>
      <c r="D833" s="914"/>
      <c r="E833" s="682"/>
      <c r="F833" s="682"/>
      <c r="G833" s="682"/>
      <c r="H833" s="915"/>
      <c r="I833" s="916"/>
      <c r="J833" s="916"/>
      <c r="K833" s="917"/>
      <c r="L833" s="917"/>
      <c r="M833" s="917"/>
      <c r="N833" s="917"/>
      <c r="O833" s="917"/>
      <c r="P833" s="917"/>
      <c r="Q833" s="578"/>
      <c r="R833" s="578"/>
      <c r="S833" s="578"/>
      <c r="T833" s="578"/>
      <c r="U833" s="578"/>
      <c r="V833" s="578"/>
      <c r="W833" s="578"/>
      <c r="X833" s="578"/>
      <c r="Y833" s="578"/>
      <c r="Z833" s="578"/>
    </row>
    <row r="834" spans="1:26" ht="18.75">
      <c r="A834" s="682"/>
      <c r="B834" s="682"/>
      <c r="C834" s="682"/>
      <c r="D834" s="914"/>
      <c r="E834" s="682"/>
      <c r="F834" s="682"/>
      <c r="G834" s="682"/>
      <c r="H834" s="915"/>
      <c r="I834" s="916"/>
      <c r="J834" s="916"/>
      <c r="K834" s="917"/>
      <c r="L834" s="917"/>
      <c r="M834" s="917"/>
      <c r="N834" s="917"/>
      <c r="O834" s="917"/>
      <c r="P834" s="917"/>
      <c r="Q834" s="578"/>
      <c r="R834" s="578"/>
      <c r="S834" s="578"/>
      <c r="T834" s="578"/>
      <c r="U834" s="578"/>
      <c r="V834" s="578"/>
      <c r="W834" s="578"/>
      <c r="X834" s="578"/>
      <c r="Y834" s="578"/>
      <c r="Z834" s="578"/>
    </row>
    <row r="835" spans="1:26" ht="18.75">
      <c r="A835" s="682"/>
      <c r="B835" s="682"/>
      <c r="C835" s="682"/>
      <c r="D835" s="914"/>
      <c r="E835" s="682"/>
      <c r="F835" s="682"/>
      <c r="G835" s="682"/>
      <c r="H835" s="915"/>
      <c r="I835" s="916"/>
      <c r="J835" s="916"/>
      <c r="K835" s="917"/>
      <c r="L835" s="917"/>
      <c r="M835" s="917"/>
      <c r="N835" s="917"/>
      <c r="O835" s="917"/>
      <c r="P835" s="917"/>
      <c r="Q835" s="578"/>
      <c r="R835" s="578"/>
      <c r="S835" s="578"/>
      <c r="T835" s="578"/>
      <c r="U835" s="578"/>
      <c r="V835" s="578"/>
      <c r="W835" s="578"/>
      <c r="X835" s="578"/>
      <c r="Y835" s="578"/>
      <c r="Z835" s="578"/>
    </row>
    <row r="836" spans="1:26" ht="18.75">
      <c r="A836" s="682"/>
      <c r="B836" s="682"/>
      <c r="C836" s="682"/>
      <c r="D836" s="914"/>
      <c r="E836" s="682"/>
      <c r="F836" s="682"/>
      <c r="G836" s="682"/>
      <c r="H836" s="915"/>
      <c r="I836" s="916"/>
      <c r="J836" s="916"/>
      <c r="K836" s="917"/>
      <c r="L836" s="917"/>
      <c r="M836" s="917"/>
      <c r="N836" s="917"/>
      <c r="O836" s="917"/>
      <c r="P836" s="917"/>
      <c r="Q836" s="578"/>
      <c r="R836" s="578"/>
      <c r="S836" s="578"/>
      <c r="T836" s="578"/>
      <c r="U836" s="578"/>
      <c r="V836" s="578"/>
      <c r="W836" s="578"/>
      <c r="X836" s="578"/>
      <c r="Y836" s="578"/>
      <c r="Z836" s="578"/>
    </row>
    <row r="837" spans="1:26" ht="18.75">
      <c r="A837" s="682"/>
      <c r="B837" s="682"/>
      <c r="C837" s="682"/>
      <c r="D837" s="914"/>
      <c r="E837" s="682"/>
      <c r="F837" s="682"/>
      <c r="G837" s="682"/>
      <c r="H837" s="915"/>
      <c r="I837" s="916"/>
      <c r="J837" s="916"/>
      <c r="K837" s="917"/>
      <c r="L837" s="917"/>
      <c r="M837" s="917"/>
      <c r="N837" s="917"/>
      <c r="O837" s="917"/>
      <c r="P837" s="917"/>
      <c r="Q837" s="578"/>
      <c r="R837" s="578"/>
      <c r="S837" s="578"/>
      <c r="T837" s="578"/>
      <c r="U837" s="578"/>
      <c r="V837" s="578"/>
      <c r="W837" s="578"/>
      <c r="X837" s="578"/>
      <c r="Y837" s="578"/>
      <c r="Z837" s="578"/>
    </row>
    <row r="838" spans="1:26" ht="18.75">
      <c r="A838" s="682"/>
      <c r="B838" s="682"/>
      <c r="C838" s="682"/>
      <c r="D838" s="914"/>
      <c r="E838" s="682"/>
      <c r="F838" s="682"/>
      <c r="G838" s="682"/>
      <c r="H838" s="915"/>
      <c r="I838" s="916"/>
      <c r="J838" s="916"/>
      <c r="K838" s="917"/>
      <c r="L838" s="917"/>
      <c r="M838" s="917"/>
      <c r="N838" s="917"/>
      <c r="O838" s="917"/>
      <c r="P838" s="917"/>
      <c r="Q838" s="578"/>
      <c r="R838" s="578"/>
      <c r="S838" s="578"/>
      <c r="T838" s="578"/>
      <c r="U838" s="578"/>
      <c r="V838" s="578"/>
      <c r="W838" s="578"/>
      <c r="X838" s="578"/>
      <c r="Y838" s="578"/>
      <c r="Z838" s="578"/>
    </row>
    <row r="839" spans="1:26" ht="18.75">
      <c r="A839" s="682"/>
      <c r="B839" s="682"/>
      <c r="C839" s="682"/>
      <c r="D839" s="914"/>
      <c r="E839" s="682"/>
      <c r="F839" s="682"/>
      <c r="G839" s="682"/>
      <c r="H839" s="915"/>
      <c r="I839" s="916"/>
      <c r="J839" s="916"/>
      <c r="K839" s="917"/>
      <c r="L839" s="917"/>
      <c r="M839" s="917"/>
      <c r="N839" s="917"/>
      <c r="O839" s="917"/>
      <c r="P839" s="917"/>
      <c r="Q839" s="578"/>
      <c r="R839" s="578"/>
      <c r="S839" s="578"/>
      <c r="T839" s="578"/>
      <c r="U839" s="578"/>
      <c r="V839" s="578"/>
      <c r="W839" s="578"/>
      <c r="X839" s="578"/>
      <c r="Y839" s="578"/>
      <c r="Z839" s="578"/>
    </row>
    <row r="840" spans="1:26" ht="18.75">
      <c r="A840" s="682"/>
      <c r="B840" s="682"/>
      <c r="C840" s="682"/>
      <c r="D840" s="914"/>
      <c r="E840" s="682"/>
      <c r="F840" s="682"/>
      <c r="G840" s="682"/>
      <c r="H840" s="915"/>
      <c r="I840" s="916"/>
      <c r="J840" s="916"/>
      <c r="K840" s="917"/>
      <c r="L840" s="917"/>
      <c r="M840" s="917"/>
      <c r="N840" s="917"/>
      <c r="O840" s="917"/>
      <c r="P840" s="917"/>
      <c r="Q840" s="578"/>
      <c r="R840" s="578"/>
      <c r="S840" s="578"/>
      <c r="T840" s="578"/>
      <c r="U840" s="578"/>
      <c r="V840" s="578"/>
      <c r="W840" s="578"/>
      <c r="X840" s="578"/>
      <c r="Y840" s="578"/>
      <c r="Z840" s="578"/>
    </row>
    <row r="841" spans="1:26" ht="18.75">
      <c r="A841" s="682"/>
      <c r="B841" s="682"/>
      <c r="C841" s="682"/>
      <c r="D841" s="914"/>
      <c r="E841" s="682"/>
      <c r="F841" s="682"/>
      <c r="G841" s="682"/>
      <c r="H841" s="915"/>
      <c r="I841" s="916"/>
      <c r="J841" s="916"/>
      <c r="K841" s="917"/>
      <c r="L841" s="917"/>
      <c r="M841" s="917"/>
      <c r="N841" s="917"/>
      <c r="O841" s="917"/>
      <c r="P841" s="917"/>
      <c r="Q841" s="578"/>
      <c r="R841" s="578"/>
      <c r="S841" s="578"/>
      <c r="T841" s="578"/>
      <c r="U841" s="578"/>
      <c r="V841" s="578"/>
      <c r="W841" s="578"/>
      <c r="X841" s="578"/>
      <c r="Y841" s="578"/>
      <c r="Z841" s="578"/>
    </row>
    <row r="842" spans="1:26" ht="18.75">
      <c r="A842" s="682"/>
      <c r="B842" s="682"/>
      <c r="C842" s="682"/>
      <c r="D842" s="914"/>
      <c r="E842" s="682"/>
      <c r="F842" s="682"/>
      <c r="G842" s="682"/>
      <c r="H842" s="915"/>
      <c r="I842" s="916"/>
      <c r="J842" s="916"/>
      <c r="K842" s="917"/>
      <c r="L842" s="917"/>
      <c r="M842" s="917"/>
      <c r="N842" s="917"/>
      <c r="O842" s="917"/>
      <c r="P842" s="917"/>
      <c r="Q842" s="578"/>
      <c r="R842" s="578"/>
      <c r="S842" s="578"/>
      <c r="T842" s="578"/>
      <c r="U842" s="578"/>
      <c r="V842" s="578"/>
      <c r="W842" s="578"/>
      <c r="X842" s="578"/>
      <c r="Y842" s="578"/>
      <c r="Z842" s="578"/>
    </row>
    <row r="843" spans="1:26" ht="18.75">
      <c r="A843" s="682"/>
      <c r="B843" s="682"/>
      <c r="C843" s="682"/>
      <c r="D843" s="914"/>
      <c r="E843" s="682"/>
      <c r="F843" s="682"/>
      <c r="G843" s="682"/>
      <c r="H843" s="915"/>
      <c r="I843" s="916"/>
      <c r="J843" s="916"/>
      <c r="K843" s="917"/>
      <c r="L843" s="917"/>
      <c r="M843" s="917"/>
      <c r="N843" s="917"/>
      <c r="O843" s="917"/>
      <c r="P843" s="917"/>
      <c r="Q843" s="578"/>
      <c r="R843" s="578"/>
      <c r="S843" s="578"/>
      <c r="T843" s="578"/>
      <c r="U843" s="578"/>
      <c r="V843" s="578"/>
      <c r="W843" s="578"/>
      <c r="X843" s="578"/>
      <c r="Y843" s="578"/>
      <c r="Z843" s="578"/>
    </row>
    <row r="844" spans="1:26" ht="18.75">
      <c r="A844" s="682"/>
      <c r="B844" s="682"/>
      <c r="C844" s="682"/>
      <c r="D844" s="914"/>
      <c r="E844" s="682"/>
      <c r="F844" s="682"/>
      <c r="G844" s="682"/>
      <c r="H844" s="915"/>
      <c r="I844" s="916"/>
      <c r="J844" s="916"/>
      <c r="K844" s="917"/>
      <c r="L844" s="917"/>
      <c r="M844" s="917"/>
      <c r="N844" s="917"/>
      <c r="O844" s="917"/>
      <c r="P844" s="917"/>
      <c r="Q844" s="578"/>
      <c r="R844" s="578"/>
      <c r="S844" s="578"/>
      <c r="T844" s="578"/>
      <c r="U844" s="578"/>
      <c r="V844" s="578"/>
      <c r="W844" s="578"/>
      <c r="X844" s="578"/>
      <c r="Y844" s="578"/>
      <c r="Z844" s="578"/>
    </row>
    <row r="845" spans="1:26" ht="18.75">
      <c r="A845" s="682"/>
      <c r="B845" s="682"/>
      <c r="C845" s="682"/>
      <c r="D845" s="914"/>
      <c r="E845" s="682"/>
      <c r="F845" s="682"/>
      <c r="G845" s="682"/>
      <c r="H845" s="915"/>
      <c r="I845" s="916"/>
      <c r="J845" s="916"/>
      <c r="K845" s="917"/>
      <c r="L845" s="917"/>
      <c r="M845" s="917"/>
      <c r="N845" s="917"/>
      <c r="O845" s="917"/>
      <c r="P845" s="917"/>
      <c r="Q845" s="578"/>
      <c r="R845" s="578"/>
      <c r="S845" s="578"/>
      <c r="T845" s="578"/>
      <c r="U845" s="578"/>
      <c r="V845" s="578"/>
      <c r="W845" s="578"/>
      <c r="X845" s="578"/>
      <c r="Y845" s="578"/>
      <c r="Z845" s="578"/>
    </row>
    <row r="846" spans="1:26" ht="18.75">
      <c r="A846" s="682"/>
      <c r="B846" s="682"/>
      <c r="C846" s="682"/>
      <c r="D846" s="914"/>
      <c r="E846" s="682"/>
      <c r="F846" s="682"/>
      <c r="G846" s="682"/>
      <c r="H846" s="915"/>
      <c r="I846" s="916"/>
      <c r="J846" s="916"/>
      <c r="K846" s="917"/>
      <c r="L846" s="917"/>
      <c r="M846" s="917"/>
      <c r="N846" s="917"/>
      <c r="O846" s="917"/>
      <c r="P846" s="917"/>
      <c r="Q846" s="578"/>
      <c r="R846" s="578"/>
      <c r="S846" s="578"/>
      <c r="T846" s="578"/>
      <c r="U846" s="578"/>
      <c r="V846" s="578"/>
      <c r="W846" s="578"/>
      <c r="X846" s="578"/>
      <c r="Y846" s="578"/>
      <c r="Z846" s="578"/>
    </row>
    <row r="847" spans="1:26" ht="18.75">
      <c r="A847" s="682"/>
      <c r="B847" s="682"/>
      <c r="C847" s="682"/>
      <c r="D847" s="914"/>
      <c r="E847" s="682"/>
      <c r="F847" s="682"/>
      <c r="G847" s="682"/>
      <c r="H847" s="915"/>
      <c r="I847" s="916"/>
      <c r="J847" s="916"/>
      <c r="K847" s="917"/>
      <c r="L847" s="917"/>
      <c r="M847" s="917"/>
      <c r="N847" s="917"/>
      <c r="O847" s="917"/>
      <c r="P847" s="917"/>
      <c r="Q847" s="578"/>
      <c r="R847" s="578"/>
      <c r="S847" s="578"/>
      <c r="T847" s="578"/>
      <c r="U847" s="578"/>
      <c r="V847" s="578"/>
      <c r="W847" s="578"/>
      <c r="X847" s="578"/>
      <c r="Y847" s="578"/>
      <c r="Z847" s="578"/>
    </row>
    <row r="848" spans="1:26" ht="18.75">
      <c r="A848" s="682"/>
      <c r="B848" s="682"/>
      <c r="C848" s="682"/>
      <c r="D848" s="914"/>
      <c r="E848" s="682"/>
      <c r="F848" s="682"/>
      <c r="G848" s="682"/>
      <c r="H848" s="915"/>
      <c r="I848" s="916"/>
      <c r="J848" s="916"/>
      <c r="K848" s="917"/>
      <c r="L848" s="917"/>
      <c r="M848" s="917"/>
      <c r="N848" s="917"/>
      <c r="O848" s="917"/>
      <c r="P848" s="917"/>
      <c r="Q848" s="578"/>
      <c r="R848" s="578"/>
      <c r="S848" s="578"/>
      <c r="T848" s="578"/>
      <c r="U848" s="578"/>
      <c r="V848" s="578"/>
      <c r="W848" s="578"/>
      <c r="X848" s="578"/>
      <c r="Y848" s="578"/>
      <c r="Z848" s="578"/>
    </row>
    <row r="849" spans="1:26" ht="18.75">
      <c r="A849" s="682"/>
      <c r="B849" s="682"/>
      <c r="C849" s="682"/>
      <c r="D849" s="914"/>
      <c r="E849" s="682"/>
      <c r="F849" s="682"/>
      <c r="G849" s="682"/>
      <c r="H849" s="915"/>
      <c r="I849" s="916"/>
      <c r="J849" s="916"/>
      <c r="K849" s="917"/>
      <c r="L849" s="917"/>
      <c r="M849" s="917"/>
      <c r="N849" s="917"/>
      <c r="O849" s="917"/>
      <c r="P849" s="917"/>
      <c r="Q849" s="578"/>
      <c r="R849" s="578"/>
      <c r="S849" s="578"/>
      <c r="T849" s="578"/>
      <c r="U849" s="578"/>
      <c r="V849" s="578"/>
      <c r="W849" s="578"/>
      <c r="X849" s="578"/>
      <c r="Y849" s="578"/>
      <c r="Z849" s="578"/>
    </row>
    <row r="850" spans="1:26" ht="18.75">
      <c r="A850" s="682"/>
      <c r="B850" s="682"/>
      <c r="C850" s="682"/>
      <c r="D850" s="914"/>
      <c r="E850" s="682"/>
      <c r="F850" s="682"/>
      <c r="G850" s="682"/>
      <c r="H850" s="915"/>
      <c r="I850" s="916"/>
      <c r="J850" s="916"/>
      <c r="K850" s="917"/>
      <c r="L850" s="917"/>
      <c r="M850" s="917"/>
      <c r="N850" s="917"/>
      <c r="O850" s="917"/>
      <c r="P850" s="917"/>
      <c r="Q850" s="578"/>
      <c r="R850" s="578"/>
      <c r="S850" s="578"/>
      <c r="T850" s="578"/>
      <c r="U850" s="578"/>
      <c r="V850" s="578"/>
      <c r="W850" s="578"/>
      <c r="X850" s="578"/>
      <c r="Y850" s="578"/>
      <c r="Z850" s="578"/>
    </row>
    <row r="851" spans="1:26" ht="18.75">
      <c r="A851" s="682"/>
      <c r="B851" s="682"/>
      <c r="C851" s="682"/>
      <c r="D851" s="914"/>
      <c r="E851" s="682"/>
      <c r="F851" s="682"/>
      <c r="G851" s="682"/>
      <c r="H851" s="915"/>
      <c r="I851" s="916"/>
      <c r="J851" s="916"/>
      <c r="K851" s="917"/>
      <c r="L851" s="917"/>
      <c r="M851" s="917"/>
      <c r="N851" s="917"/>
      <c r="O851" s="917"/>
      <c r="P851" s="917"/>
      <c r="Q851" s="578"/>
      <c r="R851" s="578"/>
      <c r="S851" s="578"/>
      <c r="T851" s="578"/>
      <c r="U851" s="578"/>
      <c r="V851" s="578"/>
      <c r="W851" s="578"/>
      <c r="X851" s="578"/>
      <c r="Y851" s="578"/>
      <c r="Z851" s="578"/>
    </row>
    <row r="852" spans="1:26" ht="18.75">
      <c r="A852" s="682"/>
      <c r="B852" s="682"/>
      <c r="C852" s="682"/>
      <c r="D852" s="914"/>
      <c r="E852" s="682"/>
      <c r="F852" s="682"/>
      <c r="G852" s="682"/>
      <c r="H852" s="915"/>
      <c r="I852" s="916"/>
      <c r="J852" s="916"/>
      <c r="K852" s="917"/>
      <c r="L852" s="917"/>
      <c r="M852" s="917"/>
      <c r="N852" s="917"/>
      <c r="O852" s="917"/>
      <c r="P852" s="917"/>
      <c r="Q852" s="578"/>
      <c r="R852" s="578"/>
      <c r="S852" s="578"/>
      <c r="T852" s="578"/>
      <c r="U852" s="578"/>
      <c r="V852" s="578"/>
      <c r="W852" s="578"/>
      <c r="X852" s="578"/>
      <c r="Y852" s="578"/>
      <c r="Z852" s="578"/>
    </row>
    <row r="853" spans="1:26" ht="18.75">
      <c r="A853" s="682"/>
      <c r="B853" s="682"/>
      <c r="C853" s="682"/>
      <c r="D853" s="914"/>
      <c r="E853" s="682"/>
      <c r="F853" s="682"/>
      <c r="G853" s="682"/>
      <c r="H853" s="915"/>
      <c r="I853" s="916"/>
      <c r="J853" s="916"/>
      <c r="K853" s="917"/>
      <c r="L853" s="917"/>
      <c r="M853" s="917"/>
      <c r="N853" s="917"/>
      <c r="O853" s="917"/>
      <c r="P853" s="917"/>
      <c r="Q853" s="578"/>
      <c r="R853" s="578"/>
      <c r="S853" s="578"/>
      <c r="T853" s="578"/>
      <c r="U853" s="578"/>
      <c r="V853" s="578"/>
      <c r="W853" s="578"/>
      <c r="X853" s="578"/>
      <c r="Y853" s="578"/>
      <c r="Z853" s="578"/>
    </row>
    <row r="854" spans="1:26" ht="18.75">
      <c r="A854" s="682"/>
      <c r="B854" s="682"/>
      <c r="C854" s="682"/>
      <c r="D854" s="914"/>
      <c r="E854" s="682"/>
      <c r="F854" s="682"/>
      <c r="G854" s="682"/>
      <c r="H854" s="915"/>
      <c r="I854" s="916"/>
      <c r="J854" s="916"/>
      <c r="K854" s="917"/>
      <c r="L854" s="917"/>
      <c r="M854" s="917"/>
      <c r="N854" s="917"/>
      <c r="O854" s="917"/>
      <c r="P854" s="917"/>
      <c r="Q854" s="578"/>
      <c r="R854" s="578"/>
      <c r="S854" s="578"/>
      <c r="T854" s="578"/>
      <c r="U854" s="578"/>
      <c r="V854" s="578"/>
      <c r="W854" s="578"/>
      <c r="X854" s="578"/>
      <c r="Y854" s="578"/>
      <c r="Z854" s="578"/>
    </row>
    <row r="855" spans="1:26" ht="18.75">
      <c r="A855" s="682"/>
      <c r="B855" s="682"/>
      <c r="C855" s="682"/>
      <c r="D855" s="914"/>
      <c r="E855" s="682"/>
      <c r="F855" s="682"/>
      <c r="G855" s="682"/>
      <c r="H855" s="915"/>
      <c r="I855" s="916"/>
      <c r="J855" s="916"/>
      <c r="K855" s="917"/>
      <c r="L855" s="917"/>
      <c r="M855" s="917"/>
      <c r="N855" s="917"/>
      <c r="O855" s="917"/>
      <c r="P855" s="917"/>
      <c r="Q855" s="578"/>
      <c r="R855" s="578"/>
      <c r="S855" s="578"/>
      <c r="T855" s="578"/>
      <c r="U855" s="578"/>
      <c r="V855" s="578"/>
      <c r="W855" s="578"/>
      <c r="X855" s="578"/>
      <c r="Y855" s="578"/>
      <c r="Z855" s="578"/>
    </row>
    <row r="856" spans="1:26" ht="18.75">
      <c r="A856" s="682"/>
      <c r="B856" s="682"/>
      <c r="C856" s="682"/>
      <c r="D856" s="914"/>
      <c r="E856" s="682"/>
      <c r="F856" s="682"/>
      <c r="G856" s="682"/>
      <c r="H856" s="915"/>
      <c r="I856" s="916"/>
      <c r="J856" s="916"/>
      <c r="K856" s="917"/>
      <c r="L856" s="917"/>
      <c r="M856" s="917"/>
      <c r="N856" s="917"/>
      <c r="O856" s="917"/>
      <c r="P856" s="917"/>
      <c r="Q856" s="578"/>
      <c r="R856" s="578"/>
      <c r="S856" s="578"/>
      <c r="T856" s="578"/>
      <c r="U856" s="578"/>
      <c r="V856" s="578"/>
      <c r="W856" s="578"/>
      <c r="X856" s="578"/>
      <c r="Y856" s="578"/>
      <c r="Z856" s="578"/>
    </row>
    <row r="857" spans="1:26" ht="18.75">
      <c r="A857" s="682"/>
      <c r="B857" s="682"/>
      <c r="C857" s="682"/>
      <c r="D857" s="914"/>
      <c r="E857" s="682"/>
      <c r="F857" s="682"/>
      <c r="G857" s="682"/>
      <c r="H857" s="915"/>
      <c r="I857" s="916"/>
      <c r="J857" s="916"/>
      <c r="K857" s="917"/>
      <c r="L857" s="917"/>
      <c r="M857" s="917"/>
      <c r="N857" s="917"/>
      <c r="O857" s="917"/>
      <c r="P857" s="917"/>
      <c r="Q857" s="578"/>
      <c r="R857" s="578"/>
      <c r="S857" s="578"/>
      <c r="T857" s="578"/>
      <c r="U857" s="578"/>
      <c r="V857" s="578"/>
      <c r="W857" s="578"/>
      <c r="X857" s="578"/>
      <c r="Y857" s="578"/>
      <c r="Z857" s="578"/>
    </row>
    <row r="858" spans="1:26" ht="18.75">
      <c r="A858" s="682"/>
      <c r="B858" s="682"/>
      <c r="C858" s="682"/>
      <c r="D858" s="914"/>
      <c r="E858" s="682"/>
      <c r="F858" s="682"/>
      <c r="G858" s="682"/>
      <c r="H858" s="915"/>
      <c r="I858" s="916"/>
      <c r="J858" s="916"/>
      <c r="K858" s="917"/>
      <c r="L858" s="917"/>
      <c r="M858" s="917"/>
      <c r="N858" s="917"/>
      <c r="O858" s="917"/>
      <c r="P858" s="917"/>
      <c r="Q858" s="578"/>
      <c r="R858" s="578"/>
      <c r="S858" s="578"/>
      <c r="T858" s="578"/>
      <c r="U858" s="578"/>
      <c r="V858" s="578"/>
      <c r="W858" s="578"/>
      <c r="X858" s="578"/>
      <c r="Y858" s="578"/>
      <c r="Z858" s="578"/>
    </row>
    <row r="859" spans="1:26" ht="18.75">
      <c r="A859" s="682"/>
      <c r="B859" s="682"/>
      <c r="C859" s="682"/>
      <c r="D859" s="914"/>
      <c r="E859" s="682"/>
      <c r="F859" s="682"/>
      <c r="G859" s="682"/>
      <c r="H859" s="915"/>
      <c r="I859" s="916"/>
      <c r="J859" s="916"/>
      <c r="K859" s="917"/>
      <c r="L859" s="917"/>
      <c r="M859" s="917"/>
      <c r="N859" s="917"/>
      <c r="O859" s="917"/>
      <c r="P859" s="917"/>
      <c r="Q859" s="578"/>
      <c r="R859" s="578"/>
      <c r="S859" s="578"/>
      <c r="T859" s="578"/>
      <c r="U859" s="578"/>
      <c r="V859" s="578"/>
      <c r="W859" s="578"/>
      <c r="X859" s="578"/>
      <c r="Y859" s="578"/>
      <c r="Z859" s="578"/>
    </row>
    <row r="860" spans="1:26" ht="18.75">
      <c r="A860" s="682"/>
      <c r="B860" s="682"/>
      <c r="C860" s="682"/>
      <c r="D860" s="914"/>
      <c r="E860" s="682"/>
      <c r="F860" s="682"/>
      <c r="G860" s="682"/>
      <c r="H860" s="915"/>
      <c r="I860" s="916"/>
      <c r="J860" s="916"/>
      <c r="K860" s="917"/>
      <c r="L860" s="917"/>
      <c r="M860" s="917"/>
      <c r="N860" s="917"/>
      <c r="O860" s="917"/>
      <c r="P860" s="917"/>
      <c r="Q860" s="578"/>
      <c r="R860" s="578"/>
      <c r="S860" s="578"/>
      <c r="T860" s="578"/>
      <c r="U860" s="578"/>
      <c r="V860" s="578"/>
      <c r="W860" s="578"/>
      <c r="X860" s="578"/>
      <c r="Y860" s="578"/>
      <c r="Z860" s="578"/>
    </row>
    <row r="861" spans="1:26" ht="18.75">
      <c r="A861" s="682"/>
      <c r="B861" s="682"/>
      <c r="C861" s="682"/>
      <c r="D861" s="914"/>
      <c r="E861" s="682"/>
      <c r="F861" s="682"/>
      <c r="G861" s="682"/>
      <c r="H861" s="915"/>
      <c r="I861" s="916"/>
      <c r="J861" s="916"/>
      <c r="K861" s="917"/>
      <c r="L861" s="917"/>
      <c r="M861" s="917"/>
      <c r="N861" s="917"/>
      <c r="O861" s="917"/>
      <c r="P861" s="917"/>
      <c r="Q861" s="578"/>
      <c r="R861" s="578"/>
      <c r="S861" s="578"/>
      <c r="T861" s="578"/>
      <c r="U861" s="578"/>
      <c r="V861" s="578"/>
      <c r="W861" s="578"/>
      <c r="X861" s="578"/>
      <c r="Y861" s="578"/>
      <c r="Z861" s="578"/>
    </row>
    <row r="862" spans="1:26" ht="18.75">
      <c r="A862" s="682"/>
      <c r="B862" s="682"/>
      <c r="C862" s="682"/>
      <c r="D862" s="914"/>
      <c r="E862" s="682"/>
      <c r="F862" s="682"/>
      <c r="G862" s="682"/>
      <c r="H862" s="915"/>
      <c r="I862" s="916"/>
      <c r="J862" s="916"/>
      <c r="K862" s="917"/>
      <c r="L862" s="917"/>
      <c r="M862" s="917"/>
      <c r="N862" s="917"/>
      <c r="O862" s="917"/>
      <c r="P862" s="917"/>
      <c r="Q862" s="578"/>
      <c r="R862" s="578"/>
      <c r="S862" s="578"/>
      <c r="T862" s="578"/>
      <c r="U862" s="578"/>
      <c r="V862" s="578"/>
      <c r="W862" s="578"/>
      <c r="X862" s="578"/>
      <c r="Y862" s="578"/>
      <c r="Z862" s="578"/>
    </row>
    <row r="863" spans="1:26" ht="18.75">
      <c r="A863" s="682"/>
      <c r="B863" s="682"/>
      <c r="C863" s="682"/>
      <c r="D863" s="914"/>
      <c r="E863" s="682"/>
      <c r="F863" s="682"/>
      <c r="G863" s="682"/>
      <c r="H863" s="915"/>
      <c r="I863" s="916"/>
      <c r="J863" s="916"/>
      <c r="K863" s="917"/>
      <c r="L863" s="917"/>
      <c r="M863" s="917"/>
      <c r="N863" s="917"/>
      <c r="O863" s="917"/>
      <c r="P863" s="917"/>
      <c r="Q863" s="578"/>
      <c r="R863" s="578"/>
      <c r="S863" s="578"/>
      <c r="T863" s="578"/>
      <c r="U863" s="578"/>
      <c r="V863" s="578"/>
      <c r="W863" s="578"/>
      <c r="X863" s="578"/>
      <c r="Y863" s="578"/>
      <c r="Z863" s="578"/>
    </row>
    <row r="864" spans="1:26" ht="18.75">
      <c r="A864" s="682"/>
      <c r="B864" s="682"/>
      <c r="C864" s="682"/>
      <c r="D864" s="914"/>
      <c r="E864" s="682"/>
      <c r="F864" s="682"/>
      <c r="G864" s="682"/>
      <c r="H864" s="915"/>
      <c r="I864" s="916"/>
      <c r="J864" s="916"/>
      <c r="K864" s="917"/>
      <c r="L864" s="917"/>
      <c r="M864" s="917"/>
      <c r="N864" s="917"/>
      <c r="O864" s="917"/>
      <c r="P864" s="917"/>
      <c r="Q864" s="578"/>
      <c r="R864" s="578"/>
      <c r="S864" s="578"/>
      <c r="T864" s="578"/>
      <c r="U864" s="578"/>
      <c r="V864" s="578"/>
      <c r="W864" s="578"/>
      <c r="X864" s="578"/>
      <c r="Y864" s="578"/>
      <c r="Z864" s="578"/>
    </row>
    <row r="865" spans="1:26" ht="18.75">
      <c r="A865" s="682"/>
      <c r="B865" s="682"/>
      <c r="C865" s="682"/>
      <c r="D865" s="914"/>
      <c r="E865" s="682"/>
      <c r="F865" s="682"/>
      <c r="G865" s="682"/>
      <c r="H865" s="915"/>
      <c r="I865" s="916"/>
      <c r="J865" s="916"/>
      <c r="K865" s="917"/>
      <c r="L865" s="917"/>
      <c r="M865" s="917"/>
      <c r="N865" s="917"/>
      <c r="O865" s="917"/>
      <c r="P865" s="917"/>
      <c r="Q865" s="578"/>
      <c r="R865" s="578"/>
      <c r="S865" s="578"/>
      <c r="T865" s="578"/>
      <c r="U865" s="578"/>
      <c r="V865" s="578"/>
      <c r="W865" s="578"/>
      <c r="X865" s="578"/>
      <c r="Y865" s="578"/>
      <c r="Z865" s="578"/>
    </row>
    <row r="866" spans="1:26" ht="18.75">
      <c r="A866" s="682"/>
      <c r="B866" s="682"/>
      <c r="C866" s="682"/>
      <c r="D866" s="914"/>
      <c r="E866" s="682"/>
      <c r="F866" s="682"/>
      <c r="G866" s="682"/>
      <c r="H866" s="915"/>
      <c r="I866" s="916"/>
      <c r="J866" s="916"/>
      <c r="K866" s="917"/>
      <c r="L866" s="917"/>
      <c r="M866" s="917"/>
      <c r="N866" s="917"/>
      <c r="O866" s="917"/>
      <c r="P866" s="917"/>
      <c r="Q866" s="578"/>
      <c r="R866" s="578"/>
      <c r="S866" s="578"/>
      <c r="T866" s="578"/>
      <c r="U866" s="578"/>
      <c r="V866" s="578"/>
      <c r="W866" s="578"/>
      <c r="X866" s="578"/>
      <c r="Y866" s="578"/>
      <c r="Z866" s="578"/>
    </row>
    <row r="867" spans="1:26" ht="18.75">
      <c r="A867" s="682"/>
      <c r="B867" s="682"/>
      <c r="C867" s="682"/>
      <c r="D867" s="914"/>
      <c r="E867" s="682"/>
      <c r="F867" s="682"/>
      <c r="G867" s="682"/>
      <c r="H867" s="915"/>
      <c r="I867" s="916"/>
      <c r="J867" s="916"/>
      <c r="K867" s="917"/>
      <c r="L867" s="917"/>
      <c r="M867" s="917"/>
      <c r="N867" s="917"/>
      <c r="O867" s="917"/>
      <c r="P867" s="917"/>
      <c r="Q867" s="578"/>
      <c r="R867" s="578"/>
      <c r="S867" s="578"/>
      <c r="T867" s="578"/>
      <c r="U867" s="578"/>
      <c r="V867" s="578"/>
      <c r="W867" s="578"/>
      <c r="X867" s="578"/>
      <c r="Y867" s="578"/>
      <c r="Z867" s="578"/>
    </row>
    <row r="868" spans="1:26" ht="18.75">
      <c r="A868" s="682"/>
      <c r="B868" s="682"/>
      <c r="C868" s="682"/>
      <c r="D868" s="914"/>
      <c r="E868" s="682"/>
      <c r="F868" s="682"/>
      <c r="G868" s="682"/>
      <c r="H868" s="915"/>
      <c r="I868" s="916"/>
      <c r="J868" s="916"/>
      <c r="K868" s="917"/>
      <c r="L868" s="917"/>
      <c r="M868" s="917"/>
      <c r="N868" s="917"/>
      <c r="O868" s="917"/>
      <c r="P868" s="917"/>
      <c r="Q868" s="578"/>
      <c r="R868" s="578"/>
      <c r="S868" s="578"/>
      <c r="T868" s="578"/>
      <c r="U868" s="578"/>
      <c r="V868" s="578"/>
      <c r="W868" s="578"/>
      <c r="X868" s="578"/>
      <c r="Y868" s="578"/>
      <c r="Z868" s="578"/>
    </row>
    <row r="869" spans="1:26" ht="18.75">
      <c r="A869" s="682"/>
      <c r="B869" s="682"/>
      <c r="C869" s="682"/>
      <c r="D869" s="914"/>
      <c r="E869" s="682"/>
      <c r="F869" s="682"/>
      <c r="G869" s="682"/>
      <c r="H869" s="915"/>
      <c r="I869" s="916"/>
      <c r="J869" s="916"/>
      <c r="K869" s="917"/>
      <c r="L869" s="917"/>
      <c r="M869" s="917"/>
      <c r="N869" s="917"/>
      <c r="O869" s="917"/>
      <c r="P869" s="917"/>
      <c r="Q869" s="578"/>
      <c r="R869" s="578"/>
      <c r="S869" s="578"/>
      <c r="T869" s="578"/>
      <c r="U869" s="578"/>
      <c r="V869" s="578"/>
      <c r="W869" s="578"/>
      <c r="X869" s="578"/>
      <c r="Y869" s="578"/>
      <c r="Z869" s="578"/>
    </row>
    <row r="870" spans="1:26" ht="18.75">
      <c r="A870" s="682"/>
      <c r="B870" s="682"/>
      <c r="C870" s="682"/>
      <c r="D870" s="914"/>
      <c r="E870" s="682"/>
      <c r="F870" s="682"/>
      <c r="G870" s="682"/>
      <c r="H870" s="915"/>
      <c r="I870" s="916"/>
      <c r="J870" s="916"/>
      <c r="K870" s="917"/>
      <c r="L870" s="917"/>
      <c r="M870" s="917"/>
      <c r="N870" s="917"/>
      <c r="O870" s="917"/>
      <c r="P870" s="917"/>
      <c r="Q870" s="578"/>
      <c r="R870" s="578"/>
      <c r="S870" s="578"/>
      <c r="T870" s="578"/>
      <c r="U870" s="578"/>
      <c r="V870" s="578"/>
      <c r="W870" s="578"/>
      <c r="X870" s="578"/>
      <c r="Y870" s="578"/>
      <c r="Z870" s="578"/>
    </row>
    <row r="871" spans="1:26" ht="18.75">
      <c r="A871" s="682"/>
      <c r="B871" s="682"/>
      <c r="C871" s="682"/>
      <c r="D871" s="914"/>
      <c r="E871" s="682"/>
      <c r="F871" s="682"/>
      <c r="G871" s="682"/>
      <c r="H871" s="915"/>
      <c r="I871" s="916"/>
      <c r="J871" s="916"/>
      <c r="K871" s="917"/>
      <c r="L871" s="917"/>
      <c r="M871" s="917"/>
      <c r="N871" s="917"/>
      <c r="O871" s="917"/>
      <c r="P871" s="917"/>
      <c r="Q871" s="578"/>
      <c r="R871" s="578"/>
      <c r="S871" s="578"/>
      <c r="T871" s="578"/>
      <c r="U871" s="578"/>
      <c r="V871" s="578"/>
      <c r="W871" s="578"/>
      <c r="X871" s="578"/>
      <c r="Y871" s="578"/>
      <c r="Z871" s="578"/>
    </row>
    <row r="872" spans="1:26" ht="18.75">
      <c r="A872" s="682"/>
      <c r="B872" s="682"/>
      <c r="C872" s="682"/>
      <c r="D872" s="914"/>
      <c r="E872" s="682"/>
      <c r="F872" s="682"/>
      <c r="G872" s="682"/>
      <c r="H872" s="915"/>
      <c r="I872" s="916"/>
      <c r="J872" s="916"/>
      <c r="K872" s="917"/>
      <c r="L872" s="917"/>
      <c r="M872" s="917"/>
      <c r="N872" s="917"/>
      <c r="O872" s="917"/>
      <c r="P872" s="917"/>
      <c r="Q872" s="578"/>
      <c r="R872" s="578"/>
      <c r="S872" s="578"/>
      <c r="T872" s="578"/>
      <c r="U872" s="578"/>
      <c r="V872" s="578"/>
      <c r="W872" s="578"/>
      <c r="X872" s="578"/>
      <c r="Y872" s="578"/>
      <c r="Z872" s="578"/>
    </row>
    <row r="873" spans="1:26" ht="18.75">
      <c r="A873" s="682"/>
      <c r="B873" s="682"/>
      <c r="C873" s="682"/>
      <c r="D873" s="914"/>
      <c r="E873" s="682"/>
      <c r="F873" s="682"/>
      <c r="G873" s="682"/>
      <c r="H873" s="915"/>
      <c r="I873" s="916"/>
      <c r="J873" s="916"/>
      <c r="K873" s="917"/>
      <c r="L873" s="917"/>
      <c r="M873" s="917"/>
      <c r="N873" s="917"/>
      <c r="O873" s="917"/>
      <c r="P873" s="917"/>
      <c r="Q873" s="578"/>
      <c r="R873" s="578"/>
      <c r="S873" s="578"/>
      <c r="T873" s="578"/>
      <c r="U873" s="578"/>
      <c r="V873" s="578"/>
      <c r="W873" s="578"/>
      <c r="X873" s="578"/>
      <c r="Y873" s="578"/>
      <c r="Z873" s="578"/>
    </row>
    <row r="874" spans="1:26" ht="18.75">
      <c r="A874" s="682"/>
      <c r="B874" s="682"/>
      <c r="C874" s="682"/>
      <c r="D874" s="914"/>
      <c r="E874" s="682"/>
      <c r="F874" s="682"/>
      <c r="G874" s="682"/>
      <c r="H874" s="915"/>
      <c r="I874" s="916"/>
      <c r="J874" s="916"/>
      <c r="K874" s="917"/>
      <c r="L874" s="917"/>
      <c r="M874" s="917"/>
      <c r="N874" s="917"/>
      <c r="O874" s="917"/>
      <c r="P874" s="917"/>
      <c r="Q874" s="578"/>
      <c r="R874" s="578"/>
      <c r="S874" s="578"/>
      <c r="T874" s="578"/>
      <c r="U874" s="578"/>
      <c r="V874" s="578"/>
      <c r="W874" s="578"/>
      <c r="X874" s="578"/>
      <c r="Y874" s="578"/>
      <c r="Z874" s="578"/>
    </row>
    <row r="875" spans="1:26" ht="18.75">
      <c r="A875" s="682"/>
      <c r="B875" s="682"/>
      <c r="C875" s="682"/>
      <c r="D875" s="914"/>
      <c r="E875" s="682"/>
      <c r="F875" s="682"/>
      <c r="G875" s="682"/>
      <c r="H875" s="915"/>
      <c r="I875" s="916"/>
      <c r="J875" s="916"/>
      <c r="K875" s="917"/>
      <c r="L875" s="917"/>
      <c r="M875" s="917"/>
      <c r="N875" s="917"/>
      <c r="O875" s="917"/>
      <c r="P875" s="917"/>
      <c r="Q875" s="578"/>
      <c r="R875" s="578"/>
      <c r="S875" s="578"/>
      <c r="T875" s="578"/>
      <c r="U875" s="578"/>
      <c r="V875" s="578"/>
      <c r="W875" s="578"/>
      <c r="X875" s="578"/>
      <c r="Y875" s="578"/>
      <c r="Z875" s="578"/>
    </row>
    <row r="876" spans="1:26" ht="18.75">
      <c r="A876" s="682"/>
      <c r="B876" s="682"/>
      <c r="C876" s="682"/>
      <c r="D876" s="914"/>
      <c r="E876" s="682"/>
      <c r="F876" s="682"/>
      <c r="G876" s="682"/>
      <c r="H876" s="915"/>
      <c r="I876" s="916"/>
      <c r="J876" s="916"/>
      <c r="K876" s="917"/>
      <c r="L876" s="917"/>
      <c r="M876" s="917"/>
      <c r="N876" s="917"/>
      <c r="O876" s="917"/>
      <c r="P876" s="917"/>
      <c r="Q876" s="578"/>
      <c r="R876" s="578"/>
      <c r="S876" s="578"/>
      <c r="T876" s="578"/>
      <c r="U876" s="578"/>
      <c r="V876" s="578"/>
      <c r="W876" s="578"/>
      <c r="X876" s="578"/>
      <c r="Y876" s="578"/>
      <c r="Z876" s="578"/>
    </row>
    <row r="877" spans="1:26" ht="18.75">
      <c r="A877" s="682"/>
      <c r="B877" s="682"/>
      <c r="C877" s="682"/>
      <c r="D877" s="914"/>
      <c r="E877" s="682"/>
      <c r="F877" s="682"/>
      <c r="G877" s="682"/>
      <c r="H877" s="915"/>
      <c r="I877" s="916"/>
      <c r="J877" s="916"/>
      <c r="K877" s="917"/>
      <c r="L877" s="917"/>
      <c r="M877" s="917"/>
      <c r="N877" s="917"/>
      <c r="O877" s="917"/>
      <c r="P877" s="917"/>
      <c r="Q877" s="578"/>
      <c r="R877" s="578"/>
      <c r="S877" s="578"/>
      <c r="T877" s="578"/>
      <c r="U877" s="578"/>
      <c r="V877" s="578"/>
      <c r="W877" s="578"/>
      <c r="X877" s="578"/>
      <c r="Y877" s="578"/>
      <c r="Z877" s="578"/>
    </row>
    <row r="878" spans="1:26" ht="18.75">
      <c r="A878" s="682"/>
      <c r="B878" s="682"/>
      <c r="C878" s="682"/>
      <c r="D878" s="914"/>
      <c r="E878" s="682"/>
      <c r="F878" s="682"/>
      <c r="G878" s="682"/>
      <c r="H878" s="915"/>
      <c r="I878" s="916"/>
      <c r="J878" s="916"/>
      <c r="K878" s="917"/>
      <c r="L878" s="917"/>
      <c r="M878" s="917"/>
      <c r="N878" s="917"/>
      <c r="O878" s="917"/>
      <c r="P878" s="917"/>
      <c r="Q878" s="578"/>
      <c r="R878" s="578"/>
      <c r="S878" s="578"/>
      <c r="T878" s="578"/>
      <c r="U878" s="578"/>
      <c r="V878" s="578"/>
      <c r="W878" s="578"/>
      <c r="X878" s="578"/>
      <c r="Y878" s="578"/>
      <c r="Z878" s="578"/>
    </row>
    <row r="879" spans="1:26" ht="18.75">
      <c r="A879" s="682"/>
      <c r="B879" s="682"/>
      <c r="C879" s="682"/>
      <c r="D879" s="914"/>
      <c r="E879" s="682"/>
      <c r="F879" s="682"/>
      <c r="G879" s="682"/>
      <c r="H879" s="915"/>
      <c r="I879" s="916"/>
      <c r="J879" s="916"/>
      <c r="K879" s="917"/>
      <c r="L879" s="917"/>
      <c r="M879" s="917"/>
      <c r="N879" s="917"/>
      <c r="O879" s="917"/>
      <c r="P879" s="917"/>
      <c r="Q879" s="578"/>
      <c r="R879" s="578"/>
      <c r="S879" s="578"/>
      <c r="T879" s="578"/>
      <c r="U879" s="578"/>
      <c r="V879" s="578"/>
      <c r="W879" s="578"/>
      <c r="X879" s="578"/>
      <c r="Y879" s="578"/>
      <c r="Z879" s="578"/>
    </row>
    <row r="880" spans="1:26" ht="18.75">
      <c r="A880" s="682"/>
      <c r="B880" s="682"/>
      <c r="C880" s="682"/>
      <c r="D880" s="914"/>
      <c r="E880" s="682"/>
      <c r="F880" s="682"/>
      <c r="G880" s="682"/>
      <c r="H880" s="915"/>
      <c r="I880" s="916"/>
      <c r="J880" s="916"/>
      <c r="K880" s="917"/>
      <c r="L880" s="917"/>
      <c r="M880" s="917"/>
      <c r="N880" s="917"/>
      <c r="O880" s="917"/>
      <c r="P880" s="917"/>
      <c r="Q880" s="578"/>
      <c r="R880" s="578"/>
      <c r="S880" s="578"/>
      <c r="T880" s="578"/>
      <c r="U880" s="578"/>
      <c r="V880" s="578"/>
      <c r="W880" s="578"/>
      <c r="X880" s="578"/>
      <c r="Y880" s="578"/>
      <c r="Z880" s="578"/>
    </row>
    <row r="881" spans="1:26" ht="18.75">
      <c r="A881" s="682"/>
      <c r="B881" s="682"/>
      <c r="C881" s="682"/>
      <c r="D881" s="914"/>
      <c r="E881" s="682"/>
      <c r="F881" s="682"/>
      <c r="G881" s="682"/>
      <c r="H881" s="915"/>
      <c r="I881" s="916"/>
      <c r="J881" s="916"/>
      <c r="K881" s="917"/>
      <c r="L881" s="917"/>
      <c r="M881" s="917"/>
      <c r="N881" s="917"/>
      <c r="O881" s="917"/>
      <c r="P881" s="917"/>
      <c r="Q881" s="578"/>
      <c r="R881" s="578"/>
      <c r="S881" s="578"/>
      <c r="T881" s="578"/>
      <c r="U881" s="578"/>
      <c r="V881" s="578"/>
      <c r="W881" s="578"/>
      <c r="X881" s="578"/>
      <c r="Y881" s="578"/>
      <c r="Z881" s="578"/>
    </row>
    <row r="882" spans="1:26" ht="18.75">
      <c r="A882" s="682"/>
      <c r="B882" s="682"/>
      <c r="C882" s="682"/>
      <c r="D882" s="914"/>
      <c r="E882" s="682"/>
      <c r="F882" s="682"/>
      <c r="G882" s="682"/>
      <c r="H882" s="915"/>
      <c r="I882" s="916"/>
      <c r="J882" s="916"/>
      <c r="K882" s="917"/>
      <c r="L882" s="917"/>
      <c r="M882" s="917"/>
      <c r="N882" s="917"/>
      <c r="O882" s="917"/>
      <c r="P882" s="917"/>
      <c r="Q882" s="578"/>
      <c r="R882" s="578"/>
      <c r="S882" s="578"/>
      <c r="T882" s="578"/>
      <c r="U882" s="578"/>
      <c r="V882" s="578"/>
      <c r="W882" s="578"/>
      <c r="X882" s="578"/>
      <c r="Y882" s="578"/>
      <c r="Z882" s="578"/>
    </row>
    <row r="883" spans="1:26" ht="18.75">
      <c r="A883" s="682"/>
      <c r="B883" s="682"/>
      <c r="C883" s="682"/>
      <c r="D883" s="914"/>
      <c r="E883" s="682"/>
      <c r="F883" s="682"/>
      <c r="G883" s="682"/>
      <c r="H883" s="915"/>
      <c r="I883" s="916"/>
      <c r="J883" s="916"/>
      <c r="K883" s="917"/>
      <c r="L883" s="917"/>
      <c r="M883" s="917"/>
      <c r="N883" s="917"/>
      <c r="O883" s="917"/>
      <c r="P883" s="917"/>
      <c r="Q883" s="578"/>
      <c r="R883" s="578"/>
      <c r="S883" s="578"/>
      <c r="T883" s="578"/>
      <c r="U883" s="578"/>
      <c r="V883" s="578"/>
      <c r="W883" s="578"/>
      <c r="X883" s="578"/>
      <c r="Y883" s="578"/>
      <c r="Z883" s="578"/>
    </row>
    <row r="884" spans="1:26" ht="18.75">
      <c r="A884" s="682"/>
      <c r="B884" s="682"/>
      <c r="C884" s="682"/>
      <c r="D884" s="914"/>
      <c r="E884" s="682"/>
      <c r="F884" s="682"/>
      <c r="G884" s="682"/>
      <c r="H884" s="915"/>
      <c r="I884" s="916"/>
      <c r="J884" s="916"/>
      <c r="K884" s="917"/>
      <c r="L884" s="917"/>
      <c r="M884" s="917"/>
      <c r="N884" s="917"/>
      <c r="O884" s="917"/>
      <c r="P884" s="917"/>
      <c r="Q884" s="578"/>
      <c r="R884" s="578"/>
      <c r="S884" s="578"/>
      <c r="T884" s="578"/>
      <c r="U884" s="578"/>
      <c r="V884" s="578"/>
      <c r="W884" s="578"/>
      <c r="X884" s="578"/>
      <c r="Y884" s="578"/>
      <c r="Z884" s="578"/>
    </row>
    <row r="885" spans="1:26" ht="18.75">
      <c r="A885" s="682"/>
      <c r="B885" s="682"/>
      <c r="C885" s="682"/>
      <c r="D885" s="914"/>
      <c r="E885" s="682"/>
      <c r="F885" s="682"/>
      <c r="G885" s="682"/>
      <c r="H885" s="915"/>
      <c r="I885" s="916"/>
      <c r="J885" s="916"/>
      <c r="K885" s="917"/>
      <c r="L885" s="917"/>
      <c r="M885" s="917"/>
      <c r="N885" s="917"/>
      <c r="O885" s="917"/>
      <c r="P885" s="917"/>
      <c r="Q885" s="578"/>
      <c r="R885" s="578"/>
      <c r="S885" s="578"/>
      <c r="T885" s="578"/>
      <c r="U885" s="578"/>
      <c r="V885" s="578"/>
      <c r="W885" s="578"/>
      <c r="X885" s="578"/>
      <c r="Y885" s="578"/>
      <c r="Z885" s="578"/>
    </row>
    <row r="886" spans="1:26" ht="18.75">
      <c r="A886" s="682"/>
      <c r="B886" s="682"/>
      <c r="C886" s="682"/>
      <c r="D886" s="914"/>
      <c r="E886" s="682"/>
      <c r="F886" s="682"/>
      <c r="G886" s="682"/>
      <c r="H886" s="915"/>
      <c r="I886" s="916"/>
      <c r="J886" s="916"/>
      <c r="K886" s="917"/>
      <c r="L886" s="917"/>
      <c r="M886" s="917"/>
      <c r="N886" s="917"/>
      <c r="O886" s="917"/>
      <c r="P886" s="917"/>
      <c r="Q886" s="578"/>
      <c r="R886" s="578"/>
      <c r="S886" s="578"/>
      <c r="T886" s="578"/>
      <c r="U886" s="578"/>
      <c r="V886" s="578"/>
      <c r="W886" s="578"/>
      <c r="X886" s="578"/>
      <c r="Y886" s="578"/>
      <c r="Z886" s="578"/>
    </row>
    <row r="887" spans="1:26" ht="18.75">
      <c r="A887" s="682"/>
      <c r="B887" s="682"/>
      <c r="C887" s="682"/>
      <c r="D887" s="914"/>
      <c r="E887" s="682"/>
      <c r="F887" s="682"/>
      <c r="G887" s="682"/>
      <c r="H887" s="915"/>
      <c r="I887" s="916"/>
      <c r="J887" s="916"/>
      <c r="K887" s="917"/>
      <c r="L887" s="917"/>
      <c r="M887" s="917"/>
      <c r="N887" s="917"/>
      <c r="O887" s="917"/>
      <c r="P887" s="917"/>
      <c r="Q887" s="578"/>
      <c r="R887" s="578"/>
      <c r="S887" s="578"/>
      <c r="T887" s="578"/>
      <c r="U887" s="578"/>
      <c r="V887" s="578"/>
      <c r="W887" s="578"/>
      <c r="X887" s="578"/>
      <c r="Y887" s="578"/>
      <c r="Z887" s="578"/>
    </row>
    <row r="888" spans="1:26" ht="18.75">
      <c r="A888" s="682"/>
      <c r="B888" s="682"/>
      <c r="C888" s="682"/>
      <c r="D888" s="914"/>
      <c r="E888" s="682"/>
      <c r="F888" s="682"/>
      <c r="G888" s="682"/>
      <c r="H888" s="915"/>
      <c r="I888" s="916"/>
      <c r="J888" s="916"/>
      <c r="K888" s="917"/>
      <c r="L888" s="917"/>
      <c r="M888" s="917"/>
      <c r="N888" s="917"/>
      <c r="O888" s="917"/>
      <c r="P888" s="917"/>
      <c r="Q888" s="578"/>
      <c r="R888" s="578"/>
      <c r="S888" s="578"/>
      <c r="T888" s="578"/>
      <c r="U888" s="578"/>
      <c r="V888" s="578"/>
      <c r="W888" s="578"/>
      <c r="X888" s="578"/>
      <c r="Y888" s="578"/>
      <c r="Z888" s="578"/>
    </row>
    <row r="889" spans="1:26" ht="18.75">
      <c r="A889" s="682"/>
      <c r="B889" s="682"/>
      <c r="C889" s="682"/>
      <c r="D889" s="914"/>
      <c r="E889" s="682"/>
      <c r="F889" s="682"/>
      <c r="G889" s="682"/>
      <c r="H889" s="915"/>
      <c r="I889" s="916"/>
      <c r="J889" s="916"/>
      <c r="K889" s="917"/>
      <c r="L889" s="917"/>
      <c r="M889" s="917"/>
      <c r="N889" s="917"/>
      <c r="O889" s="917"/>
      <c r="P889" s="917"/>
      <c r="Q889" s="578"/>
      <c r="R889" s="578"/>
      <c r="S889" s="578"/>
      <c r="T889" s="578"/>
      <c r="U889" s="578"/>
      <c r="V889" s="578"/>
      <c r="W889" s="578"/>
      <c r="X889" s="578"/>
      <c r="Y889" s="578"/>
      <c r="Z889" s="578"/>
    </row>
    <row r="890" spans="1:26" ht="18.75">
      <c r="A890" s="682"/>
      <c r="B890" s="682"/>
      <c r="C890" s="682"/>
      <c r="D890" s="914"/>
      <c r="E890" s="682"/>
      <c r="F890" s="682"/>
      <c r="G890" s="682"/>
      <c r="H890" s="915"/>
      <c r="I890" s="916"/>
      <c r="J890" s="916"/>
      <c r="K890" s="917"/>
      <c r="L890" s="917"/>
      <c r="M890" s="917"/>
      <c r="N890" s="917"/>
      <c r="O890" s="917"/>
      <c r="P890" s="917"/>
      <c r="Q890" s="578"/>
      <c r="R890" s="578"/>
      <c r="S890" s="578"/>
      <c r="T890" s="578"/>
      <c r="U890" s="578"/>
      <c r="V890" s="578"/>
      <c r="W890" s="578"/>
      <c r="X890" s="578"/>
      <c r="Y890" s="578"/>
      <c r="Z890" s="578"/>
    </row>
    <row r="891" spans="1:26" ht="18.75">
      <c r="A891" s="682"/>
      <c r="B891" s="682"/>
      <c r="C891" s="682"/>
      <c r="D891" s="914"/>
      <c r="E891" s="682"/>
      <c r="F891" s="682"/>
      <c r="G891" s="682"/>
      <c r="H891" s="915"/>
      <c r="I891" s="916"/>
      <c r="J891" s="916"/>
      <c r="K891" s="917"/>
      <c r="L891" s="917"/>
      <c r="M891" s="917"/>
      <c r="N891" s="917"/>
      <c r="O891" s="917"/>
      <c r="P891" s="917"/>
      <c r="Q891" s="578"/>
      <c r="R891" s="578"/>
      <c r="S891" s="578"/>
      <c r="T891" s="578"/>
      <c r="U891" s="578"/>
      <c r="V891" s="578"/>
      <c r="W891" s="578"/>
      <c r="X891" s="578"/>
      <c r="Y891" s="578"/>
      <c r="Z891" s="578"/>
    </row>
    <row r="892" spans="1:26" ht="18.75">
      <c r="A892" s="682"/>
      <c r="B892" s="682"/>
      <c r="C892" s="682"/>
      <c r="D892" s="914"/>
      <c r="E892" s="682"/>
      <c r="F892" s="682"/>
      <c r="G892" s="682"/>
      <c r="H892" s="915"/>
      <c r="I892" s="916"/>
      <c r="J892" s="916"/>
      <c r="K892" s="917"/>
      <c r="L892" s="917"/>
      <c r="M892" s="917"/>
      <c r="N892" s="917"/>
      <c r="O892" s="917"/>
      <c r="P892" s="917"/>
      <c r="Q892" s="578"/>
      <c r="R892" s="578"/>
      <c r="S892" s="578"/>
      <c r="T892" s="578"/>
      <c r="U892" s="578"/>
      <c r="V892" s="578"/>
      <c r="W892" s="578"/>
      <c r="X892" s="578"/>
      <c r="Y892" s="578"/>
      <c r="Z892" s="578"/>
    </row>
    <row r="893" spans="1:26" ht="18.75">
      <c r="A893" s="682"/>
      <c r="B893" s="682"/>
      <c r="C893" s="682"/>
      <c r="D893" s="914"/>
      <c r="E893" s="682"/>
      <c r="F893" s="682"/>
      <c r="G893" s="682"/>
      <c r="H893" s="915"/>
      <c r="I893" s="916"/>
      <c r="J893" s="916"/>
      <c r="K893" s="917"/>
      <c r="L893" s="917"/>
      <c r="M893" s="917"/>
      <c r="N893" s="917"/>
      <c r="O893" s="917"/>
      <c r="P893" s="917"/>
      <c r="Q893" s="578"/>
      <c r="R893" s="578"/>
      <c r="S893" s="578"/>
      <c r="T893" s="578"/>
      <c r="U893" s="578"/>
      <c r="V893" s="578"/>
      <c r="W893" s="578"/>
      <c r="X893" s="578"/>
      <c r="Y893" s="578"/>
      <c r="Z893" s="578"/>
    </row>
    <row r="894" spans="1:26" ht="18.75">
      <c r="A894" s="682"/>
      <c r="B894" s="682"/>
      <c r="C894" s="682"/>
      <c r="D894" s="914"/>
      <c r="E894" s="682"/>
      <c r="F894" s="682"/>
      <c r="G894" s="682"/>
      <c r="H894" s="915"/>
      <c r="I894" s="916"/>
      <c r="J894" s="916"/>
      <c r="K894" s="917"/>
      <c r="L894" s="917"/>
      <c r="M894" s="917"/>
      <c r="N894" s="917"/>
      <c r="O894" s="917"/>
      <c r="P894" s="917"/>
      <c r="Q894" s="578"/>
      <c r="R894" s="578"/>
      <c r="S894" s="578"/>
      <c r="T894" s="578"/>
      <c r="U894" s="578"/>
      <c r="V894" s="578"/>
      <c r="W894" s="578"/>
      <c r="X894" s="578"/>
      <c r="Y894" s="578"/>
      <c r="Z894" s="578"/>
    </row>
    <row r="895" spans="1:26" ht="18.75">
      <c r="A895" s="682"/>
      <c r="B895" s="682"/>
      <c r="C895" s="682"/>
      <c r="D895" s="914"/>
      <c r="E895" s="682"/>
      <c r="F895" s="682"/>
      <c r="G895" s="682"/>
      <c r="H895" s="915"/>
      <c r="I895" s="916"/>
      <c r="J895" s="916"/>
      <c r="K895" s="917"/>
      <c r="L895" s="917"/>
      <c r="M895" s="917"/>
      <c r="N895" s="917"/>
      <c r="O895" s="917"/>
      <c r="P895" s="917"/>
      <c r="Q895" s="578"/>
      <c r="R895" s="578"/>
      <c r="S895" s="578"/>
      <c r="T895" s="578"/>
      <c r="U895" s="578"/>
      <c r="V895" s="578"/>
      <c r="W895" s="578"/>
      <c r="X895" s="578"/>
      <c r="Y895" s="578"/>
      <c r="Z895" s="578"/>
    </row>
    <row r="896" spans="1:26" ht="18.75">
      <c r="A896" s="682"/>
      <c r="B896" s="682"/>
      <c r="C896" s="682"/>
      <c r="D896" s="914"/>
      <c r="E896" s="682"/>
      <c r="F896" s="682"/>
      <c r="G896" s="682"/>
      <c r="H896" s="915"/>
      <c r="I896" s="916"/>
      <c r="J896" s="916"/>
      <c r="K896" s="917"/>
      <c r="L896" s="917"/>
      <c r="M896" s="917"/>
      <c r="N896" s="917"/>
      <c r="O896" s="917"/>
      <c r="P896" s="917"/>
      <c r="Q896" s="578"/>
      <c r="R896" s="578"/>
      <c r="S896" s="578"/>
      <c r="T896" s="578"/>
      <c r="U896" s="578"/>
      <c r="V896" s="578"/>
      <c r="W896" s="578"/>
      <c r="X896" s="578"/>
      <c r="Y896" s="578"/>
      <c r="Z896" s="578"/>
    </row>
    <row r="897" spans="1:26" ht="18.75">
      <c r="A897" s="682"/>
      <c r="B897" s="682"/>
      <c r="C897" s="682"/>
      <c r="D897" s="914"/>
      <c r="E897" s="682"/>
      <c r="F897" s="682"/>
      <c r="G897" s="682"/>
      <c r="H897" s="915"/>
      <c r="I897" s="916"/>
      <c r="J897" s="916"/>
      <c r="K897" s="917"/>
      <c r="L897" s="917"/>
      <c r="M897" s="917"/>
      <c r="N897" s="917"/>
      <c r="O897" s="917"/>
      <c r="P897" s="917"/>
      <c r="Q897" s="578"/>
      <c r="R897" s="578"/>
      <c r="S897" s="578"/>
      <c r="T897" s="578"/>
      <c r="U897" s="578"/>
      <c r="V897" s="578"/>
      <c r="W897" s="578"/>
      <c r="X897" s="578"/>
      <c r="Y897" s="578"/>
      <c r="Z897" s="578"/>
    </row>
    <row r="898" spans="1:26" ht="18.75">
      <c r="A898" s="682"/>
      <c r="B898" s="682"/>
      <c r="C898" s="682"/>
      <c r="D898" s="914"/>
      <c r="E898" s="682"/>
      <c r="F898" s="682"/>
      <c r="G898" s="682"/>
      <c r="H898" s="915"/>
      <c r="I898" s="916"/>
      <c r="J898" s="916"/>
      <c r="K898" s="917"/>
      <c r="L898" s="917"/>
      <c r="M898" s="917"/>
      <c r="N898" s="917"/>
      <c r="O898" s="917"/>
      <c r="P898" s="917"/>
      <c r="Q898" s="578"/>
      <c r="R898" s="578"/>
      <c r="S898" s="578"/>
      <c r="T898" s="578"/>
      <c r="U898" s="578"/>
      <c r="V898" s="578"/>
      <c r="W898" s="578"/>
      <c r="X898" s="578"/>
      <c r="Y898" s="578"/>
      <c r="Z898" s="578"/>
    </row>
    <row r="899" spans="1:26" ht="18.75">
      <c r="A899" s="682"/>
      <c r="B899" s="682"/>
      <c r="C899" s="682"/>
      <c r="D899" s="914"/>
      <c r="E899" s="682"/>
      <c r="F899" s="682"/>
      <c r="G899" s="682"/>
      <c r="H899" s="915"/>
      <c r="I899" s="916"/>
      <c r="J899" s="916"/>
      <c r="K899" s="917"/>
      <c r="L899" s="917"/>
      <c r="M899" s="917"/>
      <c r="N899" s="917"/>
      <c r="O899" s="917"/>
      <c r="P899" s="917"/>
      <c r="Q899" s="578"/>
      <c r="R899" s="578"/>
      <c r="S899" s="578"/>
      <c r="T899" s="578"/>
      <c r="U899" s="578"/>
      <c r="V899" s="578"/>
      <c r="W899" s="578"/>
      <c r="X899" s="578"/>
      <c r="Y899" s="578"/>
      <c r="Z899" s="578"/>
    </row>
    <row r="900" spans="1:26" ht="18.75">
      <c r="A900" s="682"/>
      <c r="B900" s="682"/>
      <c r="C900" s="682"/>
      <c r="D900" s="914"/>
      <c r="E900" s="682"/>
      <c r="F900" s="682"/>
      <c r="G900" s="682"/>
      <c r="H900" s="915"/>
      <c r="I900" s="916"/>
      <c r="J900" s="916"/>
      <c r="K900" s="917"/>
      <c r="L900" s="917"/>
      <c r="M900" s="917"/>
      <c r="N900" s="917"/>
      <c r="O900" s="917"/>
      <c r="P900" s="917"/>
      <c r="Q900" s="578"/>
      <c r="R900" s="578"/>
      <c r="S900" s="578"/>
      <c r="T900" s="578"/>
      <c r="U900" s="578"/>
      <c r="V900" s="578"/>
      <c r="W900" s="578"/>
      <c r="X900" s="578"/>
      <c r="Y900" s="578"/>
      <c r="Z900" s="578"/>
    </row>
    <row r="901" spans="1:26" ht="18.75">
      <c r="A901" s="682"/>
      <c r="B901" s="682"/>
      <c r="C901" s="682"/>
      <c r="D901" s="914"/>
      <c r="E901" s="682"/>
      <c r="F901" s="682"/>
      <c r="G901" s="682"/>
      <c r="H901" s="915"/>
      <c r="I901" s="916"/>
      <c r="J901" s="916"/>
      <c r="K901" s="917"/>
      <c r="L901" s="917"/>
      <c r="M901" s="917"/>
      <c r="N901" s="917"/>
      <c r="O901" s="917"/>
      <c r="P901" s="917"/>
      <c r="Q901" s="578"/>
      <c r="R901" s="578"/>
      <c r="S901" s="578"/>
      <c r="T901" s="578"/>
      <c r="U901" s="578"/>
      <c r="V901" s="578"/>
      <c r="W901" s="578"/>
      <c r="X901" s="578"/>
      <c r="Y901" s="578"/>
      <c r="Z901" s="578"/>
    </row>
    <row r="902" spans="1:26" ht="18.75">
      <c r="A902" s="682"/>
      <c r="B902" s="682"/>
      <c r="C902" s="682"/>
      <c r="D902" s="914"/>
      <c r="E902" s="682"/>
      <c r="F902" s="682"/>
      <c r="G902" s="682"/>
      <c r="H902" s="915"/>
      <c r="I902" s="916"/>
      <c r="J902" s="916"/>
      <c r="K902" s="917"/>
      <c r="L902" s="917"/>
      <c r="M902" s="917"/>
      <c r="N902" s="917"/>
      <c r="O902" s="917"/>
      <c r="P902" s="917"/>
      <c r="Q902" s="578"/>
      <c r="R902" s="578"/>
      <c r="S902" s="578"/>
      <c r="T902" s="578"/>
      <c r="U902" s="578"/>
      <c r="V902" s="578"/>
      <c r="W902" s="578"/>
      <c r="X902" s="578"/>
      <c r="Y902" s="578"/>
      <c r="Z902" s="578"/>
    </row>
    <row r="903" spans="1:26" ht="18.75">
      <c r="A903" s="682"/>
      <c r="B903" s="682"/>
      <c r="C903" s="682"/>
      <c r="D903" s="914"/>
      <c r="E903" s="682"/>
      <c r="F903" s="682"/>
      <c r="G903" s="682"/>
      <c r="H903" s="915"/>
      <c r="I903" s="916"/>
      <c r="J903" s="916"/>
      <c r="K903" s="917"/>
      <c r="L903" s="917"/>
      <c r="M903" s="917"/>
      <c r="N903" s="917"/>
      <c r="O903" s="917"/>
      <c r="P903" s="917"/>
      <c r="Q903" s="578"/>
      <c r="R903" s="578"/>
      <c r="S903" s="578"/>
      <c r="T903" s="578"/>
      <c r="U903" s="578"/>
      <c r="V903" s="578"/>
      <c r="W903" s="578"/>
      <c r="X903" s="578"/>
      <c r="Y903" s="578"/>
      <c r="Z903" s="578"/>
    </row>
    <row r="904" spans="1:26" ht="18.75">
      <c r="A904" s="682"/>
      <c r="B904" s="682"/>
      <c r="C904" s="682"/>
      <c r="D904" s="914"/>
      <c r="E904" s="682"/>
      <c r="F904" s="682"/>
      <c r="G904" s="682"/>
      <c r="H904" s="915"/>
      <c r="I904" s="916"/>
      <c r="J904" s="916"/>
      <c r="K904" s="917"/>
      <c r="L904" s="917"/>
      <c r="M904" s="917"/>
      <c r="N904" s="917"/>
      <c r="O904" s="917"/>
      <c r="P904" s="917"/>
      <c r="Q904" s="578"/>
      <c r="R904" s="578"/>
      <c r="S904" s="578"/>
      <c r="T904" s="578"/>
      <c r="U904" s="578"/>
      <c r="V904" s="578"/>
      <c r="W904" s="578"/>
      <c r="X904" s="578"/>
      <c r="Y904" s="578"/>
      <c r="Z904" s="578"/>
    </row>
    <row r="905" spans="1:26" ht="18.75">
      <c r="A905" s="682"/>
      <c r="B905" s="682"/>
      <c r="C905" s="682"/>
      <c r="D905" s="914"/>
      <c r="E905" s="682"/>
      <c r="F905" s="682"/>
      <c r="G905" s="682"/>
      <c r="H905" s="915"/>
      <c r="I905" s="916"/>
      <c r="J905" s="916"/>
      <c r="K905" s="917"/>
      <c r="L905" s="917"/>
      <c r="M905" s="917"/>
      <c r="N905" s="917"/>
      <c r="O905" s="917"/>
      <c r="P905" s="917"/>
      <c r="Q905" s="578"/>
      <c r="R905" s="578"/>
      <c r="S905" s="578"/>
      <c r="T905" s="578"/>
      <c r="U905" s="578"/>
      <c r="V905" s="578"/>
      <c r="W905" s="578"/>
      <c r="X905" s="578"/>
      <c r="Y905" s="578"/>
      <c r="Z905" s="578"/>
    </row>
    <row r="906" spans="1:26" ht="18.75">
      <c r="A906" s="682"/>
      <c r="B906" s="682"/>
      <c r="C906" s="682"/>
      <c r="D906" s="914"/>
      <c r="E906" s="682"/>
      <c r="F906" s="682"/>
      <c r="G906" s="682"/>
      <c r="H906" s="915"/>
      <c r="I906" s="916"/>
      <c r="J906" s="916"/>
      <c r="K906" s="917"/>
      <c r="L906" s="917"/>
      <c r="M906" s="917"/>
      <c r="N906" s="917"/>
      <c r="O906" s="917"/>
      <c r="P906" s="917"/>
      <c r="Q906" s="578"/>
      <c r="R906" s="578"/>
      <c r="S906" s="578"/>
      <c r="T906" s="578"/>
      <c r="U906" s="578"/>
      <c r="V906" s="578"/>
      <c r="W906" s="578"/>
      <c r="X906" s="578"/>
      <c r="Y906" s="578"/>
      <c r="Z906" s="578"/>
    </row>
    <row r="907" spans="1:26" ht="18.75">
      <c r="A907" s="682"/>
      <c r="B907" s="682"/>
      <c r="C907" s="682"/>
      <c r="D907" s="914"/>
      <c r="E907" s="682"/>
      <c r="F907" s="682"/>
      <c r="G907" s="682"/>
      <c r="H907" s="915"/>
      <c r="I907" s="916"/>
      <c r="J907" s="916"/>
      <c r="K907" s="917"/>
      <c r="L907" s="917"/>
      <c r="M907" s="917"/>
      <c r="N907" s="917"/>
      <c r="O907" s="917"/>
      <c r="P907" s="917"/>
      <c r="Q907" s="578"/>
      <c r="R907" s="578"/>
      <c r="S907" s="578"/>
      <c r="T907" s="578"/>
      <c r="U907" s="578"/>
      <c r="V907" s="578"/>
      <c r="W907" s="578"/>
      <c r="X907" s="578"/>
      <c r="Y907" s="578"/>
      <c r="Z907" s="578"/>
    </row>
    <row r="908" spans="1:26" ht="18.75">
      <c r="A908" s="682"/>
      <c r="B908" s="682"/>
      <c r="C908" s="682"/>
      <c r="D908" s="914"/>
      <c r="E908" s="682"/>
      <c r="F908" s="682"/>
      <c r="G908" s="682"/>
      <c r="H908" s="915"/>
      <c r="I908" s="916"/>
      <c r="J908" s="916"/>
      <c r="K908" s="917"/>
      <c r="L908" s="917"/>
      <c r="M908" s="917"/>
      <c r="N908" s="917"/>
      <c r="O908" s="917"/>
      <c r="P908" s="917"/>
      <c r="Q908" s="578"/>
      <c r="R908" s="578"/>
      <c r="S908" s="578"/>
      <c r="T908" s="578"/>
      <c r="U908" s="578"/>
      <c r="V908" s="578"/>
      <c r="W908" s="578"/>
      <c r="X908" s="578"/>
      <c r="Y908" s="578"/>
      <c r="Z908" s="578"/>
    </row>
    <row r="909" spans="1:26" ht="18.75">
      <c r="A909" s="682"/>
      <c r="B909" s="682"/>
      <c r="C909" s="682"/>
      <c r="D909" s="914"/>
      <c r="E909" s="682"/>
      <c r="F909" s="682"/>
      <c r="G909" s="682"/>
      <c r="H909" s="915"/>
      <c r="I909" s="916"/>
      <c r="J909" s="916"/>
      <c r="K909" s="917"/>
      <c r="L909" s="917"/>
      <c r="M909" s="917"/>
      <c r="N909" s="917"/>
      <c r="O909" s="917"/>
      <c r="P909" s="917"/>
      <c r="Q909" s="578"/>
      <c r="R909" s="578"/>
      <c r="S909" s="578"/>
      <c r="T909" s="578"/>
      <c r="U909" s="578"/>
      <c r="V909" s="578"/>
      <c r="W909" s="578"/>
      <c r="X909" s="578"/>
      <c r="Y909" s="578"/>
      <c r="Z909" s="578"/>
    </row>
    <row r="910" spans="1:26" ht="18.75">
      <c r="A910" s="682"/>
      <c r="B910" s="682"/>
      <c r="C910" s="682"/>
      <c r="D910" s="914"/>
      <c r="E910" s="682"/>
      <c r="F910" s="682"/>
      <c r="G910" s="682"/>
      <c r="H910" s="915"/>
      <c r="I910" s="916"/>
      <c r="J910" s="916"/>
      <c r="K910" s="917"/>
      <c r="L910" s="917"/>
      <c r="M910" s="917"/>
      <c r="N910" s="917"/>
      <c r="O910" s="917"/>
      <c r="P910" s="917"/>
      <c r="Q910" s="578"/>
      <c r="R910" s="578"/>
      <c r="S910" s="578"/>
      <c r="T910" s="578"/>
      <c r="U910" s="578"/>
      <c r="V910" s="578"/>
      <c r="W910" s="578"/>
      <c r="X910" s="578"/>
      <c r="Y910" s="578"/>
      <c r="Z910" s="578"/>
    </row>
    <row r="911" spans="1:26" ht="18.75">
      <c r="A911" s="682"/>
      <c r="B911" s="682"/>
      <c r="C911" s="682"/>
      <c r="D911" s="914"/>
      <c r="E911" s="682"/>
      <c r="F911" s="682"/>
      <c r="G911" s="682"/>
      <c r="H911" s="915"/>
      <c r="I911" s="916"/>
      <c r="J911" s="916"/>
      <c r="K911" s="917"/>
      <c r="L911" s="917"/>
      <c r="M911" s="917"/>
      <c r="N911" s="917"/>
      <c r="O911" s="917"/>
      <c r="P911" s="917"/>
      <c r="Q911" s="578"/>
      <c r="R911" s="578"/>
      <c r="S911" s="578"/>
      <c r="T911" s="578"/>
      <c r="U911" s="578"/>
      <c r="V911" s="578"/>
      <c r="W911" s="578"/>
      <c r="X911" s="578"/>
      <c r="Y911" s="578"/>
      <c r="Z911" s="578"/>
    </row>
    <row r="912" spans="1:26" ht="18.75">
      <c r="A912" s="682"/>
      <c r="B912" s="682"/>
      <c r="C912" s="682"/>
      <c r="D912" s="914"/>
      <c r="E912" s="682"/>
      <c r="F912" s="682"/>
      <c r="G912" s="682"/>
      <c r="H912" s="915"/>
      <c r="I912" s="916"/>
      <c r="J912" s="916"/>
      <c r="K912" s="917"/>
      <c r="L912" s="917"/>
      <c r="M912" s="917"/>
      <c r="N912" s="917"/>
      <c r="O912" s="917"/>
      <c r="P912" s="917"/>
      <c r="Q912" s="578"/>
      <c r="R912" s="578"/>
      <c r="S912" s="578"/>
      <c r="T912" s="578"/>
      <c r="U912" s="578"/>
      <c r="V912" s="578"/>
      <c r="W912" s="578"/>
      <c r="X912" s="578"/>
      <c r="Y912" s="578"/>
      <c r="Z912" s="578"/>
    </row>
    <row r="913" spans="1:26" ht="18.75">
      <c r="A913" s="682"/>
      <c r="B913" s="682"/>
      <c r="C913" s="682"/>
      <c r="D913" s="914"/>
      <c r="E913" s="682"/>
      <c r="F913" s="682"/>
      <c r="G913" s="682"/>
      <c r="H913" s="915"/>
      <c r="I913" s="916"/>
      <c r="J913" s="916"/>
      <c r="K913" s="917"/>
      <c r="L913" s="917"/>
      <c r="M913" s="917"/>
      <c r="N913" s="917"/>
      <c r="O913" s="917"/>
      <c r="P913" s="917"/>
      <c r="Q913" s="578"/>
      <c r="R913" s="578"/>
      <c r="S913" s="578"/>
      <c r="T913" s="578"/>
      <c r="U913" s="578"/>
      <c r="V913" s="578"/>
      <c r="W913" s="578"/>
      <c r="X913" s="578"/>
      <c r="Y913" s="578"/>
      <c r="Z913" s="578"/>
    </row>
    <row r="914" spans="1:26" ht="18.75">
      <c r="A914" s="682"/>
      <c r="B914" s="682"/>
      <c r="C914" s="682"/>
      <c r="D914" s="914"/>
      <c r="E914" s="682"/>
      <c r="F914" s="682"/>
      <c r="G914" s="682"/>
      <c r="H914" s="915"/>
      <c r="I914" s="916"/>
      <c r="J914" s="916"/>
      <c r="K914" s="917"/>
      <c r="L914" s="917"/>
      <c r="M914" s="917"/>
      <c r="N914" s="917"/>
      <c r="O914" s="917"/>
      <c r="P914" s="917"/>
      <c r="Q914" s="578"/>
      <c r="R914" s="578"/>
      <c r="S914" s="578"/>
      <c r="T914" s="578"/>
      <c r="U914" s="578"/>
      <c r="V914" s="578"/>
      <c r="W914" s="578"/>
      <c r="X914" s="578"/>
      <c r="Y914" s="578"/>
      <c r="Z914" s="578"/>
    </row>
    <row r="915" spans="1:26" ht="18.75">
      <c r="A915" s="682"/>
      <c r="B915" s="682"/>
      <c r="C915" s="682"/>
      <c r="D915" s="914"/>
      <c r="E915" s="682"/>
      <c r="F915" s="682"/>
      <c r="G915" s="682"/>
      <c r="H915" s="915"/>
      <c r="I915" s="916"/>
      <c r="J915" s="916"/>
      <c r="K915" s="917"/>
      <c r="L915" s="917"/>
      <c r="M915" s="917"/>
      <c r="N915" s="917"/>
      <c r="O915" s="917"/>
      <c r="P915" s="917"/>
      <c r="Q915" s="578"/>
      <c r="R915" s="578"/>
      <c r="S915" s="578"/>
      <c r="T915" s="578"/>
      <c r="U915" s="578"/>
      <c r="V915" s="578"/>
      <c r="W915" s="578"/>
      <c r="X915" s="578"/>
      <c r="Y915" s="578"/>
      <c r="Z915" s="578"/>
    </row>
    <row r="916" spans="1:26" ht="18.75">
      <c r="A916" s="682"/>
      <c r="B916" s="682"/>
      <c r="C916" s="682"/>
      <c r="D916" s="914"/>
      <c r="E916" s="682"/>
      <c r="F916" s="682"/>
      <c r="G916" s="682"/>
      <c r="H916" s="915"/>
      <c r="I916" s="916"/>
      <c r="J916" s="916"/>
      <c r="K916" s="917"/>
      <c r="L916" s="917"/>
      <c r="M916" s="917"/>
      <c r="N916" s="917"/>
      <c r="O916" s="917"/>
      <c r="P916" s="917"/>
      <c r="Q916" s="578"/>
      <c r="R916" s="578"/>
      <c r="S916" s="578"/>
      <c r="T916" s="578"/>
      <c r="U916" s="578"/>
      <c r="V916" s="578"/>
      <c r="W916" s="578"/>
      <c r="X916" s="578"/>
      <c r="Y916" s="578"/>
      <c r="Z916" s="578"/>
    </row>
    <row r="917" spans="1:26" ht="18.75">
      <c r="A917" s="682"/>
      <c r="B917" s="682"/>
      <c r="C917" s="682"/>
      <c r="D917" s="914"/>
      <c r="E917" s="682"/>
      <c r="F917" s="682"/>
      <c r="G917" s="682"/>
      <c r="H917" s="915"/>
      <c r="I917" s="916"/>
      <c r="J917" s="916"/>
      <c r="K917" s="917"/>
      <c r="L917" s="917"/>
      <c r="M917" s="917"/>
      <c r="N917" s="917"/>
      <c r="O917" s="917"/>
      <c r="P917" s="917"/>
      <c r="Q917" s="578"/>
      <c r="R917" s="578"/>
      <c r="S917" s="578"/>
      <c r="T917" s="578"/>
      <c r="U917" s="578"/>
      <c r="V917" s="578"/>
      <c r="W917" s="578"/>
      <c r="X917" s="578"/>
      <c r="Y917" s="578"/>
      <c r="Z917" s="578"/>
    </row>
    <row r="918" spans="1:26" ht="18.75">
      <c r="A918" s="682"/>
      <c r="B918" s="682"/>
      <c r="C918" s="682"/>
      <c r="D918" s="914"/>
      <c r="E918" s="682"/>
      <c r="F918" s="682"/>
      <c r="G918" s="682"/>
      <c r="H918" s="915"/>
      <c r="I918" s="916"/>
      <c r="J918" s="916"/>
      <c r="K918" s="917"/>
      <c r="L918" s="917"/>
      <c r="M918" s="917"/>
      <c r="N918" s="917"/>
      <c r="O918" s="917"/>
      <c r="P918" s="917"/>
      <c r="Q918" s="578"/>
      <c r="R918" s="578"/>
      <c r="S918" s="578"/>
      <c r="T918" s="578"/>
      <c r="U918" s="578"/>
      <c r="V918" s="578"/>
      <c r="W918" s="578"/>
      <c r="X918" s="578"/>
      <c r="Y918" s="578"/>
      <c r="Z918" s="578"/>
    </row>
    <row r="919" spans="1:26" ht="18.75">
      <c r="A919" s="682"/>
      <c r="B919" s="682"/>
      <c r="C919" s="682"/>
      <c r="D919" s="914"/>
      <c r="E919" s="682"/>
      <c r="F919" s="682"/>
      <c r="G919" s="682"/>
      <c r="H919" s="915"/>
      <c r="I919" s="916"/>
      <c r="J919" s="916"/>
      <c r="K919" s="917"/>
      <c r="L919" s="917"/>
      <c r="M919" s="917"/>
      <c r="N919" s="917"/>
      <c r="O919" s="917"/>
      <c r="P919" s="917"/>
      <c r="Q919" s="578"/>
      <c r="R919" s="578"/>
      <c r="S919" s="578"/>
      <c r="T919" s="578"/>
      <c r="U919" s="578"/>
      <c r="V919" s="578"/>
      <c r="W919" s="578"/>
      <c r="X919" s="578"/>
      <c r="Y919" s="578"/>
      <c r="Z919" s="578"/>
    </row>
    <row r="920" spans="1:26" ht="18.75">
      <c r="A920" s="682"/>
      <c r="B920" s="682"/>
      <c r="C920" s="682"/>
      <c r="D920" s="914"/>
      <c r="E920" s="682"/>
      <c r="F920" s="682"/>
      <c r="G920" s="682"/>
      <c r="H920" s="915"/>
      <c r="I920" s="916"/>
      <c r="J920" s="916"/>
      <c r="K920" s="917"/>
      <c r="L920" s="917"/>
      <c r="M920" s="917"/>
      <c r="N920" s="917"/>
      <c r="O920" s="917"/>
      <c r="P920" s="917"/>
      <c r="Q920" s="578"/>
      <c r="R920" s="578"/>
      <c r="S920" s="578"/>
      <c r="T920" s="578"/>
      <c r="U920" s="578"/>
      <c r="V920" s="578"/>
      <c r="W920" s="578"/>
      <c r="X920" s="578"/>
      <c r="Y920" s="578"/>
      <c r="Z920" s="578"/>
    </row>
    <row r="921" spans="1:26" ht="18.75">
      <c r="A921" s="682"/>
      <c r="B921" s="682"/>
      <c r="C921" s="682"/>
      <c r="D921" s="914"/>
      <c r="E921" s="682"/>
      <c r="F921" s="682"/>
      <c r="G921" s="682"/>
      <c r="H921" s="915"/>
      <c r="I921" s="916"/>
      <c r="J921" s="916"/>
      <c r="K921" s="917"/>
      <c r="L921" s="917"/>
      <c r="M921" s="917"/>
      <c r="N921" s="917"/>
      <c r="O921" s="917"/>
      <c r="P921" s="917"/>
      <c r="Q921" s="578"/>
      <c r="R921" s="578"/>
      <c r="S921" s="578"/>
      <c r="T921" s="578"/>
      <c r="U921" s="578"/>
      <c r="V921" s="578"/>
      <c r="W921" s="578"/>
      <c r="X921" s="578"/>
      <c r="Y921" s="578"/>
      <c r="Z921" s="578"/>
    </row>
    <row r="922" spans="1:26" ht="18.75">
      <c r="A922" s="682"/>
      <c r="B922" s="682"/>
      <c r="C922" s="682"/>
      <c r="D922" s="914"/>
      <c r="E922" s="682"/>
      <c r="F922" s="682"/>
      <c r="G922" s="682"/>
      <c r="H922" s="915"/>
      <c r="I922" s="916"/>
      <c r="J922" s="916"/>
      <c r="K922" s="917"/>
      <c r="L922" s="917"/>
      <c r="M922" s="917"/>
      <c r="N922" s="917"/>
      <c r="O922" s="917"/>
      <c r="P922" s="917"/>
      <c r="Q922" s="578"/>
      <c r="R922" s="578"/>
      <c r="S922" s="578"/>
      <c r="T922" s="578"/>
      <c r="U922" s="578"/>
      <c r="V922" s="578"/>
      <c r="W922" s="578"/>
      <c r="X922" s="578"/>
      <c r="Y922" s="578"/>
      <c r="Z922" s="578"/>
    </row>
    <row r="923" spans="1:26" ht="18.75">
      <c r="A923" s="682"/>
      <c r="B923" s="682"/>
      <c r="C923" s="682"/>
      <c r="D923" s="914"/>
      <c r="E923" s="682"/>
      <c r="F923" s="682"/>
      <c r="G923" s="682"/>
      <c r="H923" s="915"/>
      <c r="I923" s="916"/>
      <c r="J923" s="916"/>
      <c r="K923" s="917"/>
      <c r="L923" s="917"/>
      <c r="M923" s="917"/>
      <c r="N923" s="917"/>
      <c r="O923" s="917"/>
      <c r="P923" s="917"/>
      <c r="Q923" s="578"/>
      <c r="R923" s="578"/>
      <c r="S923" s="578"/>
      <c r="T923" s="578"/>
      <c r="U923" s="578"/>
      <c r="V923" s="578"/>
      <c r="W923" s="578"/>
      <c r="X923" s="578"/>
      <c r="Y923" s="578"/>
      <c r="Z923" s="578"/>
    </row>
    <row r="924" spans="1:26" ht="18.75">
      <c r="A924" s="682"/>
      <c r="B924" s="682"/>
      <c r="C924" s="682"/>
      <c r="D924" s="914"/>
      <c r="E924" s="682"/>
      <c r="F924" s="682"/>
      <c r="G924" s="682"/>
      <c r="H924" s="915"/>
      <c r="I924" s="916"/>
      <c r="J924" s="916"/>
      <c r="K924" s="917"/>
      <c r="L924" s="917"/>
      <c r="M924" s="917"/>
      <c r="N924" s="917"/>
      <c r="O924" s="917"/>
      <c r="P924" s="917"/>
      <c r="Q924" s="578"/>
      <c r="R924" s="578"/>
      <c r="S924" s="578"/>
      <c r="T924" s="578"/>
      <c r="U924" s="578"/>
      <c r="V924" s="578"/>
      <c r="W924" s="578"/>
      <c r="X924" s="578"/>
      <c r="Y924" s="578"/>
      <c r="Z924" s="578"/>
    </row>
    <row r="925" spans="1:26" ht="18.75">
      <c r="A925" s="682"/>
      <c r="B925" s="682"/>
      <c r="C925" s="682"/>
      <c r="D925" s="914"/>
      <c r="E925" s="682"/>
      <c r="F925" s="682"/>
      <c r="G925" s="682"/>
      <c r="H925" s="915"/>
      <c r="I925" s="916"/>
      <c r="J925" s="916"/>
      <c r="K925" s="917"/>
      <c r="L925" s="917"/>
      <c r="M925" s="917"/>
      <c r="N925" s="917"/>
      <c r="O925" s="917"/>
      <c r="P925" s="917"/>
      <c r="Q925" s="578"/>
      <c r="R925" s="578"/>
      <c r="S925" s="578"/>
      <c r="T925" s="578"/>
      <c r="U925" s="578"/>
      <c r="V925" s="578"/>
      <c r="W925" s="578"/>
      <c r="X925" s="578"/>
      <c r="Y925" s="578"/>
      <c r="Z925" s="578"/>
    </row>
    <row r="926" spans="1:26" ht="18.75">
      <c r="A926" s="682"/>
      <c r="B926" s="682"/>
      <c r="C926" s="682"/>
      <c r="D926" s="914"/>
      <c r="E926" s="682"/>
      <c r="F926" s="682"/>
      <c r="G926" s="682"/>
      <c r="H926" s="915"/>
      <c r="I926" s="916"/>
      <c r="J926" s="916"/>
      <c r="K926" s="917"/>
      <c r="L926" s="917"/>
      <c r="M926" s="917"/>
      <c r="N926" s="917"/>
      <c r="O926" s="917"/>
      <c r="P926" s="917"/>
      <c r="Q926" s="578"/>
      <c r="R926" s="578"/>
      <c r="S926" s="578"/>
      <c r="T926" s="578"/>
      <c r="U926" s="578"/>
      <c r="V926" s="578"/>
      <c r="W926" s="578"/>
      <c r="X926" s="578"/>
      <c r="Y926" s="578"/>
      <c r="Z926" s="578"/>
    </row>
    <row r="927" spans="1:26" ht="18.75">
      <c r="A927" s="682"/>
      <c r="B927" s="682"/>
      <c r="C927" s="682"/>
      <c r="D927" s="914"/>
      <c r="E927" s="682"/>
      <c r="F927" s="682"/>
      <c r="G927" s="682"/>
      <c r="H927" s="915"/>
      <c r="I927" s="916"/>
      <c r="J927" s="916"/>
      <c r="K927" s="917"/>
      <c r="L927" s="917"/>
      <c r="M927" s="917"/>
      <c r="N927" s="917"/>
      <c r="O927" s="917"/>
      <c r="P927" s="917"/>
      <c r="Q927" s="578"/>
      <c r="R927" s="578"/>
      <c r="S927" s="578"/>
      <c r="T927" s="578"/>
      <c r="U927" s="578"/>
      <c r="V927" s="578"/>
      <c r="W927" s="578"/>
      <c r="X927" s="578"/>
      <c r="Y927" s="578"/>
      <c r="Z927" s="578"/>
    </row>
    <row r="928" spans="1:26" ht="18.75">
      <c r="A928" s="682"/>
      <c r="B928" s="682"/>
      <c r="C928" s="682"/>
      <c r="D928" s="914"/>
      <c r="E928" s="682"/>
      <c r="F928" s="682"/>
      <c r="G928" s="682"/>
      <c r="H928" s="915"/>
      <c r="I928" s="916"/>
      <c r="J928" s="916"/>
      <c r="K928" s="917"/>
      <c r="L928" s="917"/>
      <c r="M928" s="917"/>
      <c r="N928" s="917"/>
      <c r="O928" s="917"/>
      <c r="P928" s="917"/>
      <c r="Q928" s="578"/>
      <c r="R928" s="578"/>
      <c r="S928" s="578"/>
      <c r="T928" s="578"/>
      <c r="U928" s="578"/>
      <c r="V928" s="578"/>
      <c r="W928" s="578"/>
      <c r="X928" s="578"/>
      <c r="Y928" s="578"/>
      <c r="Z928" s="578"/>
    </row>
    <row r="929" spans="1:26" ht="18.75">
      <c r="A929" s="682"/>
      <c r="B929" s="682"/>
      <c r="C929" s="682"/>
      <c r="D929" s="914"/>
      <c r="E929" s="682"/>
      <c r="F929" s="682"/>
      <c r="G929" s="682"/>
      <c r="H929" s="915"/>
      <c r="I929" s="916"/>
      <c r="J929" s="916"/>
      <c r="K929" s="917"/>
      <c r="L929" s="917"/>
      <c r="M929" s="917"/>
      <c r="N929" s="917"/>
      <c r="O929" s="917"/>
      <c r="P929" s="917"/>
      <c r="Q929" s="578"/>
      <c r="R929" s="578"/>
      <c r="S929" s="578"/>
      <c r="T929" s="578"/>
      <c r="U929" s="578"/>
      <c r="V929" s="578"/>
      <c r="W929" s="578"/>
      <c r="X929" s="578"/>
      <c r="Y929" s="578"/>
      <c r="Z929" s="578"/>
    </row>
    <row r="930" spans="1:26" ht="18.75">
      <c r="A930" s="682"/>
      <c r="B930" s="682"/>
      <c r="C930" s="682"/>
      <c r="D930" s="914"/>
      <c r="E930" s="682"/>
      <c r="F930" s="682"/>
      <c r="G930" s="682"/>
      <c r="H930" s="915"/>
      <c r="I930" s="916"/>
      <c r="J930" s="916"/>
      <c r="K930" s="917"/>
      <c r="L930" s="917"/>
      <c r="M930" s="917"/>
      <c r="N930" s="917"/>
      <c r="O930" s="917"/>
      <c r="P930" s="917"/>
      <c r="Q930" s="578"/>
      <c r="R930" s="578"/>
      <c r="S930" s="578"/>
      <c r="T930" s="578"/>
      <c r="U930" s="578"/>
      <c r="V930" s="578"/>
      <c r="W930" s="578"/>
      <c r="X930" s="578"/>
      <c r="Y930" s="578"/>
      <c r="Z930" s="578"/>
    </row>
    <row r="931" spans="1:26" ht="18.75">
      <c r="A931" s="682"/>
      <c r="B931" s="682"/>
      <c r="C931" s="682"/>
      <c r="D931" s="914"/>
      <c r="E931" s="682"/>
      <c r="F931" s="682"/>
      <c r="G931" s="682"/>
      <c r="H931" s="915"/>
      <c r="I931" s="916"/>
      <c r="J931" s="916"/>
      <c r="K931" s="917"/>
      <c r="L931" s="917"/>
      <c r="M931" s="917"/>
      <c r="N931" s="917"/>
      <c r="O931" s="917"/>
      <c r="P931" s="917"/>
      <c r="Q931" s="578"/>
      <c r="R931" s="578"/>
      <c r="S931" s="578"/>
      <c r="T931" s="578"/>
      <c r="U931" s="578"/>
      <c r="V931" s="578"/>
      <c r="W931" s="578"/>
      <c r="X931" s="578"/>
      <c r="Y931" s="578"/>
      <c r="Z931" s="578"/>
    </row>
    <row r="932" spans="1:26" ht="18.75">
      <c r="A932" s="682"/>
      <c r="B932" s="682"/>
      <c r="C932" s="682"/>
      <c r="D932" s="914"/>
      <c r="E932" s="682"/>
      <c r="F932" s="682"/>
      <c r="G932" s="682"/>
      <c r="H932" s="915"/>
      <c r="I932" s="916"/>
      <c r="J932" s="916"/>
      <c r="K932" s="917"/>
      <c r="L932" s="917"/>
      <c r="M932" s="917"/>
      <c r="N932" s="917"/>
      <c r="O932" s="917"/>
      <c r="P932" s="917"/>
      <c r="Q932" s="578"/>
      <c r="R932" s="578"/>
      <c r="S932" s="578"/>
      <c r="T932" s="578"/>
      <c r="U932" s="578"/>
      <c r="V932" s="578"/>
      <c r="W932" s="578"/>
      <c r="X932" s="578"/>
      <c r="Y932" s="578"/>
      <c r="Z932" s="578"/>
    </row>
    <row r="933" spans="1:26" ht="18.75">
      <c r="A933" s="682"/>
      <c r="B933" s="682"/>
      <c r="C933" s="682"/>
      <c r="D933" s="914"/>
      <c r="E933" s="682"/>
      <c r="F933" s="682"/>
      <c r="G933" s="682"/>
      <c r="H933" s="915"/>
      <c r="I933" s="916"/>
      <c r="J933" s="916"/>
      <c r="K933" s="917"/>
      <c r="L933" s="917"/>
      <c r="M933" s="917"/>
      <c r="N933" s="917"/>
      <c r="O933" s="917"/>
      <c r="P933" s="917"/>
      <c r="Q933" s="578"/>
      <c r="R933" s="578"/>
      <c r="S933" s="578"/>
      <c r="T933" s="578"/>
      <c r="U933" s="578"/>
      <c r="V933" s="578"/>
      <c r="W933" s="578"/>
      <c r="X933" s="578"/>
      <c r="Y933" s="578"/>
      <c r="Z933" s="578"/>
    </row>
    <row r="934" spans="1:26" ht="18.75">
      <c r="A934" s="682"/>
      <c r="B934" s="682"/>
      <c r="C934" s="682"/>
      <c r="D934" s="914"/>
      <c r="E934" s="682"/>
      <c r="F934" s="682"/>
      <c r="G934" s="682"/>
      <c r="H934" s="915"/>
      <c r="I934" s="916"/>
      <c r="J934" s="916"/>
      <c r="K934" s="917"/>
      <c r="L934" s="917"/>
      <c r="M934" s="917"/>
      <c r="N934" s="917"/>
      <c r="O934" s="917"/>
      <c r="P934" s="917"/>
      <c r="Q934" s="578"/>
      <c r="R934" s="578"/>
      <c r="S934" s="578"/>
      <c r="T934" s="578"/>
      <c r="U934" s="578"/>
      <c r="V934" s="578"/>
      <c r="W934" s="578"/>
      <c r="X934" s="578"/>
      <c r="Y934" s="578"/>
      <c r="Z934" s="578"/>
    </row>
    <row r="935" spans="1:26" ht="18.75">
      <c r="A935" s="682"/>
      <c r="B935" s="682"/>
      <c r="C935" s="682"/>
      <c r="D935" s="914"/>
      <c r="E935" s="682"/>
      <c r="F935" s="682"/>
      <c r="G935" s="682"/>
      <c r="H935" s="915"/>
      <c r="I935" s="916"/>
      <c r="J935" s="916"/>
      <c r="K935" s="917"/>
      <c r="L935" s="917"/>
      <c r="M935" s="917"/>
      <c r="N935" s="917"/>
      <c r="O935" s="917"/>
      <c r="P935" s="917"/>
      <c r="Q935" s="578"/>
      <c r="R935" s="578"/>
      <c r="S935" s="578"/>
      <c r="T935" s="578"/>
      <c r="U935" s="578"/>
      <c r="V935" s="578"/>
      <c r="W935" s="578"/>
      <c r="X935" s="578"/>
      <c r="Y935" s="578"/>
      <c r="Z935" s="578"/>
    </row>
    <row r="936" spans="1:26" ht="18.75">
      <c r="A936" s="682"/>
      <c r="B936" s="682"/>
      <c r="C936" s="682"/>
      <c r="D936" s="914"/>
      <c r="E936" s="682"/>
      <c r="F936" s="682"/>
      <c r="G936" s="682"/>
      <c r="H936" s="915"/>
      <c r="I936" s="916"/>
      <c r="J936" s="916"/>
      <c r="K936" s="917"/>
      <c r="L936" s="917"/>
      <c r="M936" s="917"/>
      <c r="N936" s="917"/>
      <c r="O936" s="917"/>
      <c r="P936" s="917"/>
      <c r="Q936" s="578"/>
      <c r="R936" s="578"/>
      <c r="S936" s="578"/>
      <c r="T936" s="578"/>
      <c r="U936" s="578"/>
      <c r="V936" s="578"/>
      <c r="W936" s="578"/>
      <c r="X936" s="578"/>
      <c r="Y936" s="578"/>
      <c r="Z936" s="578"/>
    </row>
    <row r="937" spans="1:26" ht="18.75">
      <c r="A937" s="682"/>
      <c r="B937" s="682"/>
      <c r="C937" s="682"/>
      <c r="D937" s="914"/>
      <c r="E937" s="682"/>
      <c r="F937" s="682"/>
      <c r="G937" s="682"/>
      <c r="H937" s="915"/>
      <c r="I937" s="916"/>
      <c r="J937" s="916"/>
      <c r="K937" s="917"/>
      <c r="L937" s="917"/>
      <c r="M937" s="917"/>
      <c r="N937" s="917"/>
      <c r="O937" s="917"/>
      <c r="P937" s="917"/>
      <c r="Q937" s="578"/>
      <c r="R937" s="578"/>
      <c r="S937" s="578"/>
      <c r="T937" s="578"/>
      <c r="U937" s="578"/>
      <c r="V937" s="578"/>
      <c r="W937" s="578"/>
      <c r="X937" s="578"/>
      <c r="Y937" s="578"/>
      <c r="Z937" s="578"/>
    </row>
    <row r="938" spans="1:26" ht="18.75">
      <c r="A938" s="682"/>
      <c r="B938" s="682"/>
      <c r="C938" s="682"/>
      <c r="D938" s="914"/>
      <c r="E938" s="682"/>
      <c r="F938" s="682"/>
      <c r="G938" s="682"/>
      <c r="H938" s="915"/>
      <c r="I938" s="916"/>
      <c r="J938" s="916"/>
      <c r="K938" s="917"/>
      <c r="L938" s="917"/>
      <c r="M938" s="917"/>
      <c r="N938" s="917"/>
      <c r="O938" s="917"/>
      <c r="P938" s="917"/>
      <c r="Q938" s="578"/>
      <c r="R938" s="578"/>
      <c r="S938" s="578"/>
      <c r="T938" s="578"/>
      <c r="U938" s="578"/>
      <c r="V938" s="578"/>
      <c r="W938" s="578"/>
      <c r="X938" s="578"/>
      <c r="Y938" s="578"/>
      <c r="Z938" s="578"/>
    </row>
    <row r="939" spans="1:26" ht="18.75">
      <c r="A939" s="682"/>
      <c r="B939" s="682"/>
      <c r="C939" s="682"/>
      <c r="D939" s="914"/>
      <c r="E939" s="682"/>
      <c r="F939" s="682"/>
      <c r="G939" s="682"/>
      <c r="H939" s="915"/>
      <c r="I939" s="916"/>
      <c r="J939" s="916"/>
      <c r="K939" s="917"/>
      <c r="L939" s="917"/>
      <c r="M939" s="917"/>
      <c r="N939" s="917"/>
      <c r="O939" s="917"/>
      <c r="P939" s="917"/>
      <c r="Q939" s="578"/>
      <c r="R939" s="578"/>
      <c r="S939" s="578"/>
      <c r="T939" s="578"/>
      <c r="U939" s="578"/>
      <c r="V939" s="578"/>
      <c r="W939" s="578"/>
      <c r="X939" s="578"/>
      <c r="Y939" s="578"/>
      <c r="Z939" s="578"/>
    </row>
    <row r="940" spans="1:26" ht="18.75">
      <c r="A940" s="682"/>
      <c r="B940" s="682"/>
      <c r="C940" s="682"/>
      <c r="D940" s="914"/>
      <c r="E940" s="682"/>
      <c r="F940" s="682"/>
      <c r="G940" s="682"/>
      <c r="H940" s="915"/>
      <c r="I940" s="916"/>
      <c r="J940" s="916"/>
      <c r="K940" s="917"/>
      <c r="L940" s="917"/>
      <c r="M940" s="917"/>
      <c r="N940" s="917"/>
      <c r="O940" s="917"/>
      <c r="P940" s="917"/>
      <c r="Q940" s="578"/>
      <c r="R940" s="578"/>
      <c r="S940" s="578"/>
      <c r="T940" s="578"/>
      <c r="U940" s="578"/>
      <c r="V940" s="578"/>
      <c r="W940" s="578"/>
      <c r="X940" s="578"/>
      <c r="Y940" s="578"/>
      <c r="Z940" s="578"/>
    </row>
    <row r="941" spans="1:26" ht="18.75">
      <c r="A941" s="682"/>
      <c r="B941" s="682"/>
      <c r="C941" s="682"/>
      <c r="D941" s="914"/>
      <c r="E941" s="682"/>
      <c r="F941" s="682"/>
      <c r="G941" s="682"/>
      <c r="H941" s="915"/>
      <c r="I941" s="916"/>
      <c r="J941" s="916"/>
      <c r="K941" s="917"/>
      <c r="L941" s="917"/>
      <c r="M941" s="917"/>
      <c r="N941" s="917"/>
      <c r="O941" s="917"/>
      <c r="P941" s="917"/>
      <c r="Q941" s="578"/>
      <c r="R941" s="578"/>
      <c r="S941" s="578"/>
      <c r="T941" s="578"/>
      <c r="U941" s="578"/>
      <c r="V941" s="578"/>
      <c r="W941" s="578"/>
      <c r="X941" s="578"/>
      <c r="Y941" s="578"/>
      <c r="Z941" s="578"/>
    </row>
    <row r="942" spans="1:26" ht="18.75">
      <c r="A942" s="682"/>
      <c r="B942" s="682"/>
      <c r="C942" s="682"/>
      <c r="D942" s="914"/>
      <c r="E942" s="682"/>
      <c r="F942" s="682"/>
      <c r="G942" s="682"/>
      <c r="H942" s="915"/>
      <c r="I942" s="916"/>
      <c r="J942" s="916"/>
      <c r="K942" s="917"/>
      <c r="L942" s="917"/>
      <c r="M942" s="917"/>
      <c r="N942" s="917"/>
      <c r="O942" s="917"/>
      <c r="P942" s="917"/>
      <c r="Q942" s="578"/>
      <c r="R942" s="578"/>
      <c r="S942" s="578"/>
      <c r="T942" s="578"/>
      <c r="U942" s="578"/>
      <c r="V942" s="578"/>
      <c r="W942" s="578"/>
      <c r="X942" s="578"/>
      <c r="Y942" s="578"/>
      <c r="Z942" s="578"/>
    </row>
    <row r="943" spans="1:26" ht="18.75">
      <c r="A943" s="682"/>
      <c r="B943" s="682"/>
      <c r="C943" s="682"/>
      <c r="D943" s="914"/>
      <c r="E943" s="682"/>
      <c r="F943" s="682"/>
      <c r="G943" s="682"/>
      <c r="H943" s="915"/>
      <c r="I943" s="916"/>
      <c r="J943" s="916"/>
      <c r="K943" s="917"/>
      <c r="L943" s="917"/>
      <c r="M943" s="917"/>
      <c r="N943" s="917"/>
      <c r="O943" s="917"/>
      <c r="P943" s="917"/>
      <c r="Q943" s="578"/>
      <c r="R943" s="578"/>
      <c r="S943" s="578"/>
      <c r="T943" s="578"/>
      <c r="U943" s="578"/>
      <c r="V943" s="578"/>
      <c r="W943" s="578"/>
      <c r="X943" s="578"/>
      <c r="Y943" s="578"/>
      <c r="Z943" s="578"/>
    </row>
    <row r="944" spans="1:26" ht="18.75">
      <c r="A944" s="682"/>
      <c r="B944" s="682"/>
      <c r="C944" s="682"/>
      <c r="D944" s="914"/>
      <c r="E944" s="682"/>
      <c r="F944" s="682"/>
      <c r="G944" s="682"/>
      <c r="H944" s="915"/>
      <c r="I944" s="916"/>
      <c r="J944" s="916"/>
      <c r="K944" s="917"/>
      <c r="L944" s="917"/>
      <c r="M944" s="917"/>
      <c r="N944" s="917"/>
      <c r="O944" s="917"/>
      <c r="P944" s="917"/>
      <c r="Q944" s="578"/>
      <c r="R944" s="578"/>
      <c r="S944" s="578"/>
      <c r="T944" s="578"/>
      <c r="U944" s="578"/>
      <c r="V944" s="578"/>
      <c r="W944" s="578"/>
      <c r="X944" s="578"/>
      <c r="Y944" s="578"/>
      <c r="Z944" s="578"/>
    </row>
    <row r="945" spans="1:26" ht="18.75">
      <c r="A945" s="682"/>
      <c r="B945" s="682"/>
      <c r="C945" s="682"/>
      <c r="D945" s="914"/>
      <c r="E945" s="682"/>
      <c r="F945" s="682"/>
      <c r="G945" s="682"/>
      <c r="H945" s="915"/>
      <c r="I945" s="916"/>
      <c r="J945" s="916"/>
      <c r="K945" s="917"/>
      <c r="L945" s="917"/>
      <c r="M945" s="917"/>
      <c r="N945" s="917"/>
      <c r="O945" s="917"/>
      <c r="P945" s="917"/>
      <c r="Q945" s="578"/>
      <c r="R945" s="578"/>
      <c r="S945" s="578"/>
      <c r="T945" s="578"/>
      <c r="U945" s="578"/>
      <c r="V945" s="578"/>
      <c r="W945" s="578"/>
      <c r="X945" s="578"/>
      <c r="Y945" s="578"/>
      <c r="Z945" s="578"/>
    </row>
    <row r="946" spans="1:26" ht="18.75">
      <c r="A946" s="682"/>
      <c r="B946" s="682"/>
      <c r="C946" s="682"/>
      <c r="D946" s="914"/>
      <c r="E946" s="682"/>
      <c r="F946" s="682"/>
      <c r="G946" s="682"/>
      <c r="H946" s="915"/>
      <c r="I946" s="916"/>
      <c r="J946" s="916"/>
      <c r="K946" s="917"/>
      <c r="L946" s="917"/>
      <c r="M946" s="917"/>
      <c r="N946" s="917"/>
      <c r="O946" s="917"/>
      <c r="P946" s="917"/>
      <c r="Q946" s="578"/>
      <c r="R946" s="578"/>
      <c r="S946" s="578"/>
      <c r="T946" s="578"/>
      <c r="U946" s="578"/>
      <c r="V946" s="578"/>
      <c r="W946" s="578"/>
      <c r="X946" s="578"/>
      <c r="Y946" s="578"/>
      <c r="Z946" s="578"/>
    </row>
    <row r="947" spans="1:26" ht="18.75">
      <c r="A947" s="682"/>
      <c r="B947" s="682"/>
      <c r="C947" s="682"/>
      <c r="D947" s="914"/>
      <c r="E947" s="682"/>
      <c r="F947" s="682"/>
      <c r="G947" s="682"/>
      <c r="H947" s="915"/>
      <c r="I947" s="916"/>
      <c r="J947" s="916"/>
      <c r="K947" s="917"/>
      <c r="L947" s="917"/>
      <c r="M947" s="917"/>
      <c r="N947" s="917"/>
      <c r="O947" s="917"/>
      <c r="P947" s="917"/>
      <c r="Q947" s="578"/>
      <c r="R947" s="578"/>
      <c r="S947" s="578"/>
      <c r="T947" s="578"/>
      <c r="U947" s="578"/>
      <c r="V947" s="578"/>
      <c r="W947" s="578"/>
      <c r="X947" s="578"/>
      <c r="Y947" s="578"/>
      <c r="Z947" s="578"/>
    </row>
    <row r="948" spans="1:26" ht="18.75">
      <c r="A948" s="682"/>
      <c r="B948" s="682"/>
      <c r="C948" s="682"/>
      <c r="D948" s="914"/>
      <c r="E948" s="682"/>
      <c r="F948" s="682"/>
      <c r="G948" s="682"/>
      <c r="H948" s="915"/>
      <c r="I948" s="916"/>
      <c r="J948" s="916"/>
      <c r="K948" s="917"/>
      <c r="L948" s="917"/>
      <c r="M948" s="917"/>
      <c r="N948" s="917"/>
      <c r="O948" s="917"/>
      <c r="P948" s="917"/>
      <c r="Q948" s="578"/>
      <c r="R948" s="578"/>
      <c r="S948" s="578"/>
      <c r="T948" s="578"/>
      <c r="U948" s="578"/>
      <c r="V948" s="578"/>
      <c r="W948" s="578"/>
      <c r="X948" s="578"/>
      <c r="Y948" s="578"/>
      <c r="Z948" s="578"/>
    </row>
    <row r="949" spans="1:26" ht="18.75">
      <c r="A949" s="682"/>
      <c r="B949" s="682"/>
      <c r="C949" s="682"/>
      <c r="D949" s="914"/>
      <c r="E949" s="682"/>
      <c r="F949" s="682"/>
      <c r="G949" s="682"/>
      <c r="H949" s="915"/>
      <c r="I949" s="916"/>
      <c r="J949" s="916"/>
      <c r="K949" s="917"/>
      <c r="L949" s="917"/>
      <c r="M949" s="917"/>
      <c r="N949" s="917"/>
      <c r="O949" s="917"/>
      <c r="P949" s="917"/>
      <c r="Q949" s="578"/>
      <c r="R949" s="578"/>
      <c r="S949" s="578"/>
      <c r="T949" s="578"/>
      <c r="U949" s="578"/>
      <c r="V949" s="578"/>
      <c r="W949" s="578"/>
      <c r="X949" s="578"/>
      <c r="Y949" s="578"/>
      <c r="Z949" s="578"/>
    </row>
    <row r="950" spans="1:26" ht="18.75">
      <c r="A950" s="682"/>
      <c r="B950" s="682"/>
      <c r="C950" s="682"/>
      <c r="D950" s="914"/>
      <c r="E950" s="682"/>
      <c r="F950" s="682"/>
      <c r="G950" s="682"/>
      <c r="H950" s="915"/>
      <c r="I950" s="916"/>
      <c r="J950" s="916"/>
      <c r="K950" s="917"/>
      <c r="L950" s="917"/>
      <c r="M950" s="917"/>
      <c r="N950" s="917"/>
      <c r="O950" s="917"/>
      <c r="P950" s="917"/>
      <c r="Q950" s="578"/>
      <c r="R950" s="578"/>
      <c r="S950" s="578"/>
      <c r="T950" s="578"/>
      <c r="U950" s="578"/>
      <c r="V950" s="578"/>
      <c r="W950" s="578"/>
      <c r="X950" s="578"/>
      <c r="Y950" s="578"/>
      <c r="Z950" s="578"/>
    </row>
    <row r="951" spans="1:26" ht="18.75">
      <c r="A951" s="682"/>
      <c r="B951" s="682"/>
      <c r="C951" s="682"/>
      <c r="D951" s="914"/>
      <c r="E951" s="682"/>
      <c r="F951" s="682"/>
      <c r="G951" s="682"/>
      <c r="H951" s="915"/>
      <c r="I951" s="916"/>
      <c r="J951" s="916"/>
      <c r="K951" s="917"/>
      <c r="L951" s="917"/>
      <c r="M951" s="917"/>
      <c r="N951" s="917"/>
      <c r="O951" s="917"/>
      <c r="P951" s="917"/>
      <c r="Q951" s="578"/>
      <c r="R951" s="578"/>
      <c r="S951" s="578"/>
      <c r="T951" s="578"/>
      <c r="U951" s="578"/>
      <c r="V951" s="578"/>
      <c r="W951" s="578"/>
      <c r="X951" s="578"/>
      <c r="Y951" s="578"/>
      <c r="Z951" s="578"/>
    </row>
    <row r="952" spans="1:26" ht="18.75">
      <c r="A952" s="682"/>
      <c r="B952" s="682"/>
      <c r="C952" s="682"/>
      <c r="D952" s="914"/>
      <c r="E952" s="682"/>
      <c r="F952" s="682"/>
      <c r="G952" s="682"/>
      <c r="H952" s="915"/>
      <c r="I952" s="916"/>
      <c r="J952" s="916"/>
      <c r="K952" s="917"/>
      <c r="L952" s="917"/>
      <c r="M952" s="917"/>
      <c r="N952" s="917"/>
      <c r="O952" s="917"/>
      <c r="P952" s="917"/>
      <c r="Q952" s="578"/>
      <c r="R952" s="578"/>
      <c r="S952" s="578"/>
      <c r="T952" s="578"/>
      <c r="U952" s="578"/>
      <c r="V952" s="578"/>
      <c r="W952" s="578"/>
      <c r="X952" s="578"/>
      <c r="Y952" s="578"/>
      <c r="Z952" s="578"/>
    </row>
    <row r="953" spans="1:26" ht="18.75">
      <c r="A953" s="682"/>
      <c r="B953" s="682"/>
      <c r="C953" s="682"/>
      <c r="D953" s="914"/>
      <c r="E953" s="682"/>
      <c r="F953" s="682"/>
      <c r="G953" s="682"/>
      <c r="H953" s="915"/>
      <c r="I953" s="916"/>
      <c r="J953" s="916"/>
      <c r="K953" s="917"/>
      <c r="L953" s="917"/>
      <c r="M953" s="917"/>
      <c r="N953" s="917"/>
      <c r="O953" s="917"/>
      <c r="P953" s="917"/>
      <c r="Q953" s="578"/>
      <c r="R953" s="578"/>
      <c r="S953" s="578"/>
      <c r="T953" s="578"/>
      <c r="U953" s="578"/>
      <c r="V953" s="578"/>
      <c r="W953" s="578"/>
      <c r="X953" s="578"/>
      <c r="Y953" s="578"/>
      <c r="Z953" s="578"/>
    </row>
    <row r="954" spans="1:26" ht="18.75">
      <c r="A954" s="682"/>
      <c r="B954" s="682"/>
      <c r="C954" s="682"/>
      <c r="D954" s="914"/>
      <c r="E954" s="682"/>
      <c r="F954" s="682"/>
      <c r="G954" s="682"/>
      <c r="H954" s="915"/>
      <c r="I954" s="916"/>
      <c r="J954" s="916"/>
      <c r="K954" s="917"/>
      <c r="L954" s="917"/>
      <c r="M954" s="917"/>
      <c r="N954" s="917"/>
      <c r="O954" s="917"/>
      <c r="P954" s="917"/>
      <c r="Q954" s="578"/>
      <c r="R954" s="578"/>
      <c r="S954" s="578"/>
      <c r="T954" s="578"/>
      <c r="U954" s="578"/>
      <c r="V954" s="578"/>
      <c r="W954" s="578"/>
      <c r="X954" s="578"/>
      <c r="Y954" s="578"/>
      <c r="Z954" s="578"/>
    </row>
    <row r="955" spans="1:26" ht="18.75">
      <c r="A955" s="682"/>
      <c r="B955" s="682"/>
      <c r="C955" s="682"/>
      <c r="D955" s="914"/>
      <c r="E955" s="682"/>
      <c r="F955" s="682"/>
      <c r="G955" s="682"/>
      <c r="H955" s="915"/>
      <c r="I955" s="916"/>
      <c r="J955" s="916"/>
      <c r="K955" s="917"/>
      <c r="L955" s="917"/>
      <c r="M955" s="917"/>
      <c r="N955" s="917"/>
      <c r="O955" s="917"/>
      <c r="P955" s="917"/>
      <c r="Q955" s="578"/>
      <c r="R955" s="578"/>
      <c r="S955" s="578"/>
      <c r="T955" s="578"/>
      <c r="U955" s="578"/>
      <c r="V955" s="578"/>
      <c r="W955" s="578"/>
      <c r="X955" s="578"/>
      <c r="Y955" s="578"/>
      <c r="Z955" s="578"/>
    </row>
    <row r="956" spans="1:26" ht="18.75">
      <c r="A956" s="682"/>
      <c r="B956" s="682"/>
      <c r="C956" s="682"/>
      <c r="D956" s="914"/>
      <c r="E956" s="682"/>
      <c r="F956" s="682"/>
      <c r="G956" s="682"/>
      <c r="H956" s="915"/>
      <c r="I956" s="916"/>
      <c r="J956" s="916"/>
      <c r="K956" s="917"/>
      <c r="L956" s="917"/>
      <c r="M956" s="917"/>
      <c r="N956" s="917"/>
      <c r="O956" s="917"/>
      <c r="P956" s="917"/>
      <c r="Q956" s="578"/>
      <c r="R956" s="578"/>
      <c r="S956" s="578"/>
      <c r="T956" s="578"/>
      <c r="U956" s="578"/>
      <c r="V956" s="578"/>
      <c r="W956" s="578"/>
      <c r="X956" s="578"/>
      <c r="Y956" s="578"/>
      <c r="Z956" s="578"/>
    </row>
    <row r="957" spans="1:26" ht="18.75">
      <c r="A957" s="682"/>
      <c r="B957" s="682"/>
      <c r="C957" s="682"/>
      <c r="D957" s="914"/>
      <c r="E957" s="682"/>
      <c r="F957" s="682"/>
      <c r="G957" s="682"/>
      <c r="H957" s="915"/>
      <c r="I957" s="916"/>
      <c r="J957" s="916"/>
      <c r="K957" s="917"/>
      <c r="L957" s="917"/>
      <c r="M957" s="917"/>
      <c r="N957" s="917"/>
      <c r="O957" s="917"/>
      <c r="P957" s="917"/>
      <c r="Q957" s="578"/>
      <c r="R957" s="578"/>
      <c r="S957" s="578"/>
      <c r="T957" s="578"/>
      <c r="U957" s="578"/>
      <c r="V957" s="578"/>
      <c r="W957" s="578"/>
      <c r="X957" s="578"/>
      <c r="Y957" s="578"/>
      <c r="Z957" s="578"/>
    </row>
    <row r="958" spans="1:26" ht="18.75">
      <c r="A958" s="682"/>
      <c r="B958" s="682"/>
      <c r="C958" s="682"/>
      <c r="D958" s="914"/>
      <c r="E958" s="682"/>
      <c r="F958" s="682"/>
      <c r="G958" s="682"/>
      <c r="H958" s="915"/>
      <c r="I958" s="916"/>
      <c r="J958" s="916"/>
      <c r="K958" s="917"/>
      <c r="L958" s="917"/>
      <c r="M958" s="917"/>
      <c r="N958" s="917"/>
      <c r="O958" s="917"/>
      <c r="P958" s="917"/>
      <c r="Q958" s="578"/>
      <c r="R958" s="578"/>
      <c r="S958" s="578"/>
      <c r="T958" s="578"/>
      <c r="U958" s="578"/>
      <c r="V958" s="578"/>
      <c r="W958" s="578"/>
      <c r="X958" s="578"/>
      <c r="Y958" s="578"/>
      <c r="Z958" s="578"/>
    </row>
    <row r="959" spans="1:26" ht="18.75">
      <c r="A959" s="682"/>
      <c r="B959" s="682"/>
      <c r="C959" s="682"/>
      <c r="D959" s="914"/>
      <c r="E959" s="682"/>
      <c r="F959" s="682"/>
      <c r="G959" s="682"/>
      <c r="H959" s="915"/>
      <c r="I959" s="916"/>
      <c r="J959" s="916"/>
      <c r="K959" s="917"/>
      <c r="L959" s="917"/>
      <c r="M959" s="917"/>
      <c r="N959" s="917"/>
      <c r="O959" s="917"/>
      <c r="P959" s="917"/>
      <c r="Q959" s="578"/>
      <c r="R959" s="578"/>
      <c r="S959" s="578"/>
      <c r="T959" s="578"/>
      <c r="U959" s="578"/>
      <c r="V959" s="578"/>
      <c r="W959" s="578"/>
      <c r="X959" s="578"/>
      <c r="Y959" s="578"/>
      <c r="Z959" s="578"/>
    </row>
    <row r="960" spans="1:26" ht="18.75">
      <c r="A960" s="682"/>
      <c r="B960" s="682"/>
      <c r="C960" s="682"/>
      <c r="D960" s="914"/>
      <c r="E960" s="682"/>
      <c r="F960" s="682"/>
      <c r="G960" s="682"/>
      <c r="H960" s="915"/>
      <c r="I960" s="916"/>
      <c r="J960" s="916"/>
      <c r="K960" s="917"/>
      <c r="L960" s="917"/>
      <c r="M960" s="917"/>
      <c r="N960" s="917"/>
      <c r="O960" s="917"/>
      <c r="P960" s="917"/>
      <c r="Q960" s="578"/>
      <c r="R960" s="578"/>
      <c r="S960" s="578"/>
      <c r="T960" s="578"/>
      <c r="U960" s="578"/>
      <c r="V960" s="578"/>
      <c r="W960" s="578"/>
      <c r="X960" s="578"/>
      <c r="Y960" s="578"/>
      <c r="Z960" s="578"/>
    </row>
    <row r="961" spans="1:26" ht="18.75">
      <c r="A961" s="682"/>
      <c r="B961" s="682"/>
      <c r="C961" s="682"/>
      <c r="D961" s="914"/>
      <c r="E961" s="682"/>
      <c r="F961" s="682"/>
      <c r="G961" s="682"/>
      <c r="H961" s="915"/>
      <c r="I961" s="916"/>
      <c r="J961" s="916"/>
      <c r="K961" s="917"/>
      <c r="L961" s="917"/>
      <c r="M961" s="917"/>
      <c r="N961" s="917"/>
      <c r="O961" s="917"/>
      <c r="P961" s="917"/>
      <c r="Q961" s="578"/>
      <c r="R961" s="578"/>
      <c r="S961" s="578"/>
      <c r="T961" s="578"/>
      <c r="U961" s="578"/>
      <c r="V961" s="578"/>
      <c r="W961" s="578"/>
      <c r="X961" s="578"/>
      <c r="Y961" s="578"/>
      <c r="Z961" s="578"/>
    </row>
    <row r="962" spans="1:26" ht="18.75">
      <c r="A962" s="682"/>
      <c r="B962" s="682"/>
      <c r="C962" s="682"/>
      <c r="D962" s="914"/>
      <c r="E962" s="682"/>
      <c r="F962" s="682"/>
      <c r="G962" s="682"/>
      <c r="H962" s="915"/>
      <c r="I962" s="916"/>
      <c r="J962" s="916"/>
      <c r="K962" s="917"/>
      <c r="L962" s="917"/>
      <c r="M962" s="917"/>
      <c r="N962" s="917"/>
      <c r="O962" s="917"/>
      <c r="P962" s="917"/>
      <c r="Q962" s="578"/>
      <c r="R962" s="578"/>
      <c r="S962" s="578"/>
      <c r="T962" s="578"/>
      <c r="U962" s="578"/>
      <c r="V962" s="578"/>
      <c r="W962" s="578"/>
      <c r="X962" s="578"/>
      <c r="Y962" s="578"/>
      <c r="Z962" s="578"/>
    </row>
    <row r="963" spans="1:26" ht="18.75">
      <c r="A963" s="682"/>
      <c r="B963" s="682"/>
      <c r="C963" s="682"/>
      <c r="D963" s="914"/>
      <c r="E963" s="682"/>
      <c r="F963" s="682"/>
      <c r="G963" s="682"/>
      <c r="H963" s="915"/>
      <c r="I963" s="916"/>
      <c r="J963" s="916"/>
      <c r="K963" s="917"/>
      <c r="L963" s="917"/>
      <c r="M963" s="917"/>
      <c r="N963" s="917"/>
      <c r="O963" s="917"/>
      <c r="P963" s="917"/>
      <c r="Q963" s="578"/>
      <c r="R963" s="578"/>
      <c r="S963" s="578"/>
      <c r="T963" s="578"/>
      <c r="U963" s="578"/>
      <c r="V963" s="578"/>
      <c r="W963" s="578"/>
      <c r="X963" s="578"/>
      <c r="Y963" s="578"/>
      <c r="Z963" s="578"/>
    </row>
    <row r="964" spans="1:26" ht="18.75">
      <c r="A964" s="682"/>
      <c r="B964" s="682"/>
      <c r="C964" s="682"/>
      <c r="D964" s="914"/>
      <c r="E964" s="682"/>
      <c r="F964" s="682"/>
      <c r="G964" s="682"/>
      <c r="H964" s="915"/>
      <c r="I964" s="916"/>
      <c r="J964" s="916"/>
      <c r="K964" s="917"/>
      <c r="L964" s="917"/>
      <c r="M964" s="917"/>
      <c r="N964" s="917"/>
      <c r="O964" s="917"/>
      <c r="P964" s="917"/>
      <c r="Q964" s="578"/>
      <c r="R964" s="578"/>
      <c r="S964" s="578"/>
      <c r="T964" s="578"/>
      <c r="U964" s="578"/>
      <c r="V964" s="578"/>
      <c r="W964" s="578"/>
      <c r="X964" s="578"/>
      <c r="Y964" s="578"/>
      <c r="Z964" s="578"/>
    </row>
    <row r="965" spans="1:26" ht="18.75">
      <c r="A965" s="682"/>
      <c r="B965" s="682"/>
      <c r="C965" s="682"/>
      <c r="D965" s="914"/>
      <c r="E965" s="682"/>
      <c r="F965" s="682"/>
      <c r="G965" s="682"/>
      <c r="H965" s="915"/>
      <c r="I965" s="916"/>
      <c r="J965" s="916"/>
      <c r="K965" s="917"/>
      <c r="L965" s="917"/>
      <c r="M965" s="917"/>
      <c r="N965" s="917"/>
      <c r="O965" s="917"/>
      <c r="P965" s="917"/>
      <c r="Q965" s="578"/>
      <c r="R965" s="578"/>
      <c r="S965" s="578"/>
      <c r="T965" s="578"/>
      <c r="U965" s="578"/>
      <c r="V965" s="578"/>
      <c r="W965" s="578"/>
      <c r="X965" s="578"/>
      <c r="Y965" s="578"/>
      <c r="Z965" s="578"/>
    </row>
    <row r="966" spans="1:26" ht="18.75">
      <c r="A966" s="682"/>
      <c r="B966" s="682"/>
      <c r="C966" s="682"/>
      <c r="D966" s="914"/>
      <c r="E966" s="682"/>
      <c r="F966" s="682"/>
      <c r="G966" s="682"/>
      <c r="H966" s="915"/>
      <c r="I966" s="916"/>
      <c r="J966" s="916"/>
      <c r="K966" s="917"/>
      <c r="L966" s="917"/>
      <c r="M966" s="917"/>
      <c r="N966" s="917"/>
      <c r="O966" s="917"/>
      <c r="P966" s="917"/>
      <c r="Q966" s="578"/>
      <c r="R966" s="578"/>
      <c r="S966" s="578"/>
      <c r="T966" s="578"/>
      <c r="U966" s="578"/>
      <c r="V966" s="578"/>
      <c r="W966" s="578"/>
      <c r="X966" s="578"/>
      <c r="Y966" s="578"/>
      <c r="Z966" s="578"/>
    </row>
    <row r="967" spans="1:26" ht="18.75">
      <c r="A967" s="682"/>
      <c r="B967" s="682"/>
      <c r="C967" s="682"/>
      <c r="D967" s="914"/>
      <c r="E967" s="682"/>
      <c r="F967" s="682"/>
      <c r="G967" s="682"/>
      <c r="H967" s="915"/>
      <c r="I967" s="916"/>
      <c r="J967" s="916"/>
      <c r="K967" s="917"/>
      <c r="L967" s="917"/>
      <c r="M967" s="917"/>
      <c r="N967" s="917"/>
      <c r="O967" s="917"/>
      <c r="P967" s="917"/>
      <c r="Q967" s="578"/>
      <c r="R967" s="578"/>
      <c r="S967" s="578"/>
      <c r="T967" s="578"/>
      <c r="U967" s="578"/>
      <c r="V967" s="578"/>
      <c r="W967" s="578"/>
      <c r="X967" s="578"/>
      <c r="Y967" s="578"/>
      <c r="Z967" s="578"/>
    </row>
    <row r="968" spans="1:26" ht="18.75">
      <c r="A968" s="682"/>
      <c r="B968" s="682"/>
      <c r="C968" s="682"/>
      <c r="D968" s="914"/>
      <c r="E968" s="682"/>
      <c r="F968" s="682"/>
      <c r="G968" s="682"/>
      <c r="H968" s="915"/>
      <c r="I968" s="916"/>
      <c r="J968" s="916"/>
      <c r="K968" s="917"/>
      <c r="L968" s="917"/>
      <c r="M968" s="917"/>
      <c r="N968" s="917"/>
      <c r="O968" s="917"/>
      <c r="P968" s="917"/>
      <c r="Q968" s="578"/>
      <c r="R968" s="578"/>
      <c r="S968" s="578"/>
      <c r="T968" s="578"/>
      <c r="U968" s="578"/>
      <c r="V968" s="578"/>
      <c r="W968" s="578"/>
      <c r="X968" s="578"/>
      <c r="Y968" s="578"/>
      <c r="Z968" s="578"/>
    </row>
    <row r="969" spans="1:26" ht="18.75">
      <c r="A969" s="682"/>
      <c r="B969" s="682"/>
      <c r="C969" s="682"/>
      <c r="D969" s="914"/>
      <c r="E969" s="682"/>
      <c r="F969" s="682"/>
      <c r="G969" s="682"/>
      <c r="H969" s="915"/>
      <c r="I969" s="916"/>
      <c r="J969" s="916"/>
      <c r="K969" s="917"/>
      <c r="L969" s="917"/>
      <c r="M969" s="917"/>
      <c r="N969" s="917"/>
      <c r="O969" s="917"/>
      <c r="P969" s="917"/>
      <c r="Q969" s="578"/>
      <c r="R969" s="578"/>
      <c r="S969" s="578"/>
      <c r="T969" s="578"/>
      <c r="U969" s="578"/>
      <c r="V969" s="578"/>
      <c r="W969" s="578"/>
      <c r="X969" s="578"/>
      <c r="Y969" s="578"/>
      <c r="Z969" s="578"/>
    </row>
    <row r="970" spans="1:26" ht="18.75">
      <c r="A970" s="682"/>
      <c r="B970" s="682"/>
      <c r="C970" s="682"/>
      <c r="D970" s="914"/>
      <c r="E970" s="682"/>
      <c r="F970" s="682"/>
      <c r="G970" s="682"/>
      <c r="H970" s="915"/>
      <c r="I970" s="916"/>
      <c r="J970" s="916"/>
      <c r="K970" s="917"/>
      <c r="L970" s="917"/>
      <c r="M970" s="917"/>
      <c r="N970" s="917"/>
      <c r="O970" s="917"/>
      <c r="P970" s="917"/>
      <c r="Q970" s="578"/>
      <c r="R970" s="578"/>
      <c r="S970" s="578"/>
      <c r="T970" s="578"/>
      <c r="U970" s="578"/>
      <c r="V970" s="578"/>
      <c r="W970" s="578"/>
      <c r="X970" s="578"/>
      <c r="Y970" s="578"/>
      <c r="Z970" s="578"/>
    </row>
    <row r="971" spans="1:26" ht="18.75">
      <c r="A971" s="682"/>
      <c r="B971" s="682"/>
      <c r="C971" s="682"/>
      <c r="D971" s="914"/>
      <c r="E971" s="682"/>
      <c r="F971" s="682"/>
      <c r="G971" s="682"/>
      <c r="H971" s="915"/>
      <c r="I971" s="916"/>
      <c r="J971" s="916"/>
      <c r="K971" s="917"/>
      <c r="L971" s="917"/>
      <c r="M971" s="917"/>
      <c r="N971" s="917"/>
      <c r="O971" s="917"/>
      <c r="P971" s="917"/>
      <c r="Q971" s="578"/>
      <c r="R971" s="578"/>
      <c r="S971" s="578"/>
      <c r="T971" s="578"/>
      <c r="U971" s="578"/>
      <c r="V971" s="578"/>
      <c r="W971" s="578"/>
      <c r="X971" s="578"/>
      <c r="Y971" s="578"/>
      <c r="Z971" s="578"/>
    </row>
    <row r="972" spans="1:26" ht="18.75">
      <c r="A972" s="682"/>
      <c r="B972" s="682"/>
      <c r="C972" s="682"/>
      <c r="D972" s="914"/>
      <c r="E972" s="682"/>
      <c r="F972" s="682"/>
      <c r="G972" s="682"/>
      <c r="H972" s="915"/>
      <c r="I972" s="916"/>
      <c r="J972" s="916"/>
      <c r="K972" s="917"/>
      <c r="L972" s="917"/>
      <c r="M972" s="917"/>
      <c r="N972" s="917"/>
      <c r="O972" s="917"/>
      <c r="P972" s="917"/>
      <c r="Q972" s="578"/>
      <c r="R972" s="578"/>
      <c r="S972" s="578"/>
      <c r="T972" s="578"/>
      <c r="U972" s="578"/>
      <c r="V972" s="578"/>
      <c r="W972" s="578"/>
      <c r="X972" s="578"/>
      <c r="Y972" s="578"/>
      <c r="Z972" s="578"/>
    </row>
    <row r="973" spans="1:26" ht="18.75">
      <c r="A973" s="682"/>
      <c r="B973" s="682"/>
      <c r="C973" s="682"/>
      <c r="D973" s="914"/>
      <c r="E973" s="682"/>
      <c r="F973" s="682"/>
      <c r="G973" s="682"/>
      <c r="H973" s="915"/>
      <c r="I973" s="916"/>
      <c r="J973" s="916"/>
      <c r="K973" s="917"/>
      <c r="L973" s="917"/>
      <c r="M973" s="917"/>
      <c r="N973" s="917"/>
      <c r="O973" s="917"/>
      <c r="P973" s="917"/>
      <c r="Q973" s="578"/>
      <c r="R973" s="578"/>
      <c r="S973" s="578"/>
      <c r="T973" s="578"/>
      <c r="U973" s="578"/>
      <c r="V973" s="578"/>
      <c r="W973" s="578"/>
      <c r="X973" s="578"/>
      <c r="Y973" s="578"/>
      <c r="Z973" s="578"/>
    </row>
    <row r="974" spans="1:26" ht="18.75">
      <c r="A974" s="682"/>
      <c r="B974" s="682"/>
      <c r="C974" s="682"/>
      <c r="D974" s="914"/>
      <c r="E974" s="682"/>
      <c r="F974" s="682"/>
      <c r="G974" s="682"/>
      <c r="H974" s="915"/>
      <c r="I974" s="916"/>
      <c r="J974" s="916"/>
      <c r="K974" s="917"/>
      <c r="L974" s="917"/>
      <c r="M974" s="917"/>
      <c r="N974" s="917"/>
      <c r="O974" s="917"/>
      <c r="P974" s="917"/>
      <c r="Q974" s="578"/>
      <c r="R974" s="578"/>
      <c r="S974" s="578"/>
      <c r="T974" s="578"/>
      <c r="U974" s="578"/>
      <c r="V974" s="578"/>
      <c r="W974" s="578"/>
      <c r="X974" s="578"/>
      <c r="Y974" s="578"/>
      <c r="Z974" s="578"/>
    </row>
    <row r="975" spans="1:26" ht="18.75">
      <c r="A975" s="682"/>
      <c r="B975" s="682"/>
      <c r="C975" s="682"/>
      <c r="D975" s="914"/>
      <c r="E975" s="682"/>
      <c r="F975" s="682"/>
      <c r="G975" s="682"/>
      <c r="H975" s="915"/>
      <c r="I975" s="916"/>
      <c r="J975" s="916"/>
      <c r="K975" s="917"/>
      <c r="L975" s="917"/>
      <c r="M975" s="917"/>
      <c r="N975" s="917"/>
      <c r="O975" s="917"/>
      <c r="P975" s="917"/>
      <c r="Q975" s="578"/>
      <c r="R975" s="578"/>
      <c r="S975" s="578"/>
      <c r="T975" s="578"/>
      <c r="U975" s="578"/>
      <c r="V975" s="578"/>
      <c r="W975" s="578"/>
      <c r="X975" s="578"/>
      <c r="Y975" s="578"/>
      <c r="Z975" s="578"/>
    </row>
    <row r="976" spans="1:26" ht="18.75">
      <c r="A976" s="682"/>
      <c r="B976" s="682"/>
      <c r="C976" s="682"/>
      <c r="D976" s="914"/>
      <c r="E976" s="682"/>
      <c r="F976" s="682"/>
      <c r="G976" s="682"/>
      <c r="H976" s="915"/>
      <c r="I976" s="916"/>
      <c r="J976" s="916"/>
      <c r="K976" s="917"/>
      <c r="L976" s="917"/>
      <c r="M976" s="917"/>
      <c r="N976" s="917"/>
      <c r="O976" s="917"/>
      <c r="P976" s="917"/>
      <c r="Q976" s="578"/>
      <c r="R976" s="578"/>
      <c r="S976" s="578"/>
      <c r="T976" s="578"/>
      <c r="U976" s="578"/>
      <c r="V976" s="578"/>
      <c r="W976" s="578"/>
      <c r="X976" s="578"/>
      <c r="Y976" s="578"/>
      <c r="Z976" s="578"/>
    </row>
    <row r="977" spans="1:26" ht="18.75">
      <c r="A977" s="682"/>
      <c r="B977" s="682"/>
      <c r="C977" s="682"/>
      <c r="D977" s="914"/>
      <c r="E977" s="682"/>
      <c r="F977" s="682"/>
      <c r="G977" s="682"/>
      <c r="H977" s="915"/>
      <c r="I977" s="916"/>
      <c r="J977" s="916"/>
      <c r="K977" s="917"/>
      <c r="L977" s="917"/>
      <c r="M977" s="917"/>
      <c r="N977" s="917"/>
      <c r="O977" s="917"/>
      <c r="P977" s="917"/>
      <c r="Q977" s="578"/>
      <c r="R977" s="578"/>
      <c r="S977" s="578"/>
      <c r="T977" s="578"/>
      <c r="U977" s="578"/>
      <c r="V977" s="578"/>
      <c r="W977" s="578"/>
      <c r="X977" s="578"/>
      <c r="Y977" s="578"/>
      <c r="Z977" s="578"/>
    </row>
    <row r="978" spans="1:26" ht="18.75">
      <c r="A978" s="682"/>
      <c r="B978" s="682"/>
      <c r="C978" s="682"/>
      <c r="D978" s="914"/>
      <c r="E978" s="682"/>
      <c r="F978" s="682"/>
      <c r="G978" s="682"/>
      <c r="H978" s="915"/>
      <c r="I978" s="916"/>
      <c r="J978" s="916"/>
      <c r="K978" s="917"/>
      <c r="L978" s="917"/>
      <c r="M978" s="917"/>
      <c r="N978" s="917"/>
      <c r="O978" s="917"/>
      <c r="P978" s="917"/>
      <c r="Q978" s="578"/>
      <c r="R978" s="578"/>
      <c r="S978" s="578"/>
      <c r="T978" s="578"/>
      <c r="U978" s="578"/>
      <c r="V978" s="578"/>
      <c r="W978" s="578"/>
      <c r="X978" s="578"/>
      <c r="Y978" s="578"/>
      <c r="Z978" s="578"/>
    </row>
    <row r="979" spans="1:26" ht="18.75">
      <c r="A979" s="682"/>
      <c r="B979" s="682"/>
      <c r="C979" s="682"/>
      <c r="D979" s="914"/>
      <c r="E979" s="682"/>
      <c r="F979" s="682"/>
      <c r="G979" s="682"/>
      <c r="H979" s="915"/>
      <c r="I979" s="916"/>
      <c r="J979" s="916"/>
      <c r="K979" s="917"/>
      <c r="L979" s="917"/>
      <c r="M979" s="917"/>
      <c r="N979" s="917"/>
      <c r="O979" s="917"/>
      <c r="P979" s="917"/>
      <c r="Q979" s="578"/>
      <c r="R979" s="578"/>
      <c r="S979" s="578"/>
      <c r="T979" s="578"/>
      <c r="U979" s="578"/>
      <c r="V979" s="578"/>
      <c r="W979" s="578"/>
      <c r="X979" s="578"/>
      <c r="Y979" s="578"/>
      <c r="Z979" s="578"/>
    </row>
    <row r="980" spans="1:26" ht="18.75">
      <c r="A980" s="682"/>
      <c r="B980" s="682"/>
      <c r="C980" s="682"/>
      <c r="D980" s="914"/>
      <c r="E980" s="682"/>
      <c r="F980" s="682"/>
      <c r="G980" s="682"/>
      <c r="H980" s="915"/>
      <c r="I980" s="916"/>
      <c r="J980" s="916"/>
      <c r="K980" s="917"/>
      <c r="L980" s="917"/>
      <c r="M980" s="917"/>
      <c r="N980" s="917"/>
      <c r="O980" s="917"/>
      <c r="P980" s="917"/>
      <c r="Q980" s="578"/>
      <c r="R980" s="578"/>
      <c r="S980" s="578"/>
      <c r="T980" s="578"/>
      <c r="U980" s="578"/>
      <c r="V980" s="578"/>
      <c r="W980" s="578"/>
      <c r="X980" s="578"/>
      <c r="Y980" s="578"/>
      <c r="Z980" s="578"/>
    </row>
    <row r="981" spans="1:26" ht="18.75">
      <c r="A981" s="682"/>
      <c r="B981" s="682"/>
      <c r="C981" s="682"/>
      <c r="D981" s="914"/>
      <c r="E981" s="682"/>
      <c r="F981" s="682"/>
      <c r="G981" s="682"/>
      <c r="H981" s="915"/>
      <c r="I981" s="916"/>
      <c r="J981" s="916"/>
      <c r="K981" s="917"/>
      <c r="L981" s="917"/>
      <c r="M981" s="917"/>
      <c r="N981" s="917"/>
      <c r="O981" s="917"/>
      <c r="P981" s="917"/>
      <c r="Q981" s="578"/>
      <c r="R981" s="578"/>
      <c r="S981" s="578"/>
      <c r="T981" s="578"/>
      <c r="U981" s="578"/>
      <c r="V981" s="578"/>
      <c r="W981" s="578"/>
      <c r="X981" s="578"/>
      <c r="Y981" s="578"/>
      <c r="Z981" s="578"/>
    </row>
    <row r="982" spans="1:26" ht="18.75">
      <c r="A982" s="682"/>
      <c r="B982" s="682"/>
      <c r="C982" s="682"/>
      <c r="D982" s="914"/>
      <c r="E982" s="682"/>
      <c r="F982" s="682"/>
      <c r="G982" s="682"/>
      <c r="H982" s="915"/>
      <c r="I982" s="916"/>
      <c r="J982" s="916"/>
      <c r="K982" s="917"/>
      <c r="L982" s="917"/>
      <c r="M982" s="917"/>
      <c r="N982" s="917"/>
      <c r="O982" s="917"/>
      <c r="P982" s="917"/>
      <c r="Q982" s="578"/>
      <c r="R982" s="578"/>
      <c r="S982" s="578"/>
      <c r="T982" s="578"/>
      <c r="U982" s="578"/>
      <c r="V982" s="578"/>
      <c r="W982" s="578"/>
      <c r="X982" s="578"/>
      <c r="Y982" s="578"/>
      <c r="Z982" s="578"/>
    </row>
    <row r="983" spans="1:26" ht="18.75">
      <c r="A983" s="682"/>
      <c r="B983" s="682"/>
      <c r="C983" s="682"/>
      <c r="D983" s="914"/>
      <c r="E983" s="682"/>
      <c r="F983" s="682"/>
      <c r="G983" s="682"/>
      <c r="H983" s="915"/>
      <c r="I983" s="916"/>
      <c r="J983" s="916"/>
      <c r="K983" s="917"/>
      <c r="L983" s="917"/>
      <c r="M983" s="917"/>
      <c r="N983" s="917"/>
      <c r="O983" s="917"/>
      <c r="P983" s="917"/>
      <c r="Q983" s="578"/>
      <c r="R983" s="578"/>
      <c r="S983" s="578"/>
      <c r="T983" s="578"/>
      <c r="U983" s="578"/>
      <c r="V983" s="578"/>
      <c r="W983" s="578"/>
      <c r="X983" s="578"/>
      <c r="Y983" s="578"/>
      <c r="Z983" s="578"/>
    </row>
    <row r="984" spans="1:26" ht="18.75">
      <c r="A984" s="682"/>
      <c r="B984" s="682"/>
      <c r="C984" s="682"/>
      <c r="D984" s="914"/>
      <c r="E984" s="682"/>
      <c r="F984" s="682"/>
      <c r="G984" s="682"/>
      <c r="H984" s="915"/>
      <c r="I984" s="916"/>
      <c r="J984" s="916"/>
      <c r="K984" s="917"/>
      <c r="L984" s="917"/>
      <c r="M984" s="917"/>
      <c r="N984" s="917"/>
      <c r="O984" s="917"/>
      <c r="P984" s="917"/>
      <c r="Q984" s="578"/>
      <c r="R984" s="578"/>
      <c r="S984" s="578"/>
      <c r="T984" s="578"/>
      <c r="U984" s="578"/>
      <c r="V984" s="578"/>
      <c r="W984" s="578"/>
      <c r="X984" s="578"/>
      <c r="Y984" s="578"/>
      <c r="Z984" s="578"/>
    </row>
    <row r="985" spans="1:26" ht="18.75">
      <c r="A985" s="682"/>
      <c r="B985" s="682"/>
      <c r="C985" s="682"/>
      <c r="D985" s="914"/>
      <c r="E985" s="682"/>
      <c r="F985" s="682"/>
      <c r="G985" s="682"/>
      <c r="H985" s="915"/>
      <c r="I985" s="916"/>
      <c r="J985" s="916"/>
      <c r="K985" s="917"/>
      <c r="L985" s="917"/>
      <c r="M985" s="917"/>
      <c r="N985" s="917"/>
      <c r="O985" s="917"/>
      <c r="P985" s="917"/>
      <c r="Q985" s="578"/>
      <c r="R985" s="578"/>
      <c r="S985" s="578"/>
      <c r="T985" s="578"/>
      <c r="U985" s="578"/>
      <c r="V985" s="578"/>
      <c r="W985" s="578"/>
      <c r="X985" s="578"/>
      <c r="Y985" s="578"/>
      <c r="Z985" s="578"/>
    </row>
    <row r="986" spans="1:26" ht="18.75">
      <c r="A986" s="682"/>
      <c r="B986" s="682"/>
      <c r="C986" s="682"/>
      <c r="D986" s="914"/>
      <c r="E986" s="682"/>
      <c r="F986" s="682"/>
      <c r="G986" s="682"/>
      <c r="H986" s="915"/>
      <c r="I986" s="916"/>
      <c r="J986" s="916"/>
      <c r="K986" s="917"/>
      <c r="L986" s="917"/>
      <c r="M986" s="917"/>
      <c r="N986" s="917"/>
      <c r="O986" s="917"/>
      <c r="P986" s="917"/>
      <c r="Q986" s="578"/>
      <c r="R986" s="578"/>
      <c r="S986" s="578"/>
      <c r="T986" s="578"/>
      <c r="U986" s="578"/>
      <c r="V986" s="578"/>
      <c r="W986" s="578"/>
      <c r="X986" s="578"/>
      <c r="Y986" s="578"/>
      <c r="Z986" s="578"/>
    </row>
    <row r="987" spans="1:26" ht="18.75">
      <c r="A987" s="682"/>
      <c r="B987" s="682"/>
      <c r="C987" s="682"/>
      <c r="D987" s="914"/>
      <c r="E987" s="682"/>
      <c r="F987" s="682"/>
      <c r="G987" s="682"/>
      <c r="H987" s="915"/>
      <c r="I987" s="916"/>
      <c r="J987" s="916"/>
      <c r="K987" s="917"/>
      <c r="L987" s="917"/>
      <c r="M987" s="917"/>
      <c r="N987" s="917"/>
      <c r="O987" s="917"/>
      <c r="P987" s="917"/>
      <c r="Q987" s="578"/>
      <c r="R987" s="578"/>
      <c r="S987" s="578"/>
      <c r="T987" s="578"/>
      <c r="U987" s="578"/>
      <c r="V987" s="578"/>
      <c r="W987" s="578"/>
      <c r="X987" s="578"/>
      <c r="Y987" s="578"/>
      <c r="Z987" s="578"/>
    </row>
    <row r="988" spans="1:26" ht="18.75">
      <c r="A988" s="682"/>
      <c r="B988" s="682"/>
      <c r="C988" s="682"/>
      <c r="D988" s="914"/>
      <c r="E988" s="682"/>
      <c r="F988" s="682"/>
      <c r="G988" s="682"/>
      <c r="H988" s="915"/>
      <c r="I988" s="916"/>
      <c r="J988" s="916"/>
      <c r="K988" s="917"/>
      <c r="L988" s="917"/>
      <c r="M988" s="917"/>
      <c r="N988" s="917"/>
      <c r="O988" s="917"/>
      <c r="P988" s="917"/>
      <c r="Q988" s="578"/>
      <c r="R988" s="578"/>
      <c r="S988" s="578"/>
      <c r="T988" s="578"/>
      <c r="U988" s="578"/>
      <c r="V988" s="578"/>
      <c r="W988" s="578"/>
      <c r="X988" s="578"/>
      <c r="Y988" s="578"/>
      <c r="Z988" s="578"/>
    </row>
    <row r="989" spans="1:26" ht="18.75">
      <c r="A989" s="682"/>
      <c r="B989" s="682"/>
      <c r="C989" s="682"/>
      <c r="D989" s="914"/>
      <c r="E989" s="682"/>
      <c r="F989" s="682"/>
      <c r="G989" s="682"/>
      <c r="H989" s="915"/>
      <c r="I989" s="916"/>
      <c r="J989" s="916"/>
      <c r="K989" s="917"/>
      <c r="L989" s="917"/>
      <c r="M989" s="917"/>
      <c r="N989" s="917"/>
      <c r="O989" s="917"/>
      <c r="P989" s="917"/>
      <c r="Q989" s="578"/>
      <c r="R989" s="578"/>
      <c r="S989" s="578"/>
      <c r="T989" s="578"/>
      <c r="U989" s="578"/>
      <c r="V989" s="578"/>
      <c r="W989" s="578"/>
      <c r="X989" s="578"/>
      <c r="Y989" s="578"/>
      <c r="Z989" s="578"/>
    </row>
    <row r="990" spans="1:26" ht="18.75">
      <c r="A990" s="682"/>
      <c r="B990" s="682"/>
      <c r="C990" s="682"/>
      <c r="D990" s="914"/>
      <c r="E990" s="682"/>
      <c r="F990" s="682"/>
      <c r="G990" s="682"/>
      <c r="H990" s="915"/>
      <c r="I990" s="916"/>
      <c r="J990" s="916"/>
      <c r="K990" s="917"/>
      <c r="L990" s="917"/>
      <c r="M990" s="917"/>
      <c r="N990" s="917"/>
      <c r="O990" s="917"/>
      <c r="P990" s="917"/>
      <c r="Q990" s="578"/>
      <c r="R990" s="578"/>
      <c r="S990" s="578"/>
      <c r="T990" s="578"/>
      <c r="U990" s="578"/>
      <c r="V990" s="578"/>
      <c r="W990" s="578"/>
      <c r="X990" s="578"/>
      <c r="Y990" s="578"/>
      <c r="Z990" s="578"/>
    </row>
    <row r="991" spans="1:26" ht="18.75">
      <c r="A991" s="682"/>
      <c r="B991" s="682"/>
      <c r="C991" s="682"/>
      <c r="D991" s="914"/>
      <c r="E991" s="682"/>
      <c r="F991" s="682"/>
      <c r="G991" s="682"/>
      <c r="H991" s="915"/>
      <c r="I991" s="916"/>
      <c r="J991" s="916"/>
      <c r="K991" s="917"/>
      <c r="L991" s="917"/>
      <c r="M991" s="917"/>
      <c r="N991" s="917"/>
      <c r="O991" s="917"/>
      <c r="P991" s="917"/>
      <c r="Q991" s="578"/>
      <c r="R991" s="578"/>
      <c r="S991" s="578"/>
      <c r="T991" s="578"/>
      <c r="U991" s="578"/>
      <c r="V991" s="578"/>
      <c r="W991" s="578"/>
      <c r="X991" s="578"/>
      <c r="Y991" s="578"/>
      <c r="Z991" s="578"/>
    </row>
    <row r="992" spans="1:26" ht="18.75">
      <c r="A992" s="682"/>
      <c r="B992" s="682"/>
      <c r="C992" s="682"/>
      <c r="D992" s="914"/>
      <c r="E992" s="682"/>
      <c r="F992" s="682"/>
      <c r="G992" s="682"/>
      <c r="H992" s="915"/>
      <c r="I992" s="916"/>
      <c r="J992" s="916"/>
      <c r="K992" s="917"/>
      <c r="L992" s="917"/>
      <c r="M992" s="917"/>
      <c r="N992" s="917"/>
      <c r="O992" s="917"/>
      <c r="P992" s="917"/>
      <c r="Q992" s="578"/>
      <c r="R992" s="578"/>
      <c r="S992" s="578"/>
      <c r="T992" s="578"/>
      <c r="U992" s="578"/>
      <c r="V992" s="578"/>
      <c r="W992" s="578"/>
      <c r="X992" s="578"/>
      <c r="Y992" s="578"/>
      <c r="Z992" s="578"/>
    </row>
    <row r="993" spans="1:26" ht="18.75">
      <c r="A993" s="682"/>
      <c r="B993" s="682"/>
      <c r="C993" s="682"/>
      <c r="D993" s="914"/>
      <c r="E993" s="682"/>
      <c r="F993" s="682"/>
      <c r="G993" s="682"/>
      <c r="H993" s="915"/>
      <c r="I993" s="916"/>
      <c r="J993" s="916"/>
      <c r="K993" s="917"/>
      <c r="L993" s="917"/>
      <c r="M993" s="917"/>
      <c r="N993" s="917"/>
      <c r="O993" s="917"/>
      <c r="P993" s="917"/>
      <c r="Q993" s="578"/>
      <c r="R993" s="578"/>
      <c r="S993" s="578"/>
      <c r="T993" s="578"/>
      <c r="U993" s="578"/>
      <c r="V993" s="578"/>
      <c r="W993" s="578"/>
      <c r="X993" s="578"/>
      <c r="Y993" s="578"/>
      <c r="Z993" s="578"/>
    </row>
    <row r="994" spans="1:26" ht="18.75">
      <c r="A994" s="682"/>
      <c r="B994" s="682"/>
      <c r="C994" s="682"/>
      <c r="D994" s="914"/>
      <c r="E994" s="682"/>
      <c r="F994" s="682"/>
      <c r="G994" s="682"/>
      <c r="H994" s="915"/>
      <c r="I994" s="916"/>
      <c r="J994" s="916"/>
      <c r="K994" s="917"/>
      <c r="L994" s="917"/>
      <c r="M994" s="917"/>
      <c r="N994" s="917"/>
      <c r="O994" s="917"/>
      <c r="P994" s="917"/>
      <c r="Q994" s="578"/>
      <c r="R994" s="578"/>
      <c r="S994" s="578"/>
      <c r="T994" s="578"/>
      <c r="U994" s="578"/>
      <c r="V994" s="578"/>
      <c r="W994" s="578"/>
      <c r="X994" s="578"/>
      <c r="Y994" s="578"/>
      <c r="Z994" s="578"/>
    </row>
    <row r="995" spans="1:26" ht="18.75">
      <c r="A995" s="682"/>
      <c r="B995" s="682"/>
      <c r="C995" s="682"/>
      <c r="D995" s="914"/>
      <c r="E995" s="682"/>
      <c r="F995" s="682"/>
      <c r="G995" s="682"/>
      <c r="H995" s="915"/>
      <c r="I995" s="916"/>
      <c r="J995" s="916"/>
      <c r="K995" s="917"/>
      <c r="L995" s="917"/>
      <c r="M995" s="917"/>
      <c r="N995" s="917"/>
      <c r="O995" s="917"/>
      <c r="P995" s="917"/>
      <c r="Q995" s="578"/>
      <c r="R995" s="578"/>
      <c r="S995" s="578"/>
      <c r="T995" s="578"/>
      <c r="U995" s="578"/>
      <c r="V995" s="578"/>
      <c r="W995" s="578"/>
      <c r="X995" s="578"/>
      <c r="Y995" s="578"/>
      <c r="Z995" s="578"/>
    </row>
    <row r="996" spans="1:26" ht="18.75">
      <c r="A996" s="682"/>
      <c r="B996" s="682"/>
      <c r="C996" s="682"/>
      <c r="D996" s="914"/>
      <c r="E996" s="682"/>
      <c r="F996" s="682"/>
      <c r="G996" s="682"/>
      <c r="H996" s="915"/>
      <c r="I996" s="916"/>
      <c r="J996" s="916"/>
      <c r="K996" s="917"/>
      <c r="L996" s="917"/>
      <c r="M996" s="917"/>
      <c r="N996" s="917"/>
      <c r="O996" s="917"/>
      <c r="P996" s="917"/>
      <c r="Q996" s="578"/>
      <c r="R996" s="578"/>
      <c r="S996" s="578"/>
      <c r="T996" s="578"/>
      <c r="U996" s="578"/>
      <c r="V996" s="578"/>
      <c r="W996" s="578"/>
      <c r="X996" s="578"/>
      <c r="Y996" s="578"/>
      <c r="Z996" s="578"/>
    </row>
    <row r="997" spans="1:26" ht="18.75">
      <c r="A997" s="682"/>
      <c r="B997" s="682"/>
      <c r="C997" s="682"/>
      <c r="D997" s="914"/>
      <c r="E997" s="682"/>
      <c r="F997" s="682"/>
      <c r="G997" s="682"/>
      <c r="H997" s="915"/>
      <c r="I997" s="916"/>
      <c r="J997" s="916"/>
      <c r="K997" s="917"/>
      <c r="L997" s="917"/>
      <c r="M997" s="917"/>
      <c r="N997" s="917"/>
      <c r="O997" s="917"/>
      <c r="P997" s="917"/>
      <c r="Q997" s="578"/>
      <c r="R997" s="578"/>
      <c r="S997" s="578"/>
      <c r="T997" s="578"/>
      <c r="U997" s="578"/>
      <c r="V997" s="578"/>
      <c r="W997" s="578"/>
      <c r="X997" s="578"/>
      <c r="Y997" s="578"/>
      <c r="Z997" s="578"/>
    </row>
    <row r="998" spans="1:26" ht="18.75">
      <c r="A998" s="682"/>
      <c r="B998" s="682"/>
      <c r="C998" s="682"/>
      <c r="D998" s="914"/>
      <c r="E998" s="682"/>
      <c r="F998" s="682"/>
      <c r="G998" s="682"/>
      <c r="H998" s="915"/>
      <c r="I998" s="916"/>
      <c r="J998" s="916"/>
      <c r="K998" s="917"/>
      <c r="L998" s="917"/>
      <c r="M998" s="917"/>
      <c r="N998" s="917"/>
      <c r="O998" s="917"/>
      <c r="P998" s="917"/>
      <c r="Q998" s="578"/>
      <c r="R998" s="578"/>
      <c r="S998" s="578"/>
      <c r="T998" s="578"/>
      <c r="U998" s="578"/>
      <c r="V998" s="578"/>
      <c r="W998" s="578"/>
      <c r="X998" s="578"/>
      <c r="Y998" s="578"/>
      <c r="Z998" s="578"/>
    </row>
    <row r="999" spans="1:26" ht="18.75">
      <c r="A999" s="682"/>
      <c r="B999" s="682"/>
      <c r="C999" s="682"/>
      <c r="D999" s="914"/>
      <c r="E999" s="682"/>
      <c r="F999" s="682"/>
      <c r="G999" s="682"/>
      <c r="H999" s="915"/>
      <c r="I999" s="916"/>
      <c r="J999" s="916"/>
      <c r="K999" s="917"/>
      <c r="L999" s="917"/>
      <c r="M999" s="917"/>
      <c r="N999" s="917"/>
      <c r="O999" s="917"/>
      <c r="P999" s="917"/>
      <c r="Q999" s="578"/>
      <c r="R999" s="578"/>
      <c r="S999" s="578"/>
      <c r="T999" s="578"/>
      <c r="U999" s="578"/>
      <c r="V999" s="578"/>
      <c r="W999" s="578"/>
      <c r="X999" s="578"/>
      <c r="Y999" s="578"/>
      <c r="Z999" s="578"/>
    </row>
    <row r="1000" spans="1:26" ht="18.75">
      <c r="A1000" s="682"/>
      <c r="B1000" s="682"/>
      <c r="C1000" s="682"/>
      <c r="D1000" s="914"/>
      <c r="E1000" s="682"/>
      <c r="F1000" s="682"/>
      <c r="G1000" s="682"/>
      <c r="H1000" s="915"/>
      <c r="I1000" s="916"/>
      <c r="J1000" s="916"/>
      <c r="K1000" s="917"/>
      <c r="L1000" s="917"/>
      <c r="M1000" s="917"/>
      <c r="N1000" s="917"/>
      <c r="O1000" s="917"/>
      <c r="P1000" s="917"/>
      <c r="Q1000" s="578"/>
      <c r="R1000" s="578"/>
      <c r="S1000" s="578"/>
      <c r="T1000" s="578"/>
      <c r="U1000" s="578"/>
      <c r="V1000" s="578"/>
      <c r="W1000" s="578"/>
      <c r="X1000" s="578"/>
      <c r="Y1000" s="578"/>
      <c r="Z1000" s="578"/>
    </row>
    <row r="1001" spans="1:26" ht="18.75">
      <c r="A1001" s="682"/>
      <c r="B1001" s="682"/>
      <c r="C1001" s="682"/>
      <c r="D1001" s="914"/>
      <c r="E1001" s="682"/>
      <c r="F1001" s="682"/>
      <c r="G1001" s="682"/>
      <c r="H1001" s="915"/>
      <c r="I1001" s="916"/>
      <c r="J1001" s="916"/>
      <c r="K1001" s="917"/>
      <c r="L1001" s="917"/>
      <c r="M1001" s="917"/>
      <c r="N1001" s="917"/>
      <c r="O1001" s="917"/>
      <c r="P1001" s="917"/>
      <c r="Q1001" s="578"/>
      <c r="R1001" s="578"/>
      <c r="S1001" s="578"/>
      <c r="T1001" s="578"/>
      <c r="U1001" s="578"/>
      <c r="V1001" s="578"/>
      <c r="W1001" s="578"/>
      <c r="X1001" s="578"/>
      <c r="Y1001" s="578"/>
      <c r="Z1001" s="578"/>
    </row>
    <row r="1002" spans="1:26" ht="18.75">
      <c r="A1002" s="682"/>
      <c r="B1002" s="682"/>
      <c r="C1002" s="682"/>
      <c r="D1002" s="914"/>
      <c r="E1002" s="682"/>
      <c r="F1002" s="682"/>
      <c r="G1002" s="682"/>
      <c r="H1002" s="915"/>
      <c r="I1002" s="916"/>
      <c r="J1002" s="916"/>
      <c r="K1002" s="917"/>
      <c r="L1002" s="917"/>
      <c r="M1002" s="917"/>
      <c r="N1002" s="917"/>
      <c r="O1002" s="917"/>
      <c r="P1002" s="917"/>
      <c r="Q1002" s="578"/>
      <c r="R1002" s="578"/>
      <c r="S1002" s="578"/>
      <c r="T1002" s="578"/>
      <c r="U1002" s="578"/>
      <c r="V1002" s="578"/>
      <c r="W1002" s="578"/>
      <c r="X1002" s="578"/>
      <c r="Y1002" s="578"/>
      <c r="Z1002" s="578"/>
    </row>
    <row r="1003" spans="1:26" ht="18.75">
      <c r="A1003" s="682"/>
      <c r="B1003" s="682"/>
      <c r="C1003" s="682"/>
      <c r="D1003" s="914"/>
      <c r="E1003" s="682"/>
      <c r="F1003" s="682"/>
      <c r="G1003" s="682"/>
      <c r="H1003" s="915"/>
      <c r="I1003" s="916"/>
      <c r="J1003" s="916"/>
      <c r="K1003" s="917"/>
      <c r="L1003" s="917"/>
      <c r="M1003" s="917"/>
      <c r="N1003" s="917"/>
      <c r="O1003" s="917"/>
      <c r="P1003" s="917"/>
      <c r="Q1003" s="578"/>
      <c r="R1003" s="578"/>
      <c r="S1003" s="578"/>
      <c r="T1003" s="578"/>
      <c r="U1003" s="578"/>
      <c r="V1003" s="578"/>
      <c r="W1003" s="578"/>
      <c r="X1003" s="578"/>
      <c r="Y1003" s="578"/>
      <c r="Z1003" s="578"/>
    </row>
    <row r="1004" spans="1:26" ht="18.75">
      <c r="A1004" s="682"/>
      <c r="B1004" s="682"/>
      <c r="C1004" s="682"/>
      <c r="D1004" s="914"/>
      <c r="E1004" s="682"/>
      <c r="F1004" s="682"/>
      <c r="G1004" s="682"/>
      <c r="H1004" s="915"/>
      <c r="I1004" s="916"/>
      <c r="J1004" s="916"/>
      <c r="K1004" s="917"/>
      <c r="L1004" s="917"/>
      <c r="M1004" s="917"/>
      <c r="N1004" s="917"/>
      <c r="O1004" s="917"/>
      <c r="P1004" s="917"/>
      <c r="Q1004" s="578"/>
      <c r="R1004" s="578"/>
      <c r="S1004" s="578"/>
      <c r="T1004" s="578"/>
      <c r="U1004" s="578"/>
      <c r="V1004" s="578"/>
      <c r="W1004" s="578"/>
      <c r="X1004" s="578"/>
      <c r="Y1004" s="578"/>
      <c r="Z1004" s="578"/>
    </row>
    <row r="1005" spans="1:26" ht="18.75">
      <c r="A1005" s="682"/>
      <c r="B1005" s="682"/>
      <c r="C1005" s="682"/>
      <c r="D1005" s="914"/>
      <c r="E1005" s="682"/>
      <c r="F1005" s="682"/>
      <c r="G1005" s="682"/>
      <c r="H1005" s="915"/>
      <c r="I1005" s="916"/>
      <c r="J1005" s="916"/>
      <c r="K1005" s="917"/>
      <c r="L1005" s="917"/>
      <c r="M1005" s="917"/>
      <c r="N1005" s="917"/>
      <c r="O1005" s="917"/>
      <c r="P1005" s="917"/>
      <c r="Q1005" s="578"/>
      <c r="R1005" s="578"/>
      <c r="S1005" s="578"/>
      <c r="T1005" s="578"/>
      <c r="U1005" s="578"/>
      <c r="V1005" s="578"/>
      <c r="W1005" s="578"/>
      <c r="X1005" s="578"/>
      <c r="Y1005" s="578"/>
      <c r="Z1005" s="578"/>
    </row>
    <row r="1006" spans="1:26" ht="18.75">
      <c r="A1006" s="682"/>
      <c r="B1006" s="682"/>
      <c r="C1006" s="682"/>
      <c r="D1006" s="914"/>
      <c r="E1006" s="682"/>
      <c r="F1006" s="682"/>
      <c r="G1006" s="682"/>
      <c r="H1006" s="915"/>
      <c r="I1006" s="916"/>
      <c r="J1006" s="916"/>
      <c r="K1006" s="917"/>
      <c r="L1006" s="917"/>
      <c r="M1006" s="917"/>
      <c r="N1006" s="917"/>
      <c r="O1006" s="917"/>
      <c r="P1006" s="917"/>
      <c r="Q1006" s="578"/>
      <c r="R1006" s="578"/>
      <c r="S1006" s="578"/>
      <c r="T1006" s="578"/>
      <c r="U1006" s="578"/>
      <c r="V1006" s="578"/>
      <c r="W1006" s="578"/>
      <c r="X1006" s="578"/>
      <c r="Y1006" s="578"/>
      <c r="Z1006" s="578"/>
    </row>
    <row r="1007" spans="1:26" ht="18.75">
      <c r="A1007" s="682"/>
      <c r="B1007" s="682"/>
      <c r="C1007" s="682"/>
      <c r="D1007" s="914"/>
      <c r="E1007" s="682"/>
      <c r="F1007" s="682"/>
      <c r="G1007" s="682"/>
      <c r="H1007" s="915"/>
      <c r="I1007" s="916"/>
      <c r="J1007" s="916"/>
      <c r="K1007" s="917"/>
      <c r="L1007" s="917"/>
      <c r="M1007" s="917"/>
      <c r="N1007" s="917"/>
      <c r="O1007" s="917"/>
      <c r="P1007" s="917"/>
      <c r="Q1007" s="578"/>
      <c r="R1007" s="578"/>
      <c r="S1007" s="578"/>
      <c r="T1007" s="578"/>
      <c r="U1007" s="578"/>
      <c r="V1007" s="578"/>
      <c r="W1007" s="578"/>
      <c r="X1007" s="578"/>
      <c r="Y1007" s="578"/>
      <c r="Z1007" s="578"/>
    </row>
    <row r="1008" spans="1:26" ht="18.75">
      <c r="A1008" s="682"/>
      <c r="B1008" s="682"/>
      <c r="C1008" s="682"/>
      <c r="D1008" s="914"/>
      <c r="E1008" s="682"/>
      <c r="F1008" s="682"/>
      <c r="G1008" s="682"/>
      <c r="H1008" s="915"/>
      <c r="I1008" s="916"/>
      <c r="J1008" s="916"/>
      <c r="K1008" s="917"/>
      <c r="L1008" s="917"/>
      <c r="M1008" s="917"/>
      <c r="N1008" s="917"/>
      <c r="O1008" s="917"/>
      <c r="P1008" s="917"/>
      <c r="Q1008" s="578"/>
      <c r="R1008" s="578"/>
      <c r="S1008" s="578"/>
      <c r="T1008" s="578"/>
      <c r="U1008" s="578"/>
      <c r="V1008" s="578"/>
      <c r="W1008" s="578"/>
      <c r="X1008" s="578"/>
      <c r="Y1008" s="578"/>
      <c r="Z1008" s="578"/>
    </row>
    <row r="1009" spans="1:26" ht="18.75">
      <c r="A1009" s="682"/>
      <c r="B1009" s="682"/>
      <c r="C1009" s="682"/>
      <c r="D1009" s="914"/>
      <c r="E1009" s="682"/>
      <c r="F1009" s="682"/>
      <c r="G1009" s="682"/>
      <c r="H1009" s="915"/>
      <c r="I1009" s="916"/>
      <c r="J1009" s="916"/>
      <c r="K1009" s="917"/>
      <c r="L1009" s="917"/>
      <c r="M1009" s="917"/>
      <c r="N1009" s="917"/>
      <c r="O1009" s="917"/>
      <c r="P1009" s="917"/>
      <c r="Q1009" s="578"/>
      <c r="R1009" s="578"/>
      <c r="S1009" s="578"/>
      <c r="T1009" s="578"/>
      <c r="U1009" s="578"/>
      <c r="V1009" s="578"/>
      <c r="W1009" s="578"/>
      <c r="X1009" s="578"/>
      <c r="Y1009" s="578"/>
      <c r="Z1009" s="578"/>
    </row>
    <row r="1010" spans="1:26" ht="18.75">
      <c r="A1010" s="682"/>
      <c r="B1010" s="682"/>
      <c r="C1010" s="682"/>
      <c r="D1010" s="914"/>
      <c r="E1010" s="682"/>
      <c r="F1010" s="682"/>
      <c r="G1010" s="682"/>
      <c r="H1010" s="915"/>
      <c r="I1010" s="916"/>
      <c r="J1010" s="916"/>
      <c r="K1010" s="917"/>
      <c r="L1010" s="917"/>
      <c r="M1010" s="917"/>
      <c r="N1010" s="917"/>
      <c r="O1010" s="917"/>
      <c r="P1010" s="917"/>
      <c r="Q1010" s="578"/>
      <c r="R1010" s="578"/>
      <c r="S1010" s="578"/>
      <c r="T1010" s="578"/>
      <c r="U1010" s="578"/>
      <c r="V1010" s="578"/>
      <c r="W1010" s="578"/>
      <c r="X1010" s="578"/>
      <c r="Y1010" s="578"/>
      <c r="Z1010" s="578"/>
    </row>
    <row r="1011" spans="1:26" ht="18.75">
      <c r="A1011" s="682"/>
      <c r="B1011" s="682"/>
      <c r="C1011" s="682"/>
      <c r="D1011" s="914"/>
      <c r="E1011" s="682"/>
      <c r="F1011" s="682"/>
      <c r="G1011" s="682"/>
      <c r="H1011" s="915"/>
      <c r="I1011" s="916"/>
      <c r="J1011" s="916"/>
      <c r="K1011" s="917"/>
      <c r="L1011" s="917"/>
      <c r="M1011" s="917"/>
      <c r="N1011" s="917"/>
      <c r="O1011" s="917"/>
      <c r="P1011" s="917"/>
      <c r="Q1011" s="578"/>
      <c r="R1011" s="578"/>
      <c r="S1011" s="578"/>
      <c r="T1011" s="578"/>
      <c r="U1011" s="578"/>
      <c r="V1011" s="578"/>
      <c r="W1011" s="578"/>
      <c r="X1011" s="578"/>
      <c r="Y1011" s="578"/>
      <c r="Z1011" s="578"/>
    </row>
    <row r="1012" spans="1:26" ht="18.75">
      <c r="A1012" s="682"/>
      <c r="B1012" s="682"/>
      <c r="C1012" s="682"/>
      <c r="D1012" s="914"/>
      <c r="E1012" s="682"/>
      <c r="F1012" s="682"/>
      <c r="G1012" s="682"/>
      <c r="H1012" s="915"/>
      <c r="I1012" s="916"/>
      <c r="J1012" s="916"/>
      <c r="K1012" s="917"/>
      <c r="L1012" s="917"/>
      <c r="M1012" s="917"/>
      <c r="N1012" s="917"/>
      <c r="O1012" s="917"/>
      <c r="P1012" s="917"/>
      <c r="Q1012" s="578"/>
      <c r="R1012" s="578"/>
      <c r="S1012" s="578"/>
      <c r="T1012" s="578"/>
      <c r="U1012" s="578"/>
      <c r="V1012" s="578"/>
      <c r="W1012" s="578"/>
      <c r="X1012" s="578"/>
      <c r="Y1012" s="578"/>
      <c r="Z1012" s="578"/>
    </row>
    <row r="1013" spans="1:26" ht="18.75">
      <c r="A1013" s="682"/>
      <c r="B1013" s="682"/>
      <c r="C1013" s="682"/>
      <c r="D1013" s="914"/>
      <c r="E1013" s="682"/>
      <c r="F1013" s="682"/>
      <c r="G1013" s="682"/>
      <c r="H1013" s="915"/>
      <c r="I1013" s="916"/>
      <c r="J1013" s="916"/>
      <c r="K1013" s="917"/>
      <c r="L1013" s="917"/>
      <c r="M1013" s="917"/>
      <c r="N1013" s="917"/>
      <c r="O1013" s="917"/>
      <c r="P1013" s="917"/>
      <c r="Q1013" s="578"/>
      <c r="R1013" s="578"/>
      <c r="S1013" s="578"/>
      <c r="T1013" s="578"/>
      <c r="U1013" s="578"/>
      <c r="V1013" s="578"/>
      <c r="W1013" s="578"/>
      <c r="X1013" s="578"/>
      <c r="Y1013" s="578"/>
      <c r="Z1013" s="578"/>
    </row>
    <row r="1014" spans="1:26" ht="18.75">
      <c r="A1014" s="682"/>
      <c r="B1014" s="682"/>
      <c r="C1014" s="682"/>
      <c r="D1014" s="914"/>
      <c r="E1014" s="682"/>
      <c r="F1014" s="682"/>
      <c r="G1014" s="682"/>
      <c r="H1014" s="915"/>
      <c r="I1014" s="916"/>
      <c r="J1014" s="916"/>
      <c r="K1014" s="917"/>
      <c r="L1014" s="917"/>
      <c r="M1014" s="917"/>
      <c r="N1014" s="917"/>
      <c r="O1014" s="917"/>
      <c r="P1014" s="917"/>
      <c r="Q1014" s="578"/>
      <c r="R1014" s="578"/>
      <c r="S1014" s="578"/>
      <c r="T1014" s="578"/>
      <c r="U1014" s="578"/>
      <c r="V1014" s="578"/>
      <c r="W1014" s="578"/>
      <c r="X1014" s="578"/>
      <c r="Y1014" s="578"/>
      <c r="Z1014" s="578"/>
    </row>
    <row r="1015" spans="1:26" ht="18.75">
      <c r="A1015" s="682"/>
      <c r="B1015" s="682"/>
      <c r="C1015" s="682"/>
      <c r="D1015" s="914"/>
      <c r="E1015" s="682"/>
      <c r="F1015" s="682"/>
      <c r="G1015" s="682"/>
      <c r="H1015" s="915"/>
      <c r="I1015" s="916"/>
      <c r="J1015" s="916"/>
      <c r="K1015" s="917"/>
      <c r="L1015" s="917"/>
      <c r="M1015" s="917"/>
      <c r="N1015" s="917"/>
      <c r="O1015" s="917"/>
      <c r="P1015" s="917"/>
      <c r="Q1015" s="578"/>
      <c r="R1015" s="578"/>
      <c r="S1015" s="578"/>
      <c r="T1015" s="578"/>
      <c r="U1015" s="578"/>
      <c r="V1015" s="578"/>
      <c r="W1015" s="578"/>
      <c r="X1015" s="578"/>
      <c r="Y1015" s="578"/>
      <c r="Z1015" s="578"/>
    </row>
    <row r="1016" spans="1:26" ht="18.75">
      <c r="A1016" s="682"/>
      <c r="B1016" s="682"/>
      <c r="C1016" s="682"/>
      <c r="D1016" s="914"/>
      <c r="E1016" s="682"/>
      <c r="F1016" s="682"/>
      <c r="G1016" s="682"/>
      <c r="H1016" s="915"/>
      <c r="I1016" s="916"/>
      <c r="J1016" s="916"/>
      <c r="K1016" s="917"/>
      <c r="L1016" s="917"/>
      <c r="M1016" s="917"/>
      <c r="N1016" s="917"/>
      <c r="O1016" s="917"/>
      <c r="P1016" s="917"/>
      <c r="Q1016" s="578"/>
      <c r="R1016" s="578"/>
      <c r="S1016" s="578"/>
      <c r="T1016" s="578"/>
      <c r="U1016" s="578"/>
      <c r="V1016" s="578"/>
      <c r="W1016" s="578"/>
      <c r="X1016" s="578"/>
      <c r="Y1016" s="578"/>
      <c r="Z1016" s="578"/>
    </row>
    <row r="1017" spans="1:26" ht="18.75">
      <c r="A1017" s="682"/>
      <c r="B1017" s="682"/>
      <c r="C1017" s="682"/>
      <c r="D1017" s="914"/>
      <c r="E1017" s="682"/>
      <c r="F1017" s="682"/>
      <c r="G1017" s="682"/>
      <c r="H1017" s="915"/>
      <c r="I1017" s="916"/>
      <c r="J1017" s="916"/>
      <c r="K1017" s="917"/>
      <c r="L1017" s="917"/>
      <c r="M1017" s="917"/>
      <c r="N1017" s="917"/>
      <c r="O1017" s="917"/>
      <c r="P1017" s="917"/>
      <c r="Q1017" s="578"/>
      <c r="R1017" s="578"/>
      <c r="S1017" s="578"/>
      <c r="T1017" s="578"/>
      <c r="U1017" s="578"/>
      <c r="V1017" s="578"/>
      <c r="W1017" s="578"/>
      <c r="X1017" s="578"/>
      <c r="Y1017" s="578"/>
      <c r="Z1017" s="578"/>
    </row>
    <row r="1018" spans="1:26" ht="18.75">
      <c r="A1018" s="682"/>
      <c r="B1018" s="682"/>
      <c r="C1018" s="682"/>
      <c r="D1018" s="914"/>
      <c r="E1018" s="682"/>
      <c r="F1018" s="682"/>
      <c r="G1018" s="682"/>
      <c r="H1018" s="915"/>
      <c r="I1018" s="916"/>
      <c r="J1018" s="916"/>
      <c r="K1018" s="917"/>
      <c r="L1018" s="917"/>
      <c r="M1018" s="917"/>
      <c r="N1018" s="917"/>
      <c r="O1018" s="917"/>
      <c r="P1018" s="917"/>
      <c r="Q1018" s="578"/>
      <c r="R1018" s="578"/>
      <c r="S1018" s="578"/>
      <c r="T1018" s="578"/>
      <c r="U1018" s="578"/>
      <c r="V1018" s="578"/>
      <c r="W1018" s="578"/>
      <c r="X1018" s="578"/>
      <c r="Y1018" s="578"/>
      <c r="Z1018" s="578"/>
    </row>
    <row r="1019" spans="1:26" ht="18.75">
      <c r="A1019" s="682"/>
      <c r="B1019" s="682"/>
      <c r="C1019" s="682"/>
      <c r="D1019" s="914"/>
      <c r="E1019" s="682"/>
      <c r="F1019" s="682"/>
      <c r="G1019" s="682"/>
      <c r="H1019" s="915"/>
      <c r="I1019" s="916"/>
      <c r="J1019" s="916"/>
      <c r="K1019" s="917"/>
      <c r="L1019" s="917"/>
      <c r="M1019" s="917"/>
      <c r="N1019" s="917"/>
      <c r="O1019" s="917"/>
      <c r="P1019" s="917"/>
      <c r="Q1019" s="578"/>
      <c r="R1019" s="578"/>
      <c r="S1019" s="578"/>
      <c r="T1019" s="578"/>
      <c r="U1019" s="578"/>
      <c r="V1019" s="578"/>
      <c r="W1019" s="578"/>
      <c r="X1019" s="578"/>
      <c r="Y1019" s="578"/>
      <c r="Z1019" s="578"/>
    </row>
    <row r="1020" spans="1:26" ht="18.75">
      <c r="A1020" s="682"/>
      <c r="B1020" s="682"/>
      <c r="C1020" s="682"/>
      <c r="D1020" s="914"/>
      <c r="E1020" s="682"/>
      <c r="F1020" s="682"/>
      <c r="G1020" s="682"/>
      <c r="H1020" s="915"/>
      <c r="I1020" s="916"/>
      <c r="J1020" s="916"/>
      <c r="K1020" s="917"/>
      <c r="L1020" s="917"/>
      <c r="M1020" s="917"/>
      <c r="N1020" s="917"/>
      <c r="O1020" s="917"/>
      <c r="P1020" s="917"/>
      <c r="Q1020" s="578"/>
      <c r="R1020" s="578"/>
      <c r="S1020" s="578"/>
      <c r="T1020" s="578"/>
      <c r="U1020" s="578"/>
      <c r="V1020" s="578"/>
      <c r="W1020" s="578"/>
      <c r="X1020" s="578"/>
      <c r="Y1020" s="578"/>
      <c r="Z1020" s="578"/>
    </row>
    <row r="1021" spans="1:26" ht="18.75">
      <c r="A1021" s="682"/>
      <c r="B1021" s="682"/>
      <c r="C1021" s="682"/>
      <c r="D1021" s="914"/>
      <c r="E1021" s="682"/>
      <c r="F1021" s="682"/>
      <c r="G1021" s="682"/>
      <c r="H1021" s="915"/>
      <c r="I1021" s="916"/>
      <c r="J1021" s="916"/>
      <c r="K1021" s="917"/>
      <c r="L1021" s="917"/>
      <c r="M1021" s="917"/>
      <c r="N1021" s="917"/>
      <c r="O1021" s="917"/>
      <c r="P1021" s="917"/>
      <c r="Q1021" s="578"/>
      <c r="R1021" s="578"/>
      <c r="S1021" s="578"/>
      <c r="T1021" s="578"/>
      <c r="U1021" s="578"/>
      <c r="V1021" s="578"/>
      <c r="W1021" s="578"/>
      <c r="X1021" s="578"/>
      <c r="Y1021" s="578"/>
      <c r="Z1021" s="578"/>
    </row>
    <row r="1022" spans="1:26" ht="18.75">
      <c r="A1022" s="682"/>
      <c r="B1022" s="682"/>
      <c r="C1022" s="682"/>
      <c r="D1022" s="914"/>
      <c r="E1022" s="682"/>
      <c r="F1022" s="682"/>
      <c r="G1022" s="682"/>
      <c r="H1022" s="915"/>
      <c r="I1022" s="916"/>
      <c r="J1022" s="916"/>
      <c r="K1022" s="917"/>
      <c r="L1022" s="917"/>
      <c r="M1022" s="917"/>
      <c r="N1022" s="917"/>
      <c r="O1022" s="917"/>
      <c r="P1022" s="917"/>
      <c r="Q1022" s="578"/>
      <c r="R1022" s="578"/>
      <c r="S1022" s="578"/>
      <c r="T1022" s="578"/>
      <c r="U1022" s="578"/>
      <c r="V1022" s="578"/>
      <c r="W1022" s="578"/>
      <c r="X1022" s="578"/>
      <c r="Y1022" s="578"/>
      <c r="Z1022" s="578"/>
    </row>
    <row r="1023" spans="1:26" ht="18.75">
      <c r="A1023" s="682"/>
      <c r="B1023" s="682"/>
      <c r="C1023" s="682"/>
      <c r="D1023" s="914"/>
      <c r="E1023" s="682"/>
      <c r="F1023" s="682"/>
      <c r="G1023" s="682"/>
      <c r="H1023" s="915"/>
      <c r="I1023" s="916"/>
      <c r="J1023" s="916"/>
      <c r="K1023" s="917"/>
      <c r="L1023" s="917"/>
      <c r="M1023" s="917"/>
      <c r="N1023" s="917"/>
      <c r="O1023" s="917"/>
      <c r="P1023" s="917"/>
      <c r="Q1023" s="578"/>
      <c r="R1023" s="578"/>
      <c r="S1023" s="578"/>
      <c r="T1023" s="578"/>
      <c r="U1023" s="578"/>
      <c r="V1023" s="578"/>
      <c r="W1023" s="578"/>
      <c r="X1023" s="578"/>
      <c r="Y1023" s="578"/>
      <c r="Z1023" s="578"/>
    </row>
    <row r="1024" spans="1:26" ht="18.75">
      <c r="A1024" s="682"/>
      <c r="B1024" s="682"/>
      <c r="C1024" s="682"/>
      <c r="D1024" s="914"/>
      <c r="E1024" s="682"/>
      <c r="F1024" s="682"/>
      <c r="G1024" s="682"/>
      <c r="H1024" s="915"/>
      <c r="I1024" s="916"/>
      <c r="J1024" s="916"/>
      <c r="K1024" s="917"/>
      <c r="L1024" s="917"/>
      <c r="M1024" s="917"/>
      <c r="N1024" s="917"/>
      <c r="O1024" s="917"/>
      <c r="P1024" s="917"/>
      <c r="Q1024" s="578"/>
      <c r="R1024" s="578"/>
      <c r="S1024" s="578"/>
      <c r="T1024" s="578"/>
      <c r="U1024" s="578"/>
      <c r="V1024" s="578"/>
      <c r="W1024" s="578"/>
      <c r="X1024" s="578"/>
      <c r="Y1024" s="578"/>
      <c r="Z1024" s="578"/>
    </row>
    <row r="1025" spans="1:26" ht="18.75">
      <c r="A1025" s="682"/>
      <c r="B1025" s="682"/>
      <c r="C1025" s="682"/>
      <c r="D1025" s="914"/>
      <c r="E1025" s="682"/>
      <c r="F1025" s="682"/>
      <c r="G1025" s="682"/>
      <c r="H1025" s="915"/>
      <c r="I1025" s="916"/>
      <c r="J1025" s="916"/>
      <c r="K1025" s="917"/>
      <c r="L1025" s="917"/>
      <c r="M1025" s="917"/>
      <c r="N1025" s="917"/>
      <c r="O1025" s="917"/>
      <c r="P1025" s="917"/>
      <c r="Q1025" s="578"/>
      <c r="R1025" s="578"/>
      <c r="S1025" s="578"/>
      <c r="T1025" s="578"/>
      <c r="U1025" s="578"/>
      <c r="V1025" s="578"/>
      <c r="W1025" s="578"/>
      <c r="X1025" s="578"/>
      <c r="Y1025" s="578"/>
      <c r="Z1025" s="578"/>
    </row>
    <row r="1026" spans="1:26" ht="18.75">
      <c r="A1026" s="682"/>
      <c r="B1026" s="682"/>
      <c r="C1026" s="682"/>
      <c r="D1026" s="914"/>
      <c r="E1026" s="682"/>
      <c r="F1026" s="682"/>
      <c r="G1026" s="682"/>
      <c r="H1026" s="915"/>
      <c r="I1026" s="916"/>
      <c r="J1026" s="916"/>
      <c r="K1026" s="917"/>
      <c r="L1026" s="917"/>
      <c r="M1026" s="917"/>
      <c r="N1026" s="917"/>
      <c r="O1026" s="917"/>
      <c r="P1026" s="917"/>
      <c r="Q1026" s="578"/>
      <c r="R1026" s="578"/>
      <c r="S1026" s="578"/>
      <c r="T1026" s="578"/>
      <c r="U1026" s="578"/>
      <c r="V1026" s="578"/>
      <c r="W1026" s="578"/>
      <c r="X1026" s="578"/>
      <c r="Y1026" s="578"/>
      <c r="Z1026" s="578"/>
    </row>
    <row r="1027" spans="1:26" ht="18.75">
      <c r="A1027" s="682"/>
      <c r="B1027" s="682"/>
      <c r="C1027" s="682"/>
      <c r="D1027" s="914"/>
      <c r="E1027" s="682"/>
      <c r="F1027" s="682"/>
      <c r="G1027" s="682"/>
      <c r="H1027" s="915"/>
      <c r="I1027" s="916"/>
      <c r="J1027" s="916"/>
      <c r="K1027" s="917"/>
      <c r="L1027" s="917"/>
      <c r="M1027" s="917"/>
      <c r="N1027" s="917"/>
      <c r="O1027" s="917"/>
      <c r="P1027" s="917"/>
      <c r="Q1027" s="578"/>
      <c r="R1027" s="578"/>
      <c r="S1027" s="578"/>
      <c r="T1027" s="578"/>
      <c r="U1027" s="578"/>
      <c r="V1027" s="578"/>
      <c r="W1027" s="578"/>
      <c r="X1027" s="578"/>
      <c r="Y1027" s="578"/>
      <c r="Z1027" s="578"/>
    </row>
    <row r="1028" spans="1:26" ht="18.75">
      <c r="A1028" s="682"/>
      <c r="B1028" s="682"/>
      <c r="C1028" s="682"/>
      <c r="D1028" s="914"/>
      <c r="E1028" s="682"/>
      <c r="F1028" s="682"/>
      <c r="G1028" s="682"/>
      <c r="H1028" s="915"/>
      <c r="I1028" s="916"/>
      <c r="J1028" s="916"/>
      <c r="K1028" s="917"/>
      <c r="L1028" s="917"/>
      <c r="M1028" s="917"/>
      <c r="N1028" s="917"/>
      <c r="O1028" s="917"/>
      <c r="P1028" s="917"/>
      <c r="Q1028" s="578"/>
      <c r="R1028" s="578"/>
      <c r="S1028" s="578"/>
      <c r="T1028" s="578"/>
      <c r="U1028" s="578"/>
      <c r="V1028" s="578"/>
      <c r="W1028" s="578"/>
      <c r="X1028" s="578"/>
      <c r="Y1028" s="578"/>
      <c r="Z1028" s="578"/>
    </row>
    <row r="1029" spans="1:26" ht="18.75">
      <c r="A1029" s="682"/>
      <c r="B1029" s="682"/>
      <c r="C1029" s="682"/>
      <c r="D1029" s="914"/>
      <c r="E1029" s="682"/>
      <c r="F1029" s="682"/>
      <c r="G1029" s="682"/>
      <c r="H1029" s="915"/>
      <c r="I1029" s="916"/>
      <c r="J1029" s="916"/>
      <c r="K1029" s="917"/>
      <c r="L1029" s="917"/>
      <c r="M1029" s="917"/>
      <c r="N1029" s="917"/>
      <c r="O1029" s="917"/>
      <c r="P1029" s="917"/>
      <c r="Q1029" s="578"/>
      <c r="R1029" s="578"/>
      <c r="S1029" s="578"/>
      <c r="T1029" s="578"/>
      <c r="U1029" s="578"/>
      <c r="V1029" s="578"/>
      <c r="W1029" s="578"/>
      <c r="X1029" s="578"/>
      <c r="Y1029" s="578"/>
      <c r="Z1029" s="578"/>
    </row>
    <row r="1030" spans="1:26" ht="18.75">
      <c r="A1030" s="682"/>
      <c r="B1030" s="682"/>
      <c r="C1030" s="682"/>
      <c r="D1030" s="914"/>
      <c r="E1030" s="682"/>
      <c r="F1030" s="682"/>
      <c r="G1030" s="682"/>
      <c r="H1030" s="915"/>
      <c r="I1030" s="916"/>
      <c r="J1030" s="916"/>
      <c r="K1030" s="917"/>
      <c r="L1030" s="917"/>
      <c r="M1030" s="917"/>
      <c r="N1030" s="917"/>
      <c r="O1030" s="917"/>
      <c r="P1030" s="917"/>
      <c r="Q1030" s="578"/>
      <c r="R1030" s="578"/>
      <c r="S1030" s="578"/>
      <c r="T1030" s="578"/>
      <c r="U1030" s="578"/>
      <c r="V1030" s="578"/>
      <c r="W1030" s="578"/>
      <c r="X1030" s="578"/>
      <c r="Y1030" s="578"/>
      <c r="Z1030" s="578"/>
    </row>
    <row r="1031" spans="1:26" ht="18.75">
      <c r="A1031" s="682"/>
      <c r="B1031" s="682"/>
      <c r="C1031" s="682"/>
      <c r="D1031" s="914"/>
      <c r="E1031" s="682"/>
      <c r="F1031" s="682"/>
      <c r="G1031" s="682"/>
      <c r="H1031" s="915"/>
      <c r="I1031" s="916"/>
      <c r="J1031" s="916"/>
      <c r="K1031" s="917"/>
      <c r="L1031" s="917"/>
      <c r="M1031" s="917"/>
      <c r="N1031" s="917"/>
      <c r="O1031" s="917"/>
      <c r="P1031" s="917"/>
      <c r="Q1031" s="578"/>
      <c r="R1031" s="578"/>
      <c r="S1031" s="578"/>
      <c r="T1031" s="578"/>
      <c r="U1031" s="578"/>
      <c r="V1031" s="578"/>
      <c r="W1031" s="578"/>
      <c r="X1031" s="578"/>
      <c r="Y1031" s="578"/>
      <c r="Z1031" s="578"/>
    </row>
    <row r="1032" spans="1:26" ht="18.75">
      <c r="A1032" s="682"/>
      <c r="B1032" s="682"/>
      <c r="C1032" s="682"/>
      <c r="D1032" s="914"/>
      <c r="E1032" s="682"/>
      <c r="F1032" s="682"/>
      <c r="G1032" s="682"/>
      <c r="H1032" s="915"/>
      <c r="I1032" s="916"/>
      <c r="J1032" s="916"/>
      <c r="K1032" s="917"/>
      <c r="L1032" s="917"/>
      <c r="M1032" s="917"/>
      <c r="N1032" s="917"/>
      <c r="O1032" s="917"/>
      <c r="P1032" s="917"/>
      <c r="Q1032" s="578"/>
      <c r="R1032" s="578"/>
      <c r="S1032" s="578"/>
      <c r="T1032" s="578"/>
      <c r="U1032" s="578"/>
      <c r="V1032" s="578"/>
      <c r="W1032" s="578"/>
      <c r="X1032" s="578"/>
      <c r="Y1032" s="578"/>
      <c r="Z1032" s="578"/>
    </row>
    <row r="1033" spans="1:26" ht="18.75">
      <c r="A1033" s="682"/>
      <c r="B1033" s="682"/>
      <c r="C1033" s="682"/>
      <c r="D1033" s="914"/>
      <c r="E1033" s="682"/>
      <c r="F1033" s="682"/>
      <c r="G1033" s="682"/>
      <c r="H1033" s="915"/>
      <c r="I1033" s="916"/>
      <c r="J1033" s="916"/>
      <c r="K1033" s="917"/>
      <c r="L1033" s="917"/>
      <c r="M1033" s="917"/>
      <c r="N1033" s="917"/>
      <c r="O1033" s="917"/>
      <c r="P1033" s="917"/>
      <c r="Q1033" s="578"/>
      <c r="R1033" s="578"/>
      <c r="S1033" s="578"/>
      <c r="T1033" s="578"/>
      <c r="U1033" s="578"/>
      <c r="V1033" s="578"/>
      <c r="W1033" s="578"/>
      <c r="X1033" s="578"/>
      <c r="Y1033" s="578"/>
      <c r="Z1033" s="578"/>
    </row>
    <row r="1034" spans="1:26" ht="18.75">
      <c r="A1034" s="682"/>
      <c r="B1034" s="682"/>
      <c r="C1034" s="682"/>
      <c r="D1034" s="914"/>
      <c r="E1034" s="682"/>
      <c r="F1034" s="682"/>
      <c r="G1034" s="682"/>
      <c r="H1034" s="915"/>
      <c r="I1034" s="916"/>
      <c r="J1034" s="916"/>
      <c r="K1034" s="917"/>
      <c r="L1034" s="917"/>
      <c r="M1034" s="917"/>
      <c r="N1034" s="917"/>
      <c r="O1034" s="917"/>
      <c r="P1034" s="917"/>
      <c r="Q1034" s="578"/>
      <c r="R1034" s="578"/>
      <c r="S1034" s="578"/>
      <c r="T1034" s="578"/>
      <c r="U1034" s="578"/>
      <c r="V1034" s="578"/>
      <c r="W1034" s="578"/>
      <c r="X1034" s="578"/>
      <c r="Y1034" s="578"/>
      <c r="Z1034" s="578"/>
    </row>
    <row r="1035" spans="1:26" ht="18.75">
      <c r="A1035" s="682"/>
      <c r="B1035" s="682"/>
      <c r="C1035" s="682"/>
      <c r="D1035" s="914"/>
      <c r="E1035" s="682"/>
      <c r="F1035" s="682"/>
      <c r="G1035" s="682"/>
      <c r="H1035" s="915"/>
      <c r="I1035" s="916"/>
      <c r="J1035" s="916"/>
      <c r="K1035" s="917"/>
      <c r="L1035" s="917"/>
      <c r="M1035" s="917"/>
      <c r="N1035" s="917"/>
      <c r="O1035" s="917"/>
      <c r="P1035" s="917"/>
      <c r="Q1035" s="578"/>
      <c r="R1035" s="578"/>
      <c r="S1035" s="578"/>
      <c r="T1035" s="578"/>
      <c r="U1035" s="578"/>
      <c r="V1035" s="578"/>
      <c r="W1035" s="578"/>
      <c r="X1035" s="578"/>
      <c r="Y1035" s="578"/>
      <c r="Z1035" s="578"/>
    </row>
    <row r="1036" spans="1:26" ht="18.75">
      <c r="A1036" s="682"/>
      <c r="B1036" s="682"/>
      <c r="C1036" s="682"/>
      <c r="D1036" s="914"/>
      <c r="E1036" s="682"/>
      <c r="F1036" s="682"/>
      <c r="G1036" s="682"/>
      <c r="H1036" s="915"/>
      <c r="I1036" s="916"/>
      <c r="J1036" s="916"/>
      <c r="K1036" s="917"/>
      <c r="L1036" s="917"/>
      <c r="M1036" s="917"/>
      <c r="N1036" s="917"/>
      <c r="O1036" s="917"/>
      <c r="P1036" s="917"/>
      <c r="Q1036" s="578"/>
      <c r="R1036" s="578"/>
      <c r="S1036" s="578"/>
      <c r="T1036" s="578"/>
      <c r="U1036" s="578"/>
      <c r="V1036" s="578"/>
      <c r="W1036" s="578"/>
      <c r="X1036" s="578"/>
      <c r="Y1036" s="578"/>
      <c r="Z1036" s="578"/>
    </row>
    <row r="1037" spans="1:26" ht="18.75">
      <c r="A1037" s="682"/>
      <c r="B1037" s="682"/>
      <c r="C1037" s="682"/>
      <c r="D1037" s="914"/>
      <c r="E1037" s="682"/>
      <c r="F1037" s="682"/>
      <c r="G1037" s="682"/>
      <c r="H1037" s="915"/>
      <c r="I1037" s="916"/>
      <c r="J1037" s="916"/>
      <c r="K1037" s="917"/>
      <c r="L1037" s="917"/>
      <c r="M1037" s="917"/>
      <c r="N1037" s="917"/>
      <c r="O1037" s="917"/>
      <c r="P1037" s="917"/>
      <c r="Q1037" s="578"/>
      <c r="R1037" s="578"/>
      <c r="S1037" s="578"/>
      <c r="T1037" s="578"/>
      <c r="U1037" s="578"/>
      <c r="V1037" s="578"/>
      <c r="W1037" s="578"/>
      <c r="X1037" s="578"/>
      <c r="Y1037" s="578"/>
      <c r="Z1037" s="578"/>
    </row>
    <row r="1038" spans="1:26" ht="18.75">
      <c r="A1038" s="682"/>
      <c r="B1038" s="682"/>
      <c r="C1038" s="682"/>
      <c r="D1038" s="914"/>
      <c r="E1038" s="682"/>
      <c r="F1038" s="682"/>
      <c r="G1038" s="682"/>
      <c r="H1038" s="915"/>
      <c r="I1038" s="916"/>
      <c r="J1038" s="916"/>
      <c r="K1038" s="917"/>
      <c r="L1038" s="917"/>
      <c r="M1038" s="917"/>
      <c r="N1038" s="917"/>
      <c r="O1038" s="917"/>
      <c r="P1038" s="917"/>
      <c r="Q1038" s="578"/>
      <c r="R1038" s="578"/>
      <c r="S1038" s="578"/>
      <c r="T1038" s="578"/>
      <c r="U1038" s="578"/>
      <c r="V1038" s="578"/>
      <c r="W1038" s="578"/>
      <c r="X1038" s="578"/>
      <c r="Y1038" s="578"/>
      <c r="Z1038" s="578"/>
    </row>
    <row r="1039" spans="1:26" ht="18.75">
      <c r="A1039" s="682"/>
      <c r="B1039" s="682"/>
      <c r="C1039" s="682"/>
      <c r="D1039" s="914"/>
      <c r="E1039" s="682"/>
      <c r="F1039" s="682"/>
      <c r="G1039" s="682"/>
      <c r="H1039" s="915"/>
      <c r="I1039" s="916"/>
      <c r="J1039" s="916"/>
      <c r="K1039" s="917"/>
      <c r="L1039" s="917"/>
      <c r="M1039" s="917"/>
      <c r="N1039" s="917"/>
      <c r="O1039" s="917"/>
      <c r="P1039" s="917"/>
      <c r="Q1039" s="578"/>
      <c r="R1039" s="578"/>
      <c r="S1039" s="578"/>
      <c r="T1039" s="578"/>
      <c r="U1039" s="578"/>
      <c r="V1039" s="578"/>
      <c r="W1039" s="578"/>
      <c r="X1039" s="578"/>
      <c r="Y1039" s="578"/>
      <c r="Z1039" s="578"/>
    </row>
    <row r="1040" spans="1:26" ht="18.75">
      <c r="A1040" s="682"/>
      <c r="B1040" s="682"/>
      <c r="C1040" s="682"/>
      <c r="D1040" s="914"/>
      <c r="E1040" s="682"/>
      <c r="F1040" s="682"/>
      <c r="G1040" s="682"/>
      <c r="H1040" s="915"/>
      <c r="I1040" s="916"/>
      <c r="J1040" s="916"/>
      <c r="K1040" s="917"/>
      <c r="L1040" s="917"/>
      <c r="M1040" s="917"/>
      <c r="N1040" s="917"/>
      <c r="O1040" s="917"/>
      <c r="P1040" s="917"/>
      <c r="Q1040" s="578"/>
      <c r="R1040" s="578"/>
      <c r="S1040" s="578"/>
      <c r="T1040" s="578"/>
      <c r="U1040" s="578"/>
      <c r="V1040" s="578"/>
      <c r="W1040" s="578"/>
      <c r="X1040" s="578"/>
      <c r="Y1040" s="578"/>
      <c r="Z1040" s="578"/>
    </row>
    <row r="1041" spans="1:26" ht="18.75">
      <c r="A1041" s="682"/>
      <c r="B1041" s="682"/>
      <c r="C1041" s="682"/>
      <c r="D1041" s="914"/>
      <c r="E1041" s="682"/>
      <c r="F1041" s="682"/>
      <c r="G1041" s="682"/>
      <c r="H1041" s="915"/>
      <c r="I1041" s="916"/>
      <c r="J1041" s="916"/>
      <c r="K1041" s="917"/>
      <c r="L1041" s="917"/>
      <c r="M1041" s="917"/>
      <c r="N1041" s="917"/>
      <c r="O1041" s="917"/>
      <c r="P1041" s="917"/>
      <c r="Q1041" s="578"/>
      <c r="R1041" s="578"/>
      <c r="S1041" s="578"/>
      <c r="T1041" s="578"/>
      <c r="U1041" s="578"/>
      <c r="V1041" s="578"/>
      <c r="W1041" s="578"/>
      <c r="X1041" s="578"/>
      <c r="Y1041" s="578"/>
      <c r="Z1041" s="578"/>
    </row>
    <row r="1042" spans="1:26" ht="18.75">
      <c r="A1042" s="682"/>
      <c r="B1042" s="682"/>
      <c r="C1042" s="682"/>
      <c r="D1042" s="914"/>
      <c r="E1042" s="682"/>
      <c r="F1042" s="682"/>
      <c r="G1042" s="682"/>
      <c r="H1042" s="915"/>
      <c r="I1042" s="916"/>
      <c r="J1042" s="916"/>
      <c r="K1042" s="917"/>
      <c r="L1042" s="917"/>
      <c r="M1042" s="917"/>
      <c r="N1042" s="917"/>
      <c r="O1042" s="917"/>
      <c r="P1042" s="917"/>
      <c r="Q1042" s="578"/>
      <c r="R1042" s="578"/>
      <c r="S1042" s="578"/>
      <c r="T1042" s="578"/>
      <c r="U1042" s="578"/>
      <c r="V1042" s="578"/>
      <c r="W1042" s="578"/>
      <c r="X1042" s="578"/>
      <c r="Y1042" s="578"/>
      <c r="Z1042" s="578"/>
    </row>
    <row r="1043" spans="1:26" ht="18.75">
      <c r="A1043" s="682"/>
      <c r="B1043" s="682"/>
      <c r="C1043" s="682"/>
      <c r="D1043" s="914"/>
      <c r="E1043" s="682"/>
      <c r="F1043" s="682"/>
      <c r="G1043" s="682"/>
      <c r="H1043" s="915"/>
      <c r="I1043" s="916"/>
      <c r="J1043" s="916"/>
      <c r="K1043" s="917"/>
      <c r="L1043" s="917"/>
      <c r="M1043" s="917"/>
      <c r="N1043" s="917"/>
      <c r="O1043" s="917"/>
      <c r="P1043" s="917"/>
      <c r="Q1043" s="578"/>
      <c r="R1043" s="578"/>
      <c r="S1043" s="578"/>
      <c r="T1043" s="578"/>
      <c r="U1043" s="578"/>
      <c r="V1043" s="578"/>
      <c r="W1043" s="578"/>
      <c r="X1043" s="578"/>
      <c r="Y1043" s="578"/>
      <c r="Z1043" s="578"/>
    </row>
    <row r="1044" spans="1:26" ht="18.75">
      <c r="A1044" s="682"/>
      <c r="B1044" s="682"/>
      <c r="C1044" s="682"/>
      <c r="D1044" s="914"/>
      <c r="E1044" s="682"/>
      <c r="F1044" s="682"/>
      <c r="G1044" s="682"/>
      <c r="H1044" s="915"/>
      <c r="I1044" s="916"/>
      <c r="J1044" s="916"/>
      <c r="K1044" s="917"/>
      <c r="L1044" s="917"/>
      <c r="M1044" s="917"/>
      <c r="N1044" s="917"/>
      <c r="O1044" s="917"/>
      <c r="P1044" s="917"/>
      <c r="Q1044" s="578"/>
      <c r="R1044" s="578"/>
      <c r="S1044" s="578"/>
      <c r="T1044" s="578"/>
      <c r="U1044" s="578"/>
      <c r="V1044" s="578"/>
      <c r="W1044" s="578"/>
      <c r="X1044" s="578"/>
      <c r="Y1044" s="578"/>
      <c r="Z1044" s="578"/>
    </row>
    <row r="1045" spans="1:26" ht="18.75">
      <c r="A1045" s="682"/>
      <c r="B1045" s="682"/>
      <c r="C1045" s="682"/>
      <c r="D1045" s="914"/>
      <c r="E1045" s="682"/>
      <c r="F1045" s="682"/>
      <c r="G1045" s="682"/>
      <c r="H1045" s="915"/>
      <c r="I1045" s="916"/>
      <c r="J1045" s="916"/>
      <c r="K1045" s="917"/>
      <c r="L1045" s="917"/>
      <c r="M1045" s="917"/>
      <c r="N1045" s="917"/>
      <c r="O1045" s="917"/>
      <c r="P1045" s="917"/>
      <c r="Q1045" s="578"/>
      <c r="R1045" s="578"/>
      <c r="S1045" s="578"/>
      <c r="T1045" s="578"/>
      <c r="U1045" s="578"/>
      <c r="V1045" s="578"/>
      <c r="W1045" s="578"/>
      <c r="X1045" s="578"/>
      <c r="Y1045" s="578"/>
      <c r="Z1045" s="578"/>
    </row>
    <row r="1046" spans="1:26" ht="18.75">
      <c r="A1046" s="682"/>
      <c r="B1046" s="682"/>
      <c r="C1046" s="682"/>
      <c r="D1046" s="914"/>
      <c r="E1046" s="682"/>
      <c r="F1046" s="682"/>
      <c r="G1046" s="682"/>
      <c r="H1046" s="915"/>
      <c r="I1046" s="916"/>
      <c r="J1046" s="916"/>
      <c r="K1046" s="917"/>
      <c r="L1046" s="917"/>
      <c r="M1046" s="917"/>
      <c r="N1046" s="917"/>
      <c r="O1046" s="917"/>
      <c r="P1046" s="917"/>
      <c r="Q1046" s="578"/>
      <c r="R1046" s="578"/>
      <c r="S1046" s="578"/>
      <c r="T1046" s="578"/>
      <c r="U1046" s="578"/>
      <c r="V1046" s="578"/>
      <c r="W1046" s="578"/>
      <c r="X1046" s="578"/>
      <c r="Y1046" s="578"/>
      <c r="Z1046" s="578"/>
    </row>
    <row r="1047" spans="1:26" ht="18.75">
      <c r="A1047" s="682"/>
      <c r="B1047" s="682"/>
      <c r="C1047" s="682"/>
      <c r="D1047" s="914"/>
      <c r="E1047" s="682"/>
      <c r="F1047" s="682"/>
      <c r="G1047" s="682"/>
      <c r="H1047" s="915"/>
      <c r="I1047" s="916"/>
      <c r="J1047" s="916"/>
      <c r="K1047" s="917"/>
      <c r="L1047" s="917"/>
      <c r="M1047" s="917"/>
      <c r="N1047" s="917"/>
      <c r="O1047" s="917"/>
      <c r="P1047" s="917"/>
      <c r="Q1047" s="578"/>
      <c r="R1047" s="578"/>
      <c r="S1047" s="578"/>
      <c r="T1047" s="578"/>
      <c r="U1047" s="578"/>
      <c r="V1047" s="578"/>
      <c r="W1047" s="578"/>
      <c r="X1047" s="578"/>
      <c r="Y1047" s="578"/>
      <c r="Z1047" s="578"/>
    </row>
    <row r="1048" spans="1:26" ht="18.75">
      <c r="A1048" s="682"/>
      <c r="B1048" s="682"/>
      <c r="C1048" s="682"/>
      <c r="D1048" s="914"/>
      <c r="E1048" s="682"/>
      <c r="F1048" s="682"/>
      <c r="G1048" s="682"/>
      <c r="H1048" s="915"/>
      <c r="I1048" s="916"/>
      <c r="J1048" s="916"/>
      <c r="K1048" s="917"/>
      <c r="L1048" s="917"/>
      <c r="M1048" s="917"/>
      <c r="N1048" s="917"/>
      <c r="O1048" s="917"/>
      <c r="P1048" s="917"/>
      <c r="Q1048" s="578"/>
      <c r="R1048" s="578"/>
      <c r="S1048" s="578"/>
      <c r="T1048" s="578"/>
      <c r="U1048" s="578"/>
      <c r="V1048" s="578"/>
      <c r="W1048" s="578"/>
      <c r="X1048" s="578"/>
      <c r="Y1048" s="578"/>
      <c r="Z1048" s="578"/>
    </row>
    <row r="1049" spans="1:26" ht="18.75">
      <c r="A1049" s="682"/>
      <c r="B1049" s="682"/>
      <c r="C1049" s="682"/>
      <c r="D1049" s="914"/>
      <c r="E1049" s="682"/>
      <c r="F1049" s="682"/>
      <c r="G1049" s="682"/>
      <c r="H1049" s="915"/>
      <c r="I1049" s="916"/>
      <c r="J1049" s="916"/>
      <c r="K1049" s="917"/>
      <c r="L1049" s="917"/>
      <c r="M1049" s="917"/>
      <c r="N1049" s="917"/>
      <c r="O1049" s="917"/>
      <c r="P1049" s="917"/>
      <c r="Q1049" s="578"/>
      <c r="R1049" s="578"/>
      <c r="S1049" s="578"/>
      <c r="T1049" s="578"/>
      <c r="U1049" s="578"/>
      <c r="V1049" s="578"/>
      <c r="W1049" s="578"/>
      <c r="X1049" s="578"/>
      <c r="Y1049" s="578"/>
      <c r="Z1049" s="578"/>
    </row>
    <row r="1050" spans="1:26" ht="18.75">
      <c r="A1050" s="682"/>
      <c r="B1050" s="682"/>
      <c r="C1050" s="682"/>
      <c r="D1050" s="914"/>
      <c r="E1050" s="682"/>
      <c r="F1050" s="682"/>
      <c r="G1050" s="682"/>
      <c r="H1050" s="915"/>
      <c r="I1050" s="916"/>
      <c r="J1050" s="916"/>
      <c r="K1050" s="917"/>
      <c r="L1050" s="917"/>
      <c r="M1050" s="917"/>
      <c r="N1050" s="917"/>
      <c r="O1050" s="917"/>
      <c r="P1050" s="917"/>
      <c r="Q1050" s="578"/>
      <c r="R1050" s="578"/>
      <c r="S1050" s="578"/>
      <c r="T1050" s="578"/>
      <c r="U1050" s="578"/>
      <c r="V1050" s="578"/>
      <c r="W1050" s="578"/>
      <c r="X1050" s="578"/>
      <c r="Y1050" s="578"/>
      <c r="Z1050" s="578"/>
    </row>
    <row r="1051" spans="1:26" ht="18.75">
      <c r="A1051" s="682"/>
      <c r="B1051" s="682"/>
      <c r="C1051" s="682"/>
      <c r="D1051" s="914"/>
      <c r="E1051" s="682"/>
      <c r="F1051" s="682"/>
      <c r="G1051" s="682"/>
      <c r="H1051" s="915"/>
      <c r="I1051" s="916"/>
      <c r="J1051" s="916"/>
      <c r="K1051" s="917"/>
      <c r="L1051" s="917"/>
      <c r="M1051" s="917"/>
      <c r="N1051" s="917"/>
      <c r="O1051" s="917"/>
      <c r="P1051" s="917"/>
      <c r="Q1051" s="578"/>
      <c r="R1051" s="578"/>
      <c r="S1051" s="578"/>
      <c r="T1051" s="578"/>
      <c r="U1051" s="578"/>
      <c r="V1051" s="578"/>
      <c r="W1051" s="578"/>
      <c r="X1051" s="578"/>
      <c r="Y1051" s="578"/>
      <c r="Z1051" s="578"/>
    </row>
    <row r="1052" spans="1:26" ht="18.75">
      <c r="A1052" s="682"/>
      <c r="B1052" s="682"/>
      <c r="C1052" s="682"/>
      <c r="D1052" s="914"/>
      <c r="E1052" s="682"/>
      <c r="F1052" s="682"/>
      <c r="G1052" s="682"/>
      <c r="H1052" s="915"/>
      <c r="I1052" s="916"/>
      <c r="J1052" s="916"/>
      <c r="K1052" s="917"/>
      <c r="L1052" s="917"/>
      <c r="M1052" s="917"/>
      <c r="N1052" s="917"/>
      <c r="O1052" s="917"/>
      <c r="P1052" s="917"/>
      <c r="Q1052" s="578"/>
      <c r="R1052" s="578"/>
      <c r="S1052" s="578"/>
      <c r="T1052" s="578"/>
      <c r="U1052" s="578"/>
      <c r="V1052" s="578"/>
      <c r="W1052" s="578"/>
      <c r="X1052" s="578"/>
      <c r="Y1052" s="578"/>
      <c r="Z1052" s="578"/>
    </row>
    <row r="1053" spans="1:26" ht="18.75">
      <c r="A1053" s="682"/>
      <c r="B1053" s="682"/>
      <c r="C1053" s="682"/>
      <c r="D1053" s="914"/>
      <c r="E1053" s="682"/>
      <c r="F1053" s="682"/>
      <c r="G1053" s="682"/>
      <c r="H1053" s="915"/>
      <c r="I1053" s="916"/>
      <c r="J1053" s="916"/>
      <c r="K1053" s="917"/>
      <c r="L1053" s="917"/>
      <c r="M1053" s="917"/>
      <c r="N1053" s="917"/>
      <c r="O1053" s="917"/>
      <c r="P1053" s="917"/>
      <c r="Q1053" s="578"/>
      <c r="R1053" s="578"/>
      <c r="S1053" s="578"/>
      <c r="T1053" s="578"/>
      <c r="U1053" s="578"/>
      <c r="V1053" s="578"/>
      <c r="W1053" s="578"/>
      <c r="X1053" s="578"/>
      <c r="Y1053" s="578"/>
      <c r="Z1053" s="578"/>
    </row>
    <row r="1054" spans="1:26" ht="18.75">
      <c r="A1054" s="682"/>
      <c r="B1054" s="682"/>
      <c r="C1054" s="682"/>
      <c r="D1054" s="914"/>
      <c r="E1054" s="682"/>
      <c r="F1054" s="682"/>
      <c r="G1054" s="682"/>
      <c r="H1054" s="915"/>
      <c r="I1054" s="916"/>
      <c r="J1054" s="916"/>
      <c r="K1054" s="917"/>
      <c r="L1054" s="917"/>
      <c r="M1054" s="917"/>
      <c r="N1054" s="917"/>
      <c r="O1054" s="917"/>
      <c r="P1054" s="917"/>
      <c r="Q1054" s="578"/>
      <c r="R1054" s="578"/>
      <c r="S1054" s="578"/>
      <c r="T1054" s="578"/>
      <c r="U1054" s="578"/>
      <c r="V1054" s="578"/>
      <c r="W1054" s="578"/>
      <c r="X1054" s="578"/>
      <c r="Y1054" s="578"/>
      <c r="Z1054" s="578"/>
    </row>
    <row r="1055" spans="1:26" ht="18.75">
      <c r="A1055" s="682"/>
      <c r="B1055" s="682"/>
      <c r="C1055" s="682"/>
      <c r="D1055" s="914"/>
      <c r="E1055" s="682"/>
      <c r="F1055" s="682"/>
      <c r="G1055" s="682"/>
      <c r="H1055" s="915"/>
      <c r="I1055" s="916"/>
      <c r="J1055" s="916"/>
      <c r="K1055" s="917"/>
      <c r="L1055" s="917"/>
      <c r="M1055" s="917"/>
      <c r="N1055" s="917"/>
      <c r="O1055" s="917"/>
      <c r="P1055" s="917"/>
      <c r="Q1055" s="578"/>
      <c r="R1055" s="578"/>
      <c r="S1055" s="578"/>
      <c r="T1055" s="578"/>
      <c r="U1055" s="578"/>
      <c r="V1055" s="578"/>
      <c r="W1055" s="578"/>
      <c r="X1055" s="578"/>
      <c r="Y1055" s="578"/>
      <c r="Z1055" s="578"/>
    </row>
    <row r="1056" spans="1:26" ht="18.75">
      <c r="A1056" s="682"/>
      <c r="B1056" s="682"/>
      <c r="C1056" s="682"/>
      <c r="D1056" s="914"/>
      <c r="E1056" s="682"/>
      <c r="F1056" s="682"/>
      <c r="G1056" s="682"/>
      <c r="H1056" s="915"/>
      <c r="I1056" s="916"/>
      <c r="J1056" s="916"/>
      <c r="K1056" s="917"/>
      <c r="L1056" s="917"/>
      <c r="M1056" s="917"/>
      <c r="N1056" s="917"/>
      <c r="O1056" s="917"/>
      <c r="P1056" s="917"/>
      <c r="Q1056" s="578"/>
      <c r="R1056" s="578"/>
      <c r="S1056" s="578"/>
      <c r="T1056" s="578"/>
      <c r="U1056" s="578"/>
      <c r="V1056" s="578"/>
      <c r="W1056" s="578"/>
      <c r="X1056" s="578"/>
      <c r="Y1056" s="578"/>
      <c r="Z1056" s="578"/>
    </row>
    <row r="1057" spans="1:26" ht="18.75">
      <c r="A1057" s="682"/>
      <c r="B1057" s="682"/>
      <c r="C1057" s="682"/>
      <c r="D1057" s="914"/>
      <c r="E1057" s="682"/>
      <c r="F1057" s="682"/>
      <c r="G1057" s="682"/>
      <c r="H1057" s="915"/>
      <c r="I1057" s="916"/>
      <c r="J1057" s="916"/>
      <c r="K1057" s="917"/>
      <c r="L1057" s="917"/>
      <c r="M1057" s="917"/>
      <c r="N1057" s="917"/>
      <c r="O1057" s="917"/>
      <c r="P1057" s="917"/>
      <c r="Q1057" s="578"/>
      <c r="R1057" s="578"/>
      <c r="S1057" s="578"/>
      <c r="T1057" s="578"/>
      <c r="U1057" s="578"/>
      <c r="V1057" s="578"/>
      <c r="W1057" s="578"/>
      <c r="X1057" s="578"/>
      <c r="Y1057" s="578"/>
      <c r="Z1057" s="578"/>
    </row>
    <row r="1058" spans="1:26" ht="18.75">
      <c r="A1058" s="682"/>
      <c r="B1058" s="682"/>
      <c r="C1058" s="682"/>
      <c r="D1058" s="914"/>
      <c r="E1058" s="682"/>
      <c r="F1058" s="682"/>
      <c r="G1058" s="682"/>
      <c r="H1058" s="915"/>
      <c r="I1058" s="916"/>
      <c r="J1058" s="916"/>
      <c r="K1058" s="917"/>
      <c r="L1058" s="917"/>
      <c r="M1058" s="917"/>
      <c r="N1058" s="917"/>
      <c r="O1058" s="917"/>
      <c r="P1058" s="917"/>
      <c r="Q1058" s="578"/>
      <c r="R1058" s="578"/>
      <c r="S1058" s="578"/>
      <c r="T1058" s="578"/>
      <c r="U1058" s="578"/>
      <c r="V1058" s="578"/>
      <c r="W1058" s="578"/>
      <c r="X1058" s="578"/>
      <c r="Y1058" s="578"/>
      <c r="Z1058" s="578"/>
    </row>
    <row r="1059" spans="1:26" ht="18.75">
      <c r="A1059" s="682"/>
      <c r="B1059" s="682"/>
      <c r="C1059" s="682"/>
      <c r="D1059" s="914"/>
      <c r="E1059" s="682"/>
      <c r="F1059" s="682"/>
      <c r="G1059" s="682"/>
      <c r="H1059" s="915"/>
      <c r="I1059" s="916"/>
      <c r="J1059" s="916"/>
      <c r="K1059" s="917"/>
      <c r="L1059" s="917"/>
      <c r="M1059" s="917"/>
      <c r="N1059" s="917"/>
      <c r="O1059" s="917"/>
      <c r="P1059" s="917"/>
      <c r="Q1059" s="578"/>
      <c r="R1059" s="578"/>
      <c r="S1059" s="578"/>
      <c r="T1059" s="578"/>
      <c r="U1059" s="578"/>
      <c r="V1059" s="578"/>
      <c r="W1059" s="578"/>
      <c r="X1059" s="578"/>
      <c r="Y1059" s="578"/>
      <c r="Z1059" s="578"/>
    </row>
    <row r="1060" spans="1:26" ht="18.75">
      <c r="A1060" s="682"/>
      <c r="B1060" s="682"/>
      <c r="C1060" s="682"/>
      <c r="D1060" s="914"/>
      <c r="E1060" s="682"/>
      <c r="F1060" s="682"/>
      <c r="G1060" s="682"/>
      <c r="H1060" s="915"/>
      <c r="I1060" s="916"/>
      <c r="J1060" s="916"/>
      <c r="K1060" s="917"/>
      <c r="L1060" s="917"/>
      <c r="M1060" s="917"/>
      <c r="N1060" s="917"/>
      <c r="O1060" s="917"/>
      <c r="P1060" s="917"/>
      <c r="Q1060" s="578"/>
      <c r="R1060" s="578"/>
      <c r="S1060" s="578"/>
      <c r="T1060" s="578"/>
      <c r="U1060" s="578"/>
      <c r="V1060" s="578"/>
      <c r="W1060" s="578"/>
      <c r="X1060" s="578"/>
      <c r="Y1060" s="578"/>
      <c r="Z1060" s="578"/>
    </row>
    <row r="1061" spans="1:26" ht="18.75">
      <c r="A1061" s="682"/>
      <c r="B1061" s="682"/>
      <c r="C1061" s="682"/>
      <c r="D1061" s="914"/>
      <c r="E1061" s="682"/>
      <c r="F1061" s="682"/>
      <c r="G1061" s="682"/>
      <c r="H1061" s="915"/>
      <c r="I1061" s="916"/>
      <c r="J1061" s="916"/>
      <c r="K1061" s="917"/>
      <c r="L1061" s="917"/>
      <c r="M1061" s="917"/>
      <c r="N1061" s="917"/>
      <c r="O1061" s="917"/>
      <c r="P1061" s="917"/>
      <c r="Q1061" s="578"/>
      <c r="R1061" s="578"/>
      <c r="S1061" s="578"/>
      <c r="T1061" s="578"/>
      <c r="U1061" s="578"/>
      <c r="V1061" s="578"/>
      <c r="W1061" s="578"/>
      <c r="X1061" s="578"/>
      <c r="Y1061" s="578"/>
      <c r="Z1061" s="578"/>
    </row>
    <row r="1062" spans="1:26" ht="18.75">
      <c r="A1062" s="682"/>
      <c r="B1062" s="682"/>
      <c r="C1062" s="682"/>
      <c r="D1062" s="914"/>
      <c r="E1062" s="682"/>
      <c r="F1062" s="682"/>
      <c r="G1062" s="682"/>
      <c r="H1062" s="915"/>
      <c r="I1062" s="916"/>
      <c r="J1062" s="916"/>
      <c r="K1062" s="917"/>
      <c r="L1062" s="917"/>
      <c r="M1062" s="917"/>
      <c r="N1062" s="917"/>
      <c r="O1062" s="917"/>
      <c r="P1062" s="917"/>
      <c r="Q1062" s="578"/>
      <c r="R1062" s="578"/>
      <c r="S1062" s="578"/>
      <c r="T1062" s="578"/>
      <c r="U1062" s="578"/>
      <c r="V1062" s="578"/>
      <c r="W1062" s="578"/>
      <c r="X1062" s="578"/>
      <c r="Y1062" s="578"/>
      <c r="Z1062" s="578"/>
    </row>
    <row r="1063" spans="1:26" ht="18.75">
      <c r="A1063" s="682"/>
      <c r="B1063" s="682"/>
      <c r="C1063" s="682"/>
      <c r="D1063" s="914"/>
      <c r="E1063" s="682"/>
      <c r="F1063" s="682"/>
      <c r="G1063" s="682"/>
      <c r="H1063" s="915"/>
      <c r="I1063" s="916"/>
      <c r="J1063" s="916"/>
      <c r="K1063" s="917"/>
      <c r="L1063" s="917"/>
      <c r="M1063" s="917"/>
      <c r="N1063" s="917"/>
      <c r="O1063" s="917"/>
      <c r="P1063" s="917"/>
      <c r="Q1063" s="578"/>
      <c r="R1063" s="578"/>
      <c r="S1063" s="578"/>
      <c r="T1063" s="578"/>
      <c r="U1063" s="578"/>
      <c r="V1063" s="578"/>
      <c r="W1063" s="578"/>
      <c r="X1063" s="578"/>
      <c r="Y1063" s="578"/>
      <c r="Z1063" s="578"/>
    </row>
    <row r="1064" spans="1:26" ht="18.75">
      <c r="A1064" s="682"/>
      <c r="B1064" s="682"/>
      <c r="C1064" s="682"/>
      <c r="D1064" s="914"/>
      <c r="E1064" s="682"/>
      <c r="F1064" s="682"/>
      <c r="G1064" s="682"/>
      <c r="H1064" s="915"/>
      <c r="I1064" s="916"/>
      <c r="J1064" s="916"/>
      <c r="K1064" s="917"/>
      <c r="L1064" s="917"/>
      <c r="M1064" s="917"/>
      <c r="N1064" s="917"/>
      <c r="O1064" s="917"/>
      <c r="P1064" s="917"/>
      <c r="Q1064" s="578"/>
      <c r="R1064" s="578"/>
      <c r="S1064" s="578"/>
      <c r="T1064" s="578"/>
      <c r="U1064" s="578"/>
      <c r="V1064" s="578"/>
      <c r="W1064" s="578"/>
      <c r="X1064" s="578"/>
      <c r="Y1064" s="578"/>
      <c r="Z1064" s="578"/>
    </row>
    <row r="1065" spans="1:26" ht="18.75">
      <c r="A1065" s="682"/>
      <c r="B1065" s="682"/>
      <c r="C1065" s="682"/>
      <c r="D1065" s="914"/>
      <c r="E1065" s="682"/>
      <c r="F1065" s="682"/>
      <c r="G1065" s="682"/>
      <c r="H1065" s="915"/>
      <c r="I1065" s="916"/>
      <c r="J1065" s="916"/>
      <c r="K1065" s="917"/>
      <c r="L1065" s="917"/>
      <c r="M1065" s="917"/>
      <c r="N1065" s="917"/>
      <c r="O1065" s="917"/>
      <c r="P1065" s="917"/>
      <c r="Q1065" s="578"/>
      <c r="R1065" s="578"/>
      <c r="S1065" s="578"/>
      <c r="T1065" s="578"/>
      <c r="U1065" s="578"/>
      <c r="V1065" s="578"/>
      <c r="W1065" s="578"/>
      <c r="X1065" s="578"/>
      <c r="Y1065" s="578"/>
      <c r="Z1065" s="578"/>
    </row>
    <row r="1066" spans="1:26" ht="18.75">
      <c r="A1066" s="682"/>
      <c r="B1066" s="682"/>
      <c r="C1066" s="682"/>
      <c r="D1066" s="914"/>
      <c r="E1066" s="682"/>
      <c r="F1066" s="682"/>
      <c r="G1066" s="682"/>
      <c r="H1066" s="915"/>
      <c r="I1066" s="916"/>
      <c r="J1066" s="916"/>
      <c r="K1066" s="917"/>
      <c r="L1066" s="917"/>
      <c r="M1066" s="917"/>
      <c r="N1066" s="917"/>
      <c r="O1066" s="917"/>
      <c r="P1066" s="917"/>
      <c r="Q1066" s="578"/>
      <c r="R1066" s="578"/>
      <c r="S1066" s="578"/>
      <c r="T1066" s="578"/>
      <c r="U1066" s="578"/>
      <c r="V1066" s="578"/>
      <c r="W1066" s="578"/>
      <c r="X1066" s="578"/>
      <c r="Y1066" s="578"/>
      <c r="Z1066" s="578"/>
    </row>
    <row r="1067" spans="1:26" ht="18.75">
      <c r="A1067" s="682"/>
      <c r="B1067" s="682"/>
      <c r="C1067" s="682"/>
      <c r="D1067" s="914"/>
      <c r="E1067" s="682"/>
      <c r="F1067" s="682"/>
      <c r="G1067" s="682"/>
      <c r="H1067" s="915"/>
      <c r="I1067" s="916"/>
      <c r="J1067" s="916"/>
      <c r="K1067" s="917"/>
      <c r="L1067" s="917"/>
      <c r="M1067" s="917"/>
      <c r="N1067" s="917"/>
      <c r="O1067" s="917"/>
      <c r="P1067" s="917"/>
      <c r="Q1067" s="578"/>
      <c r="R1067" s="578"/>
      <c r="S1067" s="578"/>
      <c r="T1067" s="578"/>
      <c r="U1067" s="578"/>
      <c r="V1067" s="578"/>
      <c r="W1067" s="578"/>
      <c r="X1067" s="578"/>
      <c r="Y1067" s="578"/>
      <c r="Z1067" s="578"/>
    </row>
    <row r="1068" spans="1:26" ht="18.75">
      <c r="A1068" s="682"/>
      <c r="B1068" s="682"/>
      <c r="C1068" s="682"/>
      <c r="D1068" s="914"/>
      <c r="E1068" s="682"/>
      <c r="F1068" s="682"/>
      <c r="G1068" s="682"/>
      <c r="H1068" s="915"/>
      <c r="I1068" s="916"/>
      <c r="J1068" s="916"/>
      <c r="K1068" s="917"/>
      <c r="L1068" s="917"/>
      <c r="M1068" s="917"/>
      <c r="N1068" s="917"/>
      <c r="O1068" s="917"/>
      <c r="P1068" s="917"/>
      <c r="Q1068" s="578"/>
      <c r="R1068" s="578"/>
      <c r="S1068" s="578"/>
      <c r="T1068" s="578"/>
      <c r="U1068" s="578"/>
      <c r="V1068" s="578"/>
      <c r="W1068" s="578"/>
      <c r="X1068" s="578"/>
      <c r="Y1068" s="578"/>
      <c r="Z1068" s="578"/>
    </row>
    <row r="1069" spans="1:26" ht="18.75">
      <c r="A1069" s="682"/>
      <c r="B1069" s="682"/>
      <c r="C1069" s="682"/>
      <c r="D1069" s="914"/>
      <c r="E1069" s="682"/>
      <c r="F1069" s="682"/>
      <c r="G1069" s="682"/>
      <c r="H1069" s="915"/>
      <c r="I1069" s="916"/>
      <c r="J1069" s="916"/>
      <c r="K1069" s="917"/>
      <c r="L1069" s="917"/>
      <c r="M1069" s="917"/>
      <c r="N1069" s="917"/>
      <c r="O1069" s="917"/>
      <c r="P1069" s="917"/>
      <c r="Q1069" s="578"/>
      <c r="R1069" s="578"/>
      <c r="S1069" s="578"/>
      <c r="T1069" s="578"/>
      <c r="U1069" s="578"/>
      <c r="V1069" s="578"/>
      <c r="W1069" s="578"/>
      <c r="X1069" s="578"/>
      <c r="Y1069" s="578"/>
      <c r="Z1069" s="578"/>
    </row>
    <row r="1070" spans="1:26" ht="18.75">
      <c r="A1070" s="682"/>
      <c r="B1070" s="682"/>
      <c r="C1070" s="682"/>
      <c r="D1070" s="914"/>
      <c r="E1070" s="682"/>
      <c r="F1070" s="682"/>
      <c r="G1070" s="682"/>
      <c r="H1070" s="915"/>
      <c r="I1070" s="916"/>
      <c r="J1070" s="916"/>
      <c r="K1070" s="917"/>
      <c r="L1070" s="917"/>
      <c r="M1070" s="917"/>
      <c r="N1070" s="917"/>
      <c r="O1070" s="917"/>
      <c r="P1070" s="917"/>
      <c r="Q1070" s="578"/>
      <c r="R1070" s="578"/>
      <c r="S1070" s="578"/>
      <c r="T1070" s="578"/>
      <c r="U1070" s="578"/>
      <c r="V1070" s="578"/>
      <c r="W1070" s="578"/>
      <c r="X1070" s="578"/>
      <c r="Y1070" s="578"/>
      <c r="Z1070" s="578"/>
    </row>
    <row r="1071" spans="1:26" ht="18.75">
      <c r="A1071" s="682"/>
      <c r="B1071" s="682"/>
      <c r="C1071" s="682"/>
      <c r="D1071" s="914"/>
      <c r="E1071" s="682"/>
      <c r="F1071" s="682"/>
      <c r="G1071" s="682"/>
      <c r="H1071" s="915"/>
      <c r="I1071" s="916"/>
      <c r="J1071" s="916"/>
      <c r="K1071" s="917"/>
      <c r="L1071" s="917"/>
      <c r="M1071" s="917"/>
      <c r="N1071" s="917"/>
      <c r="O1071" s="917"/>
      <c r="P1071" s="917"/>
      <c r="Q1071" s="578"/>
      <c r="R1071" s="578"/>
      <c r="S1071" s="578"/>
      <c r="T1071" s="578"/>
      <c r="U1071" s="578"/>
      <c r="V1071" s="578"/>
      <c r="W1071" s="578"/>
      <c r="X1071" s="578"/>
      <c r="Y1071" s="578"/>
      <c r="Z1071" s="578"/>
    </row>
    <row r="1072" spans="1:26" ht="18.75">
      <c r="A1072" s="682"/>
      <c r="B1072" s="682"/>
      <c r="C1072" s="682"/>
      <c r="D1072" s="914"/>
      <c r="E1072" s="682"/>
      <c r="F1072" s="682"/>
      <c r="G1072" s="682"/>
      <c r="H1072" s="915"/>
      <c r="I1072" s="916"/>
      <c r="J1072" s="916"/>
      <c r="K1072" s="917"/>
      <c r="L1072" s="917"/>
      <c r="M1072" s="917"/>
      <c r="N1072" s="917"/>
      <c r="O1072" s="917"/>
      <c r="P1072" s="917"/>
      <c r="Q1072" s="578"/>
      <c r="R1072" s="578"/>
      <c r="S1072" s="578"/>
      <c r="T1072" s="578"/>
      <c r="U1072" s="578"/>
      <c r="V1072" s="578"/>
      <c r="W1072" s="578"/>
      <c r="X1072" s="578"/>
      <c r="Y1072" s="578"/>
      <c r="Z1072" s="578"/>
    </row>
    <row r="1073" spans="1:26" ht="18.75">
      <c r="A1073" s="682"/>
      <c r="B1073" s="682"/>
      <c r="C1073" s="682"/>
      <c r="D1073" s="914"/>
      <c r="E1073" s="682"/>
      <c r="F1073" s="682"/>
      <c r="G1073" s="682"/>
      <c r="H1073" s="915"/>
      <c r="I1073" s="916"/>
      <c r="J1073" s="916"/>
      <c r="K1073" s="917"/>
      <c r="L1073" s="917"/>
      <c r="M1073" s="917"/>
      <c r="N1073" s="917"/>
      <c r="O1073" s="917"/>
      <c r="P1073" s="917"/>
      <c r="Q1073" s="578"/>
      <c r="R1073" s="578"/>
      <c r="S1073" s="578"/>
      <c r="T1073" s="578"/>
      <c r="U1073" s="578"/>
      <c r="V1073" s="578"/>
      <c r="W1073" s="578"/>
      <c r="X1073" s="578"/>
      <c r="Y1073" s="578"/>
      <c r="Z1073" s="578"/>
    </row>
    <row r="1074" spans="1:26" ht="18.75">
      <c r="A1074" s="682"/>
      <c r="B1074" s="682"/>
      <c r="C1074" s="682"/>
      <c r="D1074" s="914"/>
      <c r="E1074" s="682"/>
      <c r="F1074" s="682"/>
      <c r="G1074" s="682"/>
      <c r="H1074" s="915"/>
      <c r="I1074" s="916"/>
      <c r="J1074" s="916"/>
      <c r="K1074" s="917"/>
      <c r="L1074" s="917"/>
      <c r="M1074" s="917"/>
      <c r="N1074" s="917"/>
      <c r="O1074" s="917"/>
      <c r="P1074" s="917"/>
      <c r="Q1074" s="578"/>
      <c r="R1074" s="578"/>
      <c r="S1074" s="578"/>
      <c r="T1074" s="578"/>
      <c r="U1074" s="578"/>
      <c r="V1074" s="578"/>
      <c r="W1074" s="578"/>
      <c r="X1074" s="578"/>
      <c r="Y1074" s="578"/>
      <c r="Z1074" s="578"/>
    </row>
    <row r="1075" spans="1:26" ht="18.75">
      <c r="A1075" s="682"/>
      <c r="B1075" s="682"/>
      <c r="C1075" s="682"/>
      <c r="D1075" s="914"/>
      <c r="E1075" s="682"/>
      <c r="F1075" s="682"/>
      <c r="G1075" s="682"/>
      <c r="H1075" s="915"/>
      <c r="I1075" s="916"/>
      <c r="J1075" s="916"/>
      <c r="K1075" s="917"/>
      <c r="L1075" s="917"/>
      <c r="M1075" s="917"/>
      <c r="N1075" s="917"/>
      <c r="O1075" s="917"/>
      <c r="P1075" s="917"/>
      <c r="Q1075" s="578"/>
      <c r="R1075" s="578"/>
      <c r="S1075" s="578"/>
      <c r="T1075" s="578"/>
      <c r="U1075" s="578"/>
      <c r="V1075" s="578"/>
      <c r="W1075" s="578"/>
      <c r="X1075" s="578"/>
      <c r="Y1075" s="578"/>
      <c r="Z1075" s="578"/>
    </row>
    <row r="1076" spans="1:26" ht="18.75">
      <c r="A1076" s="682"/>
      <c r="B1076" s="682"/>
      <c r="C1076" s="682"/>
      <c r="D1076" s="914"/>
      <c r="E1076" s="682"/>
      <c r="F1076" s="682"/>
      <c r="G1076" s="682"/>
      <c r="H1076" s="915"/>
      <c r="I1076" s="916"/>
      <c r="J1076" s="916"/>
      <c r="K1076" s="917"/>
      <c r="L1076" s="917"/>
      <c r="M1076" s="917"/>
      <c r="N1076" s="917"/>
      <c r="O1076" s="917"/>
      <c r="P1076" s="917"/>
      <c r="Q1076" s="578"/>
      <c r="R1076" s="578"/>
      <c r="S1076" s="578"/>
      <c r="T1076" s="578"/>
      <c r="U1076" s="578"/>
      <c r="V1076" s="578"/>
      <c r="W1076" s="578"/>
      <c r="X1076" s="578"/>
      <c r="Y1076" s="578"/>
      <c r="Z1076" s="578"/>
    </row>
    <row r="1077" spans="1:26" ht="18.75">
      <c r="A1077" s="682"/>
      <c r="B1077" s="682"/>
      <c r="C1077" s="682"/>
      <c r="D1077" s="914"/>
      <c r="E1077" s="682"/>
      <c r="F1077" s="682"/>
      <c r="G1077" s="682"/>
      <c r="H1077" s="915"/>
      <c r="I1077" s="916"/>
      <c r="J1077" s="916"/>
      <c r="K1077" s="917"/>
      <c r="L1077" s="917"/>
      <c r="M1077" s="917"/>
      <c r="N1077" s="917"/>
      <c r="O1077" s="917"/>
      <c r="P1077" s="917"/>
      <c r="Q1077" s="578"/>
      <c r="R1077" s="578"/>
      <c r="S1077" s="578"/>
      <c r="T1077" s="578"/>
      <c r="U1077" s="578"/>
      <c r="V1077" s="578"/>
      <c r="W1077" s="578"/>
      <c r="X1077" s="578"/>
      <c r="Y1077" s="578"/>
      <c r="Z1077" s="578"/>
    </row>
    <row r="1078" spans="1:26" ht="18.75">
      <c r="A1078" s="682"/>
      <c r="B1078" s="682"/>
      <c r="C1078" s="682"/>
      <c r="D1078" s="914"/>
      <c r="E1078" s="682"/>
      <c r="F1078" s="682"/>
      <c r="G1078" s="682"/>
      <c r="H1078" s="915"/>
      <c r="I1078" s="916"/>
      <c r="J1078" s="916"/>
      <c r="K1078" s="917"/>
      <c r="L1078" s="917"/>
      <c r="M1078" s="917"/>
      <c r="N1078" s="917"/>
      <c r="O1078" s="917"/>
      <c r="P1078" s="917"/>
      <c r="Q1078" s="578"/>
      <c r="R1078" s="578"/>
      <c r="S1078" s="578"/>
      <c r="T1078" s="578"/>
      <c r="U1078" s="578"/>
      <c r="V1078" s="578"/>
      <c r="W1078" s="578"/>
      <c r="X1078" s="578"/>
      <c r="Y1078" s="578"/>
      <c r="Z1078" s="578"/>
    </row>
    <row r="1079" spans="1:26" ht="18.75">
      <c r="A1079" s="682"/>
      <c r="B1079" s="682"/>
      <c r="C1079" s="682"/>
      <c r="D1079" s="914"/>
      <c r="E1079" s="682"/>
      <c r="F1079" s="682"/>
      <c r="G1079" s="682"/>
      <c r="H1079" s="915"/>
      <c r="I1079" s="916"/>
      <c r="J1079" s="916"/>
      <c r="K1079" s="917"/>
      <c r="L1079" s="917"/>
      <c r="M1079" s="917"/>
      <c r="N1079" s="917"/>
      <c r="O1079" s="917"/>
      <c r="P1079" s="917"/>
      <c r="Q1079" s="578"/>
      <c r="R1079" s="578"/>
      <c r="S1079" s="578"/>
      <c r="T1079" s="578"/>
      <c r="U1079" s="578"/>
      <c r="V1079" s="578"/>
      <c r="W1079" s="578"/>
      <c r="X1079" s="578"/>
      <c r="Y1079" s="578"/>
      <c r="Z1079" s="578"/>
    </row>
    <row r="1080" spans="1:26" ht="18.75">
      <c r="A1080" s="682"/>
      <c r="B1080" s="682"/>
      <c r="C1080" s="682"/>
      <c r="D1080" s="914"/>
      <c r="E1080" s="682"/>
      <c r="F1080" s="682"/>
      <c r="G1080" s="682"/>
      <c r="H1080" s="915"/>
      <c r="I1080" s="916"/>
      <c r="J1080" s="916"/>
      <c r="K1080" s="917"/>
      <c r="L1080" s="917"/>
      <c r="M1080" s="917"/>
      <c r="N1080" s="917"/>
      <c r="O1080" s="917"/>
      <c r="P1080" s="917"/>
      <c r="Q1080" s="578"/>
      <c r="R1080" s="578"/>
      <c r="S1080" s="578"/>
      <c r="T1080" s="578"/>
      <c r="U1080" s="578"/>
      <c r="V1080" s="578"/>
      <c r="W1080" s="578"/>
      <c r="X1080" s="578"/>
      <c r="Y1080" s="578"/>
      <c r="Z1080" s="578"/>
    </row>
    <row r="1081" spans="1:26" ht="18.75">
      <c r="A1081" s="682"/>
      <c r="B1081" s="682"/>
      <c r="C1081" s="682"/>
      <c r="D1081" s="914"/>
      <c r="E1081" s="682"/>
      <c r="F1081" s="682"/>
      <c r="G1081" s="682"/>
      <c r="H1081" s="915"/>
      <c r="I1081" s="916"/>
      <c r="J1081" s="916"/>
      <c r="K1081" s="917"/>
      <c r="L1081" s="917"/>
      <c r="M1081" s="917"/>
      <c r="N1081" s="917"/>
      <c r="O1081" s="917"/>
      <c r="P1081" s="917"/>
      <c r="Q1081" s="578"/>
      <c r="R1081" s="578"/>
      <c r="S1081" s="578"/>
      <c r="T1081" s="578"/>
      <c r="U1081" s="578"/>
      <c r="V1081" s="578"/>
      <c r="W1081" s="578"/>
      <c r="X1081" s="578"/>
      <c r="Y1081" s="578"/>
      <c r="Z1081" s="578"/>
    </row>
    <row r="1082" spans="1:26" ht="18.75">
      <c r="A1082" s="682"/>
      <c r="B1082" s="682"/>
      <c r="C1082" s="682"/>
      <c r="D1082" s="914"/>
      <c r="E1082" s="682"/>
      <c r="F1082" s="682"/>
      <c r="G1082" s="682"/>
      <c r="H1082" s="915"/>
      <c r="I1082" s="916"/>
      <c r="J1082" s="916"/>
      <c r="K1082" s="917"/>
      <c r="L1082" s="917"/>
      <c r="M1082" s="917"/>
      <c r="N1082" s="917"/>
      <c r="O1082" s="917"/>
      <c r="P1082" s="917"/>
      <c r="Q1082" s="578"/>
      <c r="R1082" s="578"/>
      <c r="S1082" s="578"/>
      <c r="T1082" s="578"/>
      <c r="U1082" s="578"/>
      <c r="V1082" s="578"/>
      <c r="W1082" s="578"/>
      <c r="X1082" s="578"/>
      <c r="Y1082" s="578"/>
      <c r="Z1082" s="578"/>
    </row>
    <row r="1083" spans="1:26" ht="18.75">
      <c r="A1083" s="682"/>
      <c r="B1083" s="682"/>
      <c r="C1083" s="682"/>
      <c r="D1083" s="914"/>
      <c r="E1083" s="682"/>
      <c r="F1083" s="682"/>
      <c r="G1083" s="682"/>
      <c r="H1083" s="915"/>
      <c r="I1083" s="916"/>
      <c r="J1083" s="916"/>
      <c r="K1083" s="917"/>
      <c r="L1083" s="917"/>
      <c r="M1083" s="917"/>
      <c r="N1083" s="917"/>
      <c r="O1083" s="917"/>
      <c r="P1083" s="917"/>
      <c r="Q1083" s="578"/>
      <c r="R1083" s="578"/>
      <c r="S1083" s="578"/>
      <c r="T1083" s="578"/>
      <c r="U1083" s="578"/>
      <c r="V1083" s="578"/>
      <c r="W1083" s="578"/>
      <c r="X1083" s="578"/>
      <c r="Y1083" s="578"/>
      <c r="Z1083" s="578"/>
    </row>
    <row r="1084" spans="1:26" ht="18.75">
      <c r="A1084" s="682"/>
      <c r="B1084" s="682"/>
      <c r="C1084" s="682"/>
      <c r="D1084" s="914"/>
      <c r="E1084" s="682"/>
      <c r="F1084" s="682"/>
      <c r="G1084" s="682"/>
      <c r="H1084" s="915"/>
      <c r="I1084" s="916"/>
      <c r="J1084" s="916"/>
      <c r="K1084" s="917"/>
      <c r="L1084" s="917"/>
      <c r="M1084" s="917"/>
      <c r="N1084" s="917"/>
      <c r="O1084" s="917"/>
      <c r="P1084" s="917"/>
      <c r="Q1084" s="578"/>
      <c r="R1084" s="578"/>
      <c r="S1084" s="578"/>
      <c r="T1084" s="578"/>
      <c r="U1084" s="578"/>
      <c r="V1084" s="578"/>
      <c r="W1084" s="578"/>
      <c r="X1084" s="578"/>
      <c r="Y1084" s="578"/>
      <c r="Z1084" s="578"/>
    </row>
    <row r="1085" spans="1:26" ht="18.75">
      <c r="A1085" s="682"/>
      <c r="B1085" s="682"/>
      <c r="C1085" s="682"/>
      <c r="D1085" s="914"/>
      <c r="E1085" s="682"/>
      <c r="F1085" s="682"/>
      <c r="G1085" s="682"/>
      <c r="H1085" s="915"/>
      <c r="I1085" s="916"/>
      <c r="J1085" s="916"/>
      <c r="K1085" s="917"/>
      <c r="L1085" s="917"/>
      <c r="M1085" s="917"/>
      <c r="N1085" s="917"/>
      <c r="O1085" s="917"/>
      <c r="P1085" s="917"/>
      <c r="Q1085" s="578"/>
      <c r="R1085" s="578"/>
      <c r="S1085" s="578"/>
      <c r="T1085" s="578"/>
      <c r="U1085" s="578"/>
      <c r="V1085" s="578"/>
      <c r="W1085" s="578"/>
      <c r="X1085" s="578"/>
      <c r="Y1085" s="578"/>
      <c r="Z1085" s="578"/>
    </row>
    <row r="1086" spans="1:26" ht="18.75">
      <c r="A1086" s="682"/>
      <c r="B1086" s="682"/>
      <c r="C1086" s="682"/>
      <c r="D1086" s="914"/>
      <c r="E1086" s="682"/>
      <c r="F1086" s="682"/>
      <c r="G1086" s="682"/>
      <c r="H1086" s="915"/>
      <c r="I1086" s="916"/>
      <c r="J1086" s="916"/>
      <c r="K1086" s="917"/>
      <c r="L1086" s="917"/>
      <c r="M1086" s="917"/>
      <c r="N1086" s="917"/>
      <c r="O1086" s="917"/>
      <c r="P1086" s="917"/>
      <c r="Q1086" s="578"/>
      <c r="R1086" s="578"/>
      <c r="S1086" s="578"/>
      <c r="T1086" s="578"/>
      <c r="U1086" s="578"/>
      <c r="V1086" s="578"/>
      <c r="W1086" s="578"/>
      <c r="X1086" s="578"/>
      <c r="Y1086" s="578"/>
      <c r="Z1086" s="578"/>
    </row>
    <row r="1087" spans="1:26" ht="18.75">
      <c r="A1087" s="682"/>
      <c r="B1087" s="682"/>
      <c r="C1087" s="682"/>
      <c r="D1087" s="914"/>
      <c r="E1087" s="682"/>
      <c r="F1087" s="682"/>
      <c r="G1087" s="682"/>
      <c r="H1087" s="915"/>
      <c r="I1087" s="916"/>
      <c r="J1087" s="916"/>
      <c r="K1087" s="917"/>
      <c r="L1087" s="917"/>
      <c r="M1087" s="917"/>
      <c r="N1087" s="917"/>
      <c r="O1087" s="917"/>
      <c r="P1087" s="917"/>
      <c r="Q1087" s="578"/>
      <c r="R1087" s="578"/>
      <c r="S1087" s="578"/>
      <c r="T1087" s="578"/>
      <c r="U1087" s="578"/>
      <c r="V1087" s="578"/>
      <c r="W1087" s="578"/>
      <c r="X1087" s="578"/>
      <c r="Y1087" s="578"/>
      <c r="Z1087" s="578"/>
    </row>
    <row r="1088" spans="1:26" ht="18.75">
      <c r="A1088" s="682"/>
      <c r="B1088" s="682"/>
      <c r="C1088" s="682"/>
      <c r="D1088" s="914"/>
      <c r="E1088" s="682"/>
      <c r="F1088" s="682"/>
      <c r="G1088" s="682"/>
      <c r="H1088" s="915"/>
      <c r="I1088" s="916"/>
      <c r="J1088" s="916"/>
      <c r="K1088" s="917"/>
      <c r="L1088" s="917"/>
      <c r="M1088" s="917"/>
      <c r="N1088" s="917"/>
      <c r="O1088" s="917"/>
      <c r="P1088" s="917"/>
      <c r="Q1088" s="578"/>
      <c r="R1088" s="578"/>
      <c r="S1088" s="578"/>
      <c r="T1088" s="578"/>
      <c r="U1088" s="578"/>
      <c r="V1088" s="578"/>
      <c r="W1088" s="578"/>
      <c r="X1088" s="578"/>
      <c r="Y1088" s="578"/>
      <c r="Z1088" s="578"/>
    </row>
    <row r="1089" spans="1:26" ht="18.75">
      <c r="A1089" s="682"/>
      <c r="B1089" s="682"/>
      <c r="C1089" s="682"/>
      <c r="D1089" s="914"/>
      <c r="E1089" s="682"/>
      <c r="F1089" s="682"/>
      <c r="G1089" s="682"/>
      <c r="H1089" s="915"/>
      <c r="I1089" s="916"/>
      <c r="J1089" s="916"/>
      <c r="K1089" s="917"/>
      <c r="L1089" s="917"/>
      <c r="M1089" s="917"/>
      <c r="N1089" s="917"/>
      <c r="O1089" s="917"/>
      <c r="P1089" s="917"/>
      <c r="Q1089" s="578"/>
      <c r="R1089" s="578"/>
      <c r="S1089" s="578"/>
      <c r="T1089" s="578"/>
      <c r="U1089" s="578"/>
      <c r="V1089" s="578"/>
      <c r="W1089" s="578"/>
      <c r="X1089" s="578"/>
      <c r="Y1089" s="578"/>
      <c r="Z1089" s="578"/>
    </row>
    <row r="1090" spans="1:26" ht="18.75">
      <c r="A1090" s="682"/>
      <c r="B1090" s="682"/>
      <c r="C1090" s="682"/>
      <c r="D1090" s="914"/>
      <c r="E1090" s="682"/>
      <c r="F1090" s="682"/>
      <c r="G1090" s="682"/>
      <c r="H1090" s="915"/>
      <c r="I1090" s="916"/>
      <c r="J1090" s="916"/>
      <c r="K1090" s="917"/>
      <c r="L1090" s="917"/>
      <c r="M1090" s="917"/>
      <c r="N1090" s="917"/>
      <c r="O1090" s="917"/>
      <c r="P1090" s="917"/>
      <c r="Q1090" s="578"/>
      <c r="R1090" s="578"/>
      <c r="S1090" s="578"/>
      <c r="T1090" s="578"/>
      <c r="U1090" s="578"/>
      <c r="V1090" s="578"/>
      <c r="W1090" s="578"/>
      <c r="X1090" s="578"/>
      <c r="Y1090" s="578"/>
      <c r="Z1090" s="578"/>
    </row>
    <row r="1091" spans="1:26" ht="18.75">
      <c r="A1091" s="682"/>
      <c r="B1091" s="682"/>
      <c r="C1091" s="682"/>
      <c r="D1091" s="914"/>
      <c r="E1091" s="682"/>
      <c r="F1091" s="682"/>
      <c r="G1091" s="682"/>
      <c r="H1091" s="915"/>
      <c r="I1091" s="916"/>
      <c r="J1091" s="916"/>
      <c r="K1091" s="917"/>
      <c r="L1091" s="917"/>
      <c r="M1091" s="917"/>
      <c r="N1091" s="917"/>
      <c r="O1091" s="917"/>
      <c r="P1091" s="917"/>
      <c r="Q1091" s="578"/>
      <c r="R1091" s="578"/>
      <c r="S1091" s="578"/>
      <c r="T1091" s="578"/>
      <c r="U1091" s="578"/>
      <c r="V1091" s="578"/>
      <c r="W1091" s="578"/>
      <c r="X1091" s="578"/>
      <c r="Y1091" s="578"/>
      <c r="Z1091" s="578"/>
    </row>
    <row r="1092" spans="1:26" ht="18.75">
      <c r="A1092" s="682"/>
      <c r="B1092" s="682"/>
      <c r="C1092" s="682"/>
      <c r="D1092" s="914"/>
      <c r="E1092" s="682"/>
      <c r="F1092" s="682"/>
      <c r="G1092" s="682"/>
      <c r="H1092" s="915"/>
      <c r="I1092" s="916"/>
      <c r="J1092" s="916"/>
      <c r="K1092" s="917"/>
      <c r="L1092" s="917"/>
      <c r="M1092" s="917"/>
      <c r="N1092" s="917"/>
      <c r="O1092" s="917"/>
      <c r="P1092" s="917"/>
      <c r="Q1092" s="578"/>
      <c r="R1092" s="578"/>
      <c r="S1092" s="578"/>
      <c r="T1092" s="578"/>
      <c r="U1092" s="578"/>
      <c r="V1092" s="578"/>
      <c r="W1092" s="578"/>
      <c r="X1092" s="578"/>
      <c r="Y1092" s="578"/>
      <c r="Z1092" s="578"/>
    </row>
    <row r="1093" spans="1:26" ht="18.75">
      <c r="A1093" s="682"/>
      <c r="B1093" s="682"/>
      <c r="C1093" s="682"/>
      <c r="D1093" s="914"/>
      <c r="E1093" s="682"/>
      <c r="F1093" s="682"/>
      <c r="G1093" s="682"/>
      <c r="H1093" s="915"/>
      <c r="I1093" s="916"/>
      <c r="J1093" s="916"/>
      <c r="K1093" s="917"/>
      <c r="L1093" s="917"/>
      <c r="M1093" s="917"/>
      <c r="N1093" s="917"/>
      <c r="O1093" s="917"/>
      <c r="P1093" s="917"/>
      <c r="Q1093" s="578"/>
      <c r="R1093" s="578"/>
      <c r="S1093" s="578"/>
      <c r="T1093" s="578"/>
      <c r="U1093" s="578"/>
      <c r="V1093" s="578"/>
      <c r="W1093" s="578"/>
      <c r="X1093" s="578"/>
      <c r="Y1093" s="578"/>
      <c r="Z1093" s="578"/>
    </row>
    <row r="1094" spans="1:26" ht="18.75">
      <c r="A1094" s="682"/>
      <c r="B1094" s="682"/>
      <c r="C1094" s="682"/>
      <c r="D1094" s="914"/>
      <c r="E1094" s="682"/>
      <c r="F1094" s="682"/>
      <c r="G1094" s="682"/>
      <c r="H1094" s="915"/>
      <c r="I1094" s="916"/>
      <c r="J1094" s="916"/>
      <c r="K1094" s="917"/>
      <c r="L1094" s="917"/>
      <c r="M1094" s="917"/>
      <c r="N1094" s="917"/>
      <c r="O1094" s="917"/>
      <c r="P1094" s="917"/>
      <c r="Q1094" s="578"/>
      <c r="R1094" s="578"/>
      <c r="S1094" s="578"/>
      <c r="T1094" s="578"/>
      <c r="U1094" s="578"/>
      <c r="V1094" s="578"/>
      <c r="W1094" s="578"/>
      <c r="X1094" s="578"/>
      <c r="Y1094" s="578"/>
      <c r="Z1094" s="578"/>
    </row>
    <row r="1095" spans="1:26" ht="18.75">
      <c r="A1095" s="682"/>
      <c r="B1095" s="682"/>
      <c r="C1095" s="682"/>
      <c r="D1095" s="914"/>
      <c r="E1095" s="682"/>
      <c r="F1095" s="682"/>
      <c r="G1095" s="682"/>
      <c r="H1095" s="915"/>
      <c r="I1095" s="916"/>
      <c r="J1095" s="916"/>
      <c r="K1095" s="917"/>
      <c r="L1095" s="917"/>
      <c r="M1095" s="917"/>
      <c r="N1095" s="917"/>
      <c r="O1095" s="917"/>
      <c r="P1095" s="917"/>
      <c r="Q1095" s="578"/>
      <c r="R1095" s="578"/>
      <c r="S1095" s="578"/>
      <c r="T1095" s="578"/>
      <c r="U1095" s="578"/>
      <c r="V1095" s="578"/>
      <c r="W1095" s="578"/>
      <c r="X1095" s="578"/>
      <c r="Y1095" s="578"/>
      <c r="Z1095" s="578"/>
    </row>
    <row r="1096" spans="1:26" ht="18.75">
      <c r="A1096" s="682"/>
      <c r="B1096" s="682"/>
      <c r="C1096" s="682"/>
      <c r="D1096" s="914"/>
      <c r="E1096" s="682"/>
      <c r="F1096" s="682"/>
      <c r="G1096" s="682"/>
      <c r="H1096" s="915"/>
      <c r="I1096" s="916"/>
      <c r="J1096" s="916"/>
      <c r="K1096" s="917"/>
      <c r="L1096" s="917"/>
      <c r="M1096" s="917"/>
      <c r="N1096" s="917"/>
      <c r="O1096" s="917"/>
      <c r="P1096" s="917"/>
      <c r="Q1096" s="578"/>
      <c r="R1096" s="578"/>
      <c r="S1096" s="578"/>
      <c r="T1096" s="578"/>
      <c r="U1096" s="578"/>
      <c r="V1096" s="578"/>
      <c r="W1096" s="578"/>
      <c r="X1096" s="578"/>
      <c r="Y1096" s="578"/>
      <c r="Z1096" s="578"/>
    </row>
    <row r="1097" spans="1:26" ht="18.75">
      <c r="A1097" s="682"/>
      <c r="B1097" s="682"/>
      <c r="C1097" s="682"/>
      <c r="D1097" s="914"/>
      <c r="E1097" s="682"/>
      <c r="F1097" s="682"/>
      <c r="G1097" s="682"/>
      <c r="H1097" s="915"/>
      <c r="I1097" s="916"/>
      <c r="J1097" s="916"/>
      <c r="K1097" s="917"/>
      <c r="L1097" s="917"/>
      <c r="M1097" s="917"/>
      <c r="N1097" s="917"/>
      <c r="O1097" s="917"/>
      <c r="P1097" s="917"/>
      <c r="Q1097" s="578"/>
      <c r="R1097" s="578"/>
      <c r="S1097" s="578"/>
      <c r="T1097" s="578"/>
      <c r="U1097" s="578"/>
      <c r="V1097" s="578"/>
      <c r="W1097" s="578"/>
      <c r="X1097" s="578"/>
      <c r="Y1097" s="578"/>
      <c r="Z1097" s="578"/>
    </row>
    <row r="1098" spans="1:26" ht="18.75">
      <c r="A1098" s="682"/>
      <c r="B1098" s="682"/>
      <c r="C1098" s="682"/>
      <c r="D1098" s="914"/>
      <c r="E1098" s="682"/>
      <c r="F1098" s="682"/>
      <c r="G1098" s="682"/>
      <c r="H1098" s="915"/>
      <c r="I1098" s="916"/>
      <c r="J1098" s="916"/>
      <c r="K1098" s="917"/>
      <c r="L1098" s="917"/>
      <c r="M1098" s="917"/>
      <c r="N1098" s="917"/>
      <c r="O1098" s="917"/>
      <c r="P1098" s="917"/>
      <c r="Q1098" s="578"/>
      <c r="R1098" s="578"/>
      <c r="S1098" s="578"/>
      <c r="T1098" s="578"/>
      <c r="U1098" s="578"/>
      <c r="V1098" s="578"/>
      <c r="W1098" s="578"/>
      <c r="X1098" s="578"/>
      <c r="Y1098" s="578"/>
      <c r="Z1098" s="578"/>
    </row>
    <row r="1099" spans="1:26" ht="18.75">
      <c r="A1099" s="682"/>
      <c r="B1099" s="682"/>
      <c r="C1099" s="682"/>
      <c r="D1099" s="914"/>
      <c r="E1099" s="682"/>
      <c r="F1099" s="682"/>
      <c r="G1099" s="682"/>
      <c r="H1099" s="915"/>
      <c r="I1099" s="916"/>
      <c r="J1099" s="916"/>
      <c r="K1099" s="917"/>
      <c r="L1099" s="917"/>
      <c r="M1099" s="917"/>
      <c r="N1099" s="917"/>
      <c r="O1099" s="917"/>
      <c r="P1099" s="917"/>
      <c r="Q1099" s="578"/>
      <c r="R1099" s="578"/>
      <c r="S1099" s="578"/>
      <c r="T1099" s="578"/>
      <c r="U1099" s="578"/>
      <c r="V1099" s="578"/>
      <c r="W1099" s="578"/>
      <c r="X1099" s="578"/>
      <c r="Y1099" s="578"/>
      <c r="Z1099" s="578"/>
    </row>
    <row r="1100" spans="1:26" ht="18.75">
      <c r="A1100" s="682"/>
      <c r="B1100" s="682"/>
      <c r="C1100" s="682"/>
      <c r="D1100" s="914"/>
      <c r="E1100" s="682"/>
      <c r="F1100" s="682"/>
      <c r="G1100" s="682"/>
      <c r="H1100" s="915"/>
      <c r="I1100" s="916"/>
      <c r="J1100" s="916"/>
      <c r="K1100" s="917"/>
      <c r="L1100" s="917"/>
      <c r="M1100" s="917"/>
      <c r="N1100" s="917"/>
      <c r="O1100" s="917"/>
      <c r="P1100" s="917"/>
      <c r="Q1100" s="578"/>
      <c r="R1100" s="578"/>
      <c r="S1100" s="578"/>
      <c r="T1100" s="578"/>
      <c r="U1100" s="578"/>
      <c r="V1100" s="578"/>
      <c r="W1100" s="578"/>
      <c r="X1100" s="578"/>
      <c r="Y1100" s="578"/>
      <c r="Z1100" s="578"/>
    </row>
    <row r="1101" spans="1:26" ht="18.75">
      <c r="A1101" s="682"/>
      <c r="B1101" s="682"/>
      <c r="C1101" s="682"/>
      <c r="D1101" s="914"/>
      <c r="E1101" s="682"/>
      <c r="F1101" s="682"/>
      <c r="G1101" s="682"/>
      <c r="H1101" s="915"/>
      <c r="I1101" s="916"/>
      <c r="J1101" s="916"/>
      <c r="K1101" s="917"/>
      <c r="L1101" s="917"/>
      <c r="M1101" s="917"/>
      <c r="N1101" s="917"/>
      <c r="O1101" s="917"/>
      <c r="P1101" s="917"/>
      <c r="Q1101" s="578"/>
      <c r="R1101" s="578"/>
      <c r="S1101" s="578"/>
      <c r="T1101" s="578"/>
      <c r="U1101" s="578"/>
      <c r="V1101" s="578"/>
      <c r="W1101" s="578"/>
      <c r="X1101" s="578"/>
      <c r="Y1101" s="578"/>
      <c r="Z1101" s="578"/>
    </row>
    <row r="1102" spans="1:26" ht="18.75">
      <c r="A1102" s="682"/>
      <c r="B1102" s="682"/>
      <c r="C1102" s="682"/>
      <c r="D1102" s="914"/>
      <c r="E1102" s="682"/>
      <c r="F1102" s="682"/>
      <c r="G1102" s="682"/>
      <c r="H1102" s="915"/>
      <c r="I1102" s="916"/>
      <c r="J1102" s="916"/>
      <c r="K1102" s="917"/>
      <c r="L1102" s="917"/>
      <c r="M1102" s="917"/>
      <c r="N1102" s="917"/>
      <c r="O1102" s="917"/>
      <c r="P1102" s="917"/>
      <c r="Q1102" s="578"/>
      <c r="R1102" s="578"/>
      <c r="S1102" s="578"/>
      <c r="T1102" s="578"/>
      <c r="U1102" s="578"/>
      <c r="V1102" s="578"/>
      <c r="W1102" s="578"/>
      <c r="X1102" s="578"/>
      <c r="Y1102" s="578"/>
      <c r="Z1102" s="578"/>
    </row>
    <row r="1103" spans="1:26" ht="18.75">
      <c r="A1103" s="682"/>
      <c r="B1103" s="682"/>
      <c r="C1103" s="682"/>
      <c r="D1103" s="914"/>
      <c r="E1103" s="682"/>
      <c r="F1103" s="682"/>
      <c r="G1103" s="682"/>
      <c r="H1103" s="915"/>
      <c r="I1103" s="916"/>
      <c r="J1103" s="916"/>
      <c r="K1103" s="917"/>
      <c r="L1103" s="917"/>
      <c r="M1103" s="917"/>
      <c r="N1103" s="917"/>
      <c r="O1103" s="917"/>
      <c r="P1103" s="917"/>
      <c r="Q1103" s="578"/>
      <c r="R1103" s="578"/>
      <c r="S1103" s="578"/>
      <c r="T1103" s="578"/>
      <c r="U1103" s="578"/>
      <c r="V1103" s="578"/>
      <c r="W1103" s="578"/>
      <c r="X1103" s="578"/>
      <c r="Y1103" s="578"/>
      <c r="Z1103" s="578"/>
    </row>
    <row r="1104" spans="1:26" ht="18.75">
      <c r="A1104" s="682"/>
      <c r="B1104" s="682"/>
      <c r="C1104" s="682"/>
      <c r="D1104" s="914"/>
      <c r="E1104" s="682"/>
      <c r="F1104" s="682"/>
      <c r="G1104" s="682"/>
      <c r="H1104" s="915"/>
      <c r="I1104" s="916"/>
      <c r="J1104" s="916"/>
      <c r="K1104" s="917"/>
      <c r="L1104" s="917"/>
      <c r="M1104" s="917"/>
      <c r="N1104" s="917"/>
      <c r="O1104" s="917"/>
      <c r="P1104" s="917"/>
      <c r="Q1104" s="578"/>
      <c r="R1104" s="578"/>
      <c r="S1104" s="578"/>
      <c r="T1104" s="578"/>
      <c r="U1104" s="578"/>
      <c r="V1104" s="578"/>
      <c r="W1104" s="578"/>
      <c r="X1104" s="578"/>
      <c r="Y1104" s="578"/>
      <c r="Z1104" s="578"/>
    </row>
    <row r="1105" spans="1:26" ht="18.75">
      <c r="A1105" s="682"/>
      <c r="B1105" s="682"/>
      <c r="C1105" s="682"/>
      <c r="D1105" s="914"/>
      <c r="E1105" s="682"/>
      <c r="F1105" s="682"/>
      <c r="G1105" s="682"/>
      <c r="H1105" s="915"/>
      <c r="I1105" s="916"/>
      <c r="J1105" s="916"/>
      <c r="K1105" s="917"/>
      <c r="L1105" s="917"/>
      <c r="M1105" s="917"/>
      <c r="N1105" s="917"/>
      <c r="O1105" s="917"/>
      <c r="P1105" s="917"/>
      <c r="Q1105" s="578"/>
      <c r="R1105" s="578"/>
      <c r="S1105" s="578"/>
      <c r="T1105" s="578"/>
      <c r="U1105" s="578"/>
      <c r="V1105" s="578"/>
      <c r="W1105" s="578"/>
      <c r="X1105" s="578"/>
      <c r="Y1105" s="578"/>
      <c r="Z1105" s="578"/>
    </row>
    <row r="1106" spans="1:26" ht="18.75">
      <c r="A1106" s="682"/>
      <c r="B1106" s="682"/>
      <c r="C1106" s="682"/>
      <c r="D1106" s="914"/>
      <c r="E1106" s="682"/>
      <c r="F1106" s="682"/>
      <c r="G1106" s="682"/>
      <c r="H1106" s="915"/>
      <c r="I1106" s="916"/>
      <c r="J1106" s="916"/>
      <c r="K1106" s="917"/>
      <c r="L1106" s="917"/>
      <c r="M1106" s="917"/>
      <c r="N1106" s="917"/>
      <c r="O1106" s="917"/>
      <c r="P1106" s="917"/>
      <c r="Q1106" s="578"/>
      <c r="R1106" s="578"/>
      <c r="S1106" s="578"/>
      <c r="T1106" s="578"/>
      <c r="U1106" s="578"/>
      <c r="V1106" s="578"/>
      <c r="W1106" s="578"/>
      <c r="X1106" s="578"/>
      <c r="Y1106" s="578"/>
      <c r="Z1106" s="578"/>
    </row>
    <row r="1107" spans="1:26" ht="18.75">
      <c r="A1107" s="682"/>
      <c r="B1107" s="682"/>
      <c r="C1107" s="682"/>
      <c r="D1107" s="914"/>
      <c r="E1107" s="682"/>
      <c r="F1107" s="682"/>
      <c r="G1107" s="682"/>
      <c r="H1107" s="915"/>
      <c r="I1107" s="916"/>
      <c r="J1107" s="916"/>
      <c r="K1107" s="917"/>
      <c r="L1107" s="917"/>
      <c r="M1107" s="917"/>
      <c r="N1107" s="917"/>
      <c r="O1107" s="917"/>
      <c r="P1107" s="917"/>
      <c r="Q1107" s="578"/>
      <c r="R1107" s="578"/>
      <c r="S1107" s="578"/>
      <c r="T1107" s="578"/>
      <c r="U1107" s="578"/>
      <c r="V1107" s="578"/>
      <c r="W1107" s="578"/>
      <c r="X1107" s="578"/>
      <c r="Y1107" s="578"/>
      <c r="Z1107" s="578"/>
    </row>
    <row r="1108" spans="1:26" ht="18.75">
      <c r="A1108" s="682"/>
      <c r="B1108" s="682"/>
      <c r="C1108" s="682"/>
      <c r="D1108" s="914"/>
      <c r="E1108" s="682"/>
      <c r="F1108" s="682"/>
      <c r="G1108" s="682"/>
      <c r="H1108" s="915"/>
      <c r="I1108" s="916"/>
      <c r="J1108" s="916"/>
      <c r="K1108" s="917"/>
      <c r="L1108" s="917"/>
      <c r="M1108" s="917"/>
      <c r="N1108" s="917"/>
      <c r="O1108" s="917"/>
      <c r="P1108" s="917"/>
      <c r="Q1108" s="578"/>
      <c r="R1108" s="578"/>
      <c r="S1108" s="578"/>
      <c r="T1108" s="578"/>
      <c r="U1108" s="578"/>
      <c r="V1108" s="578"/>
      <c r="W1108" s="578"/>
      <c r="X1108" s="578"/>
      <c r="Y1108" s="578"/>
      <c r="Z1108" s="578"/>
    </row>
    <row r="1109" spans="1:26" ht="18.75">
      <c r="A1109" s="682"/>
      <c r="B1109" s="682"/>
      <c r="C1109" s="682"/>
      <c r="D1109" s="914"/>
      <c r="E1109" s="682"/>
      <c r="F1109" s="682"/>
      <c r="G1109" s="682"/>
      <c r="H1109" s="915"/>
      <c r="I1109" s="916"/>
      <c r="J1109" s="916"/>
      <c r="K1109" s="917"/>
      <c r="L1109" s="917"/>
      <c r="M1109" s="917"/>
      <c r="N1109" s="917"/>
      <c r="O1109" s="917"/>
      <c r="P1109" s="917"/>
      <c r="Q1109" s="578"/>
      <c r="R1109" s="578"/>
      <c r="S1109" s="578"/>
      <c r="T1109" s="578"/>
      <c r="U1109" s="578"/>
      <c r="V1109" s="578"/>
      <c r="W1109" s="578"/>
      <c r="X1109" s="578"/>
      <c r="Y1109" s="578"/>
      <c r="Z1109" s="578"/>
    </row>
    <row r="1110" spans="1:26" ht="18.75">
      <c r="A1110" s="682"/>
      <c r="B1110" s="682"/>
      <c r="C1110" s="682"/>
      <c r="D1110" s="914"/>
      <c r="E1110" s="682"/>
      <c r="F1110" s="682"/>
      <c r="G1110" s="682"/>
      <c r="H1110" s="915"/>
      <c r="I1110" s="916"/>
      <c r="J1110" s="916"/>
      <c r="K1110" s="917"/>
      <c r="L1110" s="917"/>
      <c r="M1110" s="917"/>
      <c r="N1110" s="917"/>
      <c r="O1110" s="917"/>
      <c r="P1110" s="917"/>
      <c r="Q1110" s="578"/>
      <c r="R1110" s="578"/>
      <c r="S1110" s="578"/>
      <c r="T1110" s="578"/>
      <c r="U1110" s="578"/>
      <c r="V1110" s="578"/>
      <c r="W1110" s="578"/>
      <c r="X1110" s="578"/>
      <c r="Y1110" s="578"/>
      <c r="Z1110" s="578"/>
    </row>
    <row r="1111" spans="1:26" ht="18.75">
      <c r="A1111" s="682"/>
      <c r="B1111" s="682"/>
      <c r="C1111" s="682"/>
      <c r="D1111" s="914"/>
      <c r="E1111" s="682"/>
      <c r="F1111" s="682"/>
      <c r="G1111" s="682"/>
      <c r="H1111" s="915"/>
      <c r="I1111" s="916"/>
      <c r="J1111" s="916"/>
      <c r="K1111" s="917"/>
      <c r="L1111" s="917"/>
      <c r="M1111" s="917"/>
      <c r="N1111" s="917"/>
      <c r="O1111" s="917"/>
      <c r="P1111" s="917"/>
      <c r="Q1111" s="578"/>
      <c r="R1111" s="578"/>
      <c r="S1111" s="578"/>
      <c r="T1111" s="578"/>
      <c r="U1111" s="578"/>
      <c r="V1111" s="578"/>
      <c r="W1111" s="578"/>
      <c r="X1111" s="578"/>
      <c r="Y1111" s="578"/>
      <c r="Z1111" s="578"/>
    </row>
    <row r="1112" spans="1:26" ht="18.75">
      <c r="A1112" s="682"/>
      <c r="B1112" s="682"/>
      <c r="C1112" s="682"/>
      <c r="D1112" s="914"/>
      <c r="E1112" s="682"/>
      <c r="F1112" s="682"/>
      <c r="G1112" s="682"/>
      <c r="H1112" s="915"/>
      <c r="I1112" s="916"/>
      <c r="J1112" s="916"/>
      <c r="K1112" s="917"/>
      <c r="L1112" s="917"/>
      <c r="M1112" s="917"/>
      <c r="N1112" s="917"/>
      <c r="O1112" s="917"/>
      <c r="P1112" s="917"/>
      <c r="Q1112" s="578"/>
      <c r="R1112" s="578"/>
      <c r="S1112" s="578"/>
      <c r="T1112" s="578"/>
      <c r="U1112" s="578"/>
      <c r="V1112" s="578"/>
      <c r="W1112" s="578"/>
      <c r="X1112" s="578"/>
      <c r="Y1112" s="578"/>
      <c r="Z1112" s="578"/>
    </row>
    <row r="1113" spans="1:26" ht="18.75">
      <c r="A1113" s="682"/>
      <c r="B1113" s="682"/>
      <c r="C1113" s="682"/>
      <c r="D1113" s="914"/>
      <c r="E1113" s="682"/>
      <c r="F1113" s="682"/>
      <c r="G1113" s="682"/>
      <c r="H1113" s="915"/>
      <c r="I1113" s="916"/>
      <c r="J1113" s="916"/>
      <c r="K1113" s="917"/>
      <c r="L1113" s="917"/>
      <c r="M1113" s="917"/>
      <c r="N1113" s="917"/>
      <c r="O1113" s="917"/>
      <c r="P1113" s="917"/>
      <c r="Q1113" s="578"/>
      <c r="R1113" s="578"/>
      <c r="S1113" s="578"/>
      <c r="T1113" s="578"/>
      <c r="U1113" s="578"/>
      <c r="V1113" s="578"/>
      <c r="W1113" s="578"/>
      <c r="X1113" s="578"/>
      <c r="Y1113" s="578"/>
      <c r="Z1113" s="578"/>
    </row>
    <row r="1114" spans="1:26" ht="18.75">
      <c r="A1114" s="682"/>
      <c r="B1114" s="682"/>
      <c r="C1114" s="682"/>
      <c r="D1114" s="914"/>
      <c r="E1114" s="682"/>
      <c r="F1114" s="682"/>
      <c r="G1114" s="682"/>
      <c r="H1114" s="915"/>
      <c r="I1114" s="916"/>
      <c r="J1114" s="916"/>
      <c r="K1114" s="917"/>
      <c r="L1114" s="917"/>
      <c r="M1114" s="917"/>
      <c r="N1114" s="917"/>
      <c r="O1114" s="917"/>
      <c r="P1114" s="917"/>
      <c r="Q1114" s="578"/>
      <c r="R1114" s="578"/>
      <c r="S1114" s="578"/>
      <c r="T1114" s="578"/>
      <c r="U1114" s="578"/>
      <c r="V1114" s="578"/>
      <c r="W1114" s="578"/>
      <c r="X1114" s="578"/>
      <c r="Y1114" s="578"/>
      <c r="Z1114" s="578"/>
    </row>
    <row r="1115" spans="1:26" ht="18.75">
      <c r="A1115" s="682"/>
      <c r="B1115" s="682"/>
      <c r="C1115" s="682"/>
      <c r="D1115" s="914"/>
      <c r="E1115" s="682"/>
      <c r="F1115" s="682"/>
      <c r="G1115" s="682"/>
      <c r="H1115" s="915"/>
      <c r="I1115" s="916"/>
      <c r="J1115" s="916"/>
      <c r="K1115" s="917"/>
      <c r="L1115" s="917"/>
      <c r="M1115" s="917"/>
      <c r="N1115" s="917"/>
      <c r="O1115" s="917"/>
      <c r="P1115" s="917"/>
      <c r="Q1115" s="578"/>
      <c r="R1115" s="578"/>
      <c r="S1115" s="578"/>
      <c r="T1115" s="578"/>
      <c r="U1115" s="578"/>
      <c r="V1115" s="578"/>
      <c r="W1115" s="578"/>
      <c r="X1115" s="578"/>
      <c r="Y1115" s="578"/>
      <c r="Z1115" s="578"/>
    </row>
    <row r="1116" spans="1:26" ht="18.75">
      <c r="A1116" s="682"/>
      <c r="B1116" s="682"/>
      <c r="C1116" s="682"/>
      <c r="D1116" s="914"/>
      <c r="E1116" s="682"/>
      <c r="F1116" s="682"/>
      <c r="G1116" s="682"/>
      <c r="H1116" s="915"/>
      <c r="I1116" s="916"/>
      <c r="J1116" s="916"/>
      <c r="K1116" s="917"/>
      <c r="L1116" s="917"/>
      <c r="M1116" s="917"/>
      <c r="N1116" s="917"/>
      <c r="O1116" s="917"/>
      <c r="P1116" s="917"/>
      <c r="Q1116" s="578"/>
      <c r="R1116" s="578"/>
      <c r="S1116" s="578"/>
      <c r="T1116" s="578"/>
      <c r="U1116" s="578"/>
      <c r="V1116" s="578"/>
      <c r="W1116" s="578"/>
      <c r="X1116" s="578"/>
      <c r="Y1116" s="578"/>
      <c r="Z1116" s="578"/>
    </row>
    <row r="1117" spans="1:26" ht="18.75">
      <c r="A1117" s="682"/>
      <c r="B1117" s="682"/>
      <c r="C1117" s="682"/>
      <c r="D1117" s="914"/>
      <c r="E1117" s="682"/>
      <c r="F1117" s="682"/>
      <c r="G1117" s="682"/>
      <c r="H1117" s="915"/>
      <c r="I1117" s="916"/>
      <c r="J1117" s="916"/>
      <c r="K1117" s="917"/>
      <c r="L1117" s="917"/>
      <c r="M1117" s="917"/>
      <c r="N1117" s="917"/>
      <c r="O1117" s="917"/>
      <c r="P1117" s="917"/>
      <c r="Q1117" s="578"/>
      <c r="R1117" s="578"/>
      <c r="S1117" s="578"/>
      <c r="T1117" s="578"/>
      <c r="U1117" s="578"/>
      <c r="V1117" s="578"/>
      <c r="W1117" s="578"/>
      <c r="X1117" s="578"/>
      <c r="Y1117" s="578"/>
      <c r="Z1117" s="578"/>
    </row>
    <row r="1118" spans="1:26" ht="18.75">
      <c r="A1118" s="682"/>
      <c r="B1118" s="682"/>
      <c r="C1118" s="682"/>
      <c r="D1118" s="914"/>
      <c r="E1118" s="682"/>
      <c r="F1118" s="682"/>
      <c r="G1118" s="682"/>
      <c r="H1118" s="915"/>
      <c r="I1118" s="916"/>
      <c r="J1118" s="916"/>
      <c r="K1118" s="917"/>
      <c r="L1118" s="917"/>
      <c r="M1118" s="917"/>
      <c r="N1118" s="917"/>
      <c r="O1118" s="917"/>
      <c r="P1118" s="917"/>
      <c r="Q1118" s="578"/>
      <c r="R1118" s="578"/>
      <c r="S1118" s="578"/>
      <c r="T1118" s="578"/>
      <c r="U1118" s="578"/>
      <c r="V1118" s="578"/>
      <c r="W1118" s="578"/>
      <c r="X1118" s="578"/>
      <c r="Y1118" s="578"/>
      <c r="Z1118" s="578"/>
    </row>
    <row r="1119" spans="1:26" ht="18.75">
      <c r="A1119" s="682"/>
      <c r="B1119" s="682"/>
      <c r="C1119" s="682"/>
      <c r="D1119" s="914"/>
      <c r="E1119" s="682"/>
      <c r="F1119" s="682"/>
      <c r="G1119" s="682"/>
      <c r="H1119" s="915"/>
      <c r="I1119" s="916"/>
      <c r="J1119" s="916"/>
      <c r="K1119" s="917"/>
      <c r="L1119" s="917"/>
      <c r="M1119" s="917"/>
      <c r="N1119" s="917"/>
      <c r="O1119" s="917"/>
      <c r="P1119" s="917"/>
      <c r="Q1119" s="578"/>
      <c r="R1119" s="578"/>
      <c r="S1119" s="578"/>
      <c r="T1119" s="578"/>
      <c r="U1119" s="578"/>
      <c r="V1119" s="578"/>
      <c r="W1119" s="578"/>
      <c r="X1119" s="578"/>
      <c r="Y1119" s="578"/>
      <c r="Z1119" s="578"/>
    </row>
    <row r="1120" spans="1:26" ht="18.75">
      <c r="A1120" s="682"/>
      <c r="B1120" s="682"/>
      <c r="C1120" s="682"/>
      <c r="D1120" s="914"/>
      <c r="E1120" s="682"/>
      <c r="F1120" s="682"/>
      <c r="G1120" s="682"/>
      <c r="H1120" s="915"/>
      <c r="I1120" s="916"/>
      <c r="J1120" s="916"/>
      <c r="K1120" s="917"/>
      <c r="L1120" s="917"/>
      <c r="M1120" s="917"/>
      <c r="N1120" s="917"/>
      <c r="O1120" s="917"/>
      <c r="P1120" s="917"/>
      <c r="Q1120" s="578"/>
      <c r="R1120" s="578"/>
      <c r="S1120" s="578"/>
      <c r="T1120" s="578"/>
      <c r="U1120" s="578"/>
      <c r="V1120" s="578"/>
      <c r="W1120" s="578"/>
      <c r="X1120" s="578"/>
      <c r="Y1120" s="578"/>
      <c r="Z1120" s="578"/>
    </row>
    <row r="1121" spans="1:26" ht="18.75">
      <c r="A1121" s="682"/>
      <c r="B1121" s="682"/>
      <c r="C1121" s="682"/>
      <c r="D1121" s="914"/>
      <c r="E1121" s="682"/>
      <c r="F1121" s="682"/>
      <c r="G1121" s="682"/>
      <c r="H1121" s="915"/>
      <c r="I1121" s="916"/>
      <c r="J1121" s="916"/>
      <c r="K1121" s="917"/>
      <c r="L1121" s="917"/>
      <c r="M1121" s="917"/>
      <c r="N1121" s="917"/>
      <c r="O1121" s="917"/>
      <c r="P1121" s="917"/>
      <c r="Q1121" s="578"/>
      <c r="R1121" s="578"/>
      <c r="S1121" s="578"/>
      <c r="T1121" s="578"/>
      <c r="U1121" s="578"/>
      <c r="V1121" s="578"/>
      <c r="W1121" s="578"/>
      <c r="X1121" s="578"/>
      <c r="Y1121" s="578"/>
      <c r="Z1121" s="578"/>
    </row>
    <row r="1122" spans="1:26" ht="18.75">
      <c r="A1122" s="682"/>
      <c r="B1122" s="682"/>
      <c r="C1122" s="682"/>
      <c r="D1122" s="914"/>
      <c r="E1122" s="682"/>
      <c r="F1122" s="682"/>
      <c r="G1122" s="682"/>
      <c r="H1122" s="915"/>
      <c r="I1122" s="916"/>
      <c r="J1122" s="916"/>
      <c r="K1122" s="917"/>
      <c r="L1122" s="917"/>
      <c r="M1122" s="917"/>
      <c r="N1122" s="917"/>
      <c r="O1122" s="917"/>
      <c r="P1122" s="917"/>
      <c r="Q1122" s="578"/>
      <c r="R1122" s="578"/>
      <c r="S1122" s="578"/>
      <c r="T1122" s="578"/>
      <c r="U1122" s="578"/>
      <c r="V1122" s="578"/>
      <c r="W1122" s="578"/>
      <c r="X1122" s="578"/>
      <c r="Y1122" s="578"/>
      <c r="Z1122" s="578"/>
    </row>
    <row r="1123" spans="1:26" ht="18.75">
      <c r="A1123" s="682"/>
      <c r="B1123" s="682"/>
      <c r="C1123" s="682"/>
      <c r="D1123" s="914"/>
      <c r="E1123" s="682"/>
      <c r="F1123" s="682"/>
      <c r="G1123" s="682"/>
      <c r="H1123" s="915"/>
      <c r="I1123" s="916"/>
      <c r="J1123" s="916"/>
      <c r="K1123" s="917"/>
      <c r="L1123" s="917"/>
      <c r="M1123" s="917"/>
      <c r="N1123" s="917"/>
      <c r="O1123" s="917"/>
      <c r="P1123" s="917"/>
      <c r="Q1123" s="578"/>
      <c r="R1123" s="578"/>
      <c r="S1123" s="578"/>
      <c r="T1123" s="578"/>
      <c r="U1123" s="578"/>
      <c r="V1123" s="578"/>
      <c r="W1123" s="578"/>
      <c r="X1123" s="578"/>
      <c r="Y1123" s="578"/>
      <c r="Z1123" s="578"/>
    </row>
    <row r="1124" spans="1:26" ht="18.75">
      <c r="A1124" s="682"/>
      <c r="B1124" s="682"/>
      <c r="C1124" s="682"/>
      <c r="D1124" s="914"/>
      <c r="E1124" s="682"/>
      <c r="F1124" s="682"/>
      <c r="G1124" s="682"/>
      <c r="H1124" s="915"/>
      <c r="I1124" s="916"/>
      <c r="J1124" s="916"/>
      <c r="K1124" s="917"/>
      <c r="L1124" s="917"/>
      <c r="M1124" s="917"/>
      <c r="N1124" s="917"/>
      <c r="O1124" s="917"/>
      <c r="P1124" s="917"/>
      <c r="Q1124" s="578"/>
      <c r="R1124" s="578"/>
      <c r="S1124" s="578"/>
      <c r="T1124" s="578"/>
      <c r="U1124" s="578"/>
      <c r="V1124" s="578"/>
      <c r="W1124" s="578"/>
      <c r="X1124" s="578"/>
      <c r="Y1124" s="578"/>
      <c r="Z1124" s="578"/>
    </row>
    <row r="1125" spans="1:26" ht="18.75">
      <c r="A1125" s="682"/>
      <c r="B1125" s="682"/>
      <c r="C1125" s="682"/>
      <c r="D1125" s="914"/>
      <c r="E1125" s="682"/>
      <c r="F1125" s="682"/>
      <c r="G1125" s="682"/>
      <c r="H1125" s="915"/>
      <c r="I1125" s="916"/>
      <c r="J1125" s="916"/>
      <c r="K1125" s="917"/>
      <c r="L1125" s="917"/>
      <c r="M1125" s="917"/>
      <c r="N1125" s="917"/>
      <c r="O1125" s="917"/>
      <c r="P1125" s="917"/>
      <c r="Q1125" s="578"/>
      <c r="R1125" s="578"/>
      <c r="S1125" s="578"/>
      <c r="T1125" s="578"/>
      <c r="U1125" s="578"/>
      <c r="V1125" s="578"/>
      <c r="W1125" s="578"/>
      <c r="X1125" s="578"/>
      <c r="Y1125" s="578"/>
      <c r="Z1125" s="578"/>
    </row>
    <row r="1126" spans="1:26" ht="18.75">
      <c r="A1126" s="682"/>
      <c r="B1126" s="682"/>
      <c r="C1126" s="682"/>
      <c r="D1126" s="914"/>
      <c r="E1126" s="682"/>
      <c r="F1126" s="682"/>
      <c r="G1126" s="682"/>
      <c r="H1126" s="915"/>
      <c r="I1126" s="916"/>
      <c r="J1126" s="916"/>
      <c r="K1126" s="917"/>
      <c r="L1126" s="917"/>
      <c r="M1126" s="917"/>
      <c r="N1126" s="917"/>
      <c r="O1126" s="917"/>
      <c r="P1126" s="917"/>
      <c r="Q1126" s="578"/>
      <c r="R1126" s="578"/>
      <c r="S1126" s="578"/>
      <c r="T1126" s="578"/>
      <c r="U1126" s="578"/>
      <c r="V1126" s="578"/>
      <c r="W1126" s="578"/>
      <c r="X1126" s="578"/>
      <c r="Y1126" s="578"/>
      <c r="Z1126" s="578"/>
    </row>
    <row r="1127" spans="1:26" ht="18.75">
      <c r="A1127" s="682"/>
      <c r="B1127" s="682"/>
      <c r="C1127" s="682"/>
      <c r="D1127" s="914"/>
      <c r="E1127" s="682"/>
      <c r="F1127" s="682"/>
      <c r="G1127" s="682"/>
      <c r="H1127" s="915"/>
      <c r="I1127" s="916"/>
      <c r="J1127" s="916"/>
      <c r="K1127" s="917"/>
      <c r="L1127" s="917"/>
      <c r="M1127" s="917"/>
      <c r="N1127" s="917"/>
      <c r="O1127" s="917"/>
      <c r="P1127" s="917"/>
      <c r="Q1127" s="578"/>
      <c r="R1127" s="578"/>
      <c r="S1127" s="578"/>
      <c r="T1127" s="578"/>
      <c r="U1127" s="578"/>
      <c r="V1127" s="578"/>
      <c r="W1127" s="578"/>
      <c r="X1127" s="578"/>
      <c r="Y1127" s="578"/>
      <c r="Z1127" s="578"/>
    </row>
    <row r="1128" spans="1:26" ht="18.75">
      <c r="A1128" s="682"/>
      <c r="B1128" s="682"/>
      <c r="C1128" s="682"/>
      <c r="D1128" s="914"/>
      <c r="E1128" s="682"/>
      <c r="F1128" s="682"/>
      <c r="G1128" s="682"/>
      <c r="H1128" s="915"/>
      <c r="I1128" s="916"/>
      <c r="J1128" s="916"/>
      <c r="K1128" s="917"/>
      <c r="L1128" s="917"/>
      <c r="M1128" s="917"/>
      <c r="N1128" s="917"/>
      <c r="O1128" s="917"/>
      <c r="P1128" s="917"/>
      <c r="Q1128" s="578"/>
      <c r="R1128" s="578"/>
      <c r="S1128" s="578"/>
      <c r="T1128" s="578"/>
      <c r="U1128" s="578"/>
      <c r="V1128" s="578"/>
      <c r="W1128" s="578"/>
      <c r="X1128" s="578"/>
      <c r="Y1128" s="578"/>
      <c r="Z1128" s="578"/>
    </row>
    <row r="1129" spans="1:26" ht="18.75">
      <c r="A1129" s="682"/>
      <c r="B1129" s="682"/>
      <c r="C1129" s="682"/>
      <c r="D1129" s="914"/>
      <c r="E1129" s="682"/>
      <c r="F1129" s="682"/>
      <c r="G1129" s="682"/>
      <c r="H1129" s="915"/>
      <c r="I1129" s="916"/>
      <c r="J1129" s="916"/>
      <c r="K1129" s="917"/>
      <c r="L1129" s="917"/>
      <c r="M1129" s="917"/>
      <c r="N1129" s="917"/>
      <c r="O1129" s="917"/>
      <c r="P1129" s="917"/>
      <c r="Q1129" s="578"/>
      <c r="R1129" s="578"/>
      <c r="S1129" s="578"/>
      <c r="T1129" s="578"/>
      <c r="U1129" s="578"/>
      <c r="V1129" s="578"/>
      <c r="W1129" s="578"/>
      <c r="X1129" s="578"/>
      <c r="Y1129" s="578"/>
      <c r="Z1129" s="578"/>
    </row>
    <row r="1130" spans="1:26" ht="18.75">
      <c r="A1130" s="682"/>
      <c r="B1130" s="682"/>
      <c r="C1130" s="682"/>
      <c r="D1130" s="914"/>
      <c r="E1130" s="682"/>
      <c r="F1130" s="682"/>
      <c r="G1130" s="682"/>
      <c r="H1130" s="915"/>
      <c r="I1130" s="916"/>
      <c r="J1130" s="916"/>
      <c r="K1130" s="917"/>
      <c r="L1130" s="917"/>
      <c r="M1130" s="917"/>
      <c r="N1130" s="917"/>
      <c r="O1130" s="917"/>
      <c r="P1130" s="917"/>
      <c r="Q1130" s="578"/>
      <c r="R1130" s="578"/>
      <c r="S1130" s="578"/>
      <c r="T1130" s="578"/>
      <c r="U1130" s="578"/>
      <c r="V1130" s="578"/>
      <c r="W1130" s="578"/>
      <c r="X1130" s="578"/>
      <c r="Y1130" s="578"/>
      <c r="Z1130" s="578"/>
    </row>
    <row r="1131" spans="1:26" ht="18.75">
      <c r="A1131" s="682"/>
      <c r="B1131" s="682"/>
      <c r="C1131" s="682"/>
      <c r="D1131" s="914"/>
      <c r="E1131" s="682"/>
      <c r="F1131" s="682"/>
      <c r="G1131" s="682"/>
      <c r="H1131" s="915"/>
      <c r="I1131" s="916"/>
      <c r="J1131" s="916"/>
      <c r="K1131" s="917"/>
      <c r="L1131" s="917"/>
      <c r="M1131" s="917"/>
      <c r="N1131" s="917"/>
      <c r="O1131" s="917"/>
      <c r="P1131" s="917"/>
      <c r="Q1131" s="578"/>
      <c r="R1131" s="578"/>
      <c r="S1131" s="578"/>
      <c r="T1131" s="578"/>
      <c r="U1131" s="578"/>
      <c r="V1131" s="578"/>
      <c r="W1131" s="578"/>
      <c r="X1131" s="578"/>
      <c r="Y1131" s="578"/>
      <c r="Z1131" s="578"/>
    </row>
    <row r="1132" spans="1:26" ht="18.75">
      <c r="A1132" s="682"/>
      <c r="B1132" s="682"/>
      <c r="C1132" s="682"/>
      <c r="D1132" s="914"/>
      <c r="E1132" s="682"/>
      <c r="F1132" s="682"/>
      <c r="G1132" s="682"/>
      <c r="H1132" s="915"/>
      <c r="I1132" s="916"/>
      <c r="J1132" s="916"/>
      <c r="K1132" s="917"/>
      <c r="L1132" s="917"/>
      <c r="M1132" s="917"/>
      <c r="N1132" s="917"/>
      <c r="O1132" s="917"/>
      <c r="P1132" s="917"/>
      <c r="Q1132" s="578"/>
      <c r="R1132" s="578"/>
      <c r="S1132" s="578"/>
      <c r="T1132" s="578"/>
      <c r="U1132" s="578"/>
      <c r="V1132" s="578"/>
      <c r="W1132" s="578"/>
      <c r="X1132" s="578"/>
      <c r="Y1132" s="578"/>
      <c r="Z1132" s="578"/>
    </row>
    <row r="1133" spans="1:26" ht="18.75">
      <c r="A1133" s="682"/>
      <c r="B1133" s="682"/>
      <c r="C1133" s="682"/>
      <c r="D1133" s="914"/>
      <c r="E1133" s="682"/>
      <c r="F1133" s="682"/>
      <c r="G1133" s="682"/>
      <c r="H1133" s="915"/>
      <c r="I1133" s="916"/>
      <c r="J1133" s="916"/>
      <c r="K1133" s="917"/>
      <c r="L1133" s="917"/>
      <c r="M1133" s="917"/>
      <c r="N1133" s="917"/>
      <c r="O1133" s="917"/>
      <c r="P1133" s="917"/>
      <c r="Q1133" s="578"/>
      <c r="R1133" s="578"/>
      <c r="S1133" s="578"/>
      <c r="T1133" s="578"/>
      <c r="U1133" s="578"/>
      <c r="V1133" s="578"/>
      <c r="W1133" s="578"/>
      <c r="X1133" s="578"/>
      <c r="Y1133" s="578"/>
      <c r="Z1133" s="578"/>
    </row>
    <row r="1134" spans="1:26" ht="18.75">
      <c r="A1134" s="682"/>
      <c r="B1134" s="682"/>
      <c r="C1134" s="682"/>
      <c r="D1134" s="914"/>
      <c r="E1134" s="682"/>
      <c r="F1134" s="682"/>
      <c r="G1134" s="682"/>
      <c r="H1134" s="915"/>
      <c r="I1134" s="916"/>
      <c r="J1134" s="916"/>
      <c r="K1134" s="917"/>
      <c r="L1134" s="917"/>
      <c r="M1134" s="917"/>
      <c r="N1134" s="917"/>
      <c r="O1134" s="917"/>
      <c r="P1134" s="917"/>
      <c r="Q1134" s="578"/>
      <c r="R1134" s="578"/>
      <c r="S1134" s="578"/>
      <c r="T1134" s="578"/>
      <c r="U1134" s="578"/>
      <c r="V1134" s="578"/>
      <c r="W1134" s="578"/>
      <c r="X1134" s="578"/>
      <c r="Y1134" s="578"/>
      <c r="Z1134" s="578"/>
    </row>
    <row r="1135" spans="1:26" ht="18.75">
      <c r="A1135" s="682"/>
      <c r="B1135" s="682"/>
      <c r="C1135" s="682"/>
      <c r="D1135" s="914"/>
      <c r="E1135" s="682"/>
      <c r="F1135" s="682"/>
      <c r="G1135" s="682"/>
      <c r="H1135" s="915"/>
      <c r="I1135" s="916"/>
      <c r="J1135" s="916"/>
      <c r="K1135" s="917"/>
      <c r="L1135" s="917"/>
      <c r="M1135" s="917"/>
      <c r="N1135" s="917"/>
      <c r="O1135" s="917"/>
      <c r="P1135" s="917"/>
      <c r="Q1135" s="578"/>
      <c r="R1135" s="578"/>
      <c r="S1135" s="578"/>
      <c r="T1135" s="578"/>
      <c r="U1135" s="578"/>
      <c r="V1135" s="578"/>
      <c r="W1135" s="578"/>
      <c r="X1135" s="578"/>
      <c r="Y1135" s="578"/>
      <c r="Z1135" s="578"/>
    </row>
    <row r="1136" spans="1:26" ht="18.75">
      <c r="A1136" s="682"/>
      <c r="B1136" s="682"/>
      <c r="C1136" s="682"/>
      <c r="D1136" s="914"/>
      <c r="E1136" s="682"/>
      <c r="F1136" s="682"/>
      <c r="G1136" s="682"/>
      <c r="H1136" s="915"/>
      <c r="I1136" s="916"/>
      <c r="J1136" s="916"/>
      <c r="K1136" s="917"/>
      <c r="L1136" s="917"/>
      <c r="M1136" s="917"/>
      <c r="N1136" s="917"/>
      <c r="O1136" s="917"/>
      <c r="P1136" s="917"/>
      <c r="Q1136" s="578"/>
      <c r="R1136" s="578"/>
      <c r="S1136" s="578"/>
      <c r="T1136" s="578"/>
      <c r="U1136" s="578"/>
      <c r="V1136" s="578"/>
      <c r="W1136" s="578"/>
      <c r="X1136" s="578"/>
      <c r="Y1136" s="578"/>
      <c r="Z1136" s="578"/>
    </row>
    <row r="1137" spans="1:26" ht="18.75">
      <c r="A1137" s="682"/>
      <c r="B1137" s="682"/>
      <c r="C1137" s="682"/>
      <c r="D1137" s="914"/>
      <c r="E1137" s="682"/>
      <c r="F1137" s="682"/>
      <c r="G1137" s="682"/>
      <c r="H1137" s="915"/>
      <c r="I1137" s="916"/>
      <c r="J1137" s="916"/>
      <c r="K1137" s="917"/>
      <c r="L1137" s="917"/>
      <c r="M1137" s="917"/>
      <c r="N1137" s="917"/>
      <c r="O1137" s="917"/>
      <c r="P1137" s="917"/>
      <c r="Q1137" s="578"/>
      <c r="R1137" s="578"/>
      <c r="S1137" s="578"/>
      <c r="T1137" s="578"/>
      <c r="U1137" s="578"/>
      <c r="V1137" s="578"/>
      <c r="W1137" s="578"/>
      <c r="X1137" s="578"/>
      <c r="Y1137" s="578"/>
      <c r="Z1137" s="578"/>
    </row>
    <row r="1138" spans="1:26" ht="18.75">
      <c r="A1138" s="682"/>
      <c r="B1138" s="682"/>
      <c r="C1138" s="682"/>
      <c r="D1138" s="914"/>
      <c r="E1138" s="682"/>
      <c r="F1138" s="682"/>
      <c r="G1138" s="682"/>
      <c r="H1138" s="915"/>
      <c r="I1138" s="916"/>
      <c r="J1138" s="916"/>
      <c r="K1138" s="917"/>
      <c r="L1138" s="917"/>
      <c r="M1138" s="917"/>
      <c r="N1138" s="917"/>
      <c r="O1138" s="917"/>
      <c r="P1138" s="917"/>
      <c r="Q1138" s="578"/>
      <c r="R1138" s="578"/>
      <c r="S1138" s="578"/>
      <c r="T1138" s="578"/>
      <c r="U1138" s="578"/>
      <c r="V1138" s="578"/>
      <c r="W1138" s="578"/>
      <c r="X1138" s="578"/>
      <c r="Y1138" s="578"/>
      <c r="Z1138" s="578"/>
    </row>
    <row r="1139" spans="1:26" ht="18.75">
      <c r="A1139" s="682"/>
      <c r="B1139" s="682"/>
      <c r="C1139" s="682"/>
      <c r="D1139" s="914"/>
      <c r="E1139" s="682"/>
      <c r="F1139" s="682"/>
      <c r="G1139" s="682"/>
      <c r="H1139" s="915"/>
      <c r="I1139" s="916"/>
      <c r="J1139" s="916"/>
      <c r="K1139" s="917"/>
      <c r="L1139" s="917"/>
      <c r="M1139" s="917"/>
      <c r="N1139" s="917"/>
      <c r="O1139" s="917"/>
      <c r="P1139" s="917"/>
      <c r="Q1139" s="578"/>
      <c r="R1139" s="578"/>
      <c r="S1139" s="578"/>
      <c r="T1139" s="578"/>
      <c r="U1139" s="578"/>
      <c r="V1139" s="578"/>
      <c r="W1139" s="578"/>
      <c r="X1139" s="578"/>
      <c r="Y1139" s="578"/>
      <c r="Z1139" s="578"/>
    </row>
    <row r="1140" spans="1:26" ht="18.75">
      <c r="A1140" s="682"/>
      <c r="B1140" s="682"/>
      <c r="C1140" s="682"/>
      <c r="D1140" s="914"/>
      <c r="E1140" s="682"/>
      <c r="F1140" s="682"/>
      <c r="G1140" s="682"/>
      <c r="H1140" s="915"/>
      <c r="I1140" s="916"/>
      <c r="J1140" s="916"/>
      <c r="K1140" s="917"/>
      <c r="L1140" s="917"/>
      <c r="M1140" s="917"/>
      <c r="N1140" s="917"/>
      <c r="O1140" s="917"/>
      <c r="P1140" s="917"/>
      <c r="Q1140" s="578"/>
      <c r="R1140" s="578"/>
      <c r="S1140" s="578"/>
      <c r="T1140" s="578"/>
      <c r="U1140" s="578"/>
      <c r="V1140" s="578"/>
      <c r="W1140" s="578"/>
      <c r="X1140" s="578"/>
      <c r="Y1140" s="578"/>
      <c r="Z1140" s="578"/>
    </row>
    <row r="1141" spans="1:26" ht="18.75">
      <c r="A1141" s="682"/>
      <c r="B1141" s="682"/>
      <c r="C1141" s="682"/>
      <c r="D1141" s="914"/>
      <c r="E1141" s="682"/>
      <c r="F1141" s="682"/>
      <c r="G1141" s="682"/>
      <c r="H1141" s="915"/>
      <c r="I1141" s="916"/>
      <c r="J1141" s="916"/>
      <c r="K1141" s="917"/>
      <c r="L1141" s="917"/>
      <c r="M1141" s="917"/>
      <c r="N1141" s="917"/>
      <c r="O1141" s="917"/>
      <c r="P1141" s="917"/>
      <c r="Q1141" s="578"/>
      <c r="R1141" s="578"/>
      <c r="S1141" s="578"/>
      <c r="T1141" s="578"/>
      <c r="U1141" s="578"/>
      <c r="V1141" s="578"/>
      <c r="W1141" s="578"/>
      <c r="X1141" s="578"/>
      <c r="Y1141" s="578"/>
      <c r="Z1141" s="578"/>
    </row>
    <row r="1142" spans="1:26" ht="18.75">
      <c r="A1142" s="682"/>
      <c r="B1142" s="682"/>
      <c r="C1142" s="682"/>
      <c r="D1142" s="914"/>
      <c r="E1142" s="682"/>
      <c r="F1142" s="682"/>
      <c r="G1142" s="682"/>
      <c r="H1142" s="915"/>
      <c r="I1142" s="916"/>
      <c r="J1142" s="916"/>
      <c r="K1142" s="917"/>
      <c r="L1142" s="917"/>
      <c r="M1142" s="917"/>
      <c r="N1142" s="917"/>
      <c r="O1142" s="917"/>
      <c r="P1142" s="917"/>
      <c r="Q1142" s="578"/>
      <c r="R1142" s="578"/>
      <c r="S1142" s="578"/>
      <c r="T1142" s="578"/>
      <c r="U1142" s="578"/>
      <c r="V1142" s="578"/>
      <c r="W1142" s="578"/>
      <c r="X1142" s="578"/>
      <c r="Y1142" s="578"/>
      <c r="Z1142" s="578"/>
    </row>
    <row r="1143" spans="1:26" ht="18.75">
      <c r="A1143" s="682"/>
      <c r="B1143" s="682"/>
      <c r="C1143" s="682"/>
      <c r="D1143" s="914"/>
      <c r="E1143" s="682"/>
      <c r="F1143" s="682"/>
      <c r="G1143" s="682"/>
      <c r="H1143" s="915"/>
      <c r="I1143" s="916"/>
      <c r="J1143" s="916"/>
      <c r="K1143" s="917"/>
      <c r="L1143" s="917"/>
      <c r="M1143" s="917"/>
      <c r="N1143" s="917"/>
      <c r="O1143" s="917"/>
      <c r="P1143" s="917"/>
      <c r="Q1143" s="578"/>
      <c r="R1143" s="578"/>
      <c r="S1143" s="578"/>
      <c r="T1143" s="578"/>
      <c r="U1143" s="578"/>
      <c r="V1143" s="578"/>
      <c r="W1143" s="578"/>
      <c r="X1143" s="578"/>
      <c r="Y1143" s="578"/>
      <c r="Z1143" s="578"/>
    </row>
    <row r="1144" spans="1:26" ht="18.75">
      <c r="A1144" s="682"/>
      <c r="B1144" s="682"/>
      <c r="C1144" s="682"/>
      <c r="D1144" s="914"/>
      <c r="E1144" s="682"/>
      <c r="F1144" s="682"/>
      <c r="G1144" s="682"/>
      <c r="H1144" s="915"/>
      <c r="I1144" s="916"/>
      <c r="J1144" s="916"/>
      <c r="K1144" s="917"/>
      <c r="L1144" s="917"/>
      <c r="M1144" s="917"/>
      <c r="N1144" s="917"/>
      <c r="O1144" s="917"/>
      <c r="P1144" s="917"/>
      <c r="Q1144" s="578"/>
      <c r="R1144" s="578"/>
      <c r="S1144" s="578"/>
      <c r="T1144" s="578"/>
      <c r="U1144" s="578"/>
      <c r="V1144" s="578"/>
      <c r="W1144" s="578"/>
      <c r="X1144" s="578"/>
      <c r="Y1144" s="578"/>
      <c r="Z1144" s="578"/>
    </row>
    <row r="1145" spans="1:26" ht="18.75">
      <c r="A1145" s="682"/>
      <c r="B1145" s="682"/>
      <c r="C1145" s="682"/>
      <c r="D1145" s="914"/>
      <c r="E1145" s="682"/>
      <c r="F1145" s="682"/>
      <c r="G1145" s="682"/>
      <c r="H1145" s="915"/>
      <c r="I1145" s="916"/>
      <c r="J1145" s="916"/>
      <c r="K1145" s="917"/>
      <c r="L1145" s="917"/>
      <c r="M1145" s="917"/>
      <c r="N1145" s="917"/>
      <c r="O1145" s="917"/>
      <c r="P1145" s="917"/>
      <c r="Q1145" s="578"/>
      <c r="R1145" s="578"/>
      <c r="S1145" s="578"/>
      <c r="T1145" s="578"/>
      <c r="U1145" s="578"/>
      <c r="V1145" s="578"/>
      <c r="W1145" s="578"/>
      <c r="X1145" s="578"/>
      <c r="Y1145" s="578"/>
      <c r="Z1145" s="578"/>
    </row>
    <row r="1146" spans="1:26" ht="18.75">
      <c r="A1146" s="682"/>
      <c r="B1146" s="682"/>
      <c r="C1146" s="682"/>
      <c r="D1146" s="914"/>
      <c r="E1146" s="682"/>
      <c r="F1146" s="682"/>
      <c r="G1146" s="682"/>
      <c r="H1146" s="915"/>
      <c r="I1146" s="916"/>
      <c r="J1146" s="916"/>
      <c r="K1146" s="917"/>
      <c r="L1146" s="917"/>
      <c r="M1146" s="917"/>
      <c r="N1146" s="917"/>
      <c r="O1146" s="917"/>
      <c r="P1146" s="917"/>
      <c r="Q1146" s="578"/>
      <c r="R1146" s="578"/>
      <c r="S1146" s="578"/>
      <c r="T1146" s="578"/>
      <c r="U1146" s="578"/>
      <c r="V1146" s="578"/>
      <c r="W1146" s="578"/>
      <c r="X1146" s="578"/>
      <c r="Y1146" s="578"/>
      <c r="Z1146" s="578"/>
    </row>
    <row r="1147" spans="1:26" ht="18.75">
      <c r="A1147" s="682"/>
      <c r="B1147" s="682"/>
      <c r="C1147" s="682"/>
      <c r="D1147" s="914"/>
      <c r="E1147" s="682"/>
      <c r="F1147" s="682"/>
      <c r="G1147" s="682"/>
      <c r="H1147" s="915"/>
      <c r="I1147" s="916"/>
      <c r="J1147" s="916"/>
      <c r="K1147" s="917"/>
      <c r="L1147" s="917"/>
      <c r="M1147" s="917"/>
      <c r="N1147" s="917"/>
      <c r="O1147" s="917"/>
      <c r="P1147" s="917"/>
      <c r="Q1147" s="578"/>
      <c r="R1147" s="578"/>
      <c r="S1147" s="578"/>
      <c r="T1147" s="578"/>
      <c r="U1147" s="578"/>
      <c r="V1147" s="578"/>
      <c r="W1147" s="578"/>
      <c r="X1147" s="578"/>
      <c r="Y1147" s="578"/>
      <c r="Z1147" s="578"/>
    </row>
    <row r="1148" spans="1:26" ht="18.75">
      <c r="A1148" s="682"/>
      <c r="B1148" s="682"/>
      <c r="C1148" s="682"/>
      <c r="D1148" s="914"/>
      <c r="E1148" s="682"/>
      <c r="F1148" s="682"/>
      <c r="G1148" s="682"/>
      <c r="H1148" s="915"/>
      <c r="I1148" s="916"/>
      <c r="J1148" s="916"/>
      <c r="K1148" s="917"/>
      <c r="L1148" s="917"/>
      <c r="M1148" s="917"/>
      <c r="N1148" s="917"/>
      <c r="O1148" s="917"/>
      <c r="P1148" s="917"/>
      <c r="Q1148" s="578"/>
      <c r="R1148" s="578"/>
      <c r="S1148" s="578"/>
      <c r="T1148" s="578"/>
      <c r="U1148" s="578"/>
      <c r="V1148" s="578"/>
      <c r="W1148" s="578"/>
      <c r="X1148" s="578"/>
      <c r="Y1148" s="578"/>
      <c r="Z1148" s="578"/>
    </row>
    <row r="1149" spans="1:26" ht="18.75">
      <c r="A1149" s="682"/>
      <c r="B1149" s="682"/>
      <c r="C1149" s="682"/>
      <c r="D1149" s="914"/>
      <c r="E1149" s="682"/>
      <c r="F1149" s="682"/>
      <c r="G1149" s="682"/>
      <c r="H1149" s="915"/>
      <c r="I1149" s="916"/>
      <c r="J1149" s="916"/>
      <c r="K1149" s="917"/>
      <c r="L1149" s="917"/>
      <c r="M1149" s="917"/>
      <c r="N1149" s="917"/>
      <c r="O1149" s="917"/>
      <c r="P1149" s="917"/>
      <c r="Q1149" s="578"/>
      <c r="R1149" s="578"/>
      <c r="S1149" s="578"/>
      <c r="T1149" s="578"/>
      <c r="U1149" s="578"/>
      <c r="V1149" s="578"/>
      <c r="W1149" s="578"/>
      <c r="X1149" s="578"/>
      <c r="Y1149" s="578"/>
      <c r="Z1149" s="578"/>
    </row>
    <row r="1150" spans="1:26" ht="18.75">
      <c r="A1150" s="682"/>
      <c r="B1150" s="682"/>
      <c r="C1150" s="682"/>
      <c r="D1150" s="914"/>
      <c r="E1150" s="682"/>
      <c r="F1150" s="682"/>
      <c r="G1150" s="682"/>
      <c r="H1150" s="915"/>
      <c r="I1150" s="916"/>
      <c r="J1150" s="916"/>
      <c r="K1150" s="917"/>
      <c r="L1150" s="917"/>
      <c r="M1150" s="917"/>
      <c r="N1150" s="917"/>
      <c r="O1150" s="917"/>
      <c r="P1150" s="917"/>
      <c r="Q1150" s="578"/>
      <c r="R1150" s="578"/>
      <c r="S1150" s="578"/>
      <c r="T1150" s="578"/>
      <c r="U1150" s="578"/>
      <c r="V1150" s="578"/>
      <c r="W1150" s="578"/>
      <c r="X1150" s="578"/>
      <c r="Y1150" s="578"/>
      <c r="Z1150" s="578"/>
    </row>
    <row r="1151" spans="1:26" ht="18.75">
      <c r="A1151" s="682"/>
      <c r="B1151" s="682"/>
      <c r="C1151" s="682"/>
      <c r="D1151" s="914"/>
      <c r="E1151" s="682"/>
      <c r="F1151" s="682"/>
      <c r="G1151" s="682"/>
      <c r="H1151" s="915"/>
      <c r="I1151" s="916"/>
      <c r="J1151" s="916"/>
      <c r="K1151" s="917"/>
      <c r="L1151" s="917"/>
      <c r="M1151" s="917"/>
      <c r="N1151" s="917"/>
      <c r="O1151" s="917"/>
      <c r="P1151" s="917"/>
      <c r="Q1151" s="578"/>
      <c r="R1151" s="578"/>
      <c r="S1151" s="578"/>
      <c r="T1151" s="578"/>
      <c r="U1151" s="578"/>
      <c r="V1151" s="578"/>
      <c r="W1151" s="578"/>
      <c r="X1151" s="578"/>
      <c r="Y1151" s="578"/>
      <c r="Z1151" s="578"/>
    </row>
    <row r="1152" spans="1:26" ht="18.75">
      <c r="A1152" s="682"/>
      <c r="B1152" s="682"/>
      <c r="C1152" s="682"/>
      <c r="D1152" s="914"/>
      <c r="E1152" s="682"/>
      <c r="F1152" s="682"/>
      <c r="G1152" s="682"/>
      <c r="H1152" s="915"/>
      <c r="I1152" s="916"/>
      <c r="J1152" s="916"/>
      <c r="K1152" s="917"/>
      <c r="L1152" s="917"/>
      <c r="M1152" s="917"/>
      <c r="N1152" s="917"/>
      <c r="O1152" s="917"/>
      <c r="P1152" s="917"/>
      <c r="Q1152" s="578"/>
      <c r="R1152" s="578"/>
      <c r="S1152" s="578"/>
      <c r="T1152" s="578"/>
      <c r="U1152" s="578"/>
      <c r="V1152" s="578"/>
      <c r="W1152" s="578"/>
      <c r="X1152" s="578"/>
      <c r="Y1152" s="578"/>
      <c r="Z1152" s="578"/>
    </row>
    <row r="1153" spans="1:26" ht="18.75">
      <c r="A1153" s="682"/>
      <c r="B1153" s="682"/>
      <c r="C1153" s="682"/>
      <c r="D1153" s="914"/>
      <c r="E1153" s="682"/>
      <c r="F1153" s="682"/>
      <c r="G1153" s="682"/>
      <c r="H1153" s="915"/>
      <c r="I1153" s="916"/>
      <c r="J1153" s="916"/>
      <c r="K1153" s="917"/>
      <c r="L1153" s="917"/>
      <c r="M1153" s="917"/>
      <c r="N1153" s="917"/>
      <c r="O1153" s="917"/>
      <c r="P1153" s="917"/>
      <c r="Q1153" s="578"/>
      <c r="R1153" s="578"/>
      <c r="S1153" s="578"/>
      <c r="T1153" s="578"/>
      <c r="U1153" s="578"/>
      <c r="V1153" s="578"/>
      <c r="W1153" s="578"/>
      <c r="X1153" s="578"/>
      <c r="Y1153" s="578"/>
      <c r="Z1153" s="578"/>
    </row>
    <row r="1154" spans="1:26" ht="18.75">
      <c r="A1154" s="682"/>
      <c r="B1154" s="682"/>
      <c r="C1154" s="682"/>
      <c r="D1154" s="914"/>
      <c r="E1154" s="682"/>
      <c r="F1154" s="682"/>
      <c r="G1154" s="682"/>
      <c r="H1154" s="915"/>
      <c r="I1154" s="916"/>
      <c r="J1154" s="916"/>
      <c r="K1154" s="917"/>
      <c r="L1154" s="917"/>
      <c r="M1154" s="917"/>
      <c r="N1154" s="917"/>
      <c r="O1154" s="917"/>
      <c r="P1154" s="917"/>
      <c r="Q1154" s="578"/>
      <c r="R1154" s="578"/>
      <c r="S1154" s="578"/>
      <c r="T1154" s="578"/>
      <c r="U1154" s="578"/>
      <c r="V1154" s="578"/>
      <c r="W1154" s="578"/>
      <c r="X1154" s="578"/>
      <c r="Y1154" s="578"/>
      <c r="Z1154" s="578"/>
    </row>
    <row r="1155" spans="1:26" ht="18.75">
      <c r="A1155" s="682"/>
      <c r="B1155" s="682"/>
      <c r="C1155" s="682"/>
      <c r="D1155" s="914"/>
      <c r="E1155" s="682"/>
      <c r="F1155" s="682"/>
      <c r="G1155" s="682"/>
      <c r="H1155" s="915"/>
      <c r="I1155" s="916"/>
      <c r="J1155" s="916"/>
      <c r="K1155" s="917"/>
      <c r="L1155" s="917"/>
      <c r="M1155" s="917"/>
      <c r="N1155" s="917"/>
      <c r="O1155" s="917"/>
      <c r="P1155" s="917"/>
      <c r="Q1155" s="578"/>
      <c r="R1155" s="578"/>
      <c r="S1155" s="578"/>
      <c r="T1155" s="578"/>
      <c r="U1155" s="578"/>
      <c r="V1155" s="578"/>
      <c r="W1155" s="578"/>
      <c r="X1155" s="578"/>
      <c r="Y1155" s="578"/>
      <c r="Z1155" s="578"/>
    </row>
    <row r="1156" spans="1:26" ht="18.75">
      <c r="A1156" s="682"/>
      <c r="B1156" s="682"/>
      <c r="C1156" s="682"/>
      <c r="D1156" s="914"/>
      <c r="E1156" s="682"/>
      <c r="F1156" s="682"/>
      <c r="G1156" s="682"/>
      <c r="H1156" s="915"/>
      <c r="I1156" s="916"/>
      <c r="J1156" s="916"/>
      <c r="K1156" s="917"/>
      <c r="L1156" s="917"/>
      <c r="M1156" s="917"/>
      <c r="N1156" s="917"/>
      <c r="O1156" s="917"/>
      <c r="P1156" s="917"/>
      <c r="Q1156" s="578"/>
      <c r="R1156" s="578"/>
      <c r="S1156" s="578"/>
      <c r="T1156" s="578"/>
      <c r="U1156" s="578"/>
      <c r="V1156" s="578"/>
      <c r="W1156" s="578"/>
      <c r="X1156" s="578"/>
      <c r="Y1156" s="578"/>
      <c r="Z1156" s="578"/>
    </row>
    <row r="1157" spans="1:26" ht="18.75">
      <c r="A1157" s="682"/>
      <c r="B1157" s="682"/>
      <c r="C1157" s="682"/>
      <c r="D1157" s="914"/>
      <c r="E1157" s="682"/>
      <c r="F1157" s="682"/>
      <c r="G1157" s="682"/>
      <c r="H1157" s="915"/>
      <c r="I1157" s="916"/>
      <c r="J1157" s="916"/>
      <c r="K1157" s="917"/>
      <c r="L1157" s="917"/>
      <c r="M1157" s="917"/>
      <c r="N1157" s="917"/>
      <c r="O1157" s="917"/>
      <c r="P1157" s="917"/>
      <c r="Q1157" s="578"/>
      <c r="R1157" s="578"/>
      <c r="S1157" s="578"/>
      <c r="T1157" s="578"/>
      <c r="U1157" s="578"/>
      <c r="V1157" s="578"/>
      <c r="W1157" s="578"/>
      <c r="X1157" s="578"/>
      <c r="Y1157" s="578"/>
      <c r="Z1157" s="578"/>
    </row>
    <row r="1158" spans="1:26" ht="18.75">
      <c r="A1158" s="682"/>
      <c r="B1158" s="682"/>
      <c r="C1158" s="682"/>
      <c r="D1158" s="914"/>
      <c r="E1158" s="682"/>
      <c r="F1158" s="682"/>
      <c r="G1158" s="682"/>
      <c r="H1158" s="915"/>
      <c r="I1158" s="916"/>
      <c r="J1158" s="916"/>
      <c r="K1158" s="917"/>
      <c r="L1158" s="917"/>
      <c r="M1158" s="917"/>
      <c r="N1158" s="917"/>
      <c r="O1158" s="917"/>
      <c r="P1158" s="917"/>
      <c r="Q1158" s="578"/>
      <c r="R1158" s="578"/>
      <c r="S1158" s="578"/>
      <c r="T1158" s="578"/>
      <c r="U1158" s="578"/>
      <c r="V1158" s="578"/>
      <c r="W1158" s="578"/>
      <c r="X1158" s="578"/>
      <c r="Y1158" s="578"/>
      <c r="Z1158" s="578"/>
    </row>
    <row r="1159" spans="1:26" ht="18.75">
      <c r="A1159" s="682"/>
      <c r="B1159" s="682"/>
      <c r="C1159" s="682"/>
      <c r="D1159" s="914"/>
      <c r="E1159" s="682"/>
      <c r="F1159" s="682"/>
      <c r="G1159" s="682"/>
      <c r="H1159" s="915"/>
      <c r="I1159" s="916"/>
      <c r="J1159" s="916"/>
      <c r="K1159" s="917"/>
      <c r="L1159" s="917"/>
      <c r="M1159" s="917"/>
      <c r="N1159" s="917"/>
      <c r="O1159" s="917"/>
      <c r="P1159" s="917"/>
      <c r="Q1159" s="578"/>
      <c r="R1159" s="578"/>
      <c r="S1159" s="578"/>
      <c r="T1159" s="578"/>
      <c r="U1159" s="578"/>
      <c r="V1159" s="578"/>
      <c r="W1159" s="578"/>
      <c r="X1159" s="578"/>
      <c r="Y1159" s="578"/>
      <c r="Z1159" s="578"/>
    </row>
    <row r="1160" spans="1:26" ht="18.75">
      <c r="A1160" s="682"/>
      <c r="B1160" s="682"/>
      <c r="C1160" s="682"/>
      <c r="D1160" s="914"/>
      <c r="E1160" s="682"/>
      <c r="F1160" s="682"/>
      <c r="G1160" s="682"/>
      <c r="H1160" s="915"/>
      <c r="I1160" s="916"/>
      <c r="J1160" s="916"/>
      <c r="K1160" s="917"/>
      <c r="L1160" s="917"/>
      <c r="M1160" s="917"/>
      <c r="N1160" s="917"/>
      <c r="O1160" s="917"/>
      <c r="P1160" s="917"/>
      <c r="Q1160" s="578"/>
      <c r="R1160" s="578"/>
      <c r="S1160" s="578"/>
      <c r="T1160" s="578"/>
      <c r="U1160" s="578"/>
      <c r="V1160" s="578"/>
      <c r="W1160" s="578"/>
      <c r="X1160" s="578"/>
      <c r="Y1160" s="578"/>
      <c r="Z1160" s="578"/>
    </row>
    <row r="1161" spans="1:26" ht="18.75">
      <c r="A1161" s="682"/>
      <c r="B1161" s="682"/>
      <c r="C1161" s="682"/>
      <c r="D1161" s="914"/>
      <c r="E1161" s="682"/>
      <c r="F1161" s="682"/>
      <c r="G1161" s="682"/>
      <c r="H1161" s="915"/>
      <c r="I1161" s="916"/>
      <c r="J1161" s="916"/>
      <c r="K1161" s="917"/>
      <c r="L1161" s="917"/>
      <c r="M1161" s="917"/>
      <c r="N1161" s="917"/>
      <c r="O1161" s="917"/>
      <c r="P1161" s="917"/>
      <c r="Q1161" s="578"/>
      <c r="R1161" s="578"/>
      <c r="S1161" s="578"/>
      <c r="T1161" s="578"/>
      <c r="U1161" s="578"/>
      <c r="V1161" s="578"/>
      <c r="W1161" s="578"/>
      <c r="X1161" s="578"/>
      <c r="Y1161" s="578"/>
      <c r="Z1161" s="578"/>
    </row>
    <row r="1162" spans="1:26" ht="18.75">
      <c r="A1162" s="682"/>
      <c r="B1162" s="682"/>
      <c r="C1162" s="682"/>
      <c r="D1162" s="914"/>
      <c r="E1162" s="682"/>
      <c r="F1162" s="682"/>
      <c r="G1162" s="682"/>
      <c r="H1162" s="915"/>
      <c r="I1162" s="916"/>
      <c r="J1162" s="916"/>
      <c r="K1162" s="917"/>
      <c r="L1162" s="917"/>
      <c r="M1162" s="917"/>
      <c r="N1162" s="917"/>
      <c r="O1162" s="917"/>
      <c r="P1162" s="917"/>
      <c r="Q1162" s="578"/>
      <c r="R1162" s="578"/>
      <c r="S1162" s="578"/>
      <c r="T1162" s="578"/>
      <c r="U1162" s="578"/>
      <c r="V1162" s="578"/>
      <c r="W1162" s="578"/>
      <c r="X1162" s="578"/>
      <c r="Y1162" s="578"/>
      <c r="Z1162" s="578"/>
    </row>
    <row r="1163" spans="1:26" ht="18.75">
      <c r="A1163" s="682"/>
      <c r="B1163" s="682"/>
      <c r="C1163" s="682"/>
      <c r="D1163" s="914"/>
      <c r="E1163" s="682"/>
      <c r="F1163" s="682"/>
      <c r="G1163" s="682"/>
      <c r="H1163" s="915"/>
      <c r="I1163" s="916"/>
      <c r="J1163" s="916"/>
      <c r="K1163" s="917"/>
      <c r="L1163" s="917"/>
      <c r="M1163" s="917"/>
      <c r="N1163" s="917"/>
      <c r="O1163" s="917"/>
      <c r="P1163" s="917"/>
      <c r="Q1163" s="578"/>
      <c r="R1163" s="578"/>
      <c r="S1163" s="578"/>
      <c r="T1163" s="578"/>
      <c r="U1163" s="578"/>
      <c r="V1163" s="578"/>
      <c r="W1163" s="578"/>
      <c r="X1163" s="578"/>
      <c r="Y1163" s="578"/>
      <c r="Z1163" s="578"/>
    </row>
    <row r="1164" spans="1:26" ht="18.75">
      <c r="A1164" s="682"/>
      <c r="B1164" s="682"/>
      <c r="C1164" s="682"/>
      <c r="D1164" s="914"/>
      <c r="E1164" s="682"/>
      <c r="F1164" s="682"/>
      <c r="G1164" s="682"/>
      <c r="H1164" s="915"/>
      <c r="I1164" s="916"/>
      <c r="J1164" s="916"/>
      <c r="K1164" s="917"/>
      <c r="L1164" s="917"/>
      <c r="M1164" s="917"/>
      <c r="N1164" s="917"/>
      <c r="O1164" s="917"/>
      <c r="P1164" s="917"/>
      <c r="Q1164" s="578"/>
      <c r="R1164" s="578"/>
      <c r="S1164" s="578"/>
      <c r="T1164" s="578"/>
      <c r="U1164" s="578"/>
      <c r="V1164" s="578"/>
      <c r="W1164" s="578"/>
      <c r="X1164" s="578"/>
      <c r="Y1164" s="578"/>
      <c r="Z1164" s="578"/>
    </row>
    <row r="1165" spans="1:26" ht="18.75">
      <c r="A1165" s="682"/>
      <c r="B1165" s="682"/>
      <c r="C1165" s="682"/>
      <c r="D1165" s="914"/>
      <c r="E1165" s="682"/>
      <c r="F1165" s="682"/>
      <c r="G1165" s="682"/>
      <c r="H1165" s="915"/>
      <c r="I1165" s="916"/>
      <c r="J1165" s="916"/>
      <c r="K1165" s="917"/>
      <c r="L1165" s="917"/>
      <c r="M1165" s="917"/>
      <c r="N1165" s="917"/>
      <c r="O1165" s="917"/>
      <c r="P1165" s="917"/>
      <c r="Q1165" s="578"/>
      <c r="R1165" s="578"/>
      <c r="S1165" s="578"/>
      <c r="T1165" s="578"/>
      <c r="U1165" s="578"/>
      <c r="V1165" s="578"/>
      <c r="W1165" s="578"/>
      <c r="X1165" s="578"/>
      <c r="Y1165" s="578"/>
      <c r="Z1165" s="578"/>
    </row>
    <row r="1166" spans="1:26" ht="18.75">
      <c r="A1166" s="682"/>
      <c r="B1166" s="682"/>
      <c r="C1166" s="682"/>
      <c r="D1166" s="914"/>
      <c r="E1166" s="682"/>
      <c r="F1166" s="682"/>
      <c r="G1166" s="682"/>
      <c r="H1166" s="915"/>
      <c r="I1166" s="916"/>
      <c r="J1166" s="916"/>
      <c r="K1166" s="917"/>
      <c r="L1166" s="917"/>
      <c r="M1166" s="917"/>
      <c r="N1166" s="917"/>
      <c r="O1166" s="917"/>
      <c r="P1166" s="917"/>
      <c r="Q1166" s="578"/>
      <c r="R1166" s="578"/>
      <c r="S1166" s="578"/>
      <c r="T1166" s="578"/>
      <c r="U1166" s="578"/>
      <c r="V1166" s="578"/>
      <c r="W1166" s="578"/>
      <c r="X1166" s="578"/>
      <c r="Y1166" s="578"/>
      <c r="Z1166" s="578"/>
    </row>
    <row r="1167" spans="1:26" ht="18.75">
      <c r="A1167" s="682"/>
      <c r="B1167" s="682"/>
      <c r="C1167" s="682"/>
      <c r="D1167" s="914"/>
      <c r="E1167" s="682"/>
      <c r="F1167" s="682"/>
      <c r="G1167" s="682"/>
      <c r="H1167" s="915"/>
      <c r="I1167" s="916"/>
      <c r="J1167" s="916"/>
      <c r="K1167" s="917"/>
      <c r="L1167" s="917"/>
      <c r="M1167" s="917"/>
      <c r="N1167" s="917"/>
      <c r="O1167" s="917"/>
      <c r="P1167" s="917"/>
      <c r="Q1167" s="578"/>
      <c r="R1167" s="578"/>
      <c r="S1167" s="578"/>
      <c r="T1167" s="578"/>
      <c r="U1167" s="578"/>
      <c r="V1167" s="578"/>
      <c r="W1167" s="578"/>
      <c r="X1167" s="578"/>
      <c r="Y1167" s="578"/>
      <c r="Z1167" s="578"/>
    </row>
    <row r="1168" spans="1:26" ht="18.75">
      <c r="A1168" s="682"/>
      <c r="B1168" s="682"/>
      <c r="C1168" s="682"/>
      <c r="D1168" s="914"/>
      <c r="E1168" s="682"/>
      <c r="F1168" s="682"/>
      <c r="G1168" s="682"/>
      <c r="H1168" s="915"/>
      <c r="I1168" s="916"/>
      <c r="J1168" s="916"/>
      <c r="K1168" s="917"/>
      <c r="L1168" s="917"/>
      <c r="M1168" s="917"/>
      <c r="N1168" s="917"/>
      <c r="O1168" s="917"/>
      <c r="P1168" s="917"/>
      <c r="Q1168" s="578"/>
      <c r="R1168" s="578"/>
      <c r="S1168" s="578"/>
      <c r="T1168" s="578"/>
      <c r="U1168" s="578"/>
      <c r="V1168" s="578"/>
      <c r="W1168" s="578"/>
      <c r="X1168" s="578"/>
      <c r="Y1168" s="578"/>
      <c r="Z1168" s="578"/>
    </row>
    <row r="1169" spans="1:26" ht="18.75">
      <c r="A1169" s="682"/>
      <c r="B1169" s="682"/>
      <c r="C1169" s="682"/>
      <c r="D1169" s="914"/>
      <c r="E1169" s="682"/>
      <c r="F1169" s="682"/>
      <c r="G1169" s="682"/>
      <c r="H1169" s="915"/>
      <c r="I1169" s="916"/>
      <c r="J1169" s="916"/>
      <c r="K1169" s="917"/>
      <c r="L1169" s="917"/>
      <c r="M1169" s="917"/>
      <c r="N1169" s="917"/>
      <c r="O1169" s="917"/>
      <c r="P1169" s="917"/>
      <c r="Q1169" s="578"/>
      <c r="R1169" s="578"/>
      <c r="S1169" s="578"/>
      <c r="T1169" s="578"/>
      <c r="U1169" s="578"/>
      <c r="V1169" s="578"/>
      <c r="W1169" s="578"/>
      <c r="X1169" s="578"/>
      <c r="Y1169" s="578"/>
      <c r="Z1169" s="578"/>
    </row>
    <row r="1170" spans="1:26" ht="18.75">
      <c r="A1170" s="682"/>
      <c r="B1170" s="682"/>
      <c r="C1170" s="682"/>
      <c r="D1170" s="914"/>
      <c r="E1170" s="682"/>
      <c r="F1170" s="682"/>
      <c r="G1170" s="682"/>
      <c r="H1170" s="915"/>
      <c r="I1170" s="916"/>
      <c r="J1170" s="916"/>
      <c r="K1170" s="917"/>
      <c r="L1170" s="917"/>
      <c r="M1170" s="917"/>
      <c r="N1170" s="917"/>
      <c r="O1170" s="917"/>
      <c r="P1170" s="917"/>
      <c r="Q1170" s="578"/>
      <c r="R1170" s="578"/>
      <c r="S1170" s="578"/>
      <c r="T1170" s="578"/>
      <c r="U1170" s="578"/>
      <c r="V1170" s="578"/>
      <c r="W1170" s="578"/>
      <c r="X1170" s="578"/>
      <c r="Y1170" s="578"/>
      <c r="Z1170" s="578"/>
    </row>
    <row r="1171" spans="1:26" ht="18.75">
      <c r="A1171" s="682"/>
      <c r="B1171" s="682"/>
      <c r="C1171" s="682"/>
      <c r="D1171" s="914"/>
      <c r="E1171" s="682"/>
      <c r="F1171" s="682"/>
      <c r="G1171" s="682"/>
      <c r="H1171" s="915"/>
      <c r="I1171" s="916"/>
      <c r="J1171" s="916"/>
      <c r="K1171" s="917"/>
      <c r="L1171" s="917"/>
      <c r="M1171" s="917"/>
      <c r="N1171" s="917"/>
      <c r="O1171" s="917"/>
      <c r="P1171" s="917"/>
      <c r="Q1171" s="578"/>
      <c r="R1171" s="578"/>
      <c r="S1171" s="578"/>
      <c r="T1171" s="578"/>
      <c r="U1171" s="578"/>
      <c r="V1171" s="578"/>
      <c r="W1171" s="578"/>
      <c r="X1171" s="578"/>
      <c r="Y1171" s="578"/>
      <c r="Z1171" s="578"/>
    </row>
    <row r="1172" spans="1:26" ht="18.75">
      <c r="A1172" s="682"/>
      <c r="B1172" s="682"/>
      <c r="C1172" s="682"/>
      <c r="D1172" s="914"/>
      <c r="E1172" s="682"/>
      <c r="F1172" s="682"/>
      <c r="G1172" s="682"/>
      <c r="H1172" s="915"/>
      <c r="I1172" s="916"/>
      <c r="J1172" s="916"/>
      <c r="K1172" s="917"/>
      <c r="L1172" s="917"/>
      <c r="M1172" s="917"/>
      <c r="N1172" s="917"/>
      <c r="O1172" s="917"/>
      <c r="P1172" s="917"/>
      <c r="Q1172" s="578"/>
      <c r="R1172" s="578"/>
      <c r="S1172" s="578"/>
      <c r="T1172" s="578"/>
      <c r="U1172" s="578"/>
      <c r="V1172" s="578"/>
      <c r="W1172" s="578"/>
      <c r="X1172" s="578"/>
      <c r="Y1172" s="578"/>
      <c r="Z1172" s="578"/>
    </row>
    <row r="1173" spans="1:26" ht="18.75">
      <c r="A1173" s="682"/>
      <c r="B1173" s="682"/>
      <c r="C1173" s="682"/>
      <c r="D1173" s="914"/>
      <c r="E1173" s="682"/>
      <c r="F1173" s="682"/>
      <c r="G1173" s="682"/>
      <c r="H1173" s="915"/>
      <c r="I1173" s="916"/>
      <c r="J1173" s="916"/>
      <c r="K1173" s="917"/>
      <c r="L1173" s="917"/>
      <c r="M1173" s="917"/>
      <c r="N1173" s="917"/>
      <c r="O1173" s="917"/>
      <c r="P1173" s="917"/>
      <c r="Q1173" s="578"/>
      <c r="R1173" s="578"/>
      <c r="S1173" s="578"/>
      <c r="T1173" s="578"/>
      <c r="U1173" s="578"/>
      <c r="V1173" s="578"/>
      <c r="W1173" s="578"/>
      <c r="X1173" s="578"/>
      <c r="Y1173" s="578"/>
      <c r="Z1173" s="578"/>
    </row>
    <row r="1174" spans="1:26" ht="18.75">
      <c r="A1174" s="682"/>
      <c r="B1174" s="682"/>
      <c r="C1174" s="682"/>
      <c r="D1174" s="914"/>
      <c r="E1174" s="682"/>
      <c r="F1174" s="682"/>
      <c r="G1174" s="682"/>
      <c r="H1174" s="915"/>
      <c r="I1174" s="916"/>
      <c r="J1174" s="916"/>
      <c r="K1174" s="917"/>
      <c r="L1174" s="917"/>
      <c r="M1174" s="917"/>
      <c r="N1174" s="917"/>
      <c r="O1174" s="917"/>
      <c r="P1174" s="917"/>
      <c r="Q1174" s="578"/>
      <c r="R1174" s="578"/>
      <c r="S1174" s="578"/>
      <c r="T1174" s="578"/>
      <c r="U1174" s="578"/>
      <c r="V1174" s="578"/>
      <c r="W1174" s="578"/>
      <c r="X1174" s="578"/>
      <c r="Y1174" s="578"/>
      <c r="Z1174" s="578"/>
    </row>
    <row r="1175" spans="1:26" ht="18.75">
      <c r="A1175" s="682"/>
      <c r="B1175" s="682"/>
      <c r="C1175" s="682"/>
      <c r="D1175" s="914"/>
      <c r="E1175" s="682"/>
      <c r="F1175" s="682"/>
      <c r="G1175" s="682"/>
      <c r="H1175" s="915"/>
      <c r="I1175" s="916"/>
      <c r="J1175" s="916"/>
      <c r="K1175" s="917"/>
      <c r="L1175" s="917"/>
      <c r="M1175" s="917"/>
      <c r="N1175" s="917"/>
      <c r="O1175" s="917"/>
      <c r="P1175" s="917"/>
      <c r="Q1175" s="578"/>
      <c r="R1175" s="578"/>
      <c r="S1175" s="578"/>
      <c r="T1175" s="578"/>
      <c r="U1175" s="578"/>
      <c r="V1175" s="578"/>
      <c r="W1175" s="578"/>
      <c r="X1175" s="578"/>
      <c r="Y1175" s="578"/>
      <c r="Z1175" s="578"/>
    </row>
    <row r="1176" spans="1:26" ht="18.75">
      <c r="A1176" s="682"/>
      <c r="B1176" s="682"/>
      <c r="C1176" s="682"/>
      <c r="D1176" s="914"/>
      <c r="E1176" s="682"/>
      <c r="F1176" s="682"/>
      <c r="G1176" s="682"/>
      <c r="H1176" s="915"/>
      <c r="I1176" s="916"/>
      <c r="J1176" s="916"/>
      <c r="K1176" s="917"/>
      <c r="L1176" s="917"/>
      <c r="M1176" s="917"/>
      <c r="N1176" s="917"/>
      <c r="O1176" s="917"/>
      <c r="P1176" s="917"/>
      <c r="Q1176" s="578"/>
      <c r="R1176" s="578"/>
      <c r="S1176" s="578"/>
      <c r="T1176" s="578"/>
      <c r="U1176" s="578"/>
      <c r="V1176" s="578"/>
      <c r="W1176" s="578"/>
      <c r="X1176" s="578"/>
      <c r="Y1176" s="578"/>
      <c r="Z1176" s="578"/>
    </row>
    <row r="1177" spans="1:26" ht="18.75">
      <c r="A1177" s="682"/>
      <c r="B1177" s="682"/>
      <c r="C1177" s="682"/>
      <c r="D1177" s="914"/>
      <c r="E1177" s="682"/>
      <c r="F1177" s="682"/>
      <c r="G1177" s="682"/>
      <c r="H1177" s="915"/>
      <c r="I1177" s="916"/>
      <c r="J1177" s="916"/>
      <c r="K1177" s="917"/>
      <c r="L1177" s="917"/>
      <c r="M1177" s="917"/>
      <c r="N1177" s="917"/>
      <c r="O1177" s="917"/>
      <c r="P1177" s="917"/>
      <c r="Q1177" s="578"/>
      <c r="R1177" s="578"/>
      <c r="S1177" s="578"/>
      <c r="T1177" s="578"/>
      <c r="U1177" s="578"/>
      <c r="V1177" s="578"/>
      <c r="W1177" s="578"/>
      <c r="X1177" s="578"/>
      <c r="Y1177" s="578"/>
      <c r="Z1177" s="578"/>
    </row>
    <row r="1178" spans="1:26" ht="18.75">
      <c r="A1178" s="682"/>
      <c r="B1178" s="682"/>
      <c r="C1178" s="682"/>
      <c r="D1178" s="914"/>
      <c r="E1178" s="682"/>
      <c r="F1178" s="682"/>
      <c r="G1178" s="682"/>
      <c r="H1178" s="915"/>
      <c r="I1178" s="916"/>
      <c r="J1178" s="916"/>
      <c r="K1178" s="917"/>
      <c r="L1178" s="917"/>
      <c r="M1178" s="917"/>
      <c r="N1178" s="917"/>
      <c r="O1178" s="917"/>
      <c r="P1178" s="917"/>
      <c r="Q1178" s="578"/>
      <c r="R1178" s="578"/>
      <c r="S1178" s="578"/>
      <c r="T1178" s="578"/>
      <c r="U1178" s="578"/>
      <c r="V1178" s="578"/>
      <c r="W1178" s="578"/>
      <c r="X1178" s="578"/>
      <c r="Y1178" s="578"/>
      <c r="Z1178" s="578"/>
    </row>
    <row r="1179" spans="1:26" ht="18.75">
      <c r="A1179" s="682"/>
      <c r="B1179" s="682"/>
      <c r="C1179" s="682"/>
      <c r="D1179" s="914"/>
      <c r="E1179" s="682"/>
      <c r="F1179" s="682"/>
      <c r="G1179" s="682"/>
      <c r="H1179" s="915"/>
      <c r="I1179" s="916"/>
      <c r="J1179" s="916"/>
      <c r="K1179" s="917"/>
      <c r="L1179" s="917"/>
      <c r="M1179" s="917"/>
      <c r="N1179" s="917"/>
      <c r="O1179" s="917"/>
      <c r="P1179" s="917"/>
      <c r="Q1179" s="578"/>
      <c r="R1179" s="578"/>
      <c r="S1179" s="578"/>
      <c r="T1179" s="578"/>
      <c r="U1179" s="578"/>
      <c r="V1179" s="578"/>
      <c r="W1179" s="578"/>
      <c r="X1179" s="578"/>
      <c r="Y1179" s="578"/>
      <c r="Z1179" s="578"/>
    </row>
    <row r="1180" spans="1:26" ht="18.75">
      <c r="A1180" s="682"/>
      <c r="B1180" s="682"/>
      <c r="C1180" s="682"/>
      <c r="D1180" s="914"/>
      <c r="E1180" s="682"/>
      <c r="F1180" s="682"/>
      <c r="G1180" s="682"/>
      <c r="H1180" s="915"/>
      <c r="I1180" s="916"/>
      <c r="J1180" s="916"/>
      <c r="K1180" s="917"/>
      <c r="L1180" s="917"/>
      <c r="M1180" s="917"/>
      <c r="N1180" s="917"/>
      <c r="O1180" s="917"/>
      <c r="P1180" s="917"/>
      <c r="Q1180" s="578"/>
      <c r="R1180" s="578"/>
      <c r="S1180" s="578"/>
      <c r="T1180" s="578"/>
      <c r="U1180" s="578"/>
      <c r="V1180" s="578"/>
      <c r="W1180" s="578"/>
      <c r="X1180" s="578"/>
      <c r="Y1180" s="578"/>
      <c r="Z1180" s="578"/>
    </row>
    <row r="1181" spans="1:26" ht="18.75">
      <c r="A1181" s="682"/>
      <c r="B1181" s="682"/>
      <c r="C1181" s="682"/>
      <c r="D1181" s="914"/>
      <c r="E1181" s="682"/>
      <c r="F1181" s="682"/>
      <c r="G1181" s="682"/>
      <c r="H1181" s="915"/>
      <c r="I1181" s="916"/>
      <c r="J1181" s="916"/>
      <c r="K1181" s="917"/>
      <c r="L1181" s="917"/>
      <c r="M1181" s="917"/>
      <c r="N1181" s="917"/>
      <c r="O1181" s="917"/>
      <c r="P1181" s="917"/>
      <c r="Q1181" s="578"/>
      <c r="R1181" s="578"/>
      <c r="S1181" s="578"/>
      <c r="T1181" s="578"/>
      <c r="U1181" s="578"/>
      <c r="V1181" s="578"/>
      <c r="W1181" s="578"/>
      <c r="X1181" s="578"/>
      <c r="Y1181" s="578"/>
      <c r="Z1181" s="578"/>
    </row>
    <row r="1182" spans="1:26" ht="18.75">
      <c r="A1182" s="682"/>
      <c r="B1182" s="682"/>
      <c r="C1182" s="682"/>
      <c r="D1182" s="914"/>
      <c r="E1182" s="682"/>
      <c r="F1182" s="682"/>
      <c r="G1182" s="682"/>
      <c r="H1182" s="915"/>
      <c r="I1182" s="916"/>
      <c r="J1182" s="916"/>
      <c r="K1182" s="917"/>
      <c r="L1182" s="917"/>
      <c r="M1182" s="917"/>
      <c r="N1182" s="917"/>
      <c r="O1182" s="917"/>
      <c r="P1182" s="917"/>
      <c r="Q1182" s="578"/>
      <c r="R1182" s="578"/>
      <c r="S1182" s="578"/>
      <c r="T1182" s="578"/>
      <c r="U1182" s="578"/>
      <c r="V1182" s="578"/>
      <c r="W1182" s="578"/>
      <c r="X1182" s="578"/>
      <c r="Y1182" s="578"/>
      <c r="Z1182" s="578"/>
    </row>
    <row r="1183" spans="1:26" ht="18.75">
      <c r="A1183" s="682"/>
      <c r="B1183" s="682"/>
      <c r="C1183" s="682"/>
      <c r="D1183" s="914"/>
      <c r="E1183" s="682"/>
      <c r="F1183" s="682"/>
      <c r="G1183" s="682"/>
      <c r="H1183" s="915"/>
      <c r="I1183" s="916"/>
      <c r="J1183" s="916"/>
      <c r="K1183" s="917"/>
      <c r="L1183" s="917"/>
      <c r="M1183" s="917"/>
      <c r="N1183" s="917"/>
      <c r="O1183" s="917"/>
      <c r="P1183" s="917"/>
      <c r="Q1183" s="578"/>
      <c r="R1183" s="578"/>
      <c r="S1183" s="578"/>
      <c r="T1183" s="578"/>
      <c r="U1183" s="578"/>
      <c r="V1183" s="578"/>
      <c r="W1183" s="578"/>
      <c r="X1183" s="578"/>
      <c r="Y1183" s="578"/>
      <c r="Z1183" s="578"/>
    </row>
    <row r="1184" spans="1:26" ht="18.75">
      <c r="A1184" s="682"/>
      <c r="B1184" s="682"/>
      <c r="C1184" s="682"/>
      <c r="D1184" s="914"/>
      <c r="E1184" s="682"/>
      <c r="F1184" s="682"/>
      <c r="G1184" s="682"/>
      <c r="H1184" s="915"/>
      <c r="I1184" s="916"/>
      <c r="J1184" s="916"/>
      <c r="K1184" s="917"/>
      <c r="L1184" s="917"/>
      <c r="M1184" s="917"/>
      <c r="N1184" s="917"/>
      <c r="O1184" s="917"/>
      <c r="P1184" s="917"/>
      <c r="Q1184" s="578"/>
      <c r="R1184" s="578"/>
      <c r="S1184" s="578"/>
      <c r="T1184" s="578"/>
      <c r="U1184" s="578"/>
      <c r="V1184" s="578"/>
      <c r="W1184" s="578"/>
      <c r="X1184" s="578"/>
      <c r="Y1184" s="578"/>
      <c r="Z1184" s="578"/>
    </row>
    <row r="1185" spans="1:26" ht="18.75">
      <c r="A1185" s="682"/>
      <c r="B1185" s="682"/>
      <c r="C1185" s="682"/>
      <c r="D1185" s="914"/>
      <c r="E1185" s="682"/>
      <c r="F1185" s="682"/>
      <c r="G1185" s="682"/>
      <c r="H1185" s="915"/>
      <c r="I1185" s="916"/>
      <c r="J1185" s="916"/>
      <c r="K1185" s="917"/>
      <c r="L1185" s="917"/>
      <c r="M1185" s="917"/>
      <c r="N1185" s="917"/>
      <c r="O1185" s="917"/>
      <c r="P1185" s="917"/>
      <c r="Q1185" s="578"/>
      <c r="R1185" s="578"/>
      <c r="S1185" s="578"/>
      <c r="T1185" s="578"/>
      <c r="U1185" s="578"/>
      <c r="V1185" s="578"/>
      <c r="W1185" s="578"/>
      <c r="X1185" s="578"/>
      <c r="Y1185" s="578"/>
      <c r="Z1185" s="578"/>
    </row>
    <row r="1186" spans="1:26" ht="18.75">
      <c r="A1186" s="682"/>
      <c r="B1186" s="682"/>
      <c r="C1186" s="682"/>
      <c r="D1186" s="914"/>
      <c r="E1186" s="682"/>
      <c r="F1186" s="682"/>
      <c r="G1186" s="682"/>
      <c r="H1186" s="915"/>
      <c r="I1186" s="916"/>
      <c r="J1186" s="916"/>
      <c r="K1186" s="917"/>
      <c r="L1186" s="917"/>
      <c r="M1186" s="917"/>
      <c r="N1186" s="917"/>
      <c r="O1186" s="917"/>
      <c r="P1186" s="917"/>
      <c r="Q1186" s="578"/>
      <c r="R1186" s="578"/>
      <c r="S1186" s="578"/>
      <c r="T1186" s="578"/>
      <c r="U1186" s="578"/>
      <c r="V1186" s="578"/>
      <c r="W1186" s="578"/>
      <c r="X1186" s="578"/>
      <c r="Y1186" s="578"/>
      <c r="Z1186" s="578"/>
    </row>
    <row r="1187" spans="1:26" ht="18.75">
      <c r="A1187" s="682"/>
      <c r="B1187" s="682"/>
      <c r="C1187" s="682"/>
      <c r="D1187" s="914"/>
      <c r="E1187" s="682"/>
      <c r="F1187" s="682"/>
      <c r="G1187" s="682"/>
      <c r="H1187" s="915"/>
      <c r="I1187" s="916"/>
      <c r="J1187" s="916"/>
      <c r="K1187" s="917"/>
      <c r="L1187" s="917"/>
      <c r="M1187" s="917"/>
      <c r="N1187" s="917"/>
      <c r="O1187" s="917"/>
      <c r="P1187" s="917"/>
      <c r="Q1187" s="578"/>
      <c r="R1187" s="578"/>
      <c r="S1187" s="578"/>
      <c r="T1187" s="578"/>
      <c r="U1187" s="578"/>
      <c r="V1187" s="578"/>
      <c r="W1187" s="578"/>
      <c r="X1187" s="578"/>
      <c r="Y1187" s="578"/>
      <c r="Z1187" s="578"/>
    </row>
    <row r="1188" spans="1:26" ht="18.75">
      <c r="A1188" s="682"/>
      <c r="B1188" s="682"/>
      <c r="C1188" s="682"/>
      <c r="D1188" s="914"/>
      <c r="E1188" s="682"/>
      <c r="F1188" s="682"/>
      <c r="G1188" s="682"/>
      <c r="H1188" s="915"/>
      <c r="I1188" s="916"/>
      <c r="J1188" s="916"/>
      <c r="K1188" s="917"/>
      <c r="L1188" s="917"/>
      <c r="M1188" s="917"/>
      <c r="N1188" s="917"/>
      <c r="O1188" s="917"/>
      <c r="P1188" s="917"/>
      <c r="Q1188" s="578"/>
      <c r="R1188" s="578"/>
      <c r="S1188" s="578"/>
      <c r="T1188" s="578"/>
      <c r="U1188" s="578"/>
      <c r="V1188" s="578"/>
      <c r="W1188" s="578"/>
      <c r="X1188" s="578"/>
      <c r="Y1188" s="578"/>
      <c r="Z1188" s="578"/>
    </row>
    <row r="1189" spans="1:26" ht="18.75">
      <c r="A1189" s="682"/>
      <c r="B1189" s="682"/>
      <c r="C1189" s="682"/>
      <c r="D1189" s="914"/>
      <c r="E1189" s="682"/>
      <c r="F1189" s="682"/>
      <c r="G1189" s="682"/>
      <c r="H1189" s="915"/>
      <c r="I1189" s="916"/>
      <c r="J1189" s="916"/>
      <c r="K1189" s="917"/>
      <c r="L1189" s="917"/>
      <c r="M1189" s="917"/>
      <c r="N1189" s="917"/>
      <c r="O1189" s="917"/>
      <c r="P1189" s="917"/>
      <c r="Q1189" s="578"/>
      <c r="R1189" s="578"/>
      <c r="S1189" s="578"/>
      <c r="T1189" s="578"/>
      <c r="U1189" s="578"/>
      <c r="V1189" s="578"/>
      <c r="W1189" s="578"/>
      <c r="X1189" s="578"/>
      <c r="Y1189" s="578"/>
      <c r="Z1189" s="578"/>
    </row>
    <row r="1190" spans="1:26" ht="18.75">
      <c r="A1190" s="682"/>
      <c r="B1190" s="682"/>
      <c r="C1190" s="682"/>
      <c r="D1190" s="914"/>
      <c r="E1190" s="682"/>
      <c r="F1190" s="682"/>
      <c r="G1190" s="682"/>
      <c r="H1190" s="915"/>
      <c r="I1190" s="916"/>
      <c r="J1190" s="916"/>
      <c r="K1190" s="917"/>
      <c r="L1190" s="917"/>
      <c r="M1190" s="917"/>
      <c r="N1190" s="917"/>
      <c r="O1190" s="917"/>
      <c r="P1190" s="917"/>
      <c r="Q1190" s="578"/>
      <c r="R1190" s="578"/>
      <c r="S1190" s="578"/>
      <c r="T1190" s="578"/>
      <c r="U1190" s="578"/>
      <c r="V1190" s="578"/>
      <c r="W1190" s="578"/>
      <c r="X1190" s="578"/>
      <c r="Y1190" s="578"/>
      <c r="Z1190" s="578"/>
    </row>
    <row r="1191" spans="1:26" ht="18.75">
      <c r="A1191" s="682"/>
      <c r="B1191" s="682"/>
      <c r="C1191" s="682"/>
      <c r="D1191" s="914"/>
      <c r="E1191" s="682"/>
      <c r="F1191" s="682"/>
      <c r="G1191" s="682"/>
      <c r="H1191" s="915"/>
      <c r="I1191" s="916"/>
      <c r="J1191" s="916"/>
      <c r="K1191" s="917"/>
      <c r="L1191" s="917"/>
      <c r="M1191" s="917"/>
      <c r="N1191" s="917"/>
      <c r="O1191" s="917"/>
      <c r="P1191" s="917"/>
      <c r="Q1191" s="578"/>
      <c r="R1191" s="578"/>
      <c r="S1191" s="578"/>
      <c r="T1191" s="578"/>
      <c r="U1191" s="578"/>
      <c r="V1191" s="578"/>
      <c r="W1191" s="578"/>
      <c r="X1191" s="578"/>
      <c r="Y1191" s="578"/>
      <c r="Z1191" s="578"/>
    </row>
    <row r="1192" spans="1:26" ht="18.75">
      <c r="A1192" s="682"/>
      <c r="B1192" s="682"/>
      <c r="C1192" s="682"/>
      <c r="D1192" s="914"/>
      <c r="E1192" s="682"/>
      <c r="F1192" s="682"/>
      <c r="G1192" s="682"/>
      <c r="H1192" s="915"/>
      <c r="I1192" s="916"/>
      <c r="J1192" s="916"/>
      <c r="K1192" s="917"/>
      <c r="L1192" s="917"/>
      <c r="M1192" s="917"/>
      <c r="N1192" s="917"/>
      <c r="O1192" s="917"/>
      <c r="P1192" s="917"/>
      <c r="Q1192" s="578"/>
      <c r="R1192" s="578"/>
      <c r="S1192" s="578"/>
      <c r="T1192" s="578"/>
      <c r="U1192" s="578"/>
      <c r="V1192" s="578"/>
      <c r="W1192" s="578"/>
      <c r="X1192" s="578"/>
      <c r="Y1192" s="578"/>
      <c r="Z1192" s="578"/>
    </row>
    <row r="1193" spans="1:26" ht="18.75">
      <c r="A1193" s="682"/>
      <c r="B1193" s="682"/>
      <c r="C1193" s="682"/>
      <c r="D1193" s="914"/>
      <c r="E1193" s="682"/>
      <c r="F1193" s="682"/>
      <c r="G1193" s="682"/>
      <c r="H1193" s="915"/>
      <c r="I1193" s="916"/>
      <c r="J1193" s="916"/>
      <c r="K1193" s="917"/>
      <c r="L1193" s="917"/>
      <c r="M1193" s="917"/>
      <c r="N1193" s="917"/>
      <c r="O1193" s="917"/>
      <c r="P1193" s="917"/>
      <c r="Q1193" s="578"/>
      <c r="R1193" s="578"/>
      <c r="S1193" s="578"/>
      <c r="T1193" s="578"/>
      <c r="U1193" s="578"/>
      <c r="V1193" s="578"/>
      <c r="W1193" s="578"/>
      <c r="X1193" s="578"/>
      <c r="Y1193" s="578"/>
      <c r="Z1193" s="578"/>
    </row>
    <row r="1194" spans="1:26" ht="18.75">
      <c r="A1194" s="682"/>
      <c r="B1194" s="682"/>
      <c r="C1194" s="682"/>
      <c r="D1194" s="914"/>
      <c r="E1194" s="682"/>
      <c r="F1194" s="682"/>
      <c r="G1194" s="682"/>
      <c r="H1194" s="915"/>
      <c r="I1194" s="916"/>
      <c r="J1194" s="916"/>
      <c r="K1194" s="917"/>
      <c r="L1194" s="917"/>
      <c r="M1194" s="917"/>
      <c r="N1194" s="917"/>
      <c r="O1194" s="917"/>
      <c r="P1194" s="917"/>
      <c r="Q1194" s="578"/>
      <c r="R1194" s="578"/>
      <c r="S1194" s="578"/>
      <c r="T1194" s="578"/>
      <c r="U1194" s="578"/>
      <c r="V1194" s="578"/>
      <c r="W1194" s="578"/>
      <c r="X1194" s="578"/>
      <c r="Y1194" s="578"/>
      <c r="Z1194" s="578"/>
    </row>
    <row r="1195" spans="1:26" ht="18.75">
      <c r="A1195" s="682"/>
      <c r="B1195" s="682"/>
      <c r="C1195" s="682"/>
      <c r="D1195" s="914"/>
      <c r="E1195" s="682"/>
      <c r="F1195" s="682"/>
      <c r="G1195" s="682"/>
      <c r="H1195" s="915"/>
      <c r="I1195" s="916"/>
      <c r="J1195" s="916"/>
      <c r="K1195" s="917"/>
      <c r="L1195" s="917"/>
      <c r="M1195" s="917"/>
      <c r="N1195" s="917"/>
      <c r="O1195" s="917"/>
      <c r="P1195" s="917"/>
      <c r="Q1195" s="578"/>
      <c r="R1195" s="578"/>
      <c r="S1195" s="578"/>
      <c r="T1195" s="578"/>
      <c r="U1195" s="578"/>
      <c r="V1195" s="578"/>
      <c r="W1195" s="578"/>
      <c r="X1195" s="578"/>
      <c r="Y1195" s="578"/>
      <c r="Z1195" s="578"/>
    </row>
    <row r="1196" spans="1:26" ht="18.75">
      <c r="A1196" s="682"/>
      <c r="B1196" s="682"/>
      <c r="C1196" s="682"/>
      <c r="D1196" s="914"/>
      <c r="E1196" s="682"/>
      <c r="F1196" s="682"/>
      <c r="G1196" s="682"/>
      <c r="H1196" s="915"/>
      <c r="I1196" s="916"/>
      <c r="J1196" s="916"/>
      <c r="K1196" s="917"/>
      <c r="L1196" s="917"/>
      <c r="M1196" s="917"/>
      <c r="N1196" s="917"/>
      <c r="O1196" s="917"/>
      <c r="P1196" s="917"/>
      <c r="Q1196" s="578"/>
      <c r="R1196" s="578"/>
      <c r="S1196" s="578"/>
      <c r="T1196" s="578"/>
      <c r="U1196" s="578"/>
      <c r="V1196" s="578"/>
      <c r="W1196" s="578"/>
      <c r="X1196" s="578"/>
      <c r="Y1196" s="578"/>
      <c r="Z1196" s="578"/>
    </row>
    <row r="1197" spans="1:26" ht="18.75">
      <c r="A1197" s="682"/>
      <c r="B1197" s="682"/>
      <c r="C1197" s="682"/>
      <c r="D1197" s="914"/>
      <c r="E1197" s="682"/>
      <c r="F1197" s="682"/>
      <c r="G1197" s="682"/>
      <c r="H1197" s="915"/>
      <c r="I1197" s="916"/>
      <c r="J1197" s="916"/>
      <c r="K1197" s="917"/>
      <c r="L1197" s="917"/>
      <c r="M1197" s="917"/>
      <c r="N1197" s="917"/>
      <c r="O1197" s="917"/>
      <c r="P1197" s="917"/>
      <c r="Q1197" s="578"/>
      <c r="R1197" s="578"/>
      <c r="S1197" s="578"/>
      <c r="T1197" s="578"/>
      <c r="U1197" s="578"/>
      <c r="V1197" s="578"/>
      <c r="W1197" s="578"/>
      <c r="X1197" s="578"/>
      <c r="Y1197" s="578"/>
      <c r="Z1197" s="578"/>
    </row>
    <row r="1198" spans="1:26" ht="18.75">
      <c r="A1198" s="682"/>
      <c r="B1198" s="682"/>
      <c r="C1198" s="682"/>
      <c r="D1198" s="914"/>
      <c r="E1198" s="682"/>
      <c r="F1198" s="682"/>
      <c r="G1198" s="682"/>
      <c r="H1198" s="915"/>
      <c r="I1198" s="916"/>
      <c r="J1198" s="916"/>
      <c r="K1198" s="917"/>
      <c r="L1198" s="917"/>
      <c r="M1198" s="917"/>
      <c r="N1198" s="917"/>
      <c r="O1198" s="917"/>
      <c r="P1198" s="917"/>
      <c r="Q1198" s="578"/>
      <c r="R1198" s="578"/>
      <c r="S1198" s="578"/>
      <c r="T1198" s="578"/>
      <c r="U1198" s="578"/>
      <c r="V1198" s="578"/>
      <c r="W1198" s="578"/>
      <c r="X1198" s="578"/>
      <c r="Y1198" s="578"/>
      <c r="Z1198" s="578"/>
    </row>
    <row r="1199" spans="1:26" ht="18.75">
      <c r="A1199" s="682"/>
      <c r="B1199" s="682"/>
      <c r="C1199" s="682"/>
      <c r="D1199" s="914"/>
      <c r="E1199" s="682"/>
      <c r="F1199" s="682"/>
      <c r="G1199" s="682"/>
      <c r="H1199" s="915"/>
      <c r="I1199" s="916"/>
      <c r="J1199" s="916"/>
      <c r="K1199" s="917"/>
      <c r="L1199" s="917"/>
      <c r="M1199" s="917"/>
      <c r="N1199" s="917"/>
      <c r="O1199" s="917"/>
      <c r="P1199" s="917"/>
      <c r="Q1199" s="578"/>
      <c r="R1199" s="578"/>
      <c r="S1199" s="578"/>
      <c r="T1199" s="578"/>
      <c r="U1199" s="578"/>
      <c r="V1199" s="578"/>
      <c r="W1199" s="578"/>
      <c r="X1199" s="578"/>
      <c r="Y1199" s="578"/>
      <c r="Z1199" s="578"/>
    </row>
    <row r="1200" spans="1:26" ht="18.75">
      <c r="A1200" s="682"/>
      <c r="B1200" s="682"/>
      <c r="C1200" s="682"/>
      <c r="D1200" s="914"/>
      <c r="E1200" s="682"/>
      <c r="F1200" s="682"/>
      <c r="G1200" s="682"/>
      <c r="H1200" s="915"/>
      <c r="I1200" s="916"/>
      <c r="J1200" s="916"/>
      <c r="K1200" s="917"/>
      <c r="L1200" s="917"/>
      <c r="M1200" s="917"/>
      <c r="N1200" s="917"/>
      <c r="O1200" s="917"/>
      <c r="P1200" s="917"/>
      <c r="Q1200" s="578"/>
      <c r="R1200" s="578"/>
      <c r="S1200" s="578"/>
      <c r="T1200" s="578"/>
      <c r="U1200" s="578"/>
      <c r="V1200" s="578"/>
      <c r="W1200" s="578"/>
      <c r="X1200" s="578"/>
      <c r="Y1200" s="578"/>
      <c r="Z1200" s="578"/>
    </row>
    <row r="1201" spans="1:26" ht="18.75">
      <c r="A1201" s="682"/>
      <c r="B1201" s="682"/>
      <c r="C1201" s="682"/>
      <c r="D1201" s="914"/>
      <c r="E1201" s="682"/>
      <c r="F1201" s="682"/>
      <c r="G1201" s="682"/>
      <c r="H1201" s="915"/>
      <c r="I1201" s="916"/>
      <c r="J1201" s="916"/>
      <c r="K1201" s="917"/>
      <c r="L1201" s="917"/>
      <c r="M1201" s="917"/>
      <c r="N1201" s="917"/>
      <c r="O1201" s="917"/>
      <c r="P1201" s="917"/>
      <c r="Q1201" s="578"/>
      <c r="R1201" s="578"/>
      <c r="S1201" s="578"/>
      <c r="T1201" s="578"/>
      <c r="U1201" s="578"/>
      <c r="V1201" s="578"/>
      <c r="W1201" s="578"/>
      <c r="X1201" s="578"/>
      <c r="Y1201" s="578"/>
      <c r="Z1201" s="578"/>
    </row>
    <row r="1202" spans="1:26" ht="18.75">
      <c r="A1202" s="682"/>
      <c r="B1202" s="682"/>
      <c r="C1202" s="682"/>
      <c r="D1202" s="914"/>
      <c r="E1202" s="682"/>
      <c r="F1202" s="682"/>
      <c r="G1202" s="682"/>
      <c r="H1202" s="915"/>
      <c r="I1202" s="916"/>
      <c r="J1202" s="916"/>
      <c r="K1202" s="917"/>
      <c r="L1202" s="917"/>
      <c r="M1202" s="917"/>
      <c r="N1202" s="917"/>
      <c r="O1202" s="917"/>
      <c r="P1202" s="917"/>
      <c r="Q1202" s="578"/>
      <c r="R1202" s="578"/>
      <c r="S1202" s="578"/>
      <c r="T1202" s="578"/>
      <c r="U1202" s="578"/>
      <c r="V1202" s="578"/>
      <c r="W1202" s="578"/>
      <c r="X1202" s="578"/>
      <c r="Y1202" s="578"/>
      <c r="Z1202" s="578"/>
    </row>
    <row r="1203" spans="1:26" ht="18.75">
      <c r="A1203" s="682"/>
      <c r="B1203" s="682"/>
      <c r="C1203" s="682"/>
      <c r="D1203" s="914"/>
      <c r="E1203" s="682"/>
      <c r="F1203" s="682"/>
      <c r="G1203" s="682"/>
      <c r="H1203" s="915"/>
      <c r="I1203" s="916"/>
      <c r="J1203" s="916"/>
      <c r="K1203" s="917"/>
      <c r="L1203" s="917"/>
      <c r="M1203" s="917"/>
      <c r="N1203" s="917"/>
      <c r="O1203" s="917"/>
      <c r="P1203" s="917"/>
      <c r="Q1203" s="578"/>
      <c r="R1203" s="578"/>
      <c r="S1203" s="578"/>
      <c r="T1203" s="578"/>
      <c r="U1203" s="578"/>
      <c r="V1203" s="578"/>
      <c r="W1203" s="578"/>
      <c r="X1203" s="578"/>
      <c r="Y1203" s="578"/>
      <c r="Z1203" s="578"/>
    </row>
    <row r="1204" spans="1:26" ht="18.75">
      <c r="A1204" s="682"/>
      <c r="B1204" s="682"/>
      <c r="C1204" s="682"/>
      <c r="D1204" s="914"/>
      <c r="E1204" s="682"/>
      <c r="F1204" s="682"/>
      <c r="G1204" s="682"/>
      <c r="H1204" s="915"/>
      <c r="I1204" s="916"/>
      <c r="J1204" s="916"/>
      <c r="K1204" s="917"/>
      <c r="L1204" s="917"/>
      <c r="M1204" s="917"/>
      <c r="N1204" s="917"/>
      <c r="O1204" s="917"/>
      <c r="P1204" s="917"/>
      <c r="Q1204" s="578"/>
      <c r="R1204" s="578"/>
      <c r="S1204" s="578"/>
      <c r="T1204" s="578"/>
      <c r="U1204" s="578"/>
      <c r="V1204" s="578"/>
      <c r="W1204" s="578"/>
      <c r="X1204" s="578"/>
      <c r="Y1204" s="578"/>
      <c r="Z1204" s="578"/>
    </row>
    <row r="1205" spans="1:26" ht="18.75">
      <c r="A1205" s="682"/>
      <c r="B1205" s="682"/>
      <c r="C1205" s="682"/>
      <c r="D1205" s="914"/>
      <c r="E1205" s="682"/>
      <c r="F1205" s="682"/>
      <c r="G1205" s="682"/>
      <c r="H1205" s="915"/>
      <c r="I1205" s="916"/>
      <c r="J1205" s="916"/>
      <c r="K1205" s="917"/>
      <c r="L1205" s="917"/>
      <c r="M1205" s="917"/>
      <c r="N1205" s="917"/>
      <c r="O1205" s="917"/>
      <c r="P1205" s="917"/>
      <c r="Q1205" s="578"/>
      <c r="R1205" s="578"/>
      <c r="S1205" s="578"/>
      <c r="T1205" s="578"/>
      <c r="U1205" s="578"/>
      <c r="V1205" s="578"/>
      <c r="W1205" s="578"/>
      <c r="X1205" s="578"/>
      <c r="Y1205" s="578"/>
      <c r="Z1205" s="578"/>
    </row>
    <row r="1206" spans="1:26" ht="18.75">
      <c r="A1206" s="682"/>
      <c r="B1206" s="682"/>
      <c r="C1206" s="682"/>
      <c r="D1206" s="914"/>
      <c r="E1206" s="682"/>
      <c r="F1206" s="682"/>
      <c r="G1206" s="682"/>
      <c r="H1206" s="915"/>
      <c r="I1206" s="916"/>
      <c r="J1206" s="916"/>
      <c r="K1206" s="917"/>
      <c r="L1206" s="917"/>
      <c r="M1206" s="917"/>
      <c r="N1206" s="917"/>
      <c r="O1206" s="917"/>
      <c r="P1206" s="917"/>
      <c r="Q1206" s="578"/>
      <c r="R1206" s="578"/>
      <c r="S1206" s="578"/>
      <c r="T1206" s="578"/>
      <c r="U1206" s="578"/>
      <c r="V1206" s="578"/>
      <c r="W1206" s="578"/>
      <c r="X1206" s="578"/>
      <c r="Y1206" s="578"/>
      <c r="Z1206" s="578"/>
    </row>
    <row r="1207" spans="1:26" ht="18.75">
      <c r="A1207" s="682"/>
      <c r="B1207" s="682"/>
      <c r="C1207" s="682"/>
      <c r="D1207" s="914"/>
      <c r="E1207" s="682"/>
      <c r="F1207" s="682"/>
      <c r="G1207" s="682"/>
      <c r="H1207" s="915"/>
      <c r="I1207" s="916"/>
      <c r="J1207" s="916"/>
      <c r="K1207" s="917"/>
      <c r="L1207" s="917"/>
      <c r="M1207" s="917"/>
      <c r="N1207" s="917"/>
      <c r="O1207" s="917"/>
      <c r="P1207" s="917"/>
      <c r="Q1207" s="578"/>
      <c r="R1207" s="578"/>
      <c r="S1207" s="578"/>
      <c r="T1207" s="578"/>
      <c r="U1207" s="578"/>
      <c r="V1207" s="578"/>
      <c r="W1207" s="578"/>
      <c r="X1207" s="578"/>
      <c r="Y1207" s="578"/>
      <c r="Z1207" s="578"/>
    </row>
    <row r="1208" spans="1:26" ht="18.75">
      <c r="A1208" s="682"/>
      <c r="B1208" s="682"/>
      <c r="C1208" s="682"/>
      <c r="D1208" s="914"/>
      <c r="E1208" s="682"/>
      <c r="F1208" s="682"/>
      <c r="G1208" s="682"/>
      <c r="H1208" s="915"/>
      <c r="I1208" s="916"/>
      <c r="J1208" s="916"/>
      <c r="K1208" s="917"/>
      <c r="L1208" s="917"/>
      <c r="M1208" s="917"/>
      <c r="N1208" s="917"/>
      <c r="O1208" s="917"/>
      <c r="P1208" s="917"/>
      <c r="Q1208" s="578"/>
      <c r="R1208" s="578"/>
      <c r="S1208" s="578"/>
      <c r="T1208" s="578"/>
      <c r="U1208" s="578"/>
      <c r="V1208" s="578"/>
      <c r="W1208" s="578"/>
      <c r="X1208" s="578"/>
      <c r="Y1208" s="578"/>
      <c r="Z1208" s="578"/>
    </row>
    <row r="1209" spans="1:26" ht="18.75">
      <c r="A1209" s="682"/>
      <c r="B1209" s="682"/>
      <c r="C1209" s="682"/>
      <c r="D1209" s="914"/>
      <c r="E1209" s="682"/>
      <c r="F1209" s="682"/>
      <c r="G1209" s="682"/>
      <c r="H1209" s="915"/>
      <c r="I1209" s="916"/>
      <c r="J1209" s="916"/>
      <c r="K1209" s="917"/>
      <c r="L1209" s="917"/>
      <c r="M1209" s="917"/>
      <c r="N1209" s="917"/>
      <c r="O1209" s="917"/>
      <c r="P1209" s="917"/>
      <c r="Q1209" s="578"/>
      <c r="R1209" s="578"/>
      <c r="S1209" s="578"/>
      <c r="T1209" s="578"/>
      <c r="U1209" s="578"/>
      <c r="V1209" s="578"/>
      <c r="W1209" s="578"/>
      <c r="X1209" s="578"/>
      <c r="Y1209" s="578"/>
      <c r="Z1209" s="578"/>
    </row>
    <row r="1210" spans="1:26" ht="18.75">
      <c r="A1210" s="682"/>
      <c r="B1210" s="682"/>
      <c r="C1210" s="682"/>
      <c r="D1210" s="914"/>
      <c r="E1210" s="682"/>
      <c r="F1210" s="682"/>
      <c r="G1210" s="682"/>
      <c r="H1210" s="915"/>
      <c r="I1210" s="916"/>
      <c r="J1210" s="916"/>
      <c r="K1210" s="917"/>
      <c r="L1210" s="917"/>
      <c r="M1210" s="917"/>
      <c r="N1210" s="917"/>
      <c r="O1210" s="917"/>
      <c r="P1210" s="917"/>
      <c r="Q1210" s="578"/>
      <c r="R1210" s="578"/>
      <c r="S1210" s="578"/>
      <c r="T1210" s="578"/>
      <c r="U1210" s="578"/>
      <c r="V1210" s="578"/>
      <c r="W1210" s="578"/>
      <c r="X1210" s="578"/>
      <c r="Y1210" s="578"/>
      <c r="Z1210" s="578"/>
    </row>
    <row r="1211" spans="1:26" ht="18.75">
      <c r="A1211" s="682"/>
      <c r="B1211" s="682"/>
      <c r="C1211" s="682"/>
      <c r="D1211" s="914"/>
      <c r="E1211" s="682"/>
      <c r="F1211" s="682"/>
      <c r="G1211" s="682"/>
      <c r="H1211" s="915"/>
      <c r="I1211" s="916"/>
      <c r="J1211" s="916"/>
      <c r="K1211" s="917"/>
      <c r="L1211" s="917"/>
      <c r="M1211" s="917"/>
      <c r="N1211" s="917"/>
      <c r="O1211" s="917"/>
      <c r="P1211" s="917"/>
      <c r="Q1211" s="578"/>
      <c r="R1211" s="578"/>
      <c r="S1211" s="578"/>
      <c r="T1211" s="578"/>
      <c r="U1211" s="578"/>
      <c r="V1211" s="578"/>
      <c r="W1211" s="578"/>
      <c r="X1211" s="578"/>
      <c r="Y1211" s="578"/>
      <c r="Z1211" s="578"/>
    </row>
    <row r="1212" spans="1:26" ht="18.75">
      <c r="A1212" s="682"/>
      <c r="B1212" s="682"/>
      <c r="C1212" s="682"/>
      <c r="D1212" s="914"/>
      <c r="E1212" s="682"/>
      <c r="F1212" s="682"/>
      <c r="G1212" s="682"/>
      <c r="H1212" s="915"/>
      <c r="I1212" s="916"/>
      <c r="J1212" s="916"/>
      <c r="K1212" s="917"/>
      <c r="L1212" s="917"/>
      <c r="M1212" s="917"/>
      <c r="N1212" s="917"/>
      <c r="O1212" s="917"/>
      <c r="P1212" s="917"/>
      <c r="Q1212" s="578"/>
      <c r="R1212" s="578"/>
      <c r="S1212" s="578"/>
      <c r="T1212" s="578"/>
      <c r="U1212" s="578"/>
      <c r="V1212" s="578"/>
      <c r="W1212" s="578"/>
      <c r="X1212" s="578"/>
      <c r="Y1212" s="578"/>
      <c r="Z1212" s="578"/>
    </row>
    <row r="1213" spans="1:26" ht="18.75">
      <c r="A1213" s="682"/>
      <c r="B1213" s="682"/>
      <c r="C1213" s="682"/>
      <c r="D1213" s="914"/>
      <c r="E1213" s="682"/>
      <c r="F1213" s="682"/>
      <c r="G1213" s="682"/>
      <c r="H1213" s="915"/>
      <c r="I1213" s="916"/>
      <c r="J1213" s="916"/>
      <c r="K1213" s="917"/>
      <c r="L1213" s="917"/>
      <c r="M1213" s="917"/>
      <c r="N1213" s="917"/>
      <c r="O1213" s="917"/>
      <c r="P1213" s="917"/>
      <c r="Q1213" s="578"/>
      <c r="R1213" s="578"/>
      <c r="S1213" s="578"/>
      <c r="T1213" s="578"/>
      <c r="U1213" s="578"/>
      <c r="V1213" s="578"/>
      <c r="W1213" s="578"/>
      <c r="X1213" s="578"/>
      <c r="Y1213" s="578"/>
      <c r="Z1213" s="578"/>
    </row>
    <row r="1214" spans="1:26" ht="18.75">
      <c r="A1214" s="682"/>
      <c r="B1214" s="682"/>
      <c r="C1214" s="682"/>
      <c r="D1214" s="914"/>
      <c r="E1214" s="682"/>
      <c r="F1214" s="682"/>
      <c r="G1214" s="682"/>
      <c r="H1214" s="915"/>
      <c r="I1214" s="916"/>
      <c r="J1214" s="916"/>
      <c r="K1214" s="917"/>
      <c r="L1214" s="917"/>
      <c r="M1214" s="917"/>
      <c r="N1214" s="917"/>
      <c r="O1214" s="917"/>
      <c r="P1214" s="917"/>
      <c r="Q1214" s="578"/>
      <c r="R1214" s="578"/>
      <c r="S1214" s="578"/>
      <c r="T1214" s="578"/>
      <c r="U1214" s="578"/>
      <c r="V1214" s="578"/>
      <c r="W1214" s="578"/>
      <c r="X1214" s="578"/>
      <c r="Y1214" s="578"/>
      <c r="Z1214" s="578"/>
    </row>
    <row r="1215" spans="1:26" ht="18.75">
      <c r="A1215" s="682"/>
      <c r="B1215" s="682"/>
      <c r="C1215" s="682"/>
      <c r="D1215" s="914"/>
      <c r="E1215" s="682"/>
      <c r="F1215" s="682"/>
      <c r="G1215" s="682"/>
      <c r="H1215" s="915"/>
      <c r="I1215" s="916"/>
      <c r="J1215" s="916"/>
      <c r="K1215" s="917"/>
      <c r="L1215" s="917"/>
      <c r="M1215" s="917"/>
      <c r="N1215" s="917"/>
      <c r="O1215" s="917"/>
      <c r="P1215" s="917"/>
      <c r="Q1215" s="578"/>
      <c r="R1215" s="578"/>
      <c r="S1215" s="578"/>
      <c r="T1215" s="578"/>
      <c r="U1215" s="578"/>
      <c r="V1215" s="578"/>
      <c r="W1215" s="578"/>
      <c r="X1215" s="578"/>
      <c r="Y1215" s="578"/>
      <c r="Z1215" s="578"/>
    </row>
    <row r="1216" spans="1:26" ht="18.75">
      <c r="A1216" s="682"/>
      <c r="B1216" s="682"/>
      <c r="C1216" s="682"/>
      <c r="D1216" s="914"/>
      <c r="E1216" s="682"/>
      <c r="F1216" s="682"/>
      <c r="G1216" s="682"/>
      <c r="H1216" s="915"/>
      <c r="I1216" s="916"/>
      <c r="J1216" s="916"/>
      <c r="K1216" s="917"/>
      <c r="L1216" s="917"/>
      <c r="M1216" s="917"/>
      <c r="N1216" s="917"/>
      <c r="O1216" s="917"/>
      <c r="P1216" s="917"/>
      <c r="Q1216" s="578"/>
      <c r="R1216" s="578"/>
      <c r="S1216" s="578"/>
      <c r="T1216" s="578"/>
      <c r="U1216" s="578"/>
      <c r="V1216" s="578"/>
      <c r="W1216" s="578"/>
      <c r="X1216" s="578"/>
      <c r="Y1216" s="578"/>
      <c r="Z1216" s="578"/>
    </row>
    <row r="1217" spans="1:26" ht="18.75">
      <c r="A1217" s="682"/>
      <c r="B1217" s="682"/>
      <c r="C1217" s="682"/>
      <c r="D1217" s="914"/>
      <c r="E1217" s="682"/>
      <c r="F1217" s="682"/>
      <c r="G1217" s="682"/>
      <c r="H1217" s="915"/>
      <c r="I1217" s="916"/>
      <c r="J1217" s="916"/>
      <c r="K1217" s="917"/>
      <c r="L1217" s="917"/>
      <c r="M1217" s="917"/>
      <c r="N1217" s="917"/>
      <c r="O1217" s="917"/>
      <c r="P1217" s="917"/>
      <c r="Q1217" s="578"/>
      <c r="R1217" s="578"/>
      <c r="S1217" s="578"/>
      <c r="T1217" s="578"/>
      <c r="U1217" s="578"/>
      <c r="V1217" s="578"/>
      <c r="W1217" s="578"/>
      <c r="X1217" s="578"/>
      <c r="Y1217" s="578"/>
      <c r="Z1217" s="578"/>
    </row>
    <row r="1218" spans="1:26" ht="18.75">
      <c r="A1218" s="682"/>
      <c r="B1218" s="682"/>
      <c r="C1218" s="682"/>
      <c r="D1218" s="914"/>
      <c r="E1218" s="682"/>
      <c r="F1218" s="682"/>
      <c r="G1218" s="682"/>
      <c r="H1218" s="915"/>
      <c r="I1218" s="916"/>
      <c r="J1218" s="916"/>
      <c r="K1218" s="917"/>
      <c r="L1218" s="917"/>
      <c r="M1218" s="917"/>
      <c r="N1218" s="917"/>
      <c r="O1218" s="917"/>
      <c r="P1218" s="917"/>
      <c r="Q1218" s="578"/>
      <c r="R1218" s="578"/>
      <c r="S1218" s="578"/>
      <c r="T1218" s="578"/>
      <c r="U1218" s="578"/>
      <c r="V1218" s="578"/>
      <c r="W1218" s="578"/>
      <c r="X1218" s="578"/>
      <c r="Y1218" s="578"/>
      <c r="Z1218" s="578"/>
    </row>
    <row r="1219" spans="1:26" ht="18.75">
      <c r="A1219" s="682"/>
      <c r="B1219" s="682"/>
      <c r="C1219" s="682"/>
      <c r="D1219" s="914"/>
      <c r="E1219" s="682"/>
      <c r="F1219" s="682"/>
      <c r="G1219" s="682"/>
      <c r="H1219" s="915"/>
      <c r="I1219" s="916"/>
      <c r="J1219" s="916"/>
      <c r="K1219" s="917"/>
      <c r="L1219" s="917"/>
      <c r="M1219" s="917"/>
      <c r="N1219" s="917"/>
      <c r="O1219" s="917"/>
      <c r="P1219" s="917"/>
      <c r="Q1219" s="578"/>
      <c r="R1219" s="578"/>
      <c r="S1219" s="578"/>
      <c r="T1219" s="578"/>
      <c r="U1219" s="578"/>
      <c r="V1219" s="578"/>
      <c r="W1219" s="578"/>
      <c r="X1219" s="578"/>
      <c r="Y1219" s="578"/>
      <c r="Z1219" s="578"/>
    </row>
    <row r="1220" spans="1:26" ht="18.75">
      <c r="A1220" s="682"/>
      <c r="B1220" s="682"/>
      <c r="C1220" s="682"/>
      <c r="D1220" s="914"/>
      <c r="E1220" s="682"/>
      <c r="F1220" s="682"/>
      <c r="G1220" s="682"/>
      <c r="H1220" s="915"/>
      <c r="I1220" s="916"/>
      <c r="J1220" s="916"/>
      <c r="K1220" s="917"/>
      <c r="L1220" s="917"/>
      <c r="M1220" s="917"/>
      <c r="N1220" s="917"/>
      <c r="O1220" s="917"/>
      <c r="P1220" s="917"/>
      <c r="Q1220" s="578"/>
      <c r="R1220" s="578"/>
      <c r="S1220" s="578"/>
      <c r="T1220" s="578"/>
      <c r="U1220" s="578"/>
      <c r="V1220" s="578"/>
      <c r="W1220" s="578"/>
      <c r="X1220" s="578"/>
      <c r="Y1220" s="578"/>
      <c r="Z1220" s="578"/>
    </row>
    <row r="1221" spans="1:26" ht="18.75">
      <c r="A1221" s="682"/>
      <c r="B1221" s="682"/>
      <c r="C1221" s="682"/>
      <c r="D1221" s="914"/>
      <c r="E1221" s="682"/>
      <c r="F1221" s="682"/>
      <c r="G1221" s="682"/>
      <c r="H1221" s="915"/>
      <c r="I1221" s="916"/>
      <c r="J1221" s="916"/>
      <c r="K1221" s="917"/>
      <c r="L1221" s="917"/>
      <c r="M1221" s="917"/>
      <c r="N1221" s="917"/>
      <c r="O1221" s="917"/>
      <c r="P1221" s="917"/>
      <c r="Q1221" s="578"/>
      <c r="R1221" s="578"/>
      <c r="S1221" s="578"/>
      <c r="T1221" s="578"/>
      <c r="U1221" s="578"/>
      <c r="V1221" s="578"/>
      <c r="W1221" s="578"/>
      <c r="X1221" s="578"/>
      <c r="Y1221" s="578"/>
      <c r="Z1221" s="578"/>
    </row>
    <row r="1222" spans="1:26" ht="18.75">
      <c r="A1222" s="682"/>
      <c r="B1222" s="682"/>
      <c r="C1222" s="682"/>
      <c r="D1222" s="914"/>
      <c r="E1222" s="682"/>
      <c r="F1222" s="682"/>
      <c r="G1222" s="682"/>
      <c r="H1222" s="915"/>
      <c r="I1222" s="916"/>
      <c r="J1222" s="916"/>
      <c r="K1222" s="917"/>
      <c r="L1222" s="917"/>
      <c r="M1222" s="917"/>
      <c r="N1222" s="917"/>
      <c r="O1222" s="917"/>
      <c r="P1222" s="917"/>
      <c r="Q1222" s="578"/>
      <c r="R1222" s="578"/>
      <c r="S1222" s="578"/>
      <c r="T1222" s="578"/>
      <c r="U1222" s="578"/>
      <c r="V1222" s="578"/>
      <c r="W1222" s="578"/>
      <c r="X1222" s="578"/>
      <c r="Y1222" s="578"/>
      <c r="Z1222" s="578"/>
    </row>
    <row r="1223" spans="1:26" ht="18.75">
      <c r="A1223" s="682"/>
      <c r="B1223" s="682"/>
      <c r="C1223" s="682"/>
      <c r="D1223" s="914"/>
      <c r="E1223" s="682"/>
      <c r="F1223" s="682"/>
      <c r="G1223" s="682"/>
      <c r="H1223" s="915"/>
      <c r="I1223" s="916"/>
      <c r="J1223" s="916"/>
      <c r="K1223" s="917"/>
      <c r="L1223" s="917"/>
      <c r="M1223" s="917"/>
      <c r="N1223" s="917"/>
      <c r="O1223" s="917"/>
      <c r="P1223" s="917"/>
      <c r="Q1223" s="578"/>
      <c r="R1223" s="578"/>
      <c r="S1223" s="578"/>
      <c r="T1223" s="578"/>
      <c r="U1223" s="578"/>
      <c r="V1223" s="578"/>
      <c r="W1223" s="578"/>
      <c r="X1223" s="578"/>
      <c r="Y1223" s="578"/>
      <c r="Z1223" s="578"/>
    </row>
    <row r="1224" spans="1:26" ht="18.75">
      <c r="A1224" s="682"/>
      <c r="B1224" s="682"/>
      <c r="C1224" s="682"/>
      <c r="D1224" s="914"/>
      <c r="E1224" s="682"/>
      <c r="F1224" s="682"/>
      <c r="G1224" s="682"/>
      <c r="H1224" s="915"/>
      <c r="I1224" s="916"/>
      <c r="J1224" s="916"/>
      <c r="K1224" s="917"/>
      <c r="L1224" s="917"/>
      <c r="M1224" s="917"/>
      <c r="N1224" s="917"/>
      <c r="O1224" s="917"/>
      <c r="P1224" s="917"/>
      <c r="Q1224" s="578"/>
      <c r="R1224" s="578"/>
      <c r="S1224" s="578"/>
      <c r="T1224" s="578"/>
      <c r="U1224" s="578"/>
      <c r="V1224" s="578"/>
      <c r="W1224" s="578"/>
      <c r="X1224" s="578"/>
      <c r="Y1224" s="578"/>
      <c r="Z1224" s="578"/>
    </row>
    <row r="1225" spans="1:26" ht="18.75">
      <c r="A1225" s="682"/>
      <c r="B1225" s="682"/>
      <c r="C1225" s="682"/>
      <c r="D1225" s="914"/>
      <c r="E1225" s="682"/>
      <c r="F1225" s="682"/>
      <c r="G1225" s="682"/>
      <c r="H1225" s="915"/>
      <c r="I1225" s="916"/>
      <c r="J1225" s="916"/>
      <c r="K1225" s="917"/>
      <c r="L1225" s="917"/>
      <c r="M1225" s="917"/>
      <c r="N1225" s="917"/>
      <c r="O1225" s="917"/>
      <c r="P1225" s="917"/>
      <c r="Q1225" s="578"/>
      <c r="R1225" s="578"/>
      <c r="S1225" s="578"/>
      <c r="T1225" s="578"/>
      <c r="U1225" s="578"/>
      <c r="V1225" s="578"/>
      <c r="W1225" s="578"/>
      <c r="X1225" s="578"/>
      <c r="Y1225" s="578"/>
      <c r="Z1225" s="578"/>
    </row>
    <row r="1226" spans="1:26" ht="18.75">
      <c r="A1226" s="682"/>
      <c r="B1226" s="682"/>
      <c r="C1226" s="682"/>
      <c r="D1226" s="914"/>
      <c r="E1226" s="682"/>
      <c r="F1226" s="682"/>
      <c r="G1226" s="682"/>
      <c r="H1226" s="915"/>
      <c r="I1226" s="916"/>
      <c r="J1226" s="916"/>
      <c r="K1226" s="917"/>
      <c r="L1226" s="917"/>
      <c r="M1226" s="917"/>
      <c r="N1226" s="917"/>
      <c r="O1226" s="917"/>
      <c r="P1226" s="917"/>
      <c r="Q1226" s="578"/>
      <c r="R1226" s="578"/>
      <c r="S1226" s="578"/>
      <c r="T1226" s="578"/>
      <c r="U1226" s="578"/>
      <c r="V1226" s="578"/>
      <c r="W1226" s="578"/>
      <c r="X1226" s="578"/>
      <c r="Y1226" s="578"/>
      <c r="Z1226" s="578"/>
    </row>
    <row r="1227" spans="1:26" ht="18.75">
      <c r="A1227" s="682"/>
      <c r="B1227" s="682"/>
      <c r="C1227" s="682"/>
      <c r="D1227" s="914"/>
      <c r="E1227" s="682"/>
      <c r="F1227" s="682"/>
      <c r="G1227" s="682"/>
      <c r="H1227" s="915"/>
      <c r="I1227" s="916"/>
      <c r="J1227" s="916"/>
      <c r="K1227" s="917"/>
      <c r="L1227" s="917"/>
      <c r="M1227" s="917"/>
      <c r="N1227" s="917"/>
      <c r="O1227" s="917"/>
      <c r="P1227" s="917"/>
      <c r="Q1227" s="578"/>
      <c r="R1227" s="578"/>
      <c r="S1227" s="578"/>
      <c r="T1227" s="578"/>
      <c r="U1227" s="578"/>
      <c r="V1227" s="578"/>
      <c r="W1227" s="578"/>
      <c r="X1227" s="578"/>
      <c r="Y1227" s="578"/>
      <c r="Z1227" s="578"/>
    </row>
    <row r="1228" spans="1:26" ht="18.75">
      <c r="A1228" s="682"/>
      <c r="B1228" s="682"/>
      <c r="C1228" s="682"/>
      <c r="D1228" s="914"/>
      <c r="E1228" s="682"/>
      <c r="F1228" s="682"/>
      <c r="G1228" s="682"/>
      <c r="H1228" s="915"/>
      <c r="I1228" s="916"/>
      <c r="J1228" s="916"/>
      <c r="K1228" s="917"/>
      <c r="L1228" s="917"/>
      <c r="M1228" s="917"/>
      <c r="N1228" s="917"/>
      <c r="O1228" s="917"/>
      <c r="P1228" s="917"/>
      <c r="Q1228" s="578"/>
      <c r="R1228" s="578"/>
      <c r="S1228" s="578"/>
      <c r="T1228" s="578"/>
      <c r="U1228" s="578"/>
      <c r="V1228" s="578"/>
      <c r="W1228" s="578"/>
      <c r="X1228" s="578"/>
      <c r="Y1228" s="578"/>
      <c r="Z1228" s="578"/>
    </row>
    <row r="1229" spans="1:26" ht="18.75">
      <c r="A1229" s="682"/>
      <c r="B1229" s="682"/>
      <c r="C1229" s="682"/>
      <c r="D1229" s="914"/>
      <c r="E1229" s="682"/>
      <c r="F1229" s="682"/>
      <c r="G1229" s="682"/>
      <c r="H1229" s="915"/>
      <c r="I1229" s="916"/>
      <c r="J1229" s="916"/>
      <c r="K1229" s="917"/>
      <c r="L1229" s="917"/>
      <c r="M1229" s="917"/>
      <c r="N1229" s="917"/>
      <c r="O1229" s="917"/>
      <c r="P1229" s="917"/>
      <c r="Q1229" s="578"/>
      <c r="R1229" s="578"/>
      <c r="S1229" s="578"/>
      <c r="T1229" s="578"/>
      <c r="U1229" s="578"/>
      <c r="V1229" s="578"/>
      <c r="W1229" s="578"/>
      <c r="X1229" s="578"/>
      <c r="Y1229" s="578"/>
      <c r="Z1229" s="578"/>
    </row>
    <row r="1230" spans="1:26" ht="18.75">
      <c r="A1230" s="682"/>
      <c r="B1230" s="682"/>
      <c r="C1230" s="682"/>
      <c r="D1230" s="914"/>
      <c r="E1230" s="682"/>
      <c r="F1230" s="682"/>
      <c r="G1230" s="682"/>
      <c r="H1230" s="915"/>
      <c r="I1230" s="916"/>
      <c r="J1230" s="916"/>
      <c r="K1230" s="917"/>
      <c r="L1230" s="917"/>
      <c r="M1230" s="917"/>
      <c r="N1230" s="917"/>
      <c r="O1230" s="917"/>
      <c r="P1230" s="917"/>
      <c r="Q1230" s="578"/>
      <c r="R1230" s="578"/>
      <c r="S1230" s="578"/>
      <c r="T1230" s="578"/>
      <c r="U1230" s="578"/>
      <c r="V1230" s="578"/>
      <c r="W1230" s="578"/>
      <c r="X1230" s="578"/>
      <c r="Y1230" s="578"/>
      <c r="Z1230" s="578"/>
    </row>
    <row r="1231" spans="1:26" ht="18.75">
      <c r="A1231" s="682"/>
      <c r="B1231" s="682"/>
      <c r="C1231" s="682"/>
      <c r="D1231" s="914"/>
      <c r="E1231" s="682"/>
      <c r="F1231" s="682"/>
      <c r="G1231" s="682"/>
      <c r="H1231" s="915"/>
      <c r="I1231" s="916"/>
      <c r="J1231" s="916"/>
      <c r="K1231" s="917"/>
      <c r="L1231" s="917"/>
      <c r="M1231" s="917"/>
      <c r="N1231" s="917"/>
      <c r="O1231" s="917"/>
      <c r="P1231" s="917"/>
      <c r="Q1231" s="578"/>
      <c r="R1231" s="578"/>
      <c r="S1231" s="578"/>
      <c r="T1231" s="578"/>
      <c r="U1231" s="578"/>
      <c r="V1231" s="578"/>
      <c r="W1231" s="578"/>
      <c r="X1231" s="578"/>
      <c r="Y1231" s="578"/>
      <c r="Z1231" s="578"/>
    </row>
    <row r="1232" spans="1:26" ht="18.75">
      <c r="A1232" s="682"/>
      <c r="B1232" s="682"/>
      <c r="C1232" s="682"/>
      <c r="D1232" s="914"/>
      <c r="E1232" s="682"/>
      <c r="F1232" s="682"/>
      <c r="G1232" s="682"/>
      <c r="H1232" s="915"/>
      <c r="I1232" s="916"/>
      <c r="J1232" s="916"/>
      <c r="K1232" s="917"/>
      <c r="L1232" s="917"/>
      <c r="M1232" s="917"/>
      <c r="N1232" s="917"/>
      <c r="O1232" s="917"/>
      <c r="P1232" s="917"/>
      <c r="Q1232" s="578"/>
      <c r="R1232" s="578"/>
      <c r="S1232" s="578"/>
      <c r="T1232" s="578"/>
      <c r="U1232" s="578"/>
      <c r="V1232" s="578"/>
      <c r="W1232" s="578"/>
      <c r="X1232" s="578"/>
      <c r="Y1232" s="578"/>
      <c r="Z1232" s="578"/>
    </row>
    <row r="1233" spans="1:26" ht="18.75">
      <c r="A1233" s="682"/>
      <c r="B1233" s="682"/>
      <c r="C1233" s="682"/>
      <c r="D1233" s="914"/>
      <c r="E1233" s="682"/>
      <c r="F1233" s="682"/>
      <c r="G1233" s="682"/>
      <c r="H1233" s="915"/>
      <c r="I1233" s="916"/>
      <c r="J1233" s="916"/>
      <c r="K1233" s="917"/>
      <c r="L1233" s="917"/>
      <c r="M1233" s="917"/>
      <c r="N1233" s="917"/>
      <c r="O1233" s="917"/>
      <c r="P1233" s="917"/>
      <c r="Q1233" s="578"/>
      <c r="R1233" s="578"/>
      <c r="S1233" s="578"/>
      <c r="T1233" s="578"/>
      <c r="U1233" s="578"/>
      <c r="V1233" s="578"/>
      <c r="W1233" s="578"/>
      <c r="X1233" s="578"/>
      <c r="Y1233" s="578"/>
      <c r="Z1233" s="578"/>
    </row>
    <row r="1234" spans="1:26" ht="18.75">
      <c r="A1234" s="682"/>
      <c r="B1234" s="682"/>
      <c r="C1234" s="682"/>
      <c r="D1234" s="914"/>
      <c r="E1234" s="682"/>
      <c r="F1234" s="682"/>
      <c r="G1234" s="682"/>
      <c r="H1234" s="915"/>
      <c r="I1234" s="916"/>
      <c r="J1234" s="916"/>
      <c r="K1234" s="917"/>
      <c r="L1234" s="917"/>
      <c r="M1234" s="917"/>
      <c r="N1234" s="917"/>
      <c r="O1234" s="917"/>
      <c r="P1234" s="917"/>
      <c r="Q1234" s="578"/>
      <c r="R1234" s="578"/>
      <c r="S1234" s="578"/>
      <c r="T1234" s="578"/>
      <c r="U1234" s="578"/>
      <c r="V1234" s="578"/>
      <c r="W1234" s="578"/>
      <c r="X1234" s="578"/>
      <c r="Y1234" s="578"/>
      <c r="Z1234" s="578"/>
    </row>
    <row r="1235" spans="1:26" ht="18.75">
      <c r="A1235" s="682"/>
      <c r="B1235" s="682"/>
      <c r="C1235" s="682"/>
      <c r="D1235" s="914"/>
      <c r="E1235" s="682"/>
      <c r="F1235" s="682"/>
      <c r="G1235" s="682"/>
      <c r="H1235" s="915"/>
      <c r="I1235" s="916"/>
      <c r="J1235" s="916"/>
      <c r="K1235" s="917"/>
      <c r="L1235" s="917"/>
      <c r="M1235" s="917"/>
      <c r="N1235" s="917"/>
      <c r="O1235" s="917"/>
      <c r="P1235" s="917"/>
      <c r="Q1235" s="578"/>
      <c r="R1235" s="578"/>
      <c r="S1235" s="578"/>
      <c r="T1235" s="578"/>
      <c r="U1235" s="578"/>
      <c r="V1235" s="578"/>
      <c r="W1235" s="578"/>
      <c r="X1235" s="578"/>
      <c r="Y1235" s="578"/>
      <c r="Z1235" s="578"/>
    </row>
    <row r="1236" spans="1:26" ht="18.75">
      <c r="A1236" s="682"/>
      <c r="B1236" s="682"/>
      <c r="C1236" s="682"/>
      <c r="D1236" s="914"/>
      <c r="E1236" s="682"/>
      <c r="F1236" s="682"/>
      <c r="G1236" s="682"/>
      <c r="H1236" s="915"/>
      <c r="I1236" s="916"/>
      <c r="J1236" s="916"/>
      <c r="K1236" s="917"/>
      <c r="L1236" s="917"/>
      <c r="M1236" s="917"/>
      <c r="N1236" s="917"/>
      <c r="O1236" s="917"/>
      <c r="P1236" s="917"/>
      <c r="Q1236" s="578"/>
      <c r="R1236" s="578"/>
      <c r="S1236" s="578"/>
      <c r="T1236" s="578"/>
      <c r="U1236" s="578"/>
      <c r="V1236" s="578"/>
      <c r="W1236" s="578"/>
      <c r="X1236" s="578"/>
      <c r="Y1236" s="578"/>
      <c r="Z1236" s="578"/>
    </row>
    <row r="1237" spans="1:26" ht="18.75">
      <c r="A1237" s="682"/>
      <c r="B1237" s="682"/>
      <c r="C1237" s="682"/>
      <c r="D1237" s="914"/>
      <c r="E1237" s="682"/>
      <c r="F1237" s="682"/>
      <c r="G1237" s="682"/>
      <c r="H1237" s="915"/>
      <c r="I1237" s="916"/>
      <c r="J1237" s="916"/>
      <c r="K1237" s="917"/>
      <c r="L1237" s="917"/>
      <c r="M1237" s="917"/>
      <c r="N1237" s="917"/>
      <c r="O1237" s="917"/>
      <c r="P1237" s="917"/>
      <c r="Q1237" s="578"/>
      <c r="R1237" s="578"/>
      <c r="S1237" s="578"/>
      <c r="T1237" s="578"/>
      <c r="U1237" s="578"/>
      <c r="V1237" s="578"/>
      <c r="W1237" s="578"/>
      <c r="X1237" s="578"/>
      <c r="Y1237" s="578"/>
      <c r="Z1237" s="578"/>
    </row>
    <row r="1238" spans="1:26" ht="18.75">
      <c r="A1238" s="682"/>
      <c r="B1238" s="682"/>
      <c r="C1238" s="682"/>
      <c r="D1238" s="914"/>
      <c r="E1238" s="682"/>
      <c r="F1238" s="682"/>
      <c r="G1238" s="682"/>
      <c r="H1238" s="915"/>
      <c r="I1238" s="916"/>
      <c r="J1238" s="916"/>
      <c r="K1238" s="917"/>
      <c r="L1238" s="917"/>
      <c r="M1238" s="917"/>
      <c r="N1238" s="917"/>
      <c r="O1238" s="917"/>
      <c r="P1238" s="917"/>
      <c r="Q1238" s="578"/>
      <c r="R1238" s="578"/>
      <c r="S1238" s="578"/>
      <c r="T1238" s="578"/>
      <c r="U1238" s="578"/>
      <c r="V1238" s="578"/>
      <c r="W1238" s="578"/>
      <c r="X1238" s="578"/>
      <c r="Y1238" s="578"/>
      <c r="Z1238" s="578"/>
    </row>
    <row r="1239" spans="1:26" ht="18.75">
      <c r="A1239" s="682"/>
      <c r="B1239" s="682"/>
      <c r="C1239" s="682"/>
      <c r="D1239" s="914"/>
      <c r="E1239" s="682"/>
      <c r="F1239" s="682"/>
      <c r="G1239" s="682"/>
      <c r="H1239" s="915"/>
      <c r="I1239" s="916"/>
      <c r="J1239" s="916"/>
      <c r="K1239" s="917"/>
      <c r="L1239" s="917"/>
      <c r="M1239" s="917"/>
      <c r="N1239" s="917"/>
      <c r="O1239" s="917"/>
      <c r="P1239" s="917"/>
      <c r="Q1239" s="578"/>
      <c r="R1239" s="578"/>
      <c r="S1239" s="578"/>
      <c r="T1239" s="578"/>
      <c r="U1239" s="578"/>
      <c r="V1239" s="578"/>
      <c r="W1239" s="578"/>
      <c r="X1239" s="578"/>
      <c r="Y1239" s="578"/>
      <c r="Z1239" s="578"/>
    </row>
    <row r="1240" spans="1:26" ht="18.75">
      <c r="A1240" s="682"/>
      <c r="B1240" s="682"/>
      <c r="C1240" s="682"/>
      <c r="D1240" s="914"/>
      <c r="E1240" s="682"/>
      <c r="F1240" s="682"/>
      <c r="G1240" s="682"/>
      <c r="H1240" s="915"/>
      <c r="I1240" s="916"/>
      <c r="J1240" s="916"/>
      <c r="K1240" s="917"/>
      <c r="L1240" s="917"/>
      <c r="M1240" s="917"/>
      <c r="N1240" s="917"/>
      <c r="O1240" s="917"/>
      <c r="P1240" s="917"/>
      <c r="Q1240" s="578"/>
      <c r="R1240" s="578"/>
      <c r="S1240" s="578"/>
      <c r="T1240" s="578"/>
      <c r="U1240" s="578"/>
      <c r="V1240" s="578"/>
      <c r="W1240" s="578"/>
      <c r="X1240" s="578"/>
      <c r="Y1240" s="578"/>
      <c r="Z1240" s="578"/>
    </row>
    <row r="1241" spans="1:26" ht="18.75">
      <c r="A1241" s="682"/>
      <c r="B1241" s="682"/>
      <c r="C1241" s="682"/>
      <c r="D1241" s="914"/>
      <c r="E1241" s="682"/>
      <c r="F1241" s="682"/>
      <c r="G1241" s="682"/>
      <c r="H1241" s="915"/>
      <c r="I1241" s="916"/>
      <c r="J1241" s="916"/>
      <c r="K1241" s="917"/>
      <c r="L1241" s="917"/>
      <c r="M1241" s="917"/>
      <c r="N1241" s="917"/>
      <c r="O1241" s="917"/>
      <c r="P1241" s="917"/>
      <c r="Q1241" s="578"/>
      <c r="R1241" s="578"/>
      <c r="S1241" s="578"/>
      <c r="T1241" s="578"/>
      <c r="U1241" s="578"/>
      <c r="V1241" s="578"/>
      <c r="W1241" s="578"/>
      <c r="X1241" s="578"/>
      <c r="Y1241" s="578"/>
      <c r="Z1241" s="578"/>
    </row>
    <row r="1242" spans="1:26" ht="18.75">
      <c r="A1242" s="682"/>
      <c r="B1242" s="682"/>
      <c r="C1242" s="682"/>
      <c r="D1242" s="914"/>
      <c r="E1242" s="682"/>
      <c r="F1242" s="682"/>
      <c r="G1242" s="682"/>
      <c r="H1242" s="915"/>
      <c r="I1242" s="916"/>
      <c r="J1242" s="916"/>
      <c r="K1242" s="917"/>
      <c r="L1242" s="917"/>
      <c r="M1242" s="917"/>
      <c r="N1242" s="917"/>
      <c r="O1242" s="917"/>
      <c r="P1242" s="917"/>
      <c r="Q1242" s="578"/>
      <c r="R1242" s="578"/>
      <c r="S1242" s="578"/>
      <c r="T1242" s="578"/>
      <c r="U1242" s="578"/>
      <c r="V1242" s="578"/>
      <c r="W1242" s="578"/>
      <c r="X1242" s="578"/>
      <c r="Y1242" s="578"/>
      <c r="Z1242" s="578"/>
    </row>
    <row r="1243" spans="1:26" ht="18.75">
      <c r="A1243" s="682"/>
      <c r="B1243" s="682"/>
      <c r="C1243" s="682"/>
      <c r="D1243" s="914"/>
      <c r="E1243" s="682"/>
      <c r="F1243" s="682"/>
      <c r="G1243" s="682"/>
      <c r="H1243" s="915"/>
      <c r="I1243" s="916"/>
      <c r="J1243" s="916"/>
      <c r="K1243" s="917"/>
      <c r="L1243" s="917"/>
      <c r="M1243" s="917"/>
      <c r="N1243" s="917"/>
      <c r="O1243" s="917"/>
      <c r="P1243" s="917"/>
      <c r="Q1243" s="578"/>
      <c r="R1243" s="578"/>
      <c r="S1243" s="578"/>
      <c r="T1243" s="578"/>
      <c r="U1243" s="578"/>
      <c r="V1243" s="578"/>
      <c r="W1243" s="578"/>
      <c r="X1243" s="578"/>
      <c r="Y1243" s="578"/>
      <c r="Z1243" s="578"/>
    </row>
    <row r="1244" spans="1:26" ht="18.75">
      <c r="A1244" s="682"/>
      <c r="B1244" s="682"/>
      <c r="C1244" s="682"/>
      <c r="D1244" s="914"/>
      <c r="E1244" s="682"/>
      <c r="F1244" s="682"/>
      <c r="G1244" s="682"/>
      <c r="H1244" s="915"/>
      <c r="I1244" s="916"/>
      <c r="J1244" s="916"/>
      <c r="K1244" s="917"/>
      <c r="L1244" s="917"/>
      <c r="M1244" s="917"/>
      <c r="N1244" s="917"/>
      <c r="O1244" s="917"/>
      <c r="P1244" s="917"/>
      <c r="Q1244" s="578"/>
      <c r="R1244" s="578"/>
      <c r="S1244" s="578"/>
      <c r="T1244" s="578"/>
      <c r="U1244" s="578"/>
      <c r="V1244" s="578"/>
      <c r="W1244" s="578"/>
      <c r="X1244" s="578"/>
      <c r="Y1244" s="578"/>
      <c r="Z1244" s="578"/>
    </row>
    <row r="1245" spans="1:26" ht="18.75">
      <c r="A1245" s="682"/>
      <c r="B1245" s="682"/>
      <c r="C1245" s="682"/>
      <c r="D1245" s="914"/>
      <c r="E1245" s="682"/>
      <c r="F1245" s="682"/>
      <c r="G1245" s="682"/>
      <c r="H1245" s="915"/>
      <c r="I1245" s="916"/>
      <c r="J1245" s="916"/>
      <c r="K1245" s="917"/>
      <c r="L1245" s="917"/>
      <c r="M1245" s="917"/>
      <c r="N1245" s="917"/>
      <c r="O1245" s="917"/>
      <c r="P1245" s="917"/>
      <c r="Q1245" s="578"/>
      <c r="R1245" s="578"/>
      <c r="S1245" s="578"/>
      <c r="T1245" s="578"/>
      <c r="U1245" s="578"/>
      <c r="V1245" s="578"/>
      <c r="W1245" s="578"/>
      <c r="X1245" s="578"/>
      <c r="Y1245" s="578"/>
      <c r="Z1245" s="578"/>
    </row>
    <row r="1246" spans="1:26" ht="18.75">
      <c r="A1246" s="682"/>
      <c r="B1246" s="682"/>
      <c r="C1246" s="682"/>
      <c r="D1246" s="914"/>
      <c r="E1246" s="682"/>
      <c r="F1246" s="682"/>
      <c r="G1246" s="682"/>
      <c r="H1246" s="915"/>
      <c r="I1246" s="916"/>
      <c r="J1246" s="916"/>
      <c r="K1246" s="917"/>
      <c r="L1246" s="917"/>
      <c r="M1246" s="917"/>
      <c r="N1246" s="917"/>
      <c r="O1246" s="917"/>
      <c r="P1246" s="917"/>
      <c r="Q1246" s="578"/>
      <c r="R1246" s="578"/>
      <c r="S1246" s="578"/>
      <c r="T1246" s="578"/>
      <c r="U1246" s="578"/>
      <c r="V1246" s="578"/>
      <c r="W1246" s="578"/>
      <c r="X1246" s="578"/>
      <c r="Y1246" s="578"/>
      <c r="Z1246" s="578"/>
    </row>
    <row r="1247" spans="1:26" ht="18.75">
      <c r="A1247" s="682"/>
      <c r="B1247" s="682"/>
      <c r="C1247" s="682"/>
      <c r="D1247" s="914"/>
      <c r="E1247" s="682"/>
      <c r="F1247" s="682"/>
      <c r="G1247" s="682"/>
      <c r="H1247" s="915"/>
      <c r="I1247" s="916"/>
      <c r="J1247" s="916"/>
      <c r="K1247" s="917"/>
      <c r="L1247" s="917"/>
      <c r="M1247" s="917"/>
      <c r="N1247" s="917"/>
      <c r="O1247" s="917"/>
      <c r="P1247" s="917"/>
      <c r="Q1247" s="578"/>
      <c r="R1247" s="578"/>
      <c r="S1247" s="578"/>
      <c r="T1247" s="578"/>
      <c r="U1247" s="578"/>
      <c r="V1247" s="578"/>
      <c r="W1247" s="578"/>
      <c r="X1247" s="578"/>
      <c r="Y1247" s="578"/>
      <c r="Z1247" s="578"/>
    </row>
    <row r="1248" spans="1:26" ht="18.75">
      <c r="A1248" s="682"/>
      <c r="B1248" s="682"/>
      <c r="C1248" s="682"/>
      <c r="D1248" s="914"/>
      <c r="E1248" s="682"/>
      <c r="F1248" s="682"/>
      <c r="G1248" s="682"/>
      <c r="H1248" s="915"/>
      <c r="I1248" s="916"/>
      <c r="J1248" s="916"/>
      <c r="K1248" s="917"/>
      <c r="L1248" s="917"/>
      <c r="M1248" s="917"/>
      <c r="N1248" s="917"/>
      <c r="O1248" s="917"/>
      <c r="P1248" s="917"/>
      <c r="Q1248" s="578"/>
      <c r="R1248" s="578"/>
      <c r="S1248" s="578"/>
      <c r="T1248" s="578"/>
      <c r="U1248" s="578"/>
      <c r="V1248" s="578"/>
      <c r="W1248" s="578"/>
      <c r="X1248" s="578"/>
      <c r="Y1248" s="578"/>
      <c r="Z1248" s="578"/>
    </row>
    <row r="1249" spans="1:26" ht="18.75">
      <c r="A1249" s="682"/>
      <c r="B1249" s="682"/>
      <c r="C1249" s="682"/>
      <c r="D1249" s="914"/>
      <c r="E1249" s="682"/>
      <c r="F1249" s="682"/>
      <c r="G1249" s="682"/>
      <c r="H1249" s="915"/>
      <c r="I1249" s="916"/>
      <c r="J1249" s="916"/>
      <c r="K1249" s="917"/>
      <c r="L1249" s="917"/>
      <c r="M1249" s="917"/>
      <c r="N1249" s="917"/>
      <c r="O1249" s="917"/>
      <c r="P1249" s="917"/>
      <c r="Q1249" s="578"/>
      <c r="R1249" s="578"/>
      <c r="S1249" s="578"/>
      <c r="T1249" s="578"/>
      <c r="U1249" s="578"/>
      <c r="V1249" s="578"/>
      <c r="W1249" s="578"/>
      <c r="X1249" s="578"/>
      <c r="Y1249" s="578"/>
      <c r="Z1249" s="578"/>
    </row>
    <row r="1250" spans="1:26" ht="18.75">
      <c r="A1250" s="682"/>
      <c r="B1250" s="682"/>
      <c r="C1250" s="682"/>
      <c r="D1250" s="914"/>
      <c r="E1250" s="682"/>
      <c r="F1250" s="682"/>
      <c r="G1250" s="682"/>
      <c r="H1250" s="915"/>
      <c r="I1250" s="916"/>
      <c r="J1250" s="916"/>
      <c r="K1250" s="917"/>
      <c r="L1250" s="917"/>
      <c r="M1250" s="917"/>
      <c r="N1250" s="917"/>
      <c r="O1250" s="917"/>
      <c r="P1250" s="917"/>
      <c r="Q1250" s="578"/>
      <c r="R1250" s="578"/>
      <c r="S1250" s="578"/>
      <c r="T1250" s="578"/>
      <c r="U1250" s="578"/>
      <c r="V1250" s="578"/>
      <c r="W1250" s="578"/>
      <c r="X1250" s="578"/>
      <c r="Y1250" s="578"/>
      <c r="Z1250" s="578"/>
    </row>
    <row r="1251" spans="1:26" ht="18.75">
      <c r="A1251" s="682"/>
      <c r="B1251" s="682"/>
      <c r="C1251" s="682"/>
      <c r="D1251" s="914"/>
      <c r="E1251" s="682"/>
      <c r="F1251" s="682"/>
      <c r="G1251" s="682"/>
      <c r="H1251" s="915"/>
      <c r="I1251" s="916"/>
      <c r="J1251" s="916"/>
      <c r="K1251" s="917"/>
      <c r="L1251" s="917"/>
      <c r="M1251" s="917"/>
      <c r="N1251" s="917"/>
      <c r="O1251" s="917"/>
      <c r="P1251" s="917"/>
      <c r="Q1251" s="578"/>
      <c r="R1251" s="578"/>
      <c r="S1251" s="578"/>
      <c r="T1251" s="578"/>
      <c r="U1251" s="578"/>
      <c r="V1251" s="578"/>
      <c r="W1251" s="578"/>
      <c r="X1251" s="578"/>
      <c r="Y1251" s="578"/>
      <c r="Z1251" s="578"/>
    </row>
    <row r="1252" spans="1:26" ht="18.75">
      <c r="A1252" s="682"/>
      <c r="B1252" s="682"/>
      <c r="C1252" s="682"/>
      <c r="D1252" s="914"/>
      <c r="E1252" s="682"/>
      <c r="F1252" s="682"/>
      <c r="G1252" s="682"/>
      <c r="H1252" s="915"/>
      <c r="I1252" s="916"/>
      <c r="J1252" s="916"/>
      <c r="K1252" s="917"/>
      <c r="L1252" s="917"/>
      <c r="M1252" s="917"/>
      <c r="N1252" s="917"/>
      <c r="O1252" s="917"/>
      <c r="P1252" s="917"/>
      <c r="Q1252" s="578"/>
      <c r="R1252" s="578"/>
      <c r="S1252" s="578"/>
      <c r="T1252" s="578"/>
      <c r="U1252" s="578"/>
      <c r="V1252" s="578"/>
      <c r="W1252" s="578"/>
      <c r="X1252" s="578"/>
      <c r="Y1252" s="578"/>
      <c r="Z1252" s="578"/>
    </row>
    <row r="1253" spans="1:26" ht="18.75">
      <c r="A1253" s="682"/>
      <c r="B1253" s="682"/>
      <c r="C1253" s="682"/>
      <c r="D1253" s="914"/>
      <c r="E1253" s="682"/>
      <c r="F1253" s="682"/>
      <c r="G1253" s="682"/>
      <c r="H1253" s="915"/>
      <c r="I1253" s="916"/>
      <c r="J1253" s="916"/>
      <c r="K1253" s="917"/>
      <c r="L1253" s="917"/>
      <c r="M1253" s="917"/>
      <c r="N1253" s="917"/>
      <c r="O1253" s="917"/>
      <c r="P1253" s="917"/>
      <c r="Q1253" s="578"/>
      <c r="R1253" s="578"/>
      <c r="S1253" s="578"/>
      <c r="T1253" s="578"/>
      <c r="U1253" s="578"/>
      <c r="V1253" s="578"/>
      <c r="W1253" s="578"/>
      <c r="X1253" s="578"/>
      <c r="Y1253" s="578"/>
      <c r="Z1253" s="578"/>
    </row>
    <row r="1254" spans="1:26" ht="18.75">
      <c r="A1254" s="682"/>
      <c r="B1254" s="682"/>
      <c r="C1254" s="682"/>
      <c r="D1254" s="914"/>
      <c r="E1254" s="682"/>
      <c r="F1254" s="682"/>
      <c r="G1254" s="682"/>
      <c r="H1254" s="915"/>
      <c r="I1254" s="916"/>
      <c r="J1254" s="916"/>
      <c r="K1254" s="917"/>
      <c r="L1254" s="917"/>
      <c r="M1254" s="917"/>
      <c r="N1254" s="917"/>
      <c r="O1254" s="917"/>
      <c r="P1254" s="917"/>
      <c r="Q1254" s="578"/>
      <c r="R1254" s="578"/>
      <c r="S1254" s="578"/>
      <c r="T1254" s="578"/>
      <c r="U1254" s="578"/>
      <c r="V1254" s="578"/>
      <c r="W1254" s="578"/>
      <c r="X1254" s="578"/>
      <c r="Y1254" s="578"/>
      <c r="Z1254" s="578"/>
    </row>
    <row r="1255" spans="1:26" ht="18.75">
      <c r="A1255" s="682"/>
      <c r="B1255" s="682"/>
      <c r="C1255" s="682"/>
      <c r="D1255" s="914"/>
      <c r="E1255" s="682"/>
      <c r="F1255" s="682"/>
      <c r="G1255" s="682"/>
      <c r="H1255" s="915"/>
      <c r="I1255" s="916"/>
      <c r="J1255" s="916"/>
      <c r="K1255" s="917"/>
      <c r="L1255" s="917"/>
      <c r="M1255" s="917"/>
      <c r="N1255" s="917"/>
      <c r="O1255" s="917"/>
      <c r="P1255" s="917"/>
      <c r="Q1255" s="578"/>
      <c r="R1255" s="578"/>
      <c r="S1255" s="578"/>
      <c r="T1255" s="578"/>
      <c r="U1255" s="578"/>
      <c r="V1255" s="578"/>
      <c r="W1255" s="578"/>
      <c r="X1255" s="578"/>
      <c r="Y1255" s="578"/>
      <c r="Z1255" s="578"/>
    </row>
    <row r="1256" spans="1:26" ht="18.75">
      <c r="A1256" s="682"/>
      <c r="B1256" s="682"/>
      <c r="C1256" s="682"/>
      <c r="D1256" s="914"/>
      <c r="E1256" s="682"/>
      <c r="F1256" s="682"/>
      <c r="G1256" s="682"/>
      <c r="H1256" s="915"/>
      <c r="I1256" s="916"/>
      <c r="J1256" s="916"/>
      <c r="K1256" s="917"/>
      <c r="L1256" s="917"/>
      <c r="M1256" s="917"/>
      <c r="N1256" s="917"/>
      <c r="O1256" s="917"/>
      <c r="P1256" s="917"/>
      <c r="Q1256" s="578"/>
      <c r="R1256" s="578"/>
      <c r="S1256" s="578"/>
      <c r="T1256" s="578"/>
      <c r="U1256" s="578"/>
      <c r="V1256" s="578"/>
      <c r="W1256" s="578"/>
      <c r="X1256" s="578"/>
      <c r="Y1256" s="578"/>
      <c r="Z1256" s="578"/>
    </row>
    <row r="1257" spans="1:26" ht="18.75">
      <c r="A1257" s="682"/>
      <c r="B1257" s="682"/>
      <c r="C1257" s="682"/>
      <c r="D1257" s="914"/>
      <c r="E1257" s="682"/>
      <c r="F1257" s="682"/>
      <c r="G1257" s="682"/>
      <c r="H1257" s="915"/>
      <c r="I1257" s="916"/>
      <c r="J1257" s="916"/>
      <c r="K1257" s="917"/>
      <c r="L1257" s="917"/>
      <c r="M1257" s="917"/>
      <c r="N1257" s="917"/>
      <c r="O1257" s="917"/>
      <c r="P1257" s="917"/>
      <c r="Q1257" s="578"/>
      <c r="R1257" s="578"/>
      <c r="S1257" s="578"/>
      <c r="T1257" s="578"/>
      <c r="U1257" s="578"/>
      <c r="V1257" s="578"/>
      <c r="W1257" s="578"/>
      <c r="X1257" s="578"/>
      <c r="Y1257" s="578"/>
      <c r="Z1257" s="578"/>
    </row>
    <row r="1258" spans="1:26" ht="18.75">
      <c r="A1258" s="682"/>
      <c r="B1258" s="682"/>
      <c r="C1258" s="682"/>
      <c r="D1258" s="914"/>
      <c r="E1258" s="682"/>
      <c r="F1258" s="682"/>
      <c r="G1258" s="682"/>
      <c r="H1258" s="915"/>
      <c r="I1258" s="916"/>
      <c r="J1258" s="916"/>
      <c r="K1258" s="917"/>
      <c r="L1258" s="917"/>
      <c r="M1258" s="917"/>
      <c r="N1258" s="917"/>
      <c r="O1258" s="917"/>
      <c r="P1258" s="917"/>
      <c r="Q1258" s="578"/>
      <c r="R1258" s="578"/>
      <c r="S1258" s="578"/>
      <c r="T1258" s="578"/>
      <c r="U1258" s="578"/>
      <c r="V1258" s="578"/>
      <c r="W1258" s="578"/>
      <c r="X1258" s="578"/>
      <c r="Y1258" s="578"/>
      <c r="Z1258" s="578"/>
    </row>
    <row r="1259" spans="1:26" ht="18.75">
      <c r="A1259" s="682"/>
      <c r="B1259" s="682"/>
      <c r="C1259" s="682"/>
      <c r="D1259" s="914"/>
      <c r="E1259" s="682"/>
      <c r="F1259" s="682"/>
      <c r="G1259" s="682"/>
      <c r="H1259" s="915"/>
      <c r="I1259" s="916"/>
      <c r="J1259" s="916"/>
      <c r="K1259" s="917"/>
      <c r="L1259" s="917"/>
      <c r="M1259" s="917"/>
      <c r="N1259" s="917"/>
      <c r="O1259" s="917"/>
      <c r="P1259" s="917"/>
      <c r="Q1259" s="578"/>
      <c r="R1259" s="578"/>
      <c r="S1259" s="578"/>
      <c r="T1259" s="578"/>
      <c r="U1259" s="578"/>
      <c r="V1259" s="578"/>
      <c r="W1259" s="578"/>
      <c r="X1259" s="578"/>
      <c r="Y1259" s="578"/>
      <c r="Z1259" s="578"/>
    </row>
    <row r="1260" spans="1:26" ht="18.75">
      <c r="A1260" s="682"/>
      <c r="B1260" s="682"/>
      <c r="C1260" s="682"/>
      <c r="D1260" s="914"/>
      <c r="E1260" s="682"/>
      <c r="F1260" s="682"/>
      <c r="G1260" s="682"/>
      <c r="H1260" s="915"/>
      <c r="I1260" s="916"/>
      <c r="J1260" s="916"/>
      <c r="K1260" s="917"/>
      <c r="L1260" s="917"/>
      <c r="M1260" s="917"/>
      <c r="N1260" s="917"/>
      <c r="O1260" s="917"/>
      <c r="P1260" s="917"/>
      <c r="Q1260" s="578"/>
      <c r="R1260" s="578"/>
      <c r="S1260" s="578"/>
      <c r="T1260" s="578"/>
      <c r="U1260" s="578"/>
      <c r="V1260" s="578"/>
      <c r="W1260" s="578"/>
      <c r="X1260" s="578"/>
      <c r="Y1260" s="578"/>
      <c r="Z1260" s="578"/>
    </row>
    <row r="1261" spans="1:26" ht="18.75">
      <c r="A1261" s="682"/>
      <c r="B1261" s="682"/>
      <c r="C1261" s="682"/>
      <c r="D1261" s="914"/>
      <c r="E1261" s="682"/>
      <c r="F1261" s="682"/>
      <c r="G1261" s="682"/>
      <c r="H1261" s="915"/>
      <c r="I1261" s="916"/>
      <c r="J1261" s="916"/>
      <c r="K1261" s="917"/>
      <c r="L1261" s="917"/>
      <c r="M1261" s="917"/>
      <c r="N1261" s="917"/>
      <c r="O1261" s="917"/>
      <c r="P1261" s="917"/>
      <c r="Q1261" s="578"/>
      <c r="R1261" s="578"/>
      <c r="S1261" s="578"/>
      <c r="T1261" s="578"/>
      <c r="U1261" s="578"/>
      <c r="V1261" s="578"/>
      <c r="W1261" s="578"/>
      <c r="X1261" s="578"/>
      <c r="Y1261" s="578"/>
      <c r="Z1261" s="578"/>
    </row>
    <row r="1262" spans="1:26" ht="18.75">
      <c r="A1262" s="682"/>
      <c r="B1262" s="682"/>
      <c r="C1262" s="682"/>
      <c r="D1262" s="914"/>
      <c r="E1262" s="682"/>
      <c r="F1262" s="682"/>
      <c r="G1262" s="682"/>
      <c r="H1262" s="915"/>
      <c r="I1262" s="916"/>
      <c r="J1262" s="916"/>
      <c r="K1262" s="917"/>
      <c r="L1262" s="917"/>
      <c r="M1262" s="917"/>
      <c r="N1262" s="917"/>
      <c r="O1262" s="917"/>
      <c r="P1262" s="917"/>
      <c r="Q1262" s="578"/>
      <c r="R1262" s="578"/>
      <c r="S1262" s="578"/>
      <c r="T1262" s="578"/>
      <c r="U1262" s="578"/>
      <c r="V1262" s="578"/>
      <c r="W1262" s="578"/>
      <c r="X1262" s="578"/>
      <c r="Y1262" s="578"/>
      <c r="Z1262" s="578"/>
    </row>
    <row r="1263" spans="1:26" ht="18.75">
      <c r="A1263" s="682"/>
      <c r="B1263" s="682"/>
      <c r="C1263" s="682"/>
      <c r="D1263" s="914"/>
      <c r="E1263" s="682"/>
      <c r="F1263" s="682"/>
      <c r="G1263" s="682"/>
      <c r="H1263" s="915"/>
      <c r="I1263" s="916"/>
      <c r="J1263" s="916"/>
      <c r="K1263" s="917"/>
      <c r="L1263" s="917"/>
      <c r="M1263" s="917"/>
      <c r="N1263" s="917"/>
      <c r="O1263" s="917"/>
      <c r="P1263" s="917"/>
      <c r="Q1263" s="578"/>
      <c r="R1263" s="578"/>
      <c r="S1263" s="578"/>
      <c r="T1263" s="578"/>
      <c r="U1263" s="578"/>
      <c r="V1263" s="578"/>
      <c r="W1263" s="578"/>
      <c r="X1263" s="578"/>
      <c r="Y1263" s="578"/>
      <c r="Z1263" s="578"/>
    </row>
    <row r="1264" spans="1:26" ht="18.75">
      <c r="A1264" s="682"/>
      <c r="B1264" s="682"/>
      <c r="C1264" s="682"/>
      <c r="D1264" s="914"/>
      <c r="E1264" s="682"/>
      <c r="F1264" s="682"/>
      <c r="G1264" s="682"/>
      <c r="H1264" s="915"/>
      <c r="I1264" s="916"/>
      <c r="J1264" s="916"/>
      <c r="K1264" s="917"/>
      <c r="L1264" s="917"/>
      <c r="M1264" s="917"/>
      <c r="N1264" s="917"/>
      <c r="O1264" s="917"/>
      <c r="P1264" s="917"/>
      <c r="Q1264" s="578"/>
      <c r="R1264" s="578"/>
      <c r="S1264" s="578"/>
      <c r="T1264" s="578"/>
      <c r="U1264" s="578"/>
      <c r="V1264" s="578"/>
      <c r="W1264" s="578"/>
      <c r="X1264" s="578"/>
      <c r="Y1264" s="578"/>
      <c r="Z1264" s="578"/>
    </row>
    <row r="1265" spans="1:26" ht="18.75">
      <c r="A1265" s="682"/>
      <c r="B1265" s="682"/>
      <c r="C1265" s="682"/>
      <c r="D1265" s="914"/>
      <c r="E1265" s="682"/>
      <c r="F1265" s="682"/>
      <c r="G1265" s="682"/>
      <c r="H1265" s="915"/>
      <c r="I1265" s="916"/>
      <c r="J1265" s="916"/>
      <c r="K1265" s="917"/>
      <c r="L1265" s="917"/>
      <c r="M1265" s="917"/>
      <c r="N1265" s="917"/>
      <c r="O1265" s="917"/>
      <c r="P1265" s="917"/>
      <c r="Q1265" s="578"/>
      <c r="R1265" s="578"/>
      <c r="S1265" s="578"/>
      <c r="T1265" s="578"/>
      <c r="U1265" s="578"/>
      <c r="V1265" s="578"/>
      <c r="W1265" s="578"/>
      <c r="X1265" s="578"/>
      <c r="Y1265" s="578"/>
      <c r="Z1265" s="578"/>
    </row>
    <row r="1266" spans="1:26" ht="18.75">
      <c r="A1266" s="682"/>
      <c r="B1266" s="682"/>
      <c r="C1266" s="682"/>
      <c r="D1266" s="914"/>
      <c r="E1266" s="682"/>
      <c r="F1266" s="682"/>
      <c r="G1266" s="682"/>
      <c r="H1266" s="915"/>
      <c r="I1266" s="916"/>
      <c r="J1266" s="916"/>
      <c r="K1266" s="917"/>
      <c r="L1266" s="917"/>
      <c r="M1266" s="917"/>
      <c r="N1266" s="917"/>
      <c r="O1266" s="917"/>
      <c r="P1266" s="917"/>
      <c r="Q1266" s="578"/>
      <c r="R1266" s="578"/>
      <c r="S1266" s="578"/>
      <c r="T1266" s="578"/>
      <c r="U1266" s="578"/>
      <c r="V1266" s="578"/>
      <c r="W1266" s="578"/>
      <c r="X1266" s="578"/>
      <c r="Y1266" s="578"/>
      <c r="Z1266" s="578"/>
    </row>
    <row r="1267" spans="1:26" ht="18.75">
      <c r="A1267" s="682"/>
      <c r="B1267" s="682"/>
      <c r="C1267" s="682"/>
      <c r="D1267" s="914"/>
      <c r="E1267" s="682"/>
      <c r="F1267" s="682"/>
      <c r="G1267" s="682"/>
      <c r="H1267" s="915"/>
      <c r="I1267" s="916"/>
      <c r="J1267" s="916"/>
      <c r="K1267" s="917"/>
      <c r="L1267" s="917"/>
      <c r="M1267" s="917"/>
      <c r="N1267" s="917"/>
      <c r="O1267" s="917"/>
      <c r="P1267" s="917"/>
      <c r="Q1267" s="578"/>
      <c r="R1267" s="578"/>
      <c r="S1267" s="578"/>
      <c r="T1267" s="578"/>
      <c r="U1267" s="578"/>
      <c r="V1267" s="578"/>
      <c r="W1267" s="578"/>
      <c r="X1267" s="578"/>
      <c r="Y1267" s="578"/>
      <c r="Z1267" s="578"/>
    </row>
    <row r="1268" spans="1:26" ht="18.75">
      <c r="A1268" s="682"/>
      <c r="B1268" s="682"/>
      <c r="C1268" s="682"/>
      <c r="D1268" s="914"/>
      <c r="E1268" s="682"/>
      <c r="F1268" s="682"/>
      <c r="G1268" s="682"/>
      <c r="H1268" s="915"/>
      <c r="I1268" s="916"/>
      <c r="J1268" s="916"/>
      <c r="K1268" s="917"/>
      <c r="L1268" s="917"/>
      <c r="M1268" s="917"/>
      <c r="N1268" s="917"/>
      <c r="O1268" s="917"/>
      <c r="P1268" s="917"/>
      <c r="Q1268" s="578"/>
      <c r="R1268" s="578"/>
      <c r="S1268" s="578"/>
      <c r="T1268" s="578"/>
      <c r="U1268" s="578"/>
      <c r="V1268" s="578"/>
      <c r="W1268" s="578"/>
      <c r="X1268" s="578"/>
      <c r="Y1268" s="578"/>
      <c r="Z1268" s="578"/>
    </row>
    <row r="1269" spans="1:26" ht="18.75">
      <c r="A1269" s="682"/>
      <c r="B1269" s="682"/>
      <c r="C1269" s="682"/>
      <c r="D1269" s="914"/>
      <c r="E1269" s="682"/>
      <c r="F1269" s="682"/>
      <c r="G1269" s="682"/>
      <c r="H1269" s="915"/>
      <c r="I1269" s="916"/>
      <c r="J1269" s="916"/>
      <c r="K1269" s="917"/>
      <c r="L1269" s="917"/>
      <c r="M1269" s="917"/>
      <c r="N1269" s="917"/>
      <c r="O1269" s="917"/>
      <c r="P1269" s="917"/>
      <c r="Q1269" s="578"/>
      <c r="R1269" s="578"/>
      <c r="S1269" s="578"/>
      <c r="T1269" s="578"/>
      <c r="U1269" s="578"/>
      <c r="V1269" s="578"/>
      <c r="W1269" s="578"/>
      <c r="X1269" s="578"/>
      <c r="Y1269" s="578"/>
      <c r="Z1269" s="578"/>
    </row>
    <row r="1270" spans="1:26" ht="18.75">
      <c r="A1270" s="682"/>
      <c r="B1270" s="682"/>
      <c r="C1270" s="682"/>
      <c r="D1270" s="914"/>
      <c r="E1270" s="682"/>
      <c r="F1270" s="682"/>
      <c r="G1270" s="682"/>
      <c r="H1270" s="915"/>
      <c r="I1270" s="916"/>
      <c r="J1270" s="916"/>
      <c r="K1270" s="917"/>
      <c r="L1270" s="917"/>
      <c r="M1270" s="917"/>
      <c r="N1270" s="917"/>
      <c r="O1270" s="917"/>
      <c r="P1270" s="917"/>
      <c r="Q1270" s="578"/>
      <c r="R1270" s="578"/>
      <c r="S1270" s="578"/>
      <c r="T1270" s="578"/>
      <c r="U1270" s="578"/>
      <c r="V1270" s="578"/>
      <c r="W1270" s="578"/>
      <c r="X1270" s="578"/>
      <c r="Y1270" s="578"/>
      <c r="Z1270" s="578"/>
    </row>
    <row r="1271" spans="1:26" ht="18.75">
      <c r="A1271" s="682"/>
      <c r="B1271" s="682"/>
      <c r="C1271" s="682"/>
      <c r="D1271" s="914"/>
      <c r="E1271" s="682"/>
      <c r="F1271" s="682"/>
      <c r="G1271" s="682"/>
      <c r="H1271" s="915"/>
      <c r="I1271" s="916"/>
      <c r="J1271" s="916"/>
      <c r="K1271" s="917"/>
      <c r="L1271" s="917"/>
      <c r="M1271" s="917"/>
      <c r="N1271" s="917"/>
      <c r="O1271" s="917"/>
      <c r="P1271" s="917"/>
      <c r="Q1271" s="578"/>
      <c r="R1271" s="578"/>
      <c r="S1271" s="578"/>
      <c r="T1271" s="578"/>
      <c r="U1271" s="578"/>
      <c r="V1271" s="578"/>
      <c r="W1271" s="578"/>
      <c r="X1271" s="578"/>
      <c r="Y1271" s="578"/>
      <c r="Z1271" s="578"/>
    </row>
    <row r="1272" spans="1:26" ht="18.75">
      <c r="A1272" s="682"/>
      <c r="B1272" s="682"/>
      <c r="C1272" s="682"/>
      <c r="D1272" s="914"/>
      <c r="E1272" s="682"/>
      <c r="F1272" s="682"/>
      <c r="G1272" s="682"/>
      <c r="H1272" s="915"/>
      <c r="I1272" s="916"/>
      <c r="J1272" s="916"/>
      <c r="K1272" s="917"/>
      <c r="L1272" s="917"/>
      <c r="M1272" s="917"/>
      <c r="N1272" s="917"/>
      <c r="O1272" s="917"/>
      <c r="P1272" s="917"/>
      <c r="Q1272" s="578"/>
      <c r="R1272" s="578"/>
      <c r="S1272" s="578"/>
      <c r="T1272" s="578"/>
      <c r="U1272" s="578"/>
      <c r="V1272" s="578"/>
      <c r="W1272" s="578"/>
      <c r="X1272" s="578"/>
      <c r="Y1272" s="578"/>
      <c r="Z1272" s="578"/>
    </row>
    <row r="1273" spans="1:26" ht="18.75">
      <c r="A1273" s="682"/>
      <c r="B1273" s="682"/>
      <c r="C1273" s="682"/>
      <c r="D1273" s="914"/>
      <c r="E1273" s="682"/>
      <c r="F1273" s="682"/>
      <c r="G1273" s="682"/>
      <c r="H1273" s="915"/>
      <c r="I1273" s="916"/>
      <c r="J1273" s="916"/>
      <c r="K1273" s="917"/>
      <c r="L1273" s="917"/>
      <c r="M1273" s="917"/>
      <c r="N1273" s="917"/>
      <c r="O1273" s="917"/>
      <c r="P1273" s="917"/>
      <c r="Q1273" s="578"/>
      <c r="R1273" s="578"/>
      <c r="S1273" s="578"/>
      <c r="T1273" s="578"/>
      <c r="U1273" s="578"/>
      <c r="V1273" s="578"/>
      <c r="W1273" s="578"/>
      <c r="X1273" s="578"/>
      <c r="Y1273" s="578"/>
      <c r="Z1273" s="578"/>
    </row>
    <row r="1274" spans="1:26" ht="18.75">
      <c r="A1274" s="682"/>
      <c r="B1274" s="682"/>
      <c r="C1274" s="682"/>
      <c r="D1274" s="914"/>
      <c r="E1274" s="682"/>
      <c r="F1274" s="682"/>
      <c r="G1274" s="682"/>
      <c r="H1274" s="915"/>
      <c r="I1274" s="916"/>
      <c r="J1274" s="916"/>
      <c r="K1274" s="917"/>
      <c r="L1274" s="917"/>
      <c r="M1274" s="917"/>
      <c r="N1274" s="917"/>
      <c r="O1274" s="917"/>
      <c r="P1274" s="917"/>
      <c r="Q1274" s="578"/>
      <c r="R1274" s="578"/>
      <c r="S1274" s="578"/>
      <c r="T1274" s="578"/>
      <c r="U1274" s="578"/>
      <c r="V1274" s="578"/>
      <c r="W1274" s="578"/>
      <c r="X1274" s="578"/>
      <c r="Y1274" s="578"/>
      <c r="Z1274" s="578"/>
    </row>
    <row r="1275" spans="1:26" ht="18.75">
      <c r="A1275" s="682"/>
      <c r="B1275" s="682"/>
      <c r="C1275" s="682"/>
      <c r="D1275" s="914"/>
      <c r="E1275" s="682"/>
      <c r="F1275" s="682"/>
      <c r="G1275" s="682"/>
      <c r="H1275" s="915"/>
      <c r="I1275" s="916"/>
      <c r="J1275" s="916"/>
      <c r="K1275" s="917"/>
      <c r="L1275" s="917"/>
      <c r="M1275" s="917"/>
      <c r="N1275" s="917"/>
      <c r="O1275" s="917"/>
      <c r="P1275" s="917"/>
      <c r="Q1275" s="578"/>
      <c r="R1275" s="578"/>
      <c r="S1275" s="578"/>
      <c r="T1275" s="578"/>
      <c r="U1275" s="578"/>
      <c r="V1275" s="578"/>
      <c r="W1275" s="578"/>
      <c r="X1275" s="578"/>
      <c r="Y1275" s="578"/>
      <c r="Z1275" s="578"/>
    </row>
    <row r="1276" spans="1:26" ht="18.75">
      <c r="A1276" s="682"/>
      <c r="B1276" s="682"/>
      <c r="C1276" s="682"/>
      <c r="D1276" s="914"/>
      <c r="E1276" s="682"/>
      <c r="F1276" s="682"/>
      <c r="G1276" s="682"/>
      <c r="H1276" s="915"/>
      <c r="I1276" s="916"/>
      <c r="J1276" s="916"/>
      <c r="K1276" s="917"/>
      <c r="L1276" s="917"/>
      <c r="M1276" s="917"/>
      <c r="N1276" s="917"/>
      <c r="O1276" s="917"/>
      <c r="P1276" s="917"/>
      <c r="Q1276" s="578"/>
      <c r="R1276" s="578"/>
      <c r="S1276" s="578"/>
      <c r="T1276" s="578"/>
      <c r="U1276" s="578"/>
      <c r="V1276" s="578"/>
      <c r="W1276" s="578"/>
      <c r="X1276" s="578"/>
      <c r="Y1276" s="578"/>
      <c r="Z1276" s="578"/>
    </row>
    <row r="1277" spans="1:26" ht="18.75">
      <c r="A1277" s="682"/>
      <c r="B1277" s="682"/>
      <c r="C1277" s="682"/>
      <c r="D1277" s="914"/>
      <c r="E1277" s="682"/>
      <c r="F1277" s="682"/>
      <c r="G1277" s="682"/>
      <c r="H1277" s="915"/>
      <c r="I1277" s="916"/>
      <c r="J1277" s="916"/>
      <c r="K1277" s="917"/>
      <c r="L1277" s="917"/>
      <c r="M1277" s="917"/>
      <c r="N1277" s="917"/>
      <c r="O1277" s="917"/>
      <c r="P1277" s="917"/>
      <c r="Q1277" s="578"/>
      <c r="R1277" s="578"/>
      <c r="S1277" s="578"/>
      <c r="T1277" s="578"/>
      <c r="U1277" s="578"/>
      <c r="V1277" s="578"/>
      <c r="W1277" s="578"/>
      <c r="X1277" s="578"/>
      <c r="Y1277" s="578"/>
      <c r="Z1277" s="578"/>
    </row>
    <row r="1278" spans="1:26" ht="18.75">
      <c r="A1278" s="682"/>
      <c r="B1278" s="682"/>
      <c r="C1278" s="682"/>
      <c r="D1278" s="914"/>
      <c r="E1278" s="682"/>
      <c r="F1278" s="682"/>
      <c r="G1278" s="682"/>
      <c r="H1278" s="915"/>
      <c r="I1278" s="916"/>
      <c r="J1278" s="916"/>
      <c r="K1278" s="917"/>
      <c r="L1278" s="917"/>
      <c r="M1278" s="917"/>
      <c r="N1278" s="917"/>
      <c r="O1278" s="917"/>
      <c r="P1278" s="917"/>
      <c r="Q1278" s="578"/>
      <c r="R1278" s="578"/>
      <c r="S1278" s="578"/>
      <c r="T1278" s="578"/>
      <c r="U1278" s="578"/>
      <c r="V1278" s="578"/>
      <c r="W1278" s="578"/>
      <c r="X1278" s="578"/>
      <c r="Y1278" s="578"/>
      <c r="Z1278" s="578"/>
    </row>
    <row r="1279" spans="1:26" ht="18.75">
      <c r="A1279" s="682"/>
      <c r="B1279" s="682"/>
      <c r="C1279" s="682"/>
      <c r="D1279" s="914"/>
      <c r="E1279" s="682"/>
      <c r="F1279" s="682"/>
      <c r="G1279" s="682"/>
      <c r="H1279" s="915"/>
      <c r="I1279" s="916"/>
      <c r="J1279" s="916"/>
      <c r="K1279" s="917"/>
      <c r="L1279" s="917"/>
      <c r="M1279" s="917"/>
      <c r="N1279" s="917"/>
      <c r="O1279" s="917"/>
      <c r="P1279" s="917"/>
      <c r="Q1279" s="578"/>
      <c r="R1279" s="578"/>
      <c r="S1279" s="578"/>
      <c r="T1279" s="578"/>
      <c r="U1279" s="578"/>
      <c r="V1279" s="578"/>
      <c r="W1279" s="578"/>
      <c r="X1279" s="578"/>
      <c r="Y1279" s="578"/>
      <c r="Z1279" s="578"/>
    </row>
    <row r="1280" spans="1:26" ht="18.75">
      <c r="A1280" s="682"/>
      <c r="B1280" s="682"/>
      <c r="C1280" s="682"/>
      <c r="D1280" s="914"/>
      <c r="E1280" s="682"/>
      <c r="F1280" s="682"/>
      <c r="G1280" s="682"/>
      <c r="H1280" s="915"/>
      <c r="I1280" s="916"/>
      <c r="J1280" s="916"/>
      <c r="K1280" s="917"/>
      <c r="L1280" s="917"/>
      <c r="M1280" s="917"/>
      <c r="N1280" s="917"/>
      <c r="O1280" s="917"/>
      <c r="P1280" s="917"/>
      <c r="Q1280" s="578"/>
      <c r="R1280" s="578"/>
      <c r="S1280" s="578"/>
      <c r="T1280" s="578"/>
      <c r="U1280" s="578"/>
      <c r="V1280" s="578"/>
      <c r="W1280" s="578"/>
      <c r="X1280" s="578"/>
      <c r="Y1280" s="578"/>
      <c r="Z1280" s="578"/>
    </row>
    <row r="1281" spans="1:26" ht="18.75">
      <c r="A1281" s="682"/>
      <c r="B1281" s="682"/>
      <c r="C1281" s="682"/>
      <c r="D1281" s="914"/>
      <c r="E1281" s="682"/>
      <c r="F1281" s="682"/>
      <c r="G1281" s="682"/>
      <c r="H1281" s="915"/>
      <c r="I1281" s="916"/>
      <c r="J1281" s="916"/>
      <c r="K1281" s="917"/>
      <c r="L1281" s="917"/>
      <c r="M1281" s="917"/>
      <c r="N1281" s="917"/>
      <c r="O1281" s="917"/>
      <c r="P1281" s="917"/>
      <c r="Q1281" s="578"/>
      <c r="R1281" s="578"/>
      <c r="S1281" s="578"/>
      <c r="T1281" s="578"/>
      <c r="U1281" s="578"/>
      <c r="V1281" s="578"/>
      <c r="W1281" s="578"/>
      <c r="X1281" s="578"/>
      <c r="Y1281" s="578"/>
      <c r="Z1281" s="578"/>
    </row>
    <row r="1282" spans="1:26" ht="18.75">
      <c r="A1282" s="682"/>
      <c r="B1282" s="682"/>
      <c r="C1282" s="682"/>
      <c r="D1282" s="914"/>
      <c r="E1282" s="682"/>
      <c r="F1282" s="682"/>
      <c r="G1282" s="682"/>
      <c r="H1282" s="915"/>
      <c r="I1282" s="916"/>
      <c r="J1282" s="916"/>
      <c r="K1282" s="917"/>
      <c r="L1282" s="917"/>
      <c r="M1282" s="917"/>
      <c r="N1282" s="917"/>
      <c r="O1282" s="917"/>
      <c r="P1282" s="917"/>
      <c r="Q1282" s="578"/>
      <c r="R1282" s="578"/>
      <c r="S1282" s="578"/>
      <c r="T1282" s="578"/>
      <c r="U1282" s="578"/>
      <c r="V1282" s="578"/>
      <c r="W1282" s="578"/>
      <c r="X1282" s="578"/>
      <c r="Y1282" s="578"/>
      <c r="Z1282" s="578"/>
    </row>
    <row r="1283" spans="1:26" ht="18.75">
      <c r="A1283" s="682"/>
      <c r="B1283" s="682"/>
      <c r="C1283" s="682"/>
      <c r="D1283" s="914"/>
      <c r="E1283" s="682"/>
      <c r="F1283" s="682"/>
      <c r="G1283" s="682"/>
      <c r="H1283" s="915"/>
      <c r="I1283" s="916"/>
      <c r="J1283" s="916"/>
      <c r="K1283" s="917"/>
      <c r="L1283" s="917"/>
      <c r="M1283" s="917"/>
      <c r="N1283" s="917"/>
      <c r="O1283" s="917"/>
      <c r="P1283" s="917"/>
      <c r="Q1283" s="578"/>
      <c r="R1283" s="578"/>
      <c r="S1283" s="578"/>
      <c r="T1283" s="578"/>
      <c r="U1283" s="578"/>
      <c r="V1283" s="578"/>
      <c r="W1283" s="578"/>
      <c r="X1283" s="578"/>
      <c r="Y1283" s="578"/>
      <c r="Z1283" s="578"/>
    </row>
    <row r="1284" spans="1:26" ht="18.75">
      <c r="A1284" s="682"/>
      <c r="B1284" s="682"/>
      <c r="C1284" s="682"/>
      <c r="D1284" s="914"/>
      <c r="E1284" s="682"/>
      <c r="F1284" s="682"/>
      <c r="G1284" s="682"/>
      <c r="H1284" s="915"/>
      <c r="I1284" s="916"/>
      <c r="J1284" s="916"/>
      <c r="K1284" s="917"/>
      <c r="L1284" s="917"/>
      <c r="M1284" s="917"/>
      <c r="N1284" s="917"/>
      <c r="O1284" s="917"/>
      <c r="P1284" s="917"/>
      <c r="Q1284" s="578"/>
      <c r="R1284" s="578"/>
      <c r="S1284" s="578"/>
      <c r="T1284" s="578"/>
      <c r="U1284" s="578"/>
      <c r="V1284" s="578"/>
      <c r="W1284" s="578"/>
      <c r="X1284" s="578"/>
      <c r="Y1284" s="578"/>
      <c r="Z1284" s="578"/>
    </row>
    <row r="1285" spans="1:26" ht="18.75">
      <c r="A1285" s="682"/>
      <c r="B1285" s="682"/>
      <c r="C1285" s="682"/>
      <c r="D1285" s="914"/>
      <c r="E1285" s="682"/>
      <c r="F1285" s="682"/>
      <c r="G1285" s="682"/>
      <c r="H1285" s="915"/>
      <c r="I1285" s="916"/>
      <c r="J1285" s="916"/>
      <c r="K1285" s="917"/>
      <c r="L1285" s="917"/>
      <c r="M1285" s="917"/>
      <c r="N1285" s="917"/>
      <c r="O1285" s="917"/>
      <c r="P1285" s="917"/>
      <c r="Q1285" s="578"/>
      <c r="R1285" s="578"/>
      <c r="S1285" s="578"/>
      <c r="T1285" s="578"/>
      <c r="U1285" s="578"/>
      <c r="V1285" s="578"/>
      <c r="W1285" s="578"/>
      <c r="X1285" s="578"/>
      <c r="Y1285" s="578"/>
      <c r="Z1285" s="578"/>
    </row>
    <row r="1286" spans="1:26" ht="18.75">
      <c r="A1286" s="682"/>
      <c r="B1286" s="682"/>
      <c r="C1286" s="682"/>
      <c r="D1286" s="914"/>
      <c r="E1286" s="682"/>
      <c r="F1286" s="682"/>
      <c r="G1286" s="682"/>
      <c r="H1286" s="915"/>
      <c r="I1286" s="916"/>
      <c r="J1286" s="916"/>
      <c r="K1286" s="917"/>
      <c r="L1286" s="917"/>
      <c r="M1286" s="917"/>
      <c r="N1286" s="917"/>
      <c r="O1286" s="917"/>
      <c r="P1286" s="917"/>
      <c r="Q1286" s="578"/>
      <c r="R1286" s="578"/>
      <c r="S1286" s="578"/>
      <c r="T1286" s="578"/>
      <c r="U1286" s="578"/>
      <c r="V1286" s="578"/>
      <c r="W1286" s="578"/>
      <c r="X1286" s="578"/>
      <c r="Y1286" s="578"/>
      <c r="Z1286" s="578"/>
    </row>
    <row r="1287" spans="1:26" ht="18.75">
      <c r="A1287" s="682"/>
      <c r="B1287" s="682"/>
      <c r="C1287" s="682"/>
      <c r="D1287" s="914"/>
      <c r="E1287" s="682"/>
      <c r="F1287" s="682"/>
      <c r="G1287" s="682"/>
      <c r="H1287" s="915"/>
      <c r="I1287" s="916"/>
      <c r="J1287" s="916"/>
      <c r="K1287" s="917"/>
      <c r="L1287" s="917"/>
      <c r="M1287" s="917"/>
      <c r="N1287" s="917"/>
      <c r="O1287" s="917"/>
      <c r="P1287" s="917"/>
      <c r="Q1287" s="578"/>
      <c r="R1287" s="578"/>
      <c r="S1287" s="578"/>
      <c r="T1287" s="578"/>
      <c r="U1287" s="578"/>
      <c r="V1287" s="578"/>
      <c r="W1287" s="578"/>
      <c r="X1287" s="578"/>
      <c r="Y1287" s="578"/>
      <c r="Z1287" s="578"/>
    </row>
    <row r="1288" spans="1:26" ht="18.75">
      <c r="A1288" s="682"/>
      <c r="B1288" s="682"/>
      <c r="C1288" s="682"/>
      <c r="D1288" s="914"/>
      <c r="E1288" s="682"/>
      <c r="F1288" s="682"/>
      <c r="G1288" s="682"/>
      <c r="H1288" s="915"/>
      <c r="I1288" s="916"/>
      <c r="J1288" s="916"/>
      <c r="K1288" s="917"/>
      <c r="L1288" s="917"/>
      <c r="M1288" s="917"/>
      <c r="N1288" s="917"/>
      <c r="O1288" s="917"/>
      <c r="P1288" s="917"/>
      <c r="Q1288" s="578"/>
      <c r="R1288" s="578"/>
      <c r="S1288" s="578"/>
      <c r="T1288" s="578"/>
      <c r="U1288" s="578"/>
      <c r="V1288" s="578"/>
      <c r="W1288" s="578"/>
      <c r="X1288" s="578"/>
      <c r="Y1288" s="578"/>
      <c r="Z1288" s="578"/>
    </row>
    <row r="1289" spans="1:26" ht="18.75">
      <c r="A1289" s="682"/>
      <c r="B1289" s="682"/>
      <c r="C1289" s="682"/>
      <c r="D1289" s="914"/>
      <c r="E1289" s="682"/>
      <c r="F1289" s="682"/>
      <c r="G1289" s="682"/>
      <c r="H1289" s="915"/>
      <c r="I1289" s="916"/>
      <c r="J1289" s="916"/>
      <c r="K1289" s="917"/>
      <c r="L1289" s="917"/>
      <c r="M1289" s="917"/>
      <c r="N1289" s="917"/>
      <c r="O1289" s="917"/>
      <c r="P1289" s="917"/>
      <c r="Q1289" s="578"/>
      <c r="R1289" s="578"/>
      <c r="S1289" s="578"/>
      <c r="T1289" s="578"/>
      <c r="U1289" s="578"/>
      <c r="V1289" s="578"/>
      <c r="W1289" s="578"/>
      <c r="X1289" s="578"/>
      <c r="Y1289" s="578"/>
      <c r="Z1289" s="578"/>
    </row>
    <row r="1290" spans="1:26" ht="18.75">
      <c r="A1290" s="682"/>
      <c r="B1290" s="682"/>
      <c r="C1290" s="682"/>
      <c r="D1290" s="914"/>
      <c r="E1290" s="682"/>
      <c r="F1290" s="682"/>
      <c r="G1290" s="682"/>
      <c r="H1290" s="915"/>
      <c r="I1290" s="916"/>
      <c r="J1290" s="916"/>
      <c r="K1290" s="917"/>
      <c r="L1290" s="917"/>
      <c r="M1290" s="917"/>
      <c r="N1290" s="917"/>
      <c r="O1290" s="917"/>
      <c r="P1290" s="917"/>
      <c r="Q1290" s="578"/>
      <c r="R1290" s="578"/>
      <c r="S1290" s="578"/>
      <c r="T1290" s="578"/>
      <c r="U1290" s="578"/>
      <c r="V1290" s="578"/>
      <c r="W1290" s="578"/>
      <c r="X1290" s="578"/>
      <c r="Y1290" s="578"/>
      <c r="Z1290" s="578"/>
    </row>
    <row r="1291" spans="1:26" ht="18.75">
      <c r="A1291" s="682"/>
      <c r="B1291" s="682"/>
      <c r="C1291" s="682"/>
      <c r="D1291" s="914"/>
      <c r="E1291" s="682"/>
      <c r="F1291" s="682"/>
      <c r="G1291" s="682"/>
      <c r="H1291" s="915"/>
      <c r="I1291" s="916"/>
      <c r="J1291" s="916"/>
      <c r="K1291" s="917"/>
      <c r="L1291" s="917"/>
      <c r="M1291" s="917"/>
      <c r="N1291" s="917"/>
      <c r="O1291" s="917"/>
      <c r="P1291" s="917"/>
      <c r="Q1291" s="578"/>
      <c r="R1291" s="578"/>
      <c r="S1291" s="578"/>
      <c r="T1291" s="578"/>
      <c r="U1291" s="578"/>
      <c r="V1291" s="578"/>
      <c r="W1291" s="578"/>
      <c r="X1291" s="578"/>
      <c r="Y1291" s="578"/>
      <c r="Z1291" s="578"/>
    </row>
    <row r="1292" spans="1:26" ht="18.75">
      <c r="A1292" s="682"/>
      <c r="B1292" s="682"/>
      <c r="C1292" s="682"/>
      <c r="D1292" s="914"/>
      <c r="E1292" s="682"/>
      <c r="F1292" s="682"/>
      <c r="G1292" s="682"/>
      <c r="H1292" s="915"/>
      <c r="I1292" s="916"/>
      <c r="J1292" s="916"/>
      <c r="K1292" s="917"/>
      <c r="L1292" s="917"/>
      <c r="M1292" s="917"/>
      <c r="N1292" s="917"/>
      <c r="O1292" s="917"/>
      <c r="P1292" s="917"/>
      <c r="Q1292" s="578"/>
      <c r="R1292" s="578"/>
      <c r="S1292" s="578"/>
      <c r="T1292" s="578"/>
      <c r="U1292" s="578"/>
      <c r="V1292" s="578"/>
      <c r="W1292" s="578"/>
      <c r="X1292" s="578"/>
      <c r="Y1292" s="578"/>
      <c r="Z1292" s="578"/>
    </row>
    <row r="1293" spans="1:26" ht="18.75">
      <c r="A1293" s="682"/>
      <c r="B1293" s="682"/>
      <c r="C1293" s="682"/>
      <c r="D1293" s="914"/>
      <c r="E1293" s="682"/>
      <c r="F1293" s="682"/>
      <c r="G1293" s="682"/>
      <c r="H1293" s="915"/>
      <c r="I1293" s="916"/>
      <c r="J1293" s="916"/>
      <c r="K1293" s="917"/>
      <c r="L1293" s="917"/>
      <c r="M1293" s="917"/>
      <c r="N1293" s="917"/>
      <c r="O1293" s="917"/>
      <c r="P1293" s="917"/>
      <c r="Q1293" s="578"/>
      <c r="R1293" s="578"/>
      <c r="S1293" s="578"/>
      <c r="T1293" s="578"/>
      <c r="U1293" s="578"/>
      <c r="V1293" s="578"/>
      <c r="W1293" s="578"/>
      <c r="X1293" s="578"/>
      <c r="Y1293" s="578"/>
      <c r="Z1293" s="578"/>
    </row>
    <row r="1294" spans="1:26" ht="18.75">
      <c r="A1294" s="682"/>
      <c r="B1294" s="682"/>
      <c r="C1294" s="682"/>
      <c r="D1294" s="914"/>
      <c r="E1294" s="682"/>
      <c r="F1294" s="682"/>
      <c r="G1294" s="682"/>
      <c r="H1294" s="915"/>
      <c r="I1294" s="916"/>
      <c r="J1294" s="916"/>
      <c r="K1294" s="917"/>
      <c r="L1294" s="917"/>
      <c r="M1294" s="917"/>
      <c r="N1294" s="917"/>
      <c r="O1294" s="917"/>
      <c r="P1294" s="917"/>
      <c r="Q1294" s="578"/>
      <c r="R1294" s="578"/>
      <c r="S1294" s="578"/>
      <c r="T1294" s="578"/>
      <c r="U1294" s="578"/>
      <c r="V1294" s="578"/>
      <c r="W1294" s="578"/>
      <c r="X1294" s="578"/>
      <c r="Y1294" s="578"/>
      <c r="Z1294" s="578"/>
    </row>
    <row r="1295" spans="1:26" ht="18.75">
      <c r="A1295" s="682"/>
      <c r="B1295" s="682"/>
      <c r="C1295" s="682"/>
      <c r="D1295" s="914"/>
      <c r="E1295" s="682"/>
      <c r="F1295" s="682"/>
      <c r="G1295" s="682"/>
      <c r="H1295" s="915"/>
      <c r="I1295" s="916"/>
      <c r="J1295" s="916"/>
      <c r="K1295" s="917"/>
      <c r="L1295" s="917"/>
      <c r="M1295" s="917"/>
      <c r="N1295" s="917"/>
      <c r="O1295" s="917"/>
      <c r="P1295" s="917"/>
      <c r="Q1295" s="578"/>
      <c r="R1295" s="578"/>
      <c r="S1295" s="578"/>
      <c r="T1295" s="578"/>
      <c r="U1295" s="578"/>
      <c r="V1295" s="578"/>
      <c r="W1295" s="578"/>
      <c r="X1295" s="578"/>
      <c r="Y1295" s="578"/>
      <c r="Z1295" s="578"/>
    </row>
    <row r="1296" spans="1:26" ht="18.75">
      <c r="A1296" s="682"/>
      <c r="B1296" s="682"/>
      <c r="C1296" s="682"/>
      <c r="D1296" s="914"/>
      <c r="E1296" s="682"/>
      <c r="F1296" s="682"/>
      <c r="G1296" s="682"/>
      <c r="H1296" s="915"/>
      <c r="I1296" s="916"/>
      <c r="J1296" s="916"/>
      <c r="K1296" s="917"/>
      <c r="L1296" s="917"/>
      <c r="M1296" s="917"/>
      <c r="N1296" s="917"/>
      <c r="O1296" s="917"/>
      <c r="P1296" s="917"/>
      <c r="Q1296" s="578"/>
      <c r="R1296" s="578"/>
      <c r="S1296" s="578"/>
      <c r="T1296" s="578"/>
      <c r="U1296" s="578"/>
      <c r="V1296" s="578"/>
      <c r="W1296" s="578"/>
      <c r="X1296" s="578"/>
      <c r="Y1296" s="578"/>
      <c r="Z1296" s="578"/>
    </row>
    <row r="1297" spans="1:26" ht="18.75">
      <c r="A1297" s="682"/>
      <c r="B1297" s="682"/>
      <c r="C1297" s="682"/>
      <c r="D1297" s="914"/>
      <c r="E1297" s="682"/>
      <c r="F1297" s="682"/>
      <c r="G1297" s="682"/>
      <c r="H1297" s="915"/>
      <c r="I1297" s="916"/>
      <c r="J1297" s="916"/>
      <c r="K1297" s="917"/>
      <c r="L1297" s="917"/>
      <c r="M1297" s="917"/>
      <c r="N1297" s="917"/>
      <c r="O1297" s="917"/>
      <c r="P1297" s="917"/>
      <c r="Q1297" s="578"/>
      <c r="R1297" s="578"/>
      <c r="S1297" s="578"/>
      <c r="T1297" s="578"/>
      <c r="U1297" s="578"/>
      <c r="V1297" s="578"/>
      <c r="W1297" s="578"/>
      <c r="X1297" s="578"/>
      <c r="Y1297" s="578"/>
      <c r="Z1297" s="578"/>
    </row>
    <row r="1298" spans="1:26" ht="18.75">
      <c r="A1298" s="682"/>
      <c r="B1298" s="682"/>
      <c r="C1298" s="682"/>
      <c r="D1298" s="914"/>
      <c r="E1298" s="682"/>
      <c r="F1298" s="682"/>
      <c r="G1298" s="682"/>
      <c r="H1298" s="915"/>
      <c r="I1298" s="916"/>
      <c r="J1298" s="916"/>
      <c r="K1298" s="917"/>
      <c r="L1298" s="917"/>
      <c r="M1298" s="917"/>
      <c r="N1298" s="917"/>
      <c r="O1298" s="917"/>
      <c r="P1298" s="917"/>
      <c r="Q1298" s="578"/>
      <c r="R1298" s="578"/>
      <c r="S1298" s="578"/>
      <c r="T1298" s="578"/>
      <c r="U1298" s="578"/>
      <c r="V1298" s="578"/>
      <c r="W1298" s="578"/>
      <c r="X1298" s="578"/>
      <c r="Y1298" s="578"/>
      <c r="Z1298" s="578"/>
    </row>
    <row r="1299" spans="1:26" ht="18.75">
      <c r="A1299" s="682"/>
      <c r="B1299" s="682"/>
      <c r="C1299" s="682"/>
      <c r="D1299" s="914"/>
      <c r="E1299" s="682"/>
      <c r="F1299" s="682"/>
      <c r="G1299" s="682"/>
      <c r="H1299" s="915"/>
      <c r="I1299" s="916"/>
      <c r="J1299" s="916"/>
      <c r="K1299" s="917"/>
      <c r="L1299" s="917"/>
      <c r="M1299" s="917"/>
      <c r="N1299" s="917"/>
      <c r="O1299" s="917"/>
      <c r="P1299" s="917"/>
      <c r="Q1299" s="578"/>
      <c r="R1299" s="578"/>
      <c r="S1299" s="578"/>
      <c r="T1299" s="578"/>
      <c r="U1299" s="578"/>
      <c r="V1299" s="578"/>
      <c r="W1299" s="578"/>
      <c r="X1299" s="578"/>
      <c r="Y1299" s="578"/>
      <c r="Z1299" s="578"/>
    </row>
    <row r="1300" spans="1:26" ht="18.75">
      <c r="A1300" s="682"/>
      <c r="B1300" s="682"/>
      <c r="C1300" s="682"/>
      <c r="D1300" s="914"/>
      <c r="E1300" s="682"/>
      <c r="F1300" s="682"/>
      <c r="G1300" s="682"/>
      <c r="H1300" s="915"/>
      <c r="I1300" s="916"/>
      <c r="J1300" s="916"/>
      <c r="K1300" s="917"/>
      <c r="L1300" s="917"/>
      <c r="M1300" s="917"/>
      <c r="N1300" s="917"/>
      <c r="O1300" s="917"/>
      <c r="P1300" s="917"/>
      <c r="Q1300" s="578"/>
      <c r="R1300" s="578"/>
      <c r="S1300" s="578"/>
      <c r="T1300" s="578"/>
      <c r="U1300" s="578"/>
      <c r="V1300" s="578"/>
      <c r="W1300" s="578"/>
      <c r="X1300" s="578"/>
      <c r="Y1300" s="578"/>
      <c r="Z1300" s="578"/>
    </row>
    <row r="1301" spans="1:26" ht="18.75">
      <c r="A1301" s="682"/>
      <c r="B1301" s="682"/>
      <c r="C1301" s="682"/>
      <c r="D1301" s="914"/>
      <c r="E1301" s="682"/>
      <c r="F1301" s="682"/>
      <c r="G1301" s="682"/>
      <c r="H1301" s="915"/>
      <c r="I1301" s="916"/>
      <c r="J1301" s="916"/>
      <c r="K1301" s="917"/>
      <c r="L1301" s="917"/>
      <c r="M1301" s="917"/>
      <c r="N1301" s="917"/>
      <c r="O1301" s="917"/>
      <c r="P1301" s="917"/>
      <c r="Q1301" s="578"/>
      <c r="R1301" s="578"/>
      <c r="S1301" s="578"/>
      <c r="T1301" s="578"/>
      <c r="U1301" s="578"/>
      <c r="V1301" s="578"/>
      <c r="W1301" s="578"/>
      <c r="X1301" s="578"/>
      <c r="Y1301" s="578"/>
      <c r="Z1301" s="578"/>
    </row>
    <row r="1302" spans="1:26" ht="18.75">
      <c r="A1302" s="682"/>
      <c r="B1302" s="682"/>
      <c r="C1302" s="682"/>
      <c r="D1302" s="914"/>
      <c r="E1302" s="682"/>
      <c r="F1302" s="682"/>
      <c r="G1302" s="682"/>
      <c r="H1302" s="915"/>
      <c r="I1302" s="916"/>
      <c r="J1302" s="916"/>
      <c r="K1302" s="917"/>
      <c r="L1302" s="917"/>
      <c r="M1302" s="917"/>
      <c r="N1302" s="917"/>
      <c r="O1302" s="917"/>
      <c r="P1302" s="917"/>
      <c r="Q1302" s="578"/>
      <c r="R1302" s="578"/>
      <c r="S1302" s="578"/>
      <c r="T1302" s="578"/>
      <c r="U1302" s="578"/>
      <c r="V1302" s="578"/>
      <c r="W1302" s="578"/>
      <c r="X1302" s="578"/>
      <c r="Y1302" s="578"/>
      <c r="Z1302" s="578"/>
    </row>
    <row r="1303" spans="1:26" ht="18.75">
      <c r="A1303" s="682"/>
      <c r="B1303" s="682"/>
      <c r="C1303" s="682"/>
      <c r="D1303" s="914"/>
      <c r="E1303" s="682"/>
      <c r="F1303" s="682"/>
      <c r="G1303" s="682"/>
      <c r="H1303" s="915"/>
      <c r="I1303" s="916"/>
      <c r="J1303" s="916"/>
      <c r="K1303" s="917"/>
      <c r="L1303" s="917"/>
      <c r="M1303" s="917"/>
      <c r="N1303" s="917"/>
      <c r="O1303" s="917"/>
      <c r="P1303" s="917"/>
      <c r="Q1303" s="578"/>
      <c r="R1303" s="578"/>
      <c r="S1303" s="578"/>
      <c r="T1303" s="578"/>
      <c r="U1303" s="578"/>
      <c r="V1303" s="578"/>
      <c r="W1303" s="578"/>
      <c r="X1303" s="578"/>
      <c r="Y1303" s="578"/>
      <c r="Z1303" s="578"/>
    </row>
    <row r="1304" spans="1:26" ht="18.75">
      <c r="A1304" s="682"/>
      <c r="B1304" s="682"/>
      <c r="C1304" s="682"/>
      <c r="D1304" s="914"/>
      <c r="E1304" s="682"/>
      <c r="F1304" s="682"/>
      <c r="G1304" s="682"/>
      <c r="H1304" s="915"/>
      <c r="I1304" s="916"/>
      <c r="J1304" s="916"/>
      <c r="K1304" s="917"/>
      <c r="L1304" s="917"/>
      <c r="M1304" s="917"/>
      <c r="N1304" s="917"/>
      <c r="O1304" s="917"/>
      <c r="P1304" s="917"/>
      <c r="Q1304" s="578"/>
      <c r="R1304" s="578"/>
      <c r="S1304" s="578"/>
      <c r="T1304" s="578"/>
      <c r="U1304" s="578"/>
      <c r="V1304" s="578"/>
      <c r="W1304" s="578"/>
      <c r="X1304" s="578"/>
      <c r="Y1304" s="578"/>
      <c r="Z1304" s="578"/>
    </row>
    <row r="1305" spans="1:26" ht="18.75">
      <c r="A1305" s="682"/>
      <c r="B1305" s="682"/>
      <c r="C1305" s="682"/>
      <c r="D1305" s="914"/>
      <c r="E1305" s="682"/>
      <c r="F1305" s="682"/>
      <c r="G1305" s="682"/>
      <c r="H1305" s="915"/>
      <c r="I1305" s="916"/>
      <c r="J1305" s="916"/>
      <c r="K1305" s="917"/>
      <c r="L1305" s="917"/>
      <c r="M1305" s="917"/>
      <c r="N1305" s="917"/>
      <c r="O1305" s="917"/>
      <c r="P1305" s="917"/>
      <c r="Q1305" s="578"/>
      <c r="R1305" s="578"/>
      <c r="S1305" s="578"/>
      <c r="T1305" s="578"/>
      <c r="U1305" s="578"/>
      <c r="V1305" s="578"/>
      <c r="W1305" s="578"/>
      <c r="X1305" s="578"/>
      <c r="Y1305" s="578"/>
      <c r="Z1305" s="578"/>
    </row>
    <row r="1306" spans="1:26" ht="18.75">
      <c r="A1306" s="682"/>
      <c r="B1306" s="682"/>
      <c r="C1306" s="682"/>
      <c r="D1306" s="914"/>
      <c r="E1306" s="682"/>
      <c r="F1306" s="682"/>
      <c r="G1306" s="682"/>
      <c r="H1306" s="915"/>
      <c r="I1306" s="916"/>
      <c r="J1306" s="916"/>
      <c r="K1306" s="917"/>
      <c r="L1306" s="917"/>
      <c r="M1306" s="917"/>
      <c r="N1306" s="917"/>
      <c r="O1306" s="917"/>
      <c r="P1306" s="917"/>
      <c r="Q1306" s="578"/>
      <c r="R1306" s="578"/>
      <c r="S1306" s="578"/>
      <c r="T1306" s="578"/>
      <c r="U1306" s="578"/>
      <c r="V1306" s="578"/>
      <c r="W1306" s="578"/>
      <c r="X1306" s="578"/>
      <c r="Y1306" s="578"/>
      <c r="Z1306" s="578"/>
    </row>
    <row r="1307" spans="1:26" ht="18.75">
      <c r="A1307" s="682"/>
      <c r="B1307" s="682"/>
      <c r="C1307" s="682"/>
      <c r="D1307" s="914"/>
      <c r="E1307" s="682"/>
      <c r="F1307" s="682"/>
      <c r="G1307" s="682"/>
      <c r="H1307" s="915"/>
      <c r="I1307" s="916"/>
      <c r="J1307" s="916"/>
      <c r="K1307" s="917"/>
      <c r="L1307" s="917"/>
      <c r="M1307" s="917"/>
      <c r="N1307" s="917"/>
      <c r="O1307" s="917"/>
      <c r="P1307" s="917"/>
      <c r="Q1307" s="578"/>
      <c r="R1307" s="578"/>
      <c r="S1307" s="578"/>
      <c r="T1307" s="578"/>
      <c r="U1307" s="578"/>
      <c r="V1307" s="578"/>
      <c r="W1307" s="578"/>
      <c r="X1307" s="578"/>
      <c r="Y1307" s="578"/>
      <c r="Z1307" s="578"/>
    </row>
    <row r="1308" spans="1:26" ht="18.75">
      <c r="A1308" s="682"/>
      <c r="B1308" s="682"/>
      <c r="C1308" s="682"/>
      <c r="D1308" s="914"/>
      <c r="E1308" s="682"/>
      <c r="F1308" s="682"/>
      <c r="G1308" s="682"/>
      <c r="H1308" s="915"/>
      <c r="I1308" s="916"/>
      <c r="J1308" s="916"/>
      <c r="K1308" s="917"/>
      <c r="L1308" s="917"/>
      <c r="M1308" s="917"/>
      <c r="N1308" s="917"/>
      <c r="O1308" s="917"/>
      <c r="P1308" s="917"/>
      <c r="Q1308" s="578"/>
      <c r="R1308" s="578"/>
      <c r="S1308" s="578"/>
      <c r="T1308" s="578"/>
      <c r="U1308" s="578"/>
      <c r="V1308" s="578"/>
      <c r="W1308" s="578"/>
      <c r="X1308" s="578"/>
      <c r="Y1308" s="578"/>
      <c r="Z1308" s="578"/>
    </row>
    <row r="1309" spans="1:26" ht="18.75">
      <c r="A1309" s="682"/>
      <c r="B1309" s="682"/>
      <c r="C1309" s="682"/>
      <c r="D1309" s="914"/>
      <c r="E1309" s="682"/>
      <c r="F1309" s="682"/>
      <c r="G1309" s="682"/>
      <c r="H1309" s="915"/>
      <c r="I1309" s="916"/>
      <c r="J1309" s="916"/>
      <c r="K1309" s="917"/>
      <c r="L1309" s="917"/>
      <c r="M1309" s="917"/>
      <c r="N1309" s="917"/>
      <c r="O1309" s="917"/>
      <c r="P1309" s="917"/>
      <c r="Q1309" s="578"/>
      <c r="R1309" s="578"/>
      <c r="S1309" s="578"/>
      <c r="T1309" s="578"/>
      <c r="U1309" s="578"/>
      <c r="V1309" s="578"/>
      <c r="W1309" s="578"/>
      <c r="X1309" s="578"/>
      <c r="Y1309" s="578"/>
      <c r="Z1309" s="578"/>
    </row>
    <row r="1310" spans="1:26" ht="18.75">
      <c r="A1310" s="682"/>
      <c r="B1310" s="682"/>
      <c r="C1310" s="682"/>
      <c r="D1310" s="914"/>
      <c r="E1310" s="682"/>
      <c r="F1310" s="682"/>
      <c r="G1310" s="682"/>
      <c r="H1310" s="915"/>
      <c r="I1310" s="916"/>
      <c r="J1310" s="916"/>
      <c r="K1310" s="917"/>
      <c r="L1310" s="917"/>
      <c r="M1310" s="917"/>
      <c r="N1310" s="917"/>
      <c r="O1310" s="917"/>
      <c r="P1310" s="917"/>
      <c r="Q1310" s="578"/>
      <c r="R1310" s="578"/>
      <c r="S1310" s="578"/>
      <c r="T1310" s="578"/>
      <c r="U1310" s="578"/>
      <c r="V1310" s="578"/>
      <c r="W1310" s="578"/>
      <c r="X1310" s="578"/>
      <c r="Y1310" s="578"/>
      <c r="Z1310" s="578"/>
    </row>
    <row r="1311" spans="1:26" ht="18.75">
      <c r="A1311" s="682"/>
      <c r="B1311" s="682"/>
      <c r="C1311" s="682"/>
      <c r="D1311" s="914"/>
      <c r="E1311" s="682"/>
      <c r="F1311" s="682"/>
      <c r="G1311" s="682"/>
      <c r="H1311" s="915"/>
      <c r="I1311" s="916"/>
      <c r="J1311" s="916"/>
      <c r="K1311" s="917"/>
      <c r="L1311" s="917"/>
      <c r="M1311" s="917"/>
      <c r="N1311" s="917"/>
      <c r="O1311" s="917"/>
      <c r="P1311" s="917"/>
      <c r="Q1311" s="578"/>
      <c r="R1311" s="578"/>
      <c r="S1311" s="578"/>
      <c r="T1311" s="578"/>
      <c r="U1311" s="578"/>
      <c r="V1311" s="578"/>
      <c r="W1311" s="578"/>
      <c r="X1311" s="578"/>
      <c r="Y1311" s="578"/>
      <c r="Z1311" s="578"/>
    </row>
    <row r="1312" spans="1:26" ht="18.75">
      <c r="A1312" s="682"/>
      <c r="B1312" s="682"/>
      <c r="C1312" s="682"/>
      <c r="D1312" s="914"/>
      <c r="E1312" s="682"/>
      <c r="F1312" s="682"/>
      <c r="G1312" s="682"/>
      <c r="H1312" s="915"/>
      <c r="I1312" s="916"/>
      <c r="J1312" s="916"/>
      <c r="K1312" s="917"/>
      <c r="L1312" s="917"/>
      <c r="M1312" s="917"/>
      <c r="N1312" s="917"/>
      <c r="O1312" s="917"/>
      <c r="P1312" s="917"/>
      <c r="Q1312" s="578"/>
      <c r="R1312" s="578"/>
      <c r="S1312" s="578"/>
      <c r="T1312" s="578"/>
      <c r="U1312" s="578"/>
      <c r="V1312" s="578"/>
      <c r="W1312" s="578"/>
      <c r="X1312" s="578"/>
      <c r="Y1312" s="578"/>
      <c r="Z1312" s="578"/>
    </row>
    <row r="1313" spans="1:26" ht="18.75">
      <c r="A1313" s="682"/>
      <c r="B1313" s="682"/>
      <c r="C1313" s="682"/>
      <c r="D1313" s="914"/>
      <c r="E1313" s="682"/>
      <c r="F1313" s="682"/>
      <c r="G1313" s="682"/>
      <c r="H1313" s="915"/>
      <c r="I1313" s="916"/>
      <c r="J1313" s="916"/>
      <c r="K1313" s="917"/>
      <c r="L1313" s="917"/>
      <c r="M1313" s="917"/>
      <c r="N1313" s="917"/>
      <c r="O1313" s="917"/>
      <c r="P1313" s="917"/>
      <c r="Q1313" s="578"/>
      <c r="R1313" s="578"/>
      <c r="S1313" s="578"/>
      <c r="T1313" s="578"/>
      <c r="U1313" s="578"/>
      <c r="V1313" s="578"/>
      <c r="W1313" s="578"/>
      <c r="X1313" s="578"/>
      <c r="Y1313" s="578"/>
      <c r="Z1313" s="578"/>
    </row>
    <row r="1314" spans="1:26" ht="18.75">
      <c r="A1314" s="682"/>
      <c r="B1314" s="682"/>
      <c r="C1314" s="682"/>
      <c r="D1314" s="914"/>
      <c r="E1314" s="682"/>
      <c r="F1314" s="682"/>
      <c r="G1314" s="682"/>
      <c r="H1314" s="915"/>
      <c r="I1314" s="916"/>
      <c r="J1314" s="916"/>
      <c r="K1314" s="917"/>
      <c r="L1314" s="917"/>
      <c r="M1314" s="917"/>
      <c r="N1314" s="917"/>
      <c r="O1314" s="917"/>
      <c r="P1314" s="917"/>
      <c r="Q1314" s="578"/>
      <c r="R1314" s="578"/>
      <c r="S1314" s="578"/>
      <c r="T1314" s="578"/>
      <c r="U1314" s="578"/>
      <c r="V1314" s="578"/>
      <c r="W1314" s="578"/>
      <c r="X1314" s="578"/>
      <c r="Y1314" s="578"/>
      <c r="Z1314" s="578"/>
    </row>
    <row r="1315" spans="1:26" ht="18.75">
      <c r="A1315" s="682"/>
      <c r="B1315" s="682"/>
      <c r="C1315" s="682"/>
      <c r="D1315" s="914"/>
      <c r="E1315" s="682"/>
      <c r="F1315" s="682"/>
      <c r="G1315" s="682"/>
      <c r="H1315" s="915"/>
      <c r="I1315" s="916"/>
      <c r="J1315" s="916"/>
      <c r="K1315" s="917"/>
      <c r="L1315" s="917"/>
      <c r="M1315" s="917"/>
      <c r="N1315" s="917"/>
      <c r="O1315" s="917"/>
      <c r="P1315" s="917"/>
      <c r="Q1315" s="578"/>
      <c r="R1315" s="578"/>
      <c r="S1315" s="578"/>
      <c r="T1315" s="578"/>
      <c r="U1315" s="578"/>
      <c r="V1315" s="578"/>
      <c r="W1315" s="578"/>
      <c r="X1315" s="578"/>
      <c r="Y1315" s="578"/>
      <c r="Z1315" s="578"/>
    </row>
    <row r="1316" spans="1:26" ht="18.75">
      <c r="A1316" s="682"/>
      <c r="B1316" s="682"/>
      <c r="C1316" s="682"/>
      <c r="D1316" s="914"/>
      <c r="E1316" s="682"/>
      <c r="F1316" s="682"/>
      <c r="G1316" s="682"/>
      <c r="H1316" s="915"/>
      <c r="I1316" s="916"/>
      <c r="J1316" s="916"/>
      <c r="K1316" s="917"/>
      <c r="L1316" s="917"/>
      <c r="M1316" s="917"/>
      <c r="N1316" s="917"/>
      <c r="O1316" s="917"/>
      <c r="P1316" s="917"/>
      <c r="Q1316" s="578"/>
      <c r="R1316" s="578"/>
      <c r="S1316" s="578"/>
      <c r="T1316" s="578"/>
      <c r="U1316" s="578"/>
      <c r="V1316" s="578"/>
      <c r="W1316" s="578"/>
      <c r="X1316" s="578"/>
      <c r="Y1316" s="578"/>
      <c r="Z1316" s="578"/>
    </row>
    <row r="1317" spans="1:26" ht="18.75">
      <c r="A1317" s="682"/>
      <c r="B1317" s="682"/>
      <c r="C1317" s="682"/>
      <c r="D1317" s="914"/>
      <c r="E1317" s="682"/>
      <c r="F1317" s="682"/>
      <c r="G1317" s="682"/>
      <c r="H1317" s="915"/>
      <c r="I1317" s="916"/>
      <c r="J1317" s="916"/>
      <c r="K1317" s="917"/>
      <c r="L1317" s="917"/>
      <c r="M1317" s="917"/>
      <c r="N1317" s="917"/>
      <c r="O1317" s="917"/>
      <c r="P1317" s="917"/>
      <c r="Q1317" s="578"/>
      <c r="R1317" s="578"/>
      <c r="S1317" s="578"/>
      <c r="T1317" s="578"/>
      <c r="U1317" s="578"/>
      <c r="V1317" s="578"/>
      <c r="W1317" s="578"/>
      <c r="X1317" s="578"/>
      <c r="Y1317" s="578"/>
      <c r="Z1317" s="578"/>
    </row>
    <row r="1318" spans="1:26" ht="18.75">
      <c r="A1318" s="682"/>
      <c r="B1318" s="682"/>
      <c r="C1318" s="682"/>
      <c r="D1318" s="914"/>
      <c r="E1318" s="682"/>
      <c r="F1318" s="682"/>
      <c r="G1318" s="682"/>
      <c r="H1318" s="915"/>
      <c r="I1318" s="916"/>
      <c r="J1318" s="916"/>
      <c r="K1318" s="917"/>
      <c r="L1318" s="917"/>
      <c r="M1318" s="917"/>
      <c r="N1318" s="917"/>
      <c r="O1318" s="917"/>
      <c r="P1318" s="917"/>
      <c r="Q1318" s="578"/>
      <c r="R1318" s="578"/>
      <c r="S1318" s="578"/>
      <c r="T1318" s="578"/>
      <c r="U1318" s="578"/>
      <c r="V1318" s="578"/>
      <c r="W1318" s="578"/>
      <c r="X1318" s="578"/>
      <c r="Y1318" s="578"/>
      <c r="Z1318" s="578"/>
    </row>
    <row r="1319" spans="1:26" ht="18.75">
      <c r="A1319" s="682"/>
      <c r="B1319" s="682"/>
      <c r="C1319" s="682"/>
      <c r="D1319" s="914"/>
      <c r="E1319" s="682"/>
      <c r="F1319" s="682"/>
      <c r="G1319" s="682"/>
      <c r="H1319" s="915"/>
      <c r="I1319" s="916"/>
      <c r="J1319" s="916"/>
      <c r="K1319" s="917"/>
      <c r="L1319" s="917"/>
      <c r="M1319" s="917"/>
      <c r="N1319" s="917"/>
      <c r="O1319" s="917"/>
      <c r="P1319" s="917"/>
      <c r="Q1319" s="578"/>
      <c r="R1319" s="578"/>
      <c r="S1319" s="578"/>
      <c r="T1319" s="578"/>
      <c r="U1319" s="578"/>
      <c r="V1319" s="578"/>
      <c r="W1319" s="578"/>
      <c r="X1319" s="578"/>
      <c r="Y1319" s="578"/>
      <c r="Z1319" s="578"/>
    </row>
    <row r="1320" spans="1:26" ht="18.75">
      <c r="A1320" s="682"/>
      <c r="B1320" s="682"/>
      <c r="C1320" s="682"/>
      <c r="D1320" s="914"/>
      <c r="E1320" s="682"/>
      <c r="F1320" s="682"/>
      <c r="G1320" s="682"/>
      <c r="H1320" s="915"/>
      <c r="I1320" s="916"/>
      <c r="J1320" s="916"/>
      <c r="K1320" s="917"/>
      <c r="L1320" s="917"/>
      <c r="M1320" s="917"/>
      <c r="N1320" s="917"/>
      <c r="O1320" s="917"/>
      <c r="P1320" s="917"/>
      <c r="Q1320" s="578"/>
      <c r="R1320" s="578"/>
      <c r="S1320" s="578"/>
      <c r="T1320" s="578"/>
      <c r="U1320" s="578"/>
      <c r="V1320" s="578"/>
      <c r="W1320" s="578"/>
      <c r="X1320" s="578"/>
      <c r="Y1320" s="578"/>
      <c r="Z1320" s="578"/>
    </row>
    <row r="1321" spans="1:26" ht="18.75">
      <c r="A1321" s="682"/>
      <c r="B1321" s="682"/>
      <c r="C1321" s="682"/>
      <c r="D1321" s="914"/>
      <c r="E1321" s="682"/>
      <c r="F1321" s="682"/>
      <c r="G1321" s="682"/>
      <c r="H1321" s="915"/>
      <c r="I1321" s="916"/>
      <c r="J1321" s="916"/>
      <c r="K1321" s="917"/>
      <c r="L1321" s="917"/>
      <c r="M1321" s="917"/>
      <c r="N1321" s="917"/>
      <c r="O1321" s="917"/>
      <c r="P1321" s="917"/>
      <c r="Q1321" s="578"/>
      <c r="R1321" s="578"/>
      <c r="S1321" s="578"/>
      <c r="T1321" s="578"/>
      <c r="U1321" s="578"/>
      <c r="V1321" s="578"/>
      <c r="W1321" s="578"/>
      <c r="X1321" s="578"/>
      <c r="Y1321" s="578"/>
      <c r="Z1321" s="578"/>
    </row>
    <row r="1322" spans="1:26" ht="18.75">
      <c r="A1322" s="682"/>
      <c r="B1322" s="682"/>
      <c r="C1322" s="682"/>
      <c r="D1322" s="914"/>
      <c r="E1322" s="682"/>
      <c r="F1322" s="682"/>
      <c r="G1322" s="682"/>
      <c r="H1322" s="915"/>
      <c r="I1322" s="916"/>
      <c r="J1322" s="916"/>
      <c r="K1322" s="917"/>
      <c r="L1322" s="917"/>
      <c r="M1322" s="917"/>
      <c r="N1322" s="917"/>
      <c r="O1322" s="917"/>
      <c r="P1322" s="917"/>
      <c r="Q1322" s="578"/>
      <c r="R1322" s="578"/>
      <c r="S1322" s="578"/>
      <c r="T1322" s="578"/>
      <c r="U1322" s="578"/>
      <c r="V1322" s="578"/>
      <c r="W1322" s="578"/>
      <c r="X1322" s="578"/>
      <c r="Y1322" s="578"/>
      <c r="Z1322" s="578"/>
    </row>
    <row r="1323" spans="1:26" ht="18.75">
      <c r="A1323" s="682"/>
      <c r="B1323" s="682"/>
      <c r="C1323" s="682"/>
      <c r="D1323" s="914"/>
      <c r="E1323" s="682"/>
      <c r="F1323" s="682"/>
      <c r="G1323" s="682"/>
      <c r="H1323" s="915"/>
      <c r="I1323" s="916"/>
      <c r="J1323" s="916"/>
      <c r="K1323" s="917"/>
      <c r="L1323" s="917"/>
      <c r="M1323" s="917"/>
      <c r="N1323" s="917"/>
      <c r="O1323" s="917"/>
      <c r="P1323" s="917"/>
      <c r="Q1323" s="578"/>
      <c r="R1323" s="578"/>
      <c r="S1323" s="578"/>
      <c r="T1323" s="578"/>
      <c r="U1323" s="578"/>
      <c r="V1323" s="578"/>
      <c r="W1323" s="578"/>
      <c r="X1323" s="578"/>
      <c r="Y1323" s="578"/>
      <c r="Z1323" s="578"/>
    </row>
    <row r="1324" spans="1:26" ht="18.75">
      <c r="A1324" s="682"/>
      <c r="B1324" s="682"/>
      <c r="C1324" s="682"/>
      <c r="D1324" s="914"/>
      <c r="E1324" s="682"/>
      <c r="F1324" s="682"/>
      <c r="G1324" s="682"/>
      <c r="H1324" s="915"/>
      <c r="I1324" s="916"/>
      <c r="J1324" s="916"/>
      <c r="K1324" s="917"/>
      <c r="L1324" s="917"/>
      <c r="M1324" s="917"/>
      <c r="N1324" s="917"/>
      <c r="O1324" s="917"/>
      <c r="P1324" s="917"/>
      <c r="Q1324" s="578"/>
      <c r="R1324" s="578"/>
      <c r="S1324" s="578"/>
      <c r="T1324" s="578"/>
      <c r="U1324" s="578"/>
      <c r="V1324" s="578"/>
      <c r="W1324" s="578"/>
      <c r="X1324" s="578"/>
      <c r="Y1324" s="578"/>
      <c r="Z1324" s="578"/>
    </row>
    <row r="1325" spans="1:26" ht="18.75">
      <c r="A1325" s="682"/>
      <c r="B1325" s="682"/>
      <c r="C1325" s="682"/>
      <c r="D1325" s="914"/>
      <c r="E1325" s="682"/>
      <c r="F1325" s="682"/>
      <c r="G1325" s="682"/>
      <c r="H1325" s="915"/>
      <c r="I1325" s="916"/>
      <c r="J1325" s="916"/>
      <c r="K1325" s="917"/>
      <c r="L1325" s="917"/>
      <c r="M1325" s="917"/>
      <c r="N1325" s="917"/>
      <c r="O1325" s="917"/>
      <c r="P1325" s="917"/>
      <c r="Q1325" s="578"/>
      <c r="R1325" s="578"/>
      <c r="S1325" s="578"/>
      <c r="T1325" s="578"/>
      <c r="U1325" s="578"/>
      <c r="V1325" s="578"/>
      <c r="W1325" s="578"/>
      <c r="X1325" s="578"/>
      <c r="Y1325" s="578"/>
      <c r="Z1325" s="578"/>
    </row>
    <row r="1326" spans="1:26" ht="18.75">
      <c r="A1326" s="682"/>
      <c r="B1326" s="682"/>
      <c r="C1326" s="682"/>
      <c r="D1326" s="914"/>
      <c r="E1326" s="682"/>
      <c r="F1326" s="682"/>
      <c r="G1326" s="682"/>
      <c r="H1326" s="915"/>
      <c r="I1326" s="916"/>
      <c r="J1326" s="916"/>
      <c r="K1326" s="917"/>
      <c r="L1326" s="917"/>
      <c r="M1326" s="917"/>
      <c r="N1326" s="917"/>
      <c r="O1326" s="917"/>
      <c r="P1326" s="917"/>
      <c r="Q1326" s="578"/>
      <c r="R1326" s="578"/>
      <c r="S1326" s="578"/>
      <c r="T1326" s="578"/>
      <c r="U1326" s="578"/>
      <c r="V1326" s="578"/>
      <c r="W1326" s="578"/>
      <c r="X1326" s="578"/>
      <c r="Y1326" s="578"/>
      <c r="Z1326" s="578"/>
    </row>
    <row r="1327" spans="1:26" ht="18.75">
      <c r="A1327" s="682"/>
      <c r="B1327" s="682"/>
      <c r="C1327" s="682"/>
      <c r="D1327" s="914"/>
      <c r="E1327" s="682"/>
      <c r="F1327" s="682"/>
      <c r="G1327" s="682"/>
      <c r="H1327" s="915"/>
      <c r="I1327" s="916"/>
      <c r="J1327" s="916"/>
      <c r="K1327" s="917"/>
      <c r="L1327" s="917"/>
      <c r="M1327" s="917"/>
      <c r="N1327" s="917"/>
      <c r="O1327" s="917"/>
      <c r="P1327" s="917"/>
      <c r="Q1327" s="578"/>
      <c r="R1327" s="578"/>
      <c r="S1327" s="578"/>
      <c r="T1327" s="578"/>
      <c r="U1327" s="578"/>
      <c r="V1327" s="578"/>
      <c r="W1327" s="578"/>
      <c r="X1327" s="578"/>
      <c r="Y1327" s="578"/>
      <c r="Z1327" s="578"/>
    </row>
    <row r="1328" spans="1:26" ht="18.75">
      <c r="A1328" s="682"/>
      <c r="B1328" s="682"/>
      <c r="C1328" s="682"/>
      <c r="D1328" s="914"/>
      <c r="E1328" s="682"/>
      <c r="F1328" s="682"/>
      <c r="G1328" s="682"/>
      <c r="H1328" s="915"/>
      <c r="I1328" s="916"/>
      <c r="J1328" s="916"/>
      <c r="K1328" s="917"/>
      <c r="L1328" s="917"/>
      <c r="M1328" s="917"/>
      <c r="N1328" s="917"/>
      <c r="O1328" s="917"/>
      <c r="P1328" s="917"/>
      <c r="Q1328" s="578"/>
      <c r="R1328" s="578"/>
      <c r="S1328" s="578"/>
      <c r="T1328" s="578"/>
      <c r="U1328" s="578"/>
      <c r="V1328" s="578"/>
      <c r="W1328" s="578"/>
      <c r="X1328" s="578"/>
      <c r="Y1328" s="578"/>
      <c r="Z1328" s="578"/>
    </row>
    <row r="1329" spans="1:26" ht="18.75">
      <c r="A1329" s="682"/>
      <c r="B1329" s="682"/>
      <c r="C1329" s="682"/>
      <c r="D1329" s="914"/>
      <c r="E1329" s="682"/>
      <c r="F1329" s="682"/>
      <c r="G1329" s="682"/>
      <c r="H1329" s="915"/>
      <c r="I1329" s="916"/>
      <c r="J1329" s="916"/>
      <c r="K1329" s="917"/>
      <c r="L1329" s="917"/>
      <c r="M1329" s="917"/>
      <c r="N1329" s="917"/>
      <c r="O1329" s="917"/>
      <c r="P1329" s="917"/>
      <c r="Q1329" s="578"/>
      <c r="R1329" s="578"/>
      <c r="S1329" s="578"/>
      <c r="T1329" s="578"/>
      <c r="U1329" s="578"/>
      <c r="V1329" s="578"/>
      <c r="W1329" s="578"/>
      <c r="X1329" s="578"/>
      <c r="Y1329" s="578"/>
      <c r="Z1329" s="578"/>
    </row>
    <row r="1330" spans="1:26" ht="18.75">
      <c r="A1330" s="682"/>
      <c r="B1330" s="682"/>
      <c r="C1330" s="682"/>
      <c r="D1330" s="914"/>
      <c r="E1330" s="682"/>
      <c r="F1330" s="682"/>
      <c r="G1330" s="682"/>
      <c r="H1330" s="915"/>
      <c r="I1330" s="916"/>
      <c r="J1330" s="916"/>
      <c r="K1330" s="917"/>
      <c r="L1330" s="917"/>
      <c r="M1330" s="917"/>
      <c r="N1330" s="917"/>
      <c r="O1330" s="917"/>
      <c r="P1330" s="917"/>
      <c r="Q1330" s="578"/>
      <c r="R1330" s="578"/>
      <c r="S1330" s="578"/>
      <c r="T1330" s="578"/>
      <c r="U1330" s="578"/>
      <c r="V1330" s="578"/>
      <c r="W1330" s="578"/>
      <c r="X1330" s="578"/>
      <c r="Y1330" s="578"/>
      <c r="Z1330" s="578"/>
    </row>
    <row r="1331" spans="1:26" ht="18.75">
      <c r="A1331" s="682"/>
      <c r="B1331" s="682"/>
      <c r="C1331" s="682"/>
      <c r="D1331" s="914"/>
      <c r="E1331" s="682"/>
      <c r="F1331" s="682"/>
      <c r="G1331" s="682"/>
      <c r="H1331" s="915"/>
      <c r="I1331" s="916"/>
      <c r="J1331" s="916"/>
      <c r="K1331" s="917"/>
      <c r="L1331" s="917"/>
      <c r="M1331" s="917"/>
      <c r="N1331" s="917"/>
      <c r="O1331" s="917"/>
      <c r="P1331" s="917"/>
      <c r="Q1331" s="578"/>
      <c r="R1331" s="578"/>
      <c r="S1331" s="578"/>
      <c r="T1331" s="578"/>
      <c r="U1331" s="578"/>
      <c r="V1331" s="578"/>
      <c r="W1331" s="578"/>
      <c r="X1331" s="578"/>
      <c r="Y1331" s="578"/>
      <c r="Z1331" s="578"/>
    </row>
    <row r="1332" spans="1:26" ht="18.75">
      <c r="A1332" s="682"/>
      <c r="B1332" s="682"/>
      <c r="C1332" s="682"/>
      <c r="D1332" s="914"/>
      <c r="E1332" s="682"/>
      <c r="F1332" s="682"/>
      <c r="G1332" s="682"/>
      <c r="H1332" s="915"/>
      <c r="I1332" s="916"/>
      <c r="J1332" s="916"/>
      <c r="K1332" s="917"/>
      <c r="L1332" s="917"/>
      <c r="M1332" s="917"/>
      <c r="N1332" s="917"/>
      <c r="O1332" s="917"/>
      <c r="P1332" s="917"/>
      <c r="Q1332" s="578"/>
      <c r="R1332" s="578"/>
      <c r="S1332" s="578"/>
      <c r="T1332" s="578"/>
      <c r="U1332" s="578"/>
      <c r="V1332" s="578"/>
      <c r="W1332" s="578"/>
      <c r="X1332" s="578"/>
      <c r="Y1332" s="578"/>
      <c r="Z1332" s="578"/>
    </row>
    <row r="1333" spans="1:26" ht="18.75">
      <c r="A1333" s="682"/>
      <c r="B1333" s="682"/>
      <c r="C1333" s="682"/>
      <c r="D1333" s="914"/>
      <c r="E1333" s="682"/>
      <c r="F1333" s="682"/>
      <c r="G1333" s="682"/>
      <c r="H1333" s="915"/>
      <c r="I1333" s="916"/>
      <c r="J1333" s="916"/>
      <c r="K1333" s="917"/>
      <c r="L1333" s="917"/>
      <c r="M1333" s="917"/>
      <c r="N1333" s="917"/>
      <c r="O1333" s="917"/>
      <c r="P1333" s="917"/>
      <c r="Q1333" s="578"/>
      <c r="R1333" s="578"/>
      <c r="S1333" s="578"/>
      <c r="T1333" s="578"/>
      <c r="U1333" s="578"/>
      <c r="V1333" s="578"/>
      <c r="W1333" s="578"/>
      <c r="X1333" s="578"/>
      <c r="Y1333" s="578"/>
      <c r="Z1333" s="578"/>
    </row>
    <row r="1334" spans="1:26" ht="18.75">
      <c r="A1334" s="682"/>
      <c r="B1334" s="682"/>
      <c r="C1334" s="682"/>
      <c r="D1334" s="914"/>
      <c r="E1334" s="682"/>
      <c r="F1334" s="682"/>
      <c r="G1334" s="682"/>
      <c r="H1334" s="915"/>
      <c r="I1334" s="916"/>
      <c r="J1334" s="916"/>
      <c r="K1334" s="917"/>
      <c r="L1334" s="917"/>
      <c r="M1334" s="917"/>
      <c r="N1334" s="917"/>
      <c r="O1334" s="917"/>
      <c r="P1334" s="917"/>
      <c r="Q1334" s="578"/>
      <c r="R1334" s="578"/>
      <c r="S1334" s="578"/>
      <c r="T1334" s="578"/>
      <c r="U1334" s="578"/>
      <c r="V1334" s="578"/>
      <c r="W1334" s="578"/>
      <c r="X1334" s="578"/>
      <c r="Y1334" s="578"/>
      <c r="Z1334" s="578"/>
    </row>
    <row r="1335" spans="1:26" ht="18.75">
      <c r="A1335" s="682"/>
      <c r="B1335" s="682"/>
      <c r="C1335" s="682"/>
      <c r="D1335" s="914"/>
      <c r="E1335" s="682"/>
      <c r="F1335" s="682"/>
      <c r="G1335" s="682"/>
      <c r="H1335" s="915"/>
      <c r="I1335" s="916"/>
      <c r="J1335" s="916"/>
      <c r="K1335" s="917"/>
      <c r="L1335" s="917"/>
      <c r="M1335" s="917"/>
      <c r="N1335" s="917"/>
      <c r="O1335" s="917"/>
      <c r="P1335" s="917"/>
      <c r="Q1335" s="578"/>
      <c r="R1335" s="578"/>
      <c r="S1335" s="578"/>
      <c r="T1335" s="578"/>
      <c r="U1335" s="578"/>
      <c r="V1335" s="578"/>
      <c r="W1335" s="578"/>
      <c r="X1335" s="578"/>
      <c r="Y1335" s="578"/>
      <c r="Z1335" s="578"/>
    </row>
    <row r="1336" spans="1:26" ht="18.75">
      <c r="A1336" s="682"/>
      <c r="B1336" s="682"/>
      <c r="C1336" s="682"/>
      <c r="D1336" s="914"/>
      <c r="E1336" s="682"/>
      <c r="F1336" s="682"/>
      <c r="G1336" s="682"/>
      <c r="H1336" s="915"/>
      <c r="I1336" s="916"/>
      <c r="J1336" s="916"/>
      <c r="K1336" s="917"/>
      <c r="L1336" s="917"/>
      <c r="M1336" s="917"/>
      <c r="N1336" s="917"/>
      <c r="O1336" s="917"/>
      <c r="P1336" s="917"/>
      <c r="Q1336" s="578"/>
      <c r="R1336" s="578"/>
      <c r="S1336" s="578"/>
      <c r="T1336" s="578"/>
      <c r="U1336" s="578"/>
      <c r="V1336" s="578"/>
      <c r="W1336" s="578"/>
      <c r="X1336" s="578"/>
      <c r="Y1336" s="578"/>
      <c r="Z1336" s="578"/>
    </row>
    <row r="1337" spans="1:26" ht="18.75">
      <c r="A1337" s="682"/>
      <c r="B1337" s="682"/>
      <c r="C1337" s="682"/>
      <c r="D1337" s="914"/>
      <c r="E1337" s="682"/>
      <c r="F1337" s="682"/>
      <c r="G1337" s="682"/>
      <c r="H1337" s="915"/>
      <c r="I1337" s="916"/>
      <c r="J1337" s="916"/>
      <c r="K1337" s="917"/>
      <c r="L1337" s="917"/>
      <c r="M1337" s="917"/>
      <c r="N1337" s="917"/>
      <c r="O1337" s="917"/>
      <c r="P1337" s="917"/>
      <c r="Q1337" s="578"/>
      <c r="R1337" s="578"/>
      <c r="S1337" s="578"/>
      <c r="T1337" s="578"/>
      <c r="U1337" s="578"/>
      <c r="V1337" s="578"/>
      <c r="W1337" s="578"/>
      <c r="X1337" s="578"/>
      <c r="Y1337" s="578"/>
      <c r="Z1337" s="578"/>
    </row>
    <row r="1338" spans="1:26" ht="18.75">
      <c r="A1338" s="682"/>
      <c r="B1338" s="682"/>
      <c r="C1338" s="682"/>
      <c r="D1338" s="914"/>
      <c r="E1338" s="682"/>
      <c r="F1338" s="682"/>
      <c r="G1338" s="682"/>
      <c r="H1338" s="915"/>
      <c r="I1338" s="916"/>
      <c r="J1338" s="916"/>
      <c r="K1338" s="917"/>
      <c r="L1338" s="917"/>
      <c r="M1338" s="917"/>
      <c r="N1338" s="917"/>
      <c r="O1338" s="917"/>
      <c r="P1338" s="917"/>
      <c r="Q1338" s="578"/>
      <c r="R1338" s="578"/>
      <c r="S1338" s="578"/>
      <c r="T1338" s="578"/>
      <c r="U1338" s="578"/>
      <c r="V1338" s="578"/>
      <c r="W1338" s="578"/>
      <c r="X1338" s="578"/>
      <c r="Y1338" s="578"/>
      <c r="Z1338" s="578"/>
    </row>
    <row r="1339" spans="1:26" ht="18.75">
      <c r="A1339" s="682"/>
      <c r="B1339" s="682"/>
      <c r="C1339" s="682"/>
      <c r="D1339" s="914"/>
      <c r="E1339" s="682"/>
      <c r="F1339" s="682"/>
      <c r="G1339" s="682"/>
      <c r="H1339" s="915"/>
      <c r="I1339" s="916"/>
      <c r="J1339" s="916"/>
      <c r="K1339" s="917"/>
      <c r="L1339" s="917"/>
      <c r="M1339" s="917"/>
      <c r="N1339" s="917"/>
      <c r="O1339" s="917"/>
      <c r="P1339" s="917"/>
      <c r="Q1339" s="578"/>
      <c r="R1339" s="578"/>
      <c r="S1339" s="578"/>
      <c r="T1339" s="578"/>
      <c r="U1339" s="578"/>
      <c r="V1339" s="578"/>
      <c r="W1339" s="578"/>
      <c r="X1339" s="578"/>
      <c r="Y1339" s="578"/>
      <c r="Z1339" s="578"/>
    </row>
    <row r="1340" spans="1:26" ht="18.75">
      <c r="A1340" s="682"/>
      <c r="B1340" s="682"/>
      <c r="C1340" s="682"/>
      <c r="D1340" s="914"/>
      <c r="E1340" s="682"/>
      <c r="F1340" s="682"/>
      <c r="G1340" s="682"/>
      <c r="H1340" s="915"/>
      <c r="I1340" s="916"/>
      <c r="J1340" s="916"/>
      <c r="K1340" s="917"/>
      <c r="L1340" s="917"/>
      <c r="M1340" s="917"/>
      <c r="N1340" s="917"/>
      <c r="O1340" s="917"/>
      <c r="P1340" s="917"/>
      <c r="Q1340" s="578"/>
      <c r="R1340" s="578"/>
      <c r="S1340" s="578"/>
      <c r="T1340" s="578"/>
      <c r="U1340" s="578"/>
      <c r="V1340" s="578"/>
      <c r="W1340" s="578"/>
      <c r="X1340" s="578"/>
      <c r="Y1340" s="578"/>
      <c r="Z1340" s="578"/>
    </row>
    <row r="1341" spans="1:26" ht="18.75">
      <c r="A1341" s="682"/>
      <c r="B1341" s="682"/>
      <c r="C1341" s="682"/>
      <c r="D1341" s="914"/>
      <c r="E1341" s="682"/>
      <c r="F1341" s="682"/>
      <c r="G1341" s="682"/>
      <c r="H1341" s="915"/>
      <c r="I1341" s="916"/>
      <c r="J1341" s="916"/>
      <c r="K1341" s="917"/>
      <c r="L1341" s="917"/>
      <c r="M1341" s="917"/>
      <c r="N1341" s="917"/>
      <c r="O1341" s="917"/>
      <c r="P1341" s="917"/>
      <c r="Q1341" s="578"/>
      <c r="R1341" s="578"/>
      <c r="S1341" s="578"/>
      <c r="T1341" s="578"/>
      <c r="U1341" s="578"/>
      <c r="V1341" s="578"/>
      <c r="W1341" s="578"/>
      <c r="X1341" s="578"/>
      <c r="Y1341" s="578"/>
      <c r="Z1341" s="578"/>
    </row>
    <row r="1342" spans="1:26" ht="18.75">
      <c r="A1342" s="682"/>
      <c r="B1342" s="682"/>
      <c r="C1342" s="682"/>
      <c r="D1342" s="914"/>
      <c r="E1342" s="682"/>
      <c r="F1342" s="682"/>
      <c r="G1342" s="682"/>
      <c r="H1342" s="915"/>
      <c r="I1342" s="916"/>
      <c r="J1342" s="916"/>
      <c r="K1342" s="917"/>
      <c r="L1342" s="917"/>
      <c r="M1342" s="917"/>
      <c r="N1342" s="917"/>
      <c r="O1342" s="917"/>
      <c r="P1342" s="917"/>
      <c r="Q1342" s="578"/>
      <c r="R1342" s="578"/>
      <c r="S1342" s="578"/>
      <c r="T1342" s="578"/>
      <c r="U1342" s="578"/>
      <c r="V1342" s="578"/>
      <c r="W1342" s="578"/>
      <c r="X1342" s="578"/>
      <c r="Y1342" s="578"/>
      <c r="Z1342" s="578"/>
    </row>
    <row r="1343" spans="1:26" ht="18.75">
      <c r="A1343" s="682"/>
      <c r="B1343" s="682"/>
      <c r="C1343" s="682"/>
      <c r="D1343" s="914"/>
      <c r="E1343" s="682"/>
      <c r="F1343" s="682"/>
      <c r="G1343" s="682"/>
      <c r="H1343" s="915"/>
      <c r="I1343" s="916"/>
      <c r="J1343" s="916"/>
      <c r="K1343" s="917"/>
      <c r="L1343" s="917"/>
      <c r="M1343" s="917"/>
      <c r="N1343" s="917"/>
      <c r="O1343" s="917"/>
      <c r="P1343" s="917"/>
      <c r="Q1343" s="578"/>
      <c r="R1343" s="578"/>
      <c r="S1343" s="578"/>
      <c r="T1343" s="578"/>
      <c r="U1343" s="578"/>
      <c r="V1343" s="578"/>
      <c r="W1343" s="578"/>
      <c r="X1343" s="578"/>
      <c r="Y1343" s="578"/>
      <c r="Z1343" s="578"/>
    </row>
    <row r="1344" spans="1:26" ht="18.75">
      <c r="A1344" s="682"/>
      <c r="B1344" s="682"/>
      <c r="C1344" s="682"/>
      <c r="D1344" s="914"/>
      <c r="E1344" s="682"/>
      <c r="F1344" s="682"/>
      <c r="G1344" s="682"/>
      <c r="H1344" s="915"/>
      <c r="I1344" s="916"/>
      <c r="J1344" s="916"/>
      <c r="K1344" s="917"/>
      <c r="L1344" s="917"/>
      <c r="M1344" s="917"/>
      <c r="N1344" s="917"/>
      <c r="O1344" s="917"/>
      <c r="P1344" s="917"/>
      <c r="Q1344" s="578"/>
      <c r="R1344" s="578"/>
      <c r="S1344" s="578"/>
      <c r="T1344" s="578"/>
      <c r="U1344" s="578"/>
      <c r="V1344" s="578"/>
      <c r="W1344" s="578"/>
      <c r="X1344" s="578"/>
      <c r="Y1344" s="578"/>
      <c r="Z1344" s="578"/>
    </row>
    <row r="1345" spans="1:26" ht="18.75">
      <c r="A1345" s="682"/>
      <c r="B1345" s="682"/>
      <c r="C1345" s="682"/>
      <c r="D1345" s="914"/>
      <c r="E1345" s="682"/>
      <c r="F1345" s="682"/>
      <c r="G1345" s="682"/>
      <c r="H1345" s="915"/>
      <c r="I1345" s="916"/>
      <c r="J1345" s="916"/>
      <c r="K1345" s="917"/>
      <c r="L1345" s="917"/>
      <c r="M1345" s="917"/>
      <c r="N1345" s="917"/>
      <c r="O1345" s="917"/>
      <c r="P1345" s="917"/>
      <c r="Q1345" s="578"/>
      <c r="R1345" s="578"/>
      <c r="S1345" s="578"/>
      <c r="T1345" s="578"/>
      <c r="U1345" s="578"/>
      <c r="V1345" s="578"/>
      <c r="W1345" s="578"/>
      <c r="X1345" s="578"/>
      <c r="Y1345" s="578"/>
      <c r="Z1345" s="578"/>
    </row>
    <row r="1346" spans="1:26" ht="18.75">
      <c r="A1346" s="682"/>
      <c r="B1346" s="682"/>
      <c r="C1346" s="682"/>
      <c r="D1346" s="914"/>
      <c r="E1346" s="682"/>
      <c r="F1346" s="682"/>
      <c r="G1346" s="682"/>
      <c r="H1346" s="915"/>
      <c r="I1346" s="916"/>
      <c r="J1346" s="916"/>
      <c r="K1346" s="917"/>
      <c r="L1346" s="917"/>
      <c r="M1346" s="917"/>
      <c r="N1346" s="917"/>
      <c r="O1346" s="917"/>
      <c r="P1346" s="917"/>
      <c r="Q1346" s="578"/>
      <c r="R1346" s="578"/>
      <c r="S1346" s="578"/>
      <c r="T1346" s="578"/>
      <c r="U1346" s="578"/>
      <c r="V1346" s="578"/>
      <c r="W1346" s="578"/>
      <c r="X1346" s="578"/>
      <c r="Y1346" s="578"/>
      <c r="Z1346" s="578"/>
    </row>
    <row r="1347" spans="1:26" ht="18.75">
      <c r="A1347" s="682"/>
      <c r="B1347" s="682"/>
      <c r="C1347" s="682"/>
      <c r="D1347" s="914"/>
      <c r="E1347" s="682"/>
      <c r="F1347" s="682"/>
      <c r="G1347" s="682"/>
      <c r="H1347" s="915"/>
      <c r="I1347" s="916"/>
      <c r="J1347" s="916"/>
      <c r="K1347" s="917"/>
      <c r="L1347" s="917"/>
      <c r="M1347" s="917"/>
      <c r="N1347" s="917"/>
      <c r="O1347" s="917"/>
      <c r="P1347" s="917"/>
      <c r="Q1347" s="578"/>
      <c r="R1347" s="578"/>
      <c r="S1347" s="578"/>
      <c r="T1347" s="578"/>
      <c r="U1347" s="578"/>
      <c r="V1347" s="578"/>
      <c r="W1347" s="578"/>
      <c r="X1347" s="578"/>
      <c r="Y1347" s="578"/>
      <c r="Z1347" s="578"/>
    </row>
    <row r="1348" spans="1:26" ht="18.75">
      <c r="A1348" s="682"/>
      <c r="B1348" s="682"/>
      <c r="C1348" s="682"/>
      <c r="D1348" s="914"/>
      <c r="E1348" s="682"/>
      <c r="F1348" s="682"/>
      <c r="G1348" s="682"/>
      <c r="H1348" s="915"/>
      <c r="I1348" s="916"/>
      <c r="J1348" s="916"/>
      <c r="K1348" s="917"/>
      <c r="L1348" s="917"/>
      <c r="M1348" s="917"/>
      <c r="N1348" s="917"/>
      <c r="O1348" s="917"/>
      <c r="P1348" s="917"/>
      <c r="Q1348" s="578"/>
      <c r="R1348" s="578"/>
      <c r="S1348" s="578"/>
      <c r="T1348" s="578"/>
      <c r="U1348" s="578"/>
      <c r="V1348" s="578"/>
      <c r="W1348" s="578"/>
      <c r="X1348" s="578"/>
      <c r="Y1348" s="578"/>
      <c r="Z1348" s="578"/>
    </row>
    <row r="1349" spans="1:26" ht="18.75">
      <c r="A1349" s="682"/>
      <c r="B1349" s="682"/>
      <c r="C1349" s="682"/>
      <c r="D1349" s="914"/>
      <c r="E1349" s="682"/>
      <c r="F1349" s="682"/>
      <c r="G1349" s="682"/>
      <c r="H1349" s="915"/>
      <c r="I1349" s="916"/>
      <c r="J1349" s="916"/>
      <c r="K1349" s="917"/>
      <c r="L1349" s="917"/>
      <c r="M1349" s="917"/>
      <c r="N1349" s="917"/>
      <c r="O1349" s="917"/>
      <c r="P1349" s="917"/>
      <c r="Q1349" s="578"/>
      <c r="R1349" s="578"/>
      <c r="S1349" s="578"/>
      <c r="T1349" s="578"/>
      <c r="U1349" s="578"/>
      <c r="V1349" s="578"/>
      <c r="W1349" s="578"/>
      <c r="X1349" s="578"/>
      <c r="Y1349" s="578"/>
      <c r="Z1349" s="578"/>
    </row>
    <row r="1350" spans="1:26" ht="18.75">
      <c r="A1350" s="682"/>
      <c r="B1350" s="682"/>
      <c r="C1350" s="682"/>
      <c r="D1350" s="914"/>
      <c r="E1350" s="682"/>
      <c r="F1350" s="682"/>
      <c r="G1350" s="682"/>
      <c r="H1350" s="915"/>
      <c r="I1350" s="916"/>
      <c r="J1350" s="916"/>
      <c r="K1350" s="917"/>
      <c r="L1350" s="917"/>
      <c r="M1350" s="917"/>
      <c r="N1350" s="917"/>
      <c r="O1350" s="917"/>
      <c r="P1350" s="917"/>
      <c r="Q1350" s="578"/>
      <c r="R1350" s="578"/>
      <c r="S1350" s="578"/>
      <c r="T1350" s="578"/>
      <c r="U1350" s="578"/>
      <c r="V1350" s="578"/>
      <c r="W1350" s="578"/>
      <c r="X1350" s="578"/>
      <c r="Y1350" s="578"/>
      <c r="Z1350" s="578"/>
    </row>
    <row r="1351" spans="1:26" ht="18.75">
      <c r="A1351" s="682"/>
      <c r="B1351" s="682"/>
      <c r="C1351" s="682"/>
      <c r="D1351" s="914"/>
      <c r="E1351" s="682"/>
      <c r="F1351" s="682"/>
      <c r="G1351" s="682"/>
      <c r="H1351" s="915"/>
      <c r="I1351" s="916"/>
      <c r="J1351" s="916"/>
      <c r="K1351" s="917"/>
      <c r="L1351" s="917"/>
      <c r="M1351" s="917"/>
      <c r="N1351" s="917"/>
      <c r="O1351" s="917"/>
      <c r="P1351" s="917"/>
      <c r="Q1351" s="578"/>
      <c r="R1351" s="578"/>
      <c r="S1351" s="578"/>
      <c r="T1351" s="578"/>
      <c r="U1351" s="578"/>
      <c r="V1351" s="578"/>
      <c r="W1351" s="578"/>
      <c r="X1351" s="578"/>
      <c r="Y1351" s="578"/>
      <c r="Z1351" s="578"/>
    </row>
    <row r="1352" spans="1:26" ht="18.75">
      <c r="A1352" s="682"/>
      <c r="B1352" s="682"/>
      <c r="C1352" s="682"/>
      <c r="D1352" s="914"/>
      <c r="E1352" s="682"/>
      <c r="F1352" s="682"/>
      <c r="G1352" s="682"/>
      <c r="H1352" s="915"/>
      <c r="I1352" s="916"/>
      <c r="J1352" s="916"/>
      <c r="K1352" s="917"/>
      <c r="L1352" s="917"/>
      <c r="M1352" s="917"/>
      <c r="N1352" s="917"/>
      <c r="O1352" s="917"/>
      <c r="P1352" s="917"/>
      <c r="Q1352" s="578"/>
      <c r="R1352" s="578"/>
      <c r="S1352" s="578"/>
      <c r="T1352" s="578"/>
      <c r="U1352" s="578"/>
      <c r="V1352" s="578"/>
      <c r="W1352" s="578"/>
      <c r="X1352" s="578"/>
      <c r="Y1352" s="578"/>
      <c r="Z1352" s="578"/>
    </row>
    <row r="1353" spans="1:26" ht="18.75">
      <c r="A1353" s="682"/>
      <c r="B1353" s="682"/>
      <c r="C1353" s="682"/>
      <c r="D1353" s="914"/>
      <c r="E1353" s="682"/>
      <c r="F1353" s="682"/>
      <c r="G1353" s="682"/>
      <c r="H1353" s="915"/>
      <c r="I1353" s="916"/>
      <c r="J1353" s="916"/>
      <c r="K1353" s="917"/>
      <c r="L1353" s="917"/>
      <c r="M1353" s="917"/>
      <c r="N1353" s="917"/>
      <c r="O1353" s="917"/>
      <c r="P1353" s="917"/>
      <c r="Q1353" s="578"/>
      <c r="R1353" s="578"/>
      <c r="S1353" s="578"/>
      <c r="T1353" s="578"/>
      <c r="U1353" s="578"/>
      <c r="V1353" s="578"/>
      <c r="W1353" s="578"/>
      <c r="X1353" s="578"/>
      <c r="Y1353" s="578"/>
      <c r="Z1353" s="578"/>
    </row>
    <row r="1354" spans="1:26" ht="18.75">
      <c r="A1354" s="682"/>
      <c r="B1354" s="682"/>
      <c r="C1354" s="682"/>
      <c r="D1354" s="914"/>
      <c r="E1354" s="682"/>
      <c r="F1354" s="682"/>
      <c r="G1354" s="682"/>
      <c r="H1354" s="915"/>
      <c r="I1354" s="916"/>
      <c r="J1354" s="916"/>
      <c r="K1354" s="917"/>
      <c r="L1354" s="917"/>
      <c r="M1354" s="917"/>
      <c r="N1354" s="917"/>
      <c r="O1354" s="917"/>
      <c r="P1354" s="917"/>
      <c r="Q1354" s="578"/>
      <c r="R1354" s="578"/>
      <c r="S1354" s="578"/>
      <c r="T1354" s="578"/>
      <c r="U1354" s="578"/>
      <c r="V1354" s="578"/>
      <c r="W1354" s="578"/>
      <c r="X1354" s="578"/>
      <c r="Y1354" s="578"/>
      <c r="Z1354" s="578"/>
    </row>
    <row r="1355" spans="1:26" ht="18.75">
      <c r="A1355" s="682"/>
      <c r="B1355" s="682"/>
      <c r="C1355" s="682"/>
      <c r="D1355" s="914"/>
      <c r="E1355" s="682"/>
      <c r="F1355" s="682"/>
      <c r="G1355" s="682"/>
      <c r="H1355" s="915"/>
      <c r="I1355" s="916"/>
      <c r="J1355" s="916"/>
      <c r="K1355" s="917"/>
      <c r="L1355" s="917"/>
      <c r="M1355" s="917"/>
      <c r="N1355" s="917"/>
      <c r="O1355" s="917"/>
      <c r="P1355" s="917"/>
      <c r="Q1355" s="578"/>
      <c r="R1355" s="578"/>
      <c r="S1355" s="578"/>
      <c r="T1355" s="578"/>
      <c r="U1355" s="578"/>
      <c r="V1355" s="578"/>
      <c r="W1355" s="578"/>
      <c r="X1355" s="578"/>
      <c r="Y1355" s="578"/>
      <c r="Z1355" s="578"/>
    </row>
    <row r="1356" spans="1:26" ht="18.75">
      <c r="A1356" s="682"/>
      <c r="B1356" s="682"/>
      <c r="C1356" s="682"/>
      <c r="D1356" s="914"/>
      <c r="E1356" s="682"/>
      <c r="F1356" s="682"/>
      <c r="G1356" s="682"/>
      <c r="H1356" s="915"/>
      <c r="I1356" s="916"/>
      <c r="J1356" s="916"/>
      <c r="K1356" s="917"/>
      <c r="L1356" s="917"/>
      <c r="M1356" s="917"/>
      <c r="N1356" s="917"/>
      <c r="O1356" s="917"/>
      <c r="P1356" s="917"/>
      <c r="Q1356" s="578"/>
      <c r="R1356" s="578"/>
      <c r="S1356" s="578"/>
      <c r="T1356" s="578"/>
      <c r="U1356" s="578"/>
      <c r="V1356" s="578"/>
      <c r="W1356" s="578"/>
      <c r="X1356" s="578"/>
      <c r="Y1356" s="578"/>
      <c r="Z1356" s="578"/>
    </row>
    <row r="1357" spans="1:26" ht="18.75">
      <c r="A1357" s="682"/>
      <c r="B1357" s="682"/>
      <c r="C1357" s="682"/>
      <c r="D1357" s="914"/>
      <c r="E1357" s="682"/>
      <c r="F1357" s="682"/>
      <c r="G1357" s="682"/>
      <c r="H1357" s="915"/>
      <c r="I1357" s="916"/>
      <c r="J1357" s="916"/>
      <c r="K1357" s="917"/>
      <c r="L1357" s="917"/>
      <c r="M1357" s="917"/>
      <c r="N1357" s="917"/>
      <c r="O1357" s="917"/>
      <c r="P1357" s="917"/>
      <c r="Q1357" s="578"/>
      <c r="R1357" s="578"/>
      <c r="S1357" s="578"/>
      <c r="T1357" s="578"/>
      <c r="U1357" s="578"/>
      <c r="V1357" s="578"/>
      <c r="W1357" s="578"/>
      <c r="X1357" s="578"/>
      <c r="Y1357" s="578"/>
      <c r="Z1357" s="578"/>
    </row>
    <row r="1358" spans="1:26" ht="18.75">
      <c r="A1358" s="682"/>
      <c r="B1358" s="682"/>
      <c r="C1358" s="682"/>
      <c r="D1358" s="914"/>
      <c r="E1358" s="682"/>
      <c r="F1358" s="682"/>
      <c r="G1358" s="682"/>
      <c r="H1358" s="915"/>
      <c r="I1358" s="916"/>
      <c r="J1358" s="916"/>
      <c r="K1358" s="917"/>
      <c r="L1358" s="917"/>
      <c r="M1358" s="917"/>
      <c r="N1358" s="917"/>
      <c r="O1358" s="917"/>
      <c r="P1358" s="917"/>
      <c r="Q1358" s="578"/>
      <c r="R1358" s="578"/>
      <c r="S1358" s="578"/>
      <c r="T1358" s="578"/>
      <c r="U1358" s="578"/>
      <c r="V1358" s="578"/>
      <c r="W1358" s="578"/>
      <c r="X1358" s="578"/>
      <c r="Y1358" s="578"/>
      <c r="Z1358" s="578"/>
    </row>
    <row r="1359" spans="1:26" ht="18.75">
      <c r="A1359" s="682"/>
      <c r="B1359" s="682"/>
      <c r="C1359" s="682"/>
      <c r="D1359" s="914"/>
      <c r="E1359" s="682"/>
      <c r="F1359" s="682"/>
      <c r="G1359" s="682"/>
      <c r="H1359" s="915"/>
      <c r="I1359" s="916"/>
      <c r="J1359" s="916"/>
      <c r="K1359" s="917"/>
      <c r="L1359" s="917"/>
      <c r="M1359" s="917"/>
      <c r="N1359" s="917"/>
      <c r="O1359" s="917"/>
      <c r="P1359" s="917"/>
      <c r="Q1359" s="578"/>
      <c r="R1359" s="578"/>
      <c r="S1359" s="578"/>
      <c r="T1359" s="578"/>
      <c r="U1359" s="578"/>
      <c r="V1359" s="578"/>
      <c r="W1359" s="578"/>
      <c r="X1359" s="578"/>
      <c r="Y1359" s="578"/>
      <c r="Z1359" s="578"/>
    </row>
    <row r="1360" spans="1:26" ht="18.75">
      <c r="A1360" s="682"/>
      <c r="B1360" s="682"/>
      <c r="C1360" s="682"/>
      <c r="D1360" s="914"/>
      <c r="E1360" s="682"/>
      <c r="F1360" s="682"/>
      <c r="G1360" s="682"/>
      <c r="H1360" s="915"/>
      <c r="I1360" s="916"/>
      <c r="J1360" s="916"/>
      <c r="K1360" s="917"/>
      <c r="L1360" s="917"/>
      <c r="M1360" s="917"/>
      <c r="N1360" s="917"/>
      <c r="O1360" s="917"/>
      <c r="P1360" s="917"/>
      <c r="Q1360" s="578"/>
      <c r="R1360" s="578"/>
      <c r="S1360" s="578"/>
      <c r="T1360" s="578"/>
      <c r="U1360" s="578"/>
      <c r="V1360" s="578"/>
      <c r="W1360" s="578"/>
      <c r="X1360" s="578"/>
      <c r="Y1360" s="578"/>
      <c r="Z1360" s="578"/>
    </row>
    <row r="1361" spans="1:26" ht="18.75">
      <c r="A1361" s="682"/>
      <c r="B1361" s="682"/>
      <c r="C1361" s="682"/>
      <c r="D1361" s="914"/>
      <c r="E1361" s="682"/>
      <c r="F1361" s="682"/>
      <c r="G1361" s="682"/>
      <c r="H1361" s="915"/>
      <c r="I1361" s="916"/>
      <c r="J1361" s="916"/>
      <c r="K1361" s="917"/>
      <c r="L1361" s="917"/>
      <c r="M1361" s="917"/>
      <c r="N1361" s="917"/>
      <c r="O1361" s="917"/>
      <c r="P1361" s="917"/>
      <c r="Q1361" s="578"/>
      <c r="R1361" s="578"/>
      <c r="S1361" s="578"/>
      <c r="T1361" s="578"/>
      <c r="U1361" s="578"/>
      <c r="V1361" s="578"/>
      <c r="W1361" s="578"/>
      <c r="X1361" s="578"/>
      <c r="Y1361" s="578"/>
      <c r="Z1361" s="578"/>
    </row>
    <row r="1362" spans="1:26" ht="18.75">
      <c r="A1362" s="682"/>
      <c r="B1362" s="682"/>
      <c r="C1362" s="682"/>
      <c r="D1362" s="914"/>
      <c r="E1362" s="682"/>
      <c r="F1362" s="682"/>
      <c r="G1362" s="682"/>
      <c r="H1362" s="915"/>
      <c r="I1362" s="916"/>
      <c r="J1362" s="916"/>
      <c r="K1362" s="917"/>
      <c r="L1362" s="917"/>
      <c r="M1362" s="917"/>
      <c r="N1362" s="917"/>
      <c r="O1362" s="917"/>
      <c r="P1362" s="917"/>
      <c r="Q1362" s="578"/>
      <c r="R1362" s="578"/>
      <c r="S1362" s="578"/>
      <c r="T1362" s="578"/>
      <c r="U1362" s="578"/>
      <c r="V1362" s="578"/>
      <c r="W1362" s="578"/>
      <c r="X1362" s="578"/>
      <c r="Y1362" s="578"/>
      <c r="Z1362" s="578"/>
    </row>
    <row r="1363" spans="1:26" ht="18.75">
      <c r="A1363" s="682"/>
      <c r="B1363" s="682"/>
      <c r="C1363" s="682"/>
      <c r="D1363" s="914"/>
      <c r="E1363" s="682"/>
      <c r="F1363" s="682"/>
      <c r="G1363" s="682"/>
      <c r="H1363" s="915"/>
      <c r="I1363" s="916"/>
      <c r="J1363" s="916"/>
      <c r="K1363" s="917"/>
      <c r="L1363" s="917"/>
      <c r="M1363" s="917"/>
      <c r="N1363" s="917"/>
      <c r="O1363" s="917"/>
      <c r="P1363" s="917"/>
      <c r="Q1363" s="578"/>
      <c r="R1363" s="578"/>
      <c r="S1363" s="578"/>
      <c r="T1363" s="578"/>
      <c r="U1363" s="578"/>
      <c r="V1363" s="578"/>
      <c r="W1363" s="578"/>
      <c r="X1363" s="578"/>
      <c r="Y1363" s="578"/>
      <c r="Z1363" s="578"/>
    </row>
    <row r="1364" spans="1:26" ht="18.75">
      <c r="A1364" s="682"/>
      <c r="B1364" s="682"/>
      <c r="C1364" s="682"/>
      <c r="D1364" s="914"/>
      <c r="E1364" s="682"/>
      <c r="F1364" s="682"/>
      <c r="G1364" s="682"/>
      <c r="H1364" s="915"/>
      <c r="I1364" s="916"/>
      <c r="J1364" s="916"/>
      <c r="K1364" s="917"/>
      <c r="L1364" s="917"/>
      <c r="M1364" s="917"/>
      <c r="N1364" s="917"/>
      <c r="O1364" s="917"/>
      <c r="P1364" s="917"/>
      <c r="Q1364" s="578"/>
      <c r="R1364" s="578"/>
      <c r="S1364" s="578"/>
      <c r="T1364" s="578"/>
      <c r="U1364" s="578"/>
      <c r="V1364" s="578"/>
      <c r="W1364" s="578"/>
      <c r="X1364" s="578"/>
      <c r="Y1364" s="578"/>
      <c r="Z1364" s="578"/>
    </row>
    <row r="1365" spans="1:26" ht="18.75">
      <c r="A1365" s="682"/>
      <c r="B1365" s="682"/>
      <c r="C1365" s="682"/>
      <c r="D1365" s="914"/>
      <c r="E1365" s="682"/>
      <c r="F1365" s="682"/>
      <c r="G1365" s="682"/>
      <c r="H1365" s="915"/>
      <c r="I1365" s="916"/>
      <c r="J1365" s="916"/>
      <c r="K1365" s="917"/>
      <c r="L1365" s="917"/>
      <c r="M1365" s="917"/>
      <c r="N1365" s="917"/>
      <c r="O1365" s="917"/>
      <c r="P1365" s="917"/>
      <c r="Q1365" s="578"/>
      <c r="R1365" s="578"/>
      <c r="S1365" s="578"/>
      <c r="T1365" s="578"/>
      <c r="U1365" s="578"/>
      <c r="V1365" s="578"/>
      <c r="W1365" s="578"/>
      <c r="X1365" s="578"/>
      <c r="Y1365" s="578"/>
      <c r="Z1365" s="578"/>
    </row>
    <row r="1366" spans="1:26" ht="18.75">
      <c r="A1366" s="682"/>
      <c r="B1366" s="682"/>
      <c r="C1366" s="682"/>
      <c r="D1366" s="914"/>
      <c r="E1366" s="682"/>
      <c r="F1366" s="682"/>
      <c r="G1366" s="682"/>
      <c r="H1366" s="915"/>
      <c r="I1366" s="916"/>
      <c r="J1366" s="916"/>
      <c r="K1366" s="917"/>
      <c r="L1366" s="917"/>
      <c r="M1366" s="917"/>
      <c r="N1366" s="917"/>
      <c r="O1366" s="917"/>
      <c r="P1366" s="917"/>
      <c r="Q1366" s="578"/>
      <c r="R1366" s="578"/>
      <c r="S1366" s="578"/>
      <c r="T1366" s="578"/>
      <c r="U1366" s="578"/>
      <c r="V1366" s="578"/>
      <c r="W1366" s="578"/>
      <c r="X1366" s="578"/>
      <c r="Y1366" s="578"/>
      <c r="Z1366" s="578"/>
    </row>
    <row r="1367" spans="1:26" ht="18.75">
      <c r="A1367" s="682"/>
      <c r="B1367" s="682"/>
      <c r="C1367" s="682"/>
      <c r="D1367" s="914"/>
      <c r="E1367" s="682"/>
      <c r="F1367" s="682"/>
      <c r="G1367" s="682"/>
      <c r="H1367" s="915"/>
      <c r="I1367" s="916"/>
      <c r="J1367" s="916"/>
      <c r="K1367" s="917"/>
      <c r="L1367" s="917"/>
      <c r="M1367" s="917"/>
      <c r="N1367" s="917"/>
      <c r="O1367" s="917"/>
      <c r="P1367" s="917"/>
      <c r="Q1367" s="578"/>
      <c r="R1367" s="578"/>
      <c r="S1367" s="578"/>
      <c r="T1367" s="578"/>
      <c r="U1367" s="578"/>
      <c r="V1367" s="578"/>
      <c r="W1367" s="578"/>
      <c r="X1367" s="578"/>
      <c r="Y1367" s="578"/>
      <c r="Z1367" s="578"/>
    </row>
    <row r="1368" spans="1:26" ht="18.75">
      <c r="A1368" s="682"/>
      <c r="B1368" s="682"/>
      <c r="C1368" s="682"/>
      <c r="D1368" s="914"/>
      <c r="E1368" s="682"/>
      <c r="F1368" s="682"/>
      <c r="G1368" s="682"/>
      <c r="H1368" s="915"/>
      <c r="I1368" s="916"/>
      <c r="J1368" s="916"/>
      <c r="K1368" s="917"/>
      <c r="L1368" s="917"/>
      <c r="M1368" s="917"/>
      <c r="N1368" s="917"/>
      <c r="O1368" s="917"/>
      <c r="P1368" s="917"/>
      <c r="Q1368" s="578"/>
      <c r="R1368" s="578"/>
      <c r="S1368" s="578"/>
      <c r="T1368" s="578"/>
      <c r="U1368" s="578"/>
      <c r="V1368" s="578"/>
      <c r="W1368" s="578"/>
      <c r="X1368" s="578"/>
      <c r="Y1368" s="578"/>
      <c r="Z1368" s="578"/>
    </row>
    <row r="1369" spans="1:26" ht="18.75">
      <c r="A1369" s="682"/>
      <c r="B1369" s="682"/>
      <c r="C1369" s="682"/>
      <c r="D1369" s="914"/>
      <c r="E1369" s="682"/>
      <c r="F1369" s="682"/>
      <c r="G1369" s="682"/>
      <c r="H1369" s="915"/>
      <c r="I1369" s="916"/>
      <c r="J1369" s="916"/>
      <c r="K1369" s="917"/>
      <c r="L1369" s="917"/>
      <c r="M1369" s="917"/>
      <c r="N1369" s="917"/>
      <c r="O1369" s="917"/>
      <c r="P1369" s="917"/>
      <c r="Q1369" s="578"/>
      <c r="R1369" s="578"/>
      <c r="S1369" s="578"/>
      <c r="T1369" s="578"/>
      <c r="U1369" s="578"/>
      <c r="V1369" s="578"/>
      <c r="W1369" s="578"/>
      <c r="X1369" s="578"/>
      <c r="Y1369" s="578"/>
      <c r="Z1369" s="578"/>
    </row>
    <row r="1370" spans="1:26" ht="18.75">
      <c r="A1370" s="682"/>
      <c r="B1370" s="682"/>
      <c r="C1370" s="682"/>
      <c r="D1370" s="914"/>
      <c r="E1370" s="682"/>
      <c r="F1370" s="682"/>
      <c r="G1370" s="682"/>
      <c r="H1370" s="915"/>
      <c r="I1370" s="916"/>
      <c r="J1370" s="916"/>
      <c r="K1370" s="917"/>
      <c r="L1370" s="917"/>
      <c r="M1370" s="917"/>
      <c r="N1370" s="917"/>
      <c r="O1370" s="917"/>
      <c r="P1370" s="917"/>
      <c r="Q1370" s="578"/>
      <c r="R1370" s="578"/>
      <c r="S1370" s="578"/>
      <c r="T1370" s="578"/>
      <c r="U1370" s="578"/>
      <c r="V1370" s="578"/>
      <c r="W1370" s="578"/>
      <c r="X1370" s="578"/>
      <c r="Y1370" s="578"/>
      <c r="Z1370" s="578"/>
    </row>
    <row r="1371" spans="1:26" ht="18.75">
      <c r="A1371" s="682"/>
      <c r="B1371" s="682"/>
      <c r="C1371" s="682"/>
      <c r="D1371" s="914"/>
      <c r="E1371" s="682"/>
      <c r="F1371" s="682"/>
      <c r="G1371" s="682"/>
      <c r="H1371" s="915"/>
      <c r="I1371" s="916"/>
      <c r="J1371" s="916"/>
      <c r="K1371" s="917"/>
      <c r="L1371" s="917"/>
      <c r="M1371" s="917"/>
      <c r="N1371" s="917"/>
      <c r="O1371" s="917"/>
      <c r="P1371" s="917"/>
      <c r="Q1371" s="578"/>
      <c r="R1371" s="578"/>
      <c r="S1371" s="578"/>
      <c r="T1371" s="578"/>
      <c r="U1371" s="578"/>
      <c r="V1371" s="578"/>
      <c r="W1371" s="578"/>
      <c r="X1371" s="578"/>
      <c r="Y1371" s="578"/>
      <c r="Z1371" s="578"/>
    </row>
    <row r="1372" spans="1:26" ht="18.75">
      <c r="A1372" s="682"/>
      <c r="B1372" s="682"/>
      <c r="C1372" s="682"/>
      <c r="D1372" s="914"/>
      <c r="E1372" s="682"/>
      <c r="F1372" s="682"/>
      <c r="G1372" s="682"/>
      <c r="H1372" s="915"/>
      <c r="I1372" s="916"/>
      <c r="J1372" s="916"/>
      <c r="K1372" s="917"/>
      <c r="L1372" s="917"/>
      <c r="M1372" s="917"/>
      <c r="N1372" s="917"/>
      <c r="O1372" s="917"/>
      <c r="P1372" s="917"/>
      <c r="Q1372" s="578"/>
      <c r="R1372" s="578"/>
      <c r="S1372" s="578"/>
      <c r="T1372" s="578"/>
      <c r="U1372" s="578"/>
      <c r="V1372" s="578"/>
      <c r="W1372" s="578"/>
      <c r="X1372" s="578"/>
      <c r="Y1372" s="578"/>
      <c r="Z1372" s="578"/>
    </row>
    <row r="1373" spans="1:26" ht="18.75">
      <c r="A1373" s="682"/>
      <c r="B1373" s="682"/>
      <c r="C1373" s="682"/>
      <c r="D1373" s="914"/>
      <c r="E1373" s="682"/>
      <c r="F1373" s="682"/>
      <c r="G1373" s="682"/>
      <c r="H1373" s="915"/>
      <c r="I1373" s="916"/>
      <c r="J1373" s="916"/>
      <c r="K1373" s="917"/>
      <c r="L1373" s="917"/>
      <c r="M1373" s="917"/>
      <c r="N1373" s="917"/>
      <c r="O1373" s="917"/>
      <c r="P1373" s="917"/>
      <c r="Q1373" s="578"/>
      <c r="R1373" s="578"/>
      <c r="S1373" s="578"/>
      <c r="T1373" s="578"/>
      <c r="U1373" s="578"/>
      <c r="V1373" s="578"/>
      <c r="W1373" s="578"/>
      <c r="X1373" s="578"/>
      <c r="Y1373" s="578"/>
      <c r="Z1373" s="578"/>
    </row>
    <row r="1374" spans="1:26" ht="18.75">
      <c r="A1374" s="682"/>
      <c r="B1374" s="682"/>
      <c r="C1374" s="682"/>
      <c r="D1374" s="914"/>
      <c r="E1374" s="682"/>
      <c r="F1374" s="682"/>
      <c r="G1374" s="682"/>
      <c r="H1374" s="915"/>
      <c r="I1374" s="916"/>
      <c r="J1374" s="916"/>
      <c r="K1374" s="917"/>
      <c r="L1374" s="917"/>
      <c r="M1374" s="917"/>
      <c r="N1374" s="917"/>
      <c r="O1374" s="917"/>
      <c r="P1374" s="917"/>
      <c r="Q1374" s="578"/>
      <c r="R1374" s="578"/>
      <c r="S1374" s="578"/>
      <c r="T1374" s="578"/>
      <c r="U1374" s="578"/>
      <c r="V1374" s="578"/>
      <c r="W1374" s="578"/>
      <c r="X1374" s="578"/>
      <c r="Y1374" s="578"/>
      <c r="Z1374" s="578"/>
    </row>
    <row r="1375" spans="1:26" ht="18.75">
      <c r="A1375" s="682"/>
      <c r="B1375" s="682"/>
      <c r="C1375" s="682"/>
      <c r="D1375" s="914"/>
      <c r="E1375" s="682"/>
      <c r="F1375" s="682"/>
      <c r="G1375" s="682"/>
      <c r="H1375" s="915"/>
      <c r="I1375" s="916"/>
      <c r="J1375" s="916"/>
      <c r="K1375" s="917"/>
      <c r="L1375" s="917"/>
      <c r="M1375" s="917"/>
      <c r="N1375" s="917"/>
      <c r="O1375" s="917"/>
      <c r="P1375" s="917"/>
      <c r="Q1375" s="578"/>
      <c r="R1375" s="578"/>
      <c r="S1375" s="578"/>
      <c r="T1375" s="578"/>
      <c r="U1375" s="578"/>
      <c r="V1375" s="578"/>
      <c r="W1375" s="578"/>
      <c r="X1375" s="578"/>
      <c r="Y1375" s="578"/>
      <c r="Z1375" s="578"/>
    </row>
    <row r="1376" spans="1:26" ht="18.75">
      <c r="A1376" s="682"/>
      <c r="B1376" s="682"/>
      <c r="C1376" s="682"/>
      <c r="D1376" s="914"/>
      <c r="E1376" s="682"/>
      <c r="F1376" s="682"/>
      <c r="G1376" s="682"/>
      <c r="H1376" s="915"/>
      <c r="I1376" s="916"/>
      <c r="J1376" s="916"/>
      <c r="K1376" s="917"/>
      <c r="L1376" s="917"/>
      <c r="M1376" s="917"/>
      <c r="N1376" s="917"/>
      <c r="O1376" s="917"/>
      <c r="P1376" s="917"/>
      <c r="Q1376" s="578"/>
      <c r="R1376" s="578"/>
      <c r="S1376" s="578"/>
      <c r="T1376" s="578"/>
      <c r="U1376" s="578"/>
      <c r="V1376" s="578"/>
      <c r="W1376" s="578"/>
      <c r="X1376" s="578"/>
      <c r="Y1376" s="578"/>
      <c r="Z1376" s="578"/>
    </row>
    <row r="1377" spans="1:26" ht="18.75">
      <c r="A1377" s="682"/>
      <c r="B1377" s="682"/>
      <c r="C1377" s="682"/>
      <c r="D1377" s="914"/>
      <c r="E1377" s="682"/>
      <c r="F1377" s="682"/>
      <c r="G1377" s="682"/>
      <c r="H1377" s="915"/>
      <c r="I1377" s="916"/>
      <c r="J1377" s="916"/>
      <c r="K1377" s="917"/>
      <c r="L1377" s="917"/>
      <c r="M1377" s="917"/>
      <c r="N1377" s="917"/>
      <c r="O1377" s="917"/>
      <c r="P1377" s="917"/>
      <c r="Q1377" s="578"/>
      <c r="R1377" s="578"/>
      <c r="S1377" s="578"/>
      <c r="T1377" s="578"/>
      <c r="U1377" s="578"/>
      <c r="V1377" s="578"/>
      <c r="W1377" s="578"/>
      <c r="X1377" s="578"/>
      <c r="Y1377" s="578"/>
      <c r="Z1377" s="578"/>
    </row>
    <row r="1378" spans="1:26" ht="18.75">
      <c r="A1378" s="682"/>
      <c r="B1378" s="682"/>
      <c r="C1378" s="682"/>
      <c r="D1378" s="914"/>
      <c r="E1378" s="682"/>
      <c r="F1378" s="682"/>
      <c r="G1378" s="682"/>
      <c r="H1378" s="915"/>
      <c r="I1378" s="916"/>
      <c r="J1378" s="916"/>
      <c r="K1378" s="917"/>
      <c r="L1378" s="917"/>
      <c r="M1378" s="917"/>
      <c r="N1378" s="917"/>
      <c r="O1378" s="917"/>
      <c r="P1378" s="917"/>
      <c r="Q1378" s="578"/>
      <c r="R1378" s="578"/>
      <c r="S1378" s="578"/>
      <c r="T1378" s="578"/>
      <c r="U1378" s="578"/>
      <c r="V1378" s="578"/>
      <c r="W1378" s="578"/>
      <c r="X1378" s="578"/>
      <c r="Y1378" s="578"/>
      <c r="Z1378" s="578"/>
    </row>
    <row r="1379" spans="1:26" ht="18.75">
      <c r="A1379" s="682"/>
      <c r="B1379" s="682"/>
      <c r="C1379" s="682"/>
      <c r="D1379" s="914"/>
      <c r="E1379" s="682"/>
      <c r="F1379" s="682"/>
      <c r="G1379" s="682"/>
      <c r="H1379" s="915"/>
      <c r="I1379" s="916"/>
      <c r="J1379" s="916"/>
      <c r="K1379" s="917"/>
      <c r="L1379" s="917"/>
      <c r="M1379" s="917"/>
      <c r="N1379" s="917"/>
      <c r="O1379" s="917"/>
      <c r="P1379" s="917"/>
      <c r="Q1379" s="578"/>
      <c r="R1379" s="578"/>
      <c r="S1379" s="578"/>
      <c r="T1379" s="578"/>
      <c r="U1379" s="578"/>
      <c r="V1379" s="578"/>
      <c r="W1379" s="578"/>
      <c r="X1379" s="578"/>
      <c r="Y1379" s="578"/>
      <c r="Z1379" s="578"/>
    </row>
    <row r="1380" spans="1:26" ht="18.75">
      <c r="A1380" s="682"/>
      <c r="B1380" s="682"/>
      <c r="C1380" s="682"/>
      <c r="D1380" s="914"/>
      <c r="E1380" s="682"/>
      <c r="F1380" s="682"/>
      <c r="G1380" s="682"/>
      <c r="H1380" s="915"/>
      <c r="I1380" s="916"/>
      <c r="J1380" s="916"/>
      <c r="K1380" s="917"/>
      <c r="L1380" s="917"/>
      <c r="M1380" s="917"/>
      <c r="N1380" s="917"/>
      <c r="O1380" s="917"/>
      <c r="P1380" s="917"/>
      <c r="Q1380" s="578"/>
      <c r="R1380" s="578"/>
      <c r="S1380" s="578"/>
      <c r="T1380" s="578"/>
      <c r="U1380" s="578"/>
      <c r="V1380" s="578"/>
      <c r="W1380" s="578"/>
      <c r="X1380" s="578"/>
      <c r="Y1380" s="578"/>
      <c r="Z1380" s="578"/>
    </row>
    <row r="1381" spans="1:26" ht="18.75">
      <c r="A1381" s="682"/>
      <c r="B1381" s="682"/>
      <c r="C1381" s="682"/>
      <c r="D1381" s="914"/>
      <c r="E1381" s="682"/>
      <c r="F1381" s="682"/>
      <c r="G1381" s="682"/>
      <c r="H1381" s="915"/>
      <c r="I1381" s="916"/>
      <c r="J1381" s="916"/>
      <c r="K1381" s="917"/>
      <c r="L1381" s="917"/>
      <c r="M1381" s="917"/>
      <c r="N1381" s="917"/>
      <c r="O1381" s="917"/>
      <c r="P1381" s="917"/>
      <c r="Q1381" s="578"/>
      <c r="R1381" s="578"/>
      <c r="S1381" s="578"/>
      <c r="T1381" s="578"/>
      <c r="U1381" s="578"/>
      <c r="V1381" s="578"/>
      <c r="W1381" s="578"/>
      <c r="X1381" s="578"/>
      <c r="Y1381" s="578"/>
      <c r="Z1381" s="578"/>
    </row>
    <row r="1382" spans="1:26" ht="18.75">
      <c r="A1382" s="682"/>
      <c r="B1382" s="682"/>
      <c r="C1382" s="682"/>
      <c r="D1382" s="914"/>
      <c r="E1382" s="682"/>
      <c r="F1382" s="682"/>
      <c r="G1382" s="682"/>
      <c r="H1382" s="915"/>
      <c r="I1382" s="916"/>
      <c r="J1382" s="916"/>
      <c r="K1382" s="917"/>
      <c r="L1382" s="917"/>
      <c r="M1382" s="917"/>
      <c r="N1382" s="917"/>
      <c r="O1382" s="917"/>
      <c r="P1382" s="917"/>
      <c r="Q1382" s="578"/>
      <c r="R1382" s="578"/>
      <c r="S1382" s="578"/>
      <c r="T1382" s="578"/>
      <c r="U1382" s="578"/>
      <c r="V1382" s="578"/>
      <c r="W1382" s="578"/>
      <c r="X1382" s="578"/>
      <c r="Y1382" s="578"/>
      <c r="Z1382" s="578"/>
    </row>
    <row r="1383" spans="1:26" ht="18.75">
      <c r="A1383" s="682"/>
      <c r="B1383" s="682"/>
      <c r="C1383" s="682"/>
      <c r="D1383" s="914"/>
      <c r="E1383" s="682"/>
      <c r="F1383" s="682"/>
      <c r="G1383" s="682"/>
      <c r="H1383" s="915"/>
      <c r="I1383" s="916"/>
      <c r="J1383" s="916"/>
      <c r="K1383" s="917"/>
      <c r="L1383" s="917"/>
      <c r="M1383" s="917"/>
      <c r="N1383" s="917"/>
      <c r="O1383" s="917"/>
      <c r="P1383" s="917"/>
      <c r="Q1383" s="578"/>
      <c r="R1383" s="578"/>
      <c r="S1383" s="578"/>
      <c r="T1383" s="578"/>
      <c r="U1383" s="578"/>
      <c r="V1383" s="578"/>
      <c r="W1383" s="578"/>
      <c r="X1383" s="578"/>
      <c r="Y1383" s="578"/>
      <c r="Z1383" s="578"/>
    </row>
    <row r="1384" spans="1:26" ht="18.75">
      <c r="A1384" s="682"/>
      <c r="B1384" s="682"/>
      <c r="C1384" s="682"/>
      <c r="D1384" s="914"/>
      <c r="E1384" s="682"/>
      <c r="F1384" s="682"/>
      <c r="G1384" s="682"/>
      <c r="H1384" s="915"/>
      <c r="I1384" s="916"/>
      <c r="J1384" s="916"/>
      <c r="K1384" s="917"/>
      <c r="L1384" s="917"/>
      <c r="M1384" s="917"/>
      <c r="N1384" s="917"/>
      <c r="O1384" s="917"/>
      <c r="P1384" s="917"/>
      <c r="Q1384" s="578"/>
      <c r="R1384" s="578"/>
      <c r="S1384" s="578"/>
      <c r="T1384" s="578"/>
      <c r="U1384" s="578"/>
      <c r="V1384" s="578"/>
      <c r="W1384" s="578"/>
      <c r="X1384" s="578"/>
      <c r="Y1384" s="578"/>
      <c r="Z1384" s="578"/>
    </row>
    <row r="1385" spans="1:26" ht="18.75">
      <c r="A1385" s="682"/>
      <c r="B1385" s="682"/>
      <c r="C1385" s="682"/>
      <c r="D1385" s="914"/>
      <c r="E1385" s="682"/>
      <c r="F1385" s="682"/>
      <c r="G1385" s="682"/>
      <c r="H1385" s="915"/>
      <c r="I1385" s="916"/>
      <c r="J1385" s="916"/>
      <c r="K1385" s="917"/>
      <c r="L1385" s="917"/>
      <c r="M1385" s="917"/>
      <c r="N1385" s="917"/>
      <c r="O1385" s="917"/>
      <c r="P1385" s="917"/>
      <c r="Q1385" s="578"/>
      <c r="R1385" s="578"/>
      <c r="S1385" s="578"/>
      <c r="T1385" s="578"/>
      <c r="U1385" s="578"/>
      <c r="V1385" s="578"/>
      <c r="W1385" s="578"/>
      <c r="X1385" s="578"/>
      <c r="Y1385" s="578"/>
      <c r="Z1385" s="578"/>
    </row>
    <row r="1386" spans="1:26" ht="18.75">
      <c r="A1386" s="682"/>
      <c r="B1386" s="682"/>
      <c r="C1386" s="682"/>
      <c r="D1386" s="914"/>
      <c r="E1386" s="682"/>
      <c r="F1386" s="682"/>
      <c r="G1386" s="682"/>
      <c r="H1386" s="915"/>
      <c r="I1386" s="916"/>
      <c r="J1386" s="916"/>
      <c r="K1386" s="917"/>
      <c r="L1386" s="917"/>
      <c r="M1386" s="917"/>
      <c r="N1386" s="917"/>
      <c r="O1386" s="917"/>
      <c r="P1386" s="917"/>
      <c r="Q1386" s="578"/>
      <c r="R1386" s="578"/>
      <c r="S1386" s="578"/>
      <c r="T1386" s="578"/>
      <c r="U1386" s="578"/>
      <c r="V1386" s="578"/>
      <c r="W1386" s="578"/>
      <c r="X1386" s="578"/>
      <c r="Y1386" s="578"/>
      <c r="Z1386" s="578"/>
    </row>
    <row r="1387" spans="1:26" ht="18.75">
      <c r="A1387" s="682"/>
      <c r="B1387" s="682"/>
      <c r="C1387" s="682"/>
      <c r="D1387" s="914"/>
      <c r="E1387" s="682"/>
      <c r="F1387" s="682"/>
      <c r="G1387" s="682"/>
      <c r="H1387" s="915"/>
      <c r="I1387" s="916"/>
      <c r="J1387" s="916"/>
      <c r="K1387" s="917"/>
      <c r="L1387" s="917"/>
      <c r="M1387" s="917"/>
      <c r="N1387" s="917"/>
      <c r="O1387" s="917"/>
      <c r="P1387" s="917"/>
      <c r="Q1387" s="578"/>
      <c r="R1387" s="578"/>
      <c r="S1387" s="578"/>
      <c r="T1387" s="578"/>
      <c r="U1387" s="578"/>
      <c r="V1387" s="578"/>
      <c r="W1387" s="578"/>
      <c r="X1387" s="578"/>
      <c r="Y1387" s="578"/>
      <c r="Z1387" s="578"/>
    </row>
    <row r="1388" spans="1:26" ht="18.75">
      <c r="A1388" s="682"/>
      <c r="B1388" s="682"/>
      <c r="C1388" s="682"/>
      <c r="D1388" s="914"/>
      <c r="E1388" s="682"/>
      <c r="F1388" s="682"/>
      <c r="G1388" s="682"/>
      <c r="H1388" s="915"/>
      <c r="I1388" s="916"/>
      <c r="J1388" s="916"/>
      <c r="K1388" s="917"/>
      <c r="L1388" s="917"/>
      <c r="M1388" s="917"/>
      <c r="N1388" s="917"/>
      <c r="O1388" s="917"/>
      <c r="P1388" s="917"/>
      <c r="Q1388" s="578"/>
      <c r="R1388" s="578"/>
      <c r="S1388" s="578"/>
      <c r="T1388" s="578"/>
      <c r="U1388" s="578"/>
      <c r="V1388" s="578"/>
      <c r="W1388" s="578"/>
      <c r="X1388" s="578"/>
      <c r="Y1388" s="578"/>
      <c r="Z1388" s="578"/>
    </row>
    <row r="1389" spans="1:26" ht="18.75">
      <c r="A1389" s="682"/>
      <c r="B1389" s="682"/>
      <c r="C1389" s="682"/>
      <c r="D1389" s="914"/>
      <c r="E1389" s="682"/>
      <c r="F1389" s="682"/>
      <c r="G1389" s="682"/>
      <c r="H1389" s="915"/>
      <c r="I1389" s="916"/>
      <c r="J1389" s="916"/>
      <c r="K1389" s="917"/>
      <c r="L1389" s="917"/>
      <c r="M1389" s="917"/>
      <c r="N1389" s="917"/>
      <c r="O1389" s="917"/>
      <c r="P1389" s="917"/>
      <c r="Q1389" s="578"/>
      <c r="R1389" s="578"/>
      <c r="S1389" s="578"/>
      <c r="T1389" s="578"/>
      <c r="U1389" s="578"/>
      <c r="V1389" s="578"/>
      <c r="W1389" s="578"/>
      <c r="X1389" s="578"/>
      <c r="Y1389" s="578"/>
      <c r="Z1389" s="578"/>
    </row>
    <row r="1390" spans="1:26" ht="18.75">
      <c r="A1390" s="682"/>
      <c r="B1390" s="682"/>
      <c r="C1390" s="682"/>
      <c r="D1390" s="914"/>
      <c r="E1390" s="682"/>
      <c r="F1390" s="682"/>
      <c r="G1390" s="682"/>
      <c r="H1390" s="915"/>
      <c r="I1390" s="916"/>
      <c r="J1390" s="916"/>
      <c r="K1390" s="917"/>
      <c r="L1390" s="917"/>
      <c r="M1390" s="917"/>
      <c r="N1390" s="917"/>
      <c r="O1390" s="917"/>
      <c r="P1390" s="917"/>
      <c r="Q1390" s="578"/>
      <c r="R1390" s="578"/>
      <c r="S1390" s="578"/>
      <c r="T1390" s="578"/>
      <c r="U1390" s="578"/>
      <c r="V1390" s="578"/>
      <c r="W1390" s="578"/>
      <c r="X1390" s="578"/>
      <c r="Y1390" s="578"/>
      <c r="Z1390" s="578"/>
    </row>
    <row r="1391" spans="1:26" ht="18.75">
      <c r="A1391" s="682"/>
      <c r="B1391" s="682"/>
      <c r="C1391" s="682"/>
      <c r="D1391" s="914"/>
      <c r="E1391" s="682"/>
      <c r="F1391" s="682"/>
      <c r="G1391" s="682"/>
      <c r="H1391" s="915"/>
      <c r="I1391" s="916"/>
      <c r="J1391" s="916"/>
      <c r="K1391" s="917"/>
      <c r="L1391" s="917"/>
      <c r="M1391" s="917"/>
      <c r="N1391" s="917"/>
      <c r="O1391" s="917"/>
      <c r="P1391" s="917"/>
      <c r="Q1391" s="578"/>
      <c r="R1391" s="578"/>
      <c r="S1391" s="578"/>
      <c r="T1391" s="578"/>
      <c r="U1391" s="578"/>
      <c r="V1391" s="578"/>
      <c r="W1391" s="578"/>
      <c r="X1391" s="578"/>
      <c r="Y1391" s="578"/>
      <c r="Z1391" s="578"/>
    </row>
    <row r="1392" spans="1:26" ht="18.75">
      <c r="A1392" s="682"/>
      <c r="B1392" s="682"/>
      <c r="C1392" s="682"/>
      <c r="D1392" s="914"/>
      <c r="E1392" s="682"/>
      <c r="F1392" s="682"/>
      <c r="G1392" s="682"/>
      <c r="H1392" s="915"/>
      <c r="I1392" s="916"/>
      <c r="J1392" s="916"/>
      <c r="K1392" s="917"/>
      <c r="L1392" s="917"/>
      <c r="M1392" s="917"/>
      <c r="N1392" s="917"/>
      <c r="O1392" s="917"/>
      <c r="P1392" s="917"/>
      <c r="Q1392" s="578"/>
      <c r="R1392" s="578"/>
      <c r="S1392" s="578"/>
      <c r="T1392" s="578"/>
      <c r="U1392" s="578"/>
      <c r="V1392" s="578"/>
      <c r="W1392" s="578"/>
      <c r="X1392" s="578"/>
      <c r="Y1392" s="578"/>
      <c r="Z1392" s="578"/>
    </row>
    <row r="1393" spans="1:26" ht="18.75">
      <c r="A1393" s="682"/>
      <c r="B1393" s="682"/>
      <c r="C1393" s="682"/>
      <c r="D1393" s="914"/>
      <c r="E1393" s="682"/>
      <c r="F1393" s="682"/>
      <c r="G1393" s="682"/>
      <c r="H1393" s="915"/>
      <c r="I1393" s="916"/>
      <c r="J1393" s="916"/>
      <c r="K1393" s="917"/>
      <c r="L1393" s="917"/>
      <c r="M1393" s="917"/>
      <c r="N1393" s="917"/>
      <c r="O1393" s="917"/>
      <c r="P1393" s="917"/>
      <c r="Q1393" s="578"/>
      <c r="R1393" s="578"/>
      <c r="S1393" s="578"/>
      <c r="T1393" s="578"/>
      <c r="U1393" s="578"/>
      <c r="V1393" s="578"/>
      <c r="W1393" s="578"/>
      <c r="X1393" s="578"/>
      <c r="Y1393" s="578"/>
      <c r="Z1393" s="578"/>
    </row>
    <row r="1394" spans="1:26" ht="18.75">
      <c r="A1394" s="682"/>
      <c r="B1394" s="682"/>
      <c r="C1394" s="682"/>
      <c r="D1394" s="914"/>
      <c r="E1394" s="682"/>
      <c r="F1394" s="682"/>
      <c r="G1394" s="682"/>
      <c r="H1394" s="915"/>
      <c r="I1394" s="916"/>
      <c r="J1394" s="916"/>
      <c r="K1394" s="917"/>
      <c r="L1394" s="917"/>
      <c r="M1394" s="917"/>
      <c r="N1394" s="917"/>
      <c r="O1394" s="917"/>
      <c r="P1394" s="917"/>
      <c r="Q1394" s="578"/>
      <c r="R1394" s="578"/>
      <c r="S1394" s="578"/>
      <c r="T1394" s="578"/>
      <c r="U1394" s="578"/>
      <c r="V1394" s="578"/>
      <c r="W1394" s="578"/>
      <c r="X1394" s="578"/>
      <c r="Y1394" s="578"/>
      <c r="Z1394" s="578"/>
    </row>
    <row r="1395" spans="1:26" ht="18.75">
      <c r="A1395" s="682"/>
      <c r="B1395" s="682"/>
      <c r="C1395" s="682"/>
      <c r="D1395" s="914"/>
      <c r="E1395" s="682"/>
      <c r="F1395" s="682"/>
      <c r="G1395" s="682"/>
      <c r="H1395" s="915"/>
      <c r="I1395" s="916"/>
      <c r="J1395" s="916"/>
      <c r="K1395" s="917"/>
      <c r="L1395" s="917"/>
      <c r="M1395" s="917"/>
      <c r="N1395" s="917"/>
      <c r="O1395" s="917"/>
      <c r="P1395" s="917"/>
      <c r="Q1395" s="578"/>
      <c r="R1395" s="578"/>
      <c r="S1395" s="578"/>
      <c r="T1395" s="578"/>
      <c r="U1395" s="578"/>
      <c r="V1395" s="578"/>
      <c r="W1395" s="578"/>
      <c r="X1395" s="578"/>
      <c r="Y1395" s="578"/>
      <c r="Z1395" s="578"/>
    </row>
    <row r="1396" spans="1:26" ht="18.75">
      <c r="A1396" s="682"/>
      <c r="B1396" s="682"/>
      <c r="C1396" s="682"/>
      <c r="D1396" s="914"/>
      <c r="E1396" s="682"/>
      <c r="F1396" s="682"/>
      <c r="G1396" s="682"/>
      <c r="H1396" s="915"/>
      <c r="I1396" s="916"/>
      <c r="J1396" s="916"/>
      <c r="K1396" s="917"/>
      <c r="L1396" s="917"/>
      <c r="M1396" s="917"/>
      <c r="N1396" s="917"/>
      <c r="O1396" s="917"/>
      <c r="P1396" s="917"/>
      <c r="Q1396" s="578"/>
      <c r="R1396" s="578"/>
      <c r="S1396" s="578"/>
      <c r="T1396" s="578"/>
      <c r="U1396" s="578"/>
      <c r="V1396" s="578"/>
      <c r="W1396" s="578"/>
      <c r="X1396" s="578"/>
      <c r="Y1396" s="578"/>
      <c r="Z1396" s="578"/>
    </row>
    <row r="1397" spans="1:26" ht="18.75">
      <c r="A1397" s="682"/>
      <c r="B1397" s="682"/>
      <c r="C1397" s="682"/>
      <c r="D1397" s="914"/>
      <c r="E1397" s="682"/>
      <c r="F1397" s="682"/>
      <c r="G1397" s="682"/>
      <c r="H1397" s="915"/>
      <c r="I1397" s="916"/>
      <c r="J1397" s="916"/>
      <c r="K1397" s="917"/>
      <c r="L1397" s="917"/>
      <c r="M1397" s="917"/>
      <c r="N1397" s="917"/>
      <c r="O1397" s="917"/>
      <c r="P1397" s="917"/>
      <c r="Q1397" s="578"/>
      <c r="R1397" s="578"/>
      <c r="S1397" s="578"/>
      <c r="T1397" s="578"/>
      <c r="U1397" s="578"/>
      <c r="V1397" s="578"/>
      <c r="W1397" s="578"/>
      <c r="X1397" s="578"/>
      <c r="Y1397" s="578"/>
      <c r="Z1397" s="578"/>
    </row>
    <row r="1398" spans="1:26" ht="18.75">
      <c r="A1398" s="682"/>
      <c r="B1398" s="682"/>
      <c r="C1398" s="682"/>
      <c r="D1398" s="914"/>
      <c r="E1398" s="682"/>
      <c r="F1398" s="682"/>
      <c r="G1398" s="682"/>
      <c r="H1398" s="915"/>
      <c r="I1398" s="916"/>
      <c r="J1398" s="916"/>
      <c r="K1398" s="917"/>
      <c r="L1398" s="917"/>
      <c r="M1398" s="917"/>
      <c r="N1398" s="917"/>
      <c r="O1398" s="917"/>
      <c r="P1398" s="917"/>
      <c r="Q1398" s="578"/>
      <c r="R1398" s="578"/>
      <c r="S1398" s="578"/>
      <c r="T1398" s="578"/>
      <c r="U1398" s="578"/>
      <c r="V1398" s="578"/>
      <c r="W1398" s="578"/>
      <c r="X1398" s="578"/>
      <c r="Y1398" s="578"/>
      <c r="Z1398" s="578"/>
    </row>
    <row r="1399" spans="1:26" ht="18.75">
      <c r="A1399" s="682"/>
      <c r="B1399" s="682"/>
      <c r="C1399" s="682"/>
      <c r="D1399" s="914"/>
      <c r="E1399" s="682"/>
      <c r="F1399" s="682"/>
      <c r="G1399" s="682"/>
      <c r="H1399" s="915"/>
      <c r="I1399" s="916"/>
      <c r="J1399" s="916"/>
      <c r="K1399" s="917"/>
      <c r="L1399" s="917"/>
      <c r="M1399" s="917"/>
      <c r="N1399" s="917"/>
      <c r="O1399" s="917"/>
      <c r="P1399" s="917"/>
      <c r="Q1399" s="578"/>
      <c r="R1399" s="578"/>
      <c r="S1399" s="578"/>
      <c r="T1399" s="578"/>
      <c r="U1399" s="578"/>
      <c r="V1399" s="578"/>
      <c r="W1399" s="578"/>
      <c r="X1399" s="578"/>
      <c r="Y1399" s="578"/>
      <c r="Z1399" s="578"/>
    </row>
    <row r="1400" spans="1:26" ht="18.75">
      <c r="A1400" s="682"/>
      <c r="B1400" s="682"/>
      <c r="C1400" s="682"/>
      <c r="D1400" s="914"/>
      <c r="E1400" s="682"/>
      <c r="F1400" s="682"/>
      <c r="G1400" s="682"/>
      <c r="H1400" s="915"/>
      <c r="I1400" s="916"/>
      <c r="J1400" s="916"/>
      <c r="K1400" s="917"/>
      <c r="L1400" s="917"/>
      <c r="M1400" s="917"/>
      <c r="N1400" s="917"/>
      <c r="O1400" s="917"/>
      <c r="P1400" s="917"/>
      <c r="Q1400" s="578"/>
      <c r="R1400" s="578"/>
      <c r="S1400" s="578"/>
      <c r="T1400" s="578"/>
      <c r="U1400" s="578"/>
      <c r="V1400" s="578"/>
      <c r="W1400" s="578"/>
      <c r="X1400" s="578"/>
      <c r="Y1400" s="578"/>
      <c r="Z1400" s="578"/>
    </row>
    <row r="1401" spans="1:26" ht="18.75">
      <c r="A1401" s="682"/>
      <c r="B1401" s="682"/>
      <c r="C1401" s="682"/>
      <c r="D1401" s="914"/>
      <c r="E1401" s="682"/>
      <c r="F1401" s="682"/>
      <c r="G1401" s="682"/>
      <c r="H1401" s="915"/>
      <c r="I1401" s="916"/>
      <c r="J1401" s="916"/>
      <c r="K1401" s="917"/>
      <c r="L1401" s="917"/>
      <c r="M1401" s="917"/>
      <c r="N1401" s="917"/>
      <c r="O1401" s="917"/>
      <c r="P1401" s="917"/>
      <c r="Q1401" s="578"/>
      <c r="R1401" s="578"/>
      <c r="S1401" s="578"/>
      <c r="T1401" s="578"/>
      <c r="U1401" s="578"/>
      <c r="V1401" s="578"/>
      <c r="W1401" s="578"/>
      <c r="X1401" s="578"/>
      <c r="Y1401" s="578"/>
      <c r="Z1401" s="578"/>
    </row>
    <row r="1402" spans="1:26" ht="18.75">
      <c r="A1402" s="682"/>
      <c r="B1402" s="682"/>
      <c r="C1402" s="682"/>
      <c r="D1402" s="914"/>
      <c r="E1402" s="682"/>
      <c r="F1402" s="682"/>
      <c r="G1402" s="682"/>
      <c r="H1402" s="915"/>
      <c r="I1402" s="916"/>
      <c r="J1402" s="916"/>
      <c r="K1402" s="917"/>
      <c r="L1402" s="917"/>
      <c r="M1402" s="917"/>
      <c r="N1402" s="917"/>
      <c r="O1402" s="917"/>
      <c r="P1402" s="917"/>
      <c r="Q1402" s="578"/>
      <c r="R1402" s="578"/>
      <c r="S1402" s="578"/>
      <c r="T1402" s="578"/>
      <c r="U1402" s="578"/>
      <c r="V1402" s="578"/>
      <c r="W1402" s="578"/>
      <c r="X1402" s="578"/>
      <c r="Y1402" s="578"/>
      <c r="Z1402" s="578"/>
    </row>
    <row r="1403" spans="1:26" ht="18.75">
      <c r="A1403" s="682"/>
      <c r="B1403" s="682"/>
      <c r="C1403" s="682"/>
      <c r="D1403" s="914"/>
      <c r="E1403" s="682"/>
      <c r="F1403" s="682"/>
      <c r="G1403" s="682"/>
      <c r="H1403" s="915"/>
      <c r="I1403" s="916"/>
      <c r="J1403" s="916"/>
      <c r="K1403" s="917"/>
      <c r="L1403" s="917"/>
      <c r="M1403" s="917"/>
      <c r="N1403" s="917"/>
      <c r="O1403" s="917"/>
      <c r="P1403" s="917"/>
      <c r="Q1403" s="578"/>
      <c r="R1403" s="578"/>
      <c r="S1403" s="578"/>
      <c r="T1403" s="578"/>
      <c r="U1403" s="578"/>
      <c r="V1403" s="578"/>
      <c r="W1403" s="578"/>
      <c r="X1403" s="578"/>
      <c r="Y1403" s="578"/>
      <c r="Z1403" s="578"/>
    </row>
    <row r="1404" spans="1:26" ht="18.75">
      <c r="A1404" s="682"/>
      <c r="B1404" s="682"/>
      <c r="C1404" s="682"/>
      <c r="D1404" s="914"/>
      <c r="E1404" s="682"/>
      <c r="F1404" s="682"/>
      <c r="G1404" s="682"/>
      <c r="H1404" s="915"/>
      <c r="I1404" s="916"/>
      <c r="J1404" s="916"/>
      <c r="K1404" s="917"/>
      <c r="L1404" s="917"/>
      <c r="M1404" s="917"/>
      <c r="N1404" s="917"/>
      <c r="O1404" s="917"/>
      <c r="P1404" s="917"/>
      <c r="Q1404" s="578"/>
      <c r="R1404" s="578"/>
      <c r="S1404" s="578"/>
      <c r="T1404" s="578"/>
      <c r="U1404" s="578"/>
      <c r="V1404" s="578"/>
      <c r="W1404" s="578"/>
      <c r="X1404" s="578"/>
      <c r="Y1404" s="578"/>
      <c r="Z1404" s="578"/>
    </row>
    <row r="1405" spans="1:26" ht="18.75">
      <c r="A1405" s="682"/>
      <c r="B1405" s="682"/>
      <c r="C1405" s="682"/>
      <c r="D1405" s="914"/>
      <c r="E1405" s="682"/>
      <c r="F1405" s="682"/>
      <c r="G1405" s="682"/>
      <c r="H1405" s="915"/>
      <c r="I1405" s="916"/>
      <c r="J1405" s="916"/>
      <c r="K1405" s="917"/>
      <c r="L1405" s="917"/>
      <c r="M1405" s="917"/>
      <c r="N1405" s="917"/>
      <c r="O1405" s="917"/>
      <c r="P1405" s="917"/>
      <c r="Q1405" s="578"/>
      <c r="R1405" s="578"/>
      <c r="S1405" s="578"/>
      <c r="T1405" s="578"/>
      <c r="U1405" s="578"/>
      <c r="V1405" s="578"/>
      <c r="W1405" s="578"/>
      <c r="X1405" s="578"/>
      <c r="Y1405" s="578"/>
      <c r="Z1405" s="578"/>
    </row>
    <row r="1406" spans="1:26" ht="18.75">
      <c r="A1406" s="682"/>
      <c r="B1406" s="682"/>
      <c r="C1406" s="682"/>
      <c r="D1406" s="914"/>
      <c r="E1406" s="682"/>
      <c r="F1406" s="682"/>
      <c r="G1406" s="682"/>
      <c r="H1406" s="915"/>
      <c r="I1406" s="916"/>
      <c r="J1406" s="916"/>
      <c r="K1406" s="917"/>
      <c r="L1406" s="917"/>
      <c r="M1406" s="917"/>
      <c r="N1406" s="917"/>
      <c r="O1406" s="917"/>
      <c r="P1406" s="917"/>
      <c r="Q1406" s="578"/>
      <c r="R1406" s="578"/>
      <c r="S1406" s="578"/>
      <c r="T1406" s="578"/>
      <c r="U1406" s="578"/>
      <c r="V1406" s="578"/>
      <c r="W1406" s="578"/>
      <c r="X1406" s="578"/>
      <c r="Y1406" s="578"/>
      <c r="Z1406" s="578"/>
    </row>
    <row r="1407" spans="1:26" ht="18.75">
      <c r="A1407" s="682"/>
      <c r="B1407" s="682"/>
      <c r="C1407" s="682"/>
      <c r="D1407" s="914"/>
      <c r="E1407" s="682"/>
      <c r="F1407" s="682"/>
      <c r="G1407" s="682"/>
      <c r="H1407" s="915"/>
      <c r="I1407" s="916"/>
      <c r="J1407" s="916"/>
      <c r="K1407" s="917"/>
      <c r="L1407" s="917"/>
      <c r="M1407" s="917"/>
      <c r="N1407" s="917"/>
      <c r="O1407" s="917"/>
      <c r="P1407" s="917"/>
      <c r="Q1407" s="578"/>
      <c r="R1407" s="578"/>
      <c r="S1407" s="578"/>
      <c r="T1407" s="578"/>
      <c r="U1407" s="578"/>
      <c r="V1407" s="578"/>
      <c r="W1407" s="578"/>
      <c r="X1407" s="578"/>
      <c r="Y1407" s="578"/>
      <c r="Z1407" s="578"/>
    </row>
    <row r="1408" spans="1:26" ht="18.75">
      <c r="A1408" s="682"/>
      <c r="B1408" s="682"/>
      <c r="C1408" s="682"/>
      <c r="D1408" s="914"/>
      <c r="E1408" s="682"/>
      <c r="F1408" s="682"/>
      <c r="G1408" s="682"/>
      <c r="H1408" s="915"/>
      <c r="I1408" s="916"/>
      <c r="J1408" s="916"/>
      <c r="K1408" s="917"/>
      <c r="L1408" s="917"/>
      <c r="M1408" s="917"/>
      <c r="N1408" s="917"/>
      <c r="O1408" s="917"/>
      <c r="P1408" s="917"/>
      <c r="Q1408" s="578"/>
      <c r="R1408" s="578"/>
      <c r="S1408" s="578"/>
      <c r="T1408" s="578"/>
      <c r="U1408" s="578"/>
      <c r="V1408" s="578"/>
      <c r="W1408" s="578"/>
      <c r="X1408" s="578"/>
      <c r="Y1408" s="578"/>
      <c r="Z1408" s="578"/>
    </row>
    <row r="1409" spans="1:26" ht="18.75">
      <c r="A1409" s="682"/>
      <c r="B1409" s="682"/>
      <c r="C1409" s="682"/>
      <c r="D1409" s="914"/>
      <c r="E1409" s="682"/>
      <c r="F1409" s="682"/>
      <c r="G1409" s="682"/>
      <c r="H1409" s="915"/>
      <c r="I1409" s="916"/>
      <c r="J1409" s="916"/>
      <c r="K1409" s="917"/>
      <c r="L1409" s="917"/>
      <c r="M1409" s="917"/>
      <c r="N1409" s="917"/>
      <c r="O1409" s="917"/>
      <c r="P1409" s="917"/>
      <c r="Q1409" s="578"/>
      <c r="R1409" s="578"/>
      <c r="S1409" s="578"/>
      <c r="T1409" s="578"/>
      <c r="U1409" s="578"/>
      <c r="V1409" s="578"/>
      <c r="W1409" s="578"/>
      <c r="X1409" s="578"/>
      <c r="Y1409" s="578"/>
      <c r="Z1409" s="578"/>
    </row>
    <row r="1410" spans="1:26" ht="18.75">
      <c r="A1410" s="682"/>
      <c r="B1410" s="682"/>
      <c r="C1410" s="682"/>
      <c r="D1410" s="914"/>
      <c r="E1410" s="682"/>
      <c r="F1410" s="682"/>
      <c r="G1410" s="682"/>
      <c r="H1410" s="915"/>
      <c r="I1410" s="916"/>
      <c r="J1410" s="916"/>
      <c r="K1410" s="917"/>
      <c r="L1410" s="917"/>
      <c r="M1410" s="917"/>
      <c r="N1410" s="917"/>
      <c r="O1410" s="917"/>
      <c r="P1410" s="917"/>
      <c r="Q1410" s="578"/>
      <c r="R1410" s="578"/>
      <c r="S1410" s="578"/>
      <c r="T1410" s="578"/>
      <c r="U1410" s="578"/>
      <c r="V1410" s="578"/>
      <c r="W1410" s="578"/>
      <c r="X1410" s="578"/>
      <c r="Y1410" s="578"/>
      <c r="Z1410" s="578"/>
    </row>
    <row r="1411" spans="1:26" ht="18.75">
      <c r="A1411" s="682"/>
      <c r="B1411" s="682"/>
      <c r="C1411" s="682"/>
      <c r="D1411" s="914"/>
      <c r="E1411" s="682"/>
      <c r="F1411" s="682"/>
      <c r="G1411" s="682"/>
      <c r="H1411" s="915"/>
      <c r="I1411" s="916"/>
      <c r="J1411" s="916"/>
      <c r="K1411" s="917"/>
      <c r="L1411" s="917"/>
      <c r="M1411" s="917"/>
      <c r="N1411" s="917"/>
      <c r="O1411" s="917"/>
      <c r="P1411" s="917"/>
      <c r="Q1411" s="578"/>
      <c r="R1411" s="578"/>
      <c r="S1411" s="578"/>
      <c r="T1411" s="578"/>
      <c r="U1411" s="578"/>
      <c r="V1411" s="578"/>
      <c r="W1411" s="578"/>
      <c r="X1411" s="578"/>
      <c r="Y1411" s="578"/>
      <c r="Z1411" s="578"/>
    </row>
    <row r="1412" spans="1:26" ht="18.75">
      <c r="A1412" s="682"/>
      <c r="B1412" s="682"/>
      <c r="C1412" s="682"/>
      <c r="D1412" s="914"/>
      <c r="E1412" s="682"/>
      <c r="F1412" s="682"/>
      <c r="G1412" s="682"/>
      <c r="H1412" s="915"/>
      <c r="I1412" s="916"/>
      <c r="J1412" s="916"/>
      <c r="K1412" s="917"/>
      <c r="L1412" s="917"/>
      <c r="M1412" s="917"/>
      <c r="N1412" s="917"/>
      <c r="O1412" s="917"/>
      <c r="P1412" s="917"/>
      <c r="Q1412" s="578"/>
      <c r="R1412" s="578"/>
      <c r="S1412" s="578"/>
      <c r="T1412" s="578"/>
      <c r="U1412" s="578"/>
      <c r="V1412" s="578"/>
      <c r="W1412" s="578"/>
      <c r="X1412" s="578"/>
      <c r="Y1412" s="578"/>
      <c r="Z1412" s="578"/>
    </row>
    <row r="1413" spans="1:26" ht="18.75">
      <c r="A1413" s="682"/>
      <c r="B1413" s="682"/>
      <c r="C1413" s="682"/>
      <c r="D1413" s="914"/>
      <c r="E1413" s="682"/>
      <c r="F1413" s="682"/>
      <c r="G1413" s="682"/>
      <c r="H1413" s="915"/>
      <c r="I1413" s="916"/>
      <c r="J1413" s="916"/>
      <c r="K1413" s="917"/>
      <c r="L1413" s="917"/>
      <c r="M1413" s="917"/>
      <c r="N1413" s="917"/>
      <c r="O1413" s="917"/>
      <c r="P1413" s="917"/>
      <c r="Q1413" s="578"/>
      <c r="R1413" s="578"/>
      <c r="S1413" s="578"/>
      <c r="T1413" s="578"/>
      <c r="U1413" s="578"/>
      <c r="V1413" s="578"/>
      <c r="W1413" s="578"/>
      <c r="X1413" s="578"/>
      <c r="Y1413" s="578"/>
      <c r="Z1413" s="578"/>
    </row>
    <row r="1414" spans="1:26" ht="18.75">
      <c r="A1414" s="682"/>
      <c r="B1414" s="682"/>
      <c r="C1414" s="682"/>
      <c r="D1414" s="914"/>
      <c r="E1414" s="682"/>
      <c r="F1414" s="682"/>
      <c r="G1414" s="682"/>
      <c r="H1414" s="915"/>
      <c r="I1414" s="916"/>
      <c r="J1414" s="916"/>
      <c r="K1414" s="917"/>
      <c r="L1414" s="917"/>
      <c r="M1414" s="917"/>
      <c r="N1414" s="917"/>
      <c r="O1414" s="917"/>
      <c r="P1414" s="917"/>
      <c r="Q1414" s="578"/>
      <c r="R1414" s="578"/>
      <c r="S1414" s="578"/>
      <c r="T1414" s="578"/>
      <c r="U1414" s="578"/>
      <c r="V1414" s="578"/>
      <c r="W1414" s="578"/>
      <c r="X1414" s="578"/>
      <c r="Y1414" s="578"/>
      <c r="Z1414" s="578"/>
    </row>
    <row r="1415" spans="1:26" ht="18.75">
      <c r="A1415" s="682"/>
      <c r="B1415" s="682"/>
      <c r="C1415" s="682"/>
      <c r="D1415" s="914"/>
      <c r="E1415" s="682"/>
      <c r="F1415" s="682"/>
      <c r="G1415" s="682"/>
      <c r="H1415" s="915"/>
      <c r="I1415" s="916"/>
      <c r="J1415" s="916"/>
      <c r="K1415" s="917"/>
      <c r="L1415" s="917"/>
      <c r="M1415" s="917"/>
      <c r="N1415" s="917"/>
      <c r="O1415" s="917"/>
      <c r="P1415" s="917"/>
      <c r="Q1415" s="578"/>
      <c r="R1415" s="578"/>
      <c r="S1415" s="578"/>
      <c r="T1415" s="578"/>
      <c r="U1415" s="578"/>
      <c r="V1415" s="578"/>
      <c r="W1415" s="578"/>
      <c r="X1415" s="578"/>
      <c r="Y1415" s="578"/>
      <c r="Z1415" s="578"/>
    </row>
    <row r="1416" spans="1:26" ht="18.75">
      <c r="A1416" s="682"/>
      <c r="B1416" s="682"/>
      <c r="C1416" s="682"/>
      <c r="D1416" s="914"/>
      <c r="E1416" s="682"/>
      <c r="F1416" s="682"/>
      <c r="G1416" s="682"/>
      <c r="H1416" s="915"/>
      <c r="I1416" s="916"/>
      <c r="J1416" s="916"/>
      <c r="K1416" s="917"/>
      <c r="L1416" s="917"/>
      <c r="M1416" s="917"/>
      <c r="N1416" s="917"/>
      <c r="O1416" s="917"/>
      <c r="P1416" s="917"/>
      <c r="Q1416" s="578"/>
      <c r="R1416" s="578"/>
      <c r="S1416" s="578"/>
      <c r="T1416" s="578"/>
      <c r="U1416" s="578"/>
      <c r="V1416" s="578"/>
      <c r="W1416" s="578"/>
      <c r="X1416" s="578"/>
      <c r="Y1416" s="578"/>
      <c r="Z1416" s="578"/>
    </row>
    <row r="1417" spans="1:26" ht="18.75">
      <c r="A1417" s="682"/>
      <c r="B1417" s="682"/>
      <c r="C1417" s="682"/>
      <c r="D1417" s="914"/>
      <c r="E1417" s="682"/>
      <c r="F1417" s="682"/>
      <c r="G1417" s="682"/>
      <c r="H1417" s="915"/>
      <c r="I1417" s="916"/>
      <c r="J1417" s="916"/>
      <c r="K1417" s="917"/>
      <c r="L1417" s="917"/>
      <c r="M1417" s="917"/>
      <c r="N1417" s="917"/>
      <c r="O1417" s="917"/>
      <c r="P1417" s="917"/>
      <c r="Q1417" s="578"/>
      <c r="R1417" s="578"/>
      <c r="S1417" s="578"/>
      <c r="T1417" s="578"/>
      <c r="U1417" s="578"/>
      <c r="V1417" s="578"/>
      <c r="W1417" s="578"/>
      <c r="X1417" s="578"/>
      <c r="Y1417" s="578"/>
      <c r="Z1417" s="578"/>
    </row>
    <row r="1418" spans="1:26" ht="18.75">
      <c r="A1418" s="682"/>
      <c r="B1418" s="682"/>
      <c r="C1418" s="682"/>
      <c r="D1418" s="914"/>
      <c r="E1418" s="682"/>
      <c r="F1418" s="682"/>
      <c r="G1418" s="682"/>
      <c r="H1418" s="915"/>
      <c r="I1418" s="916"/>
      <c r="J1418" s="916"/>
      <c r="K1418" s="917"/>
      <c r="L1418" s="917"/>
      <c r="M1418" s="917"/>
      <c r="N1418" s="917"/>
      <c r="O1418" s="917"/>
      <c r="P1418" s="917"/>
      <c r="Q1418" s="578"/>
      <c r="R1418" s="578"/>
      <c r="S1418" s="578"/>
      <c r="T1418" s="578"/>
      <c r="U1418" s="578"/>
      <c r="V1418" s="578"/>
      <c r="W1418" s="578"/>
      <c r="X1418" s="578"/>
      <c r="Y1418" s="578"/>
      <c r="Z1418" s="578"/>
    </row>
    <row r="1419" spans="1:26" ht="18.75">
      <c r="A1419" s="682"/>
      <c r="B1419" s="682"/>
      <c r="C1419" s="682"/>
      <c r="D1419" s="914"/>
      <c r="E1419" s="682"/>
      <c r="F1419" s="682"/>
      <c r="G1419" s="682"/>
      <c r="H1419" s="915"/>
      <c r="I1419" s="916"/>
      <c r="J1419" s="916"/>
      <c r="K1419" s="917"/>
      <c r="L1419" s="917"/>
      <c r="M1419" s="917"/>
      <c r="N1419" s="917"/>
      <c r="O1419" s="917"/>
      <c r="P1419" s="917"/>
      <c r="Q1419" s="578"/>
      <c r="R1419" s="578"/>
      <c r="S1419" s="578"/>
      <c r="T1419" s="578"/>
      <c r="U1419" s="578"/>
      <c r="V1419" s="578"/>
      <c r="W1419" s="578"/>
      <c r="X1419" s="578"/>
      <c r="Y1419" s="578"/>
      <c r="Z1419" s="578"/>
    </row>
    <row r="1420" spans="1:26" ht="18.75">
      <c r="A1420" s="682"/>
      <c r="B1420" s="682"/>
      <c r="C1420" s="682"/>
      <c r="D1420" s="914"/>
      <c r="E1420" s="682"/>
      <c r="F1420" s="682"/>
      <c r="G1420" s="682"/>
      <c r="H1420" s="915"/>
      <c r="I1420" s="916"/>
      <c r="J1420" s="916"/>
      <c r="K1420" s="917"/>
      <c r="L1420" s="917"/>
      <c r="M1420" s="917"/>
      <c r="N1420" s="917"/>
      <c r="O1420" s="917"/>
      <c r="P1420" s="917"/>
      <c r="Q1420" s="578"/>
      <c r="R1420" s="578"/>
      <c r="S1420" s="578"/>
      <c r="T1420" s="578"/>
      <c r="U1420" s="578"/>
      <c r="V1420" s="578"/>
      <c r="W1420" s="578"/>
      <c r="X1420" s="578"/>
      <c r="Y1420" s="578"/>
      <c r="Z1420" s="578"/>
    </row>
    <row r="1421" spans="1:26" ht="18.75">
      <c r="A1421" s="682"/>
      <c r="B1421" s="682"/>
      <c r="C1421" s="682"/>
      <c r="D1421" s="914"/>
      <c r="E1421" s="682"/>
      <c r="F1421" s="682"/>
      <c r="G1421" s="682"/>
      <c r="H1421" s="915"/>
      <c r="I1421" s="916"/>
      <c r="J1421" s="916"/>
      <c r="K1421" s="917"/>
      <c r="L1421" s="917"/>
      <c r="M1421" s="917"/>
      <c r="N1421" s="917"/>
      <c r="O1421" s="917"/>
      <c r="P1421" s="917"/>
      <c r="Q1421" s="578"/>
      <c r="R1421" s="578"/>
      <c r="S1421" s="578"/>
      <c r="T1421" s="578"/>
      <c r="U1421" s="578"/>
      <c r="V1421" s="578"/>
      <c r="W1421" s="578"/>
      <c r="X1421" s="578"/>
      <c r="Y1421" s="578"/>
      <c r="Z1421" s="578"/>
    </row>
    <row r="1422" spans="1:26" ht="18.75">
      <c r="A1422" s="682"/>
      <c r="B1422" s="682"/>
      <c r="C1422" s="682"/>
      <c r="D1422" s="914"/>
      <c r="E1422" s="682"/>
      <c r="F1422" s="682"/>
      <c r="G1422" s="682"/>
      <c r="H1422" s="915"/>
      <c r="I1422" s="916"/>
      <c r="J1422" s="916"/>
      <c r="K1422" s="917"/>
      <c r="L1422" s="917"/>
      <c r="M1422" s="917"/>
      <c r="N1422" s="917"/>
      <c r="O1422" s="917"/>
      <c r="P1422" s="917"/>
      <c r="Q1422" s="578"/>
      <c r="R1422" s="578"/>
      <c r="S1422" s="578"/>
      <c r="T1422" s="578"/>
      <c r="U1422" s="578"/>
      <c r="V1422" s="578"/>
      <c r="W1422" s="578"/>
      <c r="X1422" s="578"/>
      <c r="Y1422" s="578"/>
      <c r="Z1422" s="578"/>
    </row>
    <row r="1423" spans="1:26" ht="18.75">
      <c r="A1423" s="682"/>
      <c r="B1423" s="682"/>
      <c r="C1423" s="682"/>
      <c r="D1423" s="914"/>
      <c r="E1423" s="682"/>
      <c r="F1423" s="682"/>
      <c r="G1423" s="682"/>
      <c r="H1423" s="915"/>
      <c r="I1423" s="916"/>
      <c r="J1423" s="916"/>
      <c r="K1423" s="917"/>
      <c r="L1423" s="917"/>
      <c r="M1423" s="917"/>
      <c r="N1423" s="917"/>
      <c r="O1423" s="917"/>
      <c r="P1423" s="917"/>
      <c r="Q1423" s="578"/>
      <c r="R1423" s="578"/>
      <c r="S1423" s="578"/>
      <c r="T1423" s="578"/>
      <c r="U1423" s="578"/>
      <c r="V1423" s="578"/>
      <c r="W1423" s="578"/>
      <c r="X1423" s="578"/>
      <c r="Y1423" s="578"/>
      <c r="Z1423" s="578"/>
    </row>
    <row r="1424" spans="1:26" ht="18.75">
      <c r="A1424" s="682"/>
      <c r="B1424" s="682"/>
      <c r="C1424" s="682"/>
      <c r="D1424" s="914"/>
      <c r="E1424" s="682"/>
      <c r="F1424" s="682"/>
      <c r="G1424" s="682"/>
      <c r="H1424" s="915"/>
      <c r="I1424" s="916"/>
      <c r="J1424" s="916"/>
      <c r="K1424" s="917"/>
      <c r="L1424" s="917"/>
      <c r="M1424" s="917"/>
      <c r="N1424" s="917"/>
      <c r="O1424" s="917"/>
      <c r="P1424" s="917"/>
      <c r="Q1424" s="578"/>
      <c r="R1424" s="578"/>
      <c r="S1424" s="578"/>
      <c r="T1424" s="578"/>
      <c r="U1424" s="578"/>
      <c r="V1424" s="578"/>
      <c r="W1424" s="578"/>
      <c r="X1424" s="578"/>
      <c r="Y1424" s="578"/>
      <c r="Z1424" s="578"/>
    </row>
    <row r="1425" spans="1:26" ht="18.75">
      <c r="A1425" s="682"/>
      <c r="B1425" s="682"/>
      <c r="C1425" s="682"/>
      <c r="D1425" s="914"/>
      <c r="E1425" s="682"/>
      <c r="F1425" s="682"/>
      <c r="G1425" s="682"/>
      <c r="H1425" s="915"/>
      <c r="I1425" s="916"/>
      <c r="J1425" s="916"/>
      <c r="K1425" s="917"/>
      <c r="L1425" s="917"/>
      <c r="M1425" s="917"/>
      <c r="N1425" s="917"/>
      <c r="O1425" s="917"/>
      <c r="P1425" s="917"/>
      <c r="Q1425" s="578"/>
      <c r="R1425" s="578"/>
      <c r="S1425" s="578"/>
      <c r="T1425" s="578"/>
      <c r="U1425" s="578"/>
      <c r="V1425" s="578"/>
      <c r="W1425" s="578"/>
      <c r="X1425" s="578"/>
      <c r="Y1425" s="578"/>
      <c r="Z1425" s="578"/>
    </row>
    <row r="1426" spans="1:26" ht="18.75">
      <c r="A1426" s="682"/>
      <c r="B1426" s="682"/>
      <c r="C1426" s="682"/>
      <c r="D1426" s="914"/>
      <c r="E1426" s="682"/>
      <c r="F1426" s="682"/>
      <c r="G1426" s="682"/>
      <c r="H1426" s="915"/>
      <c r="I1426" s="916"/>
      <c r="J1426" s="916"/>
      <c r="K1426" s="917"/>
      <c r="L1426" s="917"/>
      <c r="M1426" s="917"/>
      <c r="N1426" s="917"/>
      <c r="O1426" s="917"/>
      <c r="P1426" s="917"/>
      <c r="Q1426" s="578"/>
      <c r="R1426" s="578"/>
      <c r="S1426" s="578"/>
      <c r="T1426" s="578"/>
      <c r="U1426" s="578"/>
      <c r="V1426" s="578"/>
      <c r="W1426" s="578"/>
      <c r="X1426" s="578"/>
      <c r="Y1426" s="578"/>
      <c r="Z1426" s="578"/>
    </row>
    <row r="1427" spans="1:26" ht="18.75">
      <c r="A1427" s="682"/>
      <c r="B1427" s="682"/>
      <c r="C1427" s="682"/>
      <c r="D1427" s="914"/>
      <c r="E1427" s="682"/>
      <c r="F1427" s="682"/>
      <c r="G1427" s="682"/>
      <c r="H1427" s="915"/>
      <c r="I1427" s="916"/>
      <c r="J1427" s="916"/>
      <c r="K1427" s="917"/>
      <c r="L1427" s="917"/>
      <c r="M1427" s="917"/>
      <c r="N1427" s="917"/>
      <c r="O1427" s="917"/>
      <c r="P1427" s="917"/>
      <c r="Q1427" s="578"/>
      <c r="R1427" s="578"/>
      <c r="S1427" s="578"/>
      <c r="T1427" s="578"/>
      <c r="U1427" s="578"/>
      <c r="V1427" s="578"/>
      <c r="W1427" s="578"/>
      <c r="X1427" s="578"/>
      <c r="Y1427" s="578"/>
      <c r="Z1427" s="578"/>
    </row>
    <row r="1428" spans="1:26" ht="18.75">
      <c r="A1428" s="682"/>
      <c r="B1428" s="682"/>
      <c r="C1428" s="682"/>
      <c r="D1428" s="914"/>
      <c r="E1428" s="682"/>
      <c r="F1428" s="682"/>
      <c r="G1428" s="682"/>
      <c r="H1428" s="915"/>
      <c r="I1428" s="916"/>
      <c r="J1428" s="916"/>
      <c r="K1428" s="917"/>
      <c r="L1428" s="917"/>
      <c r="M1428" s="917"/>
      <c r="N1428" s="917"/>
      <c r="O1428" s="917"/>
      <c r="P1428" s="917"/>
      <c r="Q1428" s="578"/>
      <c r="R1428" s="578"/>
      <c r="S1428" s="578"/>
      <c r="T1428" s="578"/>
      <c r="U1428" s="578"/>
      <c r="V1428" s="578"/>
      <c r="W1428" s="578"/>
      <c r="X1428" s="578"/>
      <c r="Y1428" s="578"/>
      <c r="Z1428" s="578"/>
    </row>
    <row r="1429" spans="1:26" ht="18.75">
      <c r="A1429" s="682"/>
      <c r="B1429" s="682"/>
      <c r="C1429" s="682"/>
      <c r="D1429" s="914"/>
      <c r="E1429" s="682"/>
      <c r="F1429" s="682"/>
      <c r="G1429" s="682"/>
      <c r="H1429" s="915"/>
      <c r="I1429" s="916"/>
      <c r="J1429" s="916"/>
      <c r="K1429" s="917"/>
      <c r="L1429" s="917"/>
      <c r="M1429" s="917"/>
      <c r="N1429" s="917"/>
      <c r="O1429" s="917"/>
      <c r="P1429" s="917"/>
      <c r="Q1429" s="578"/>
      <c r="R1429" s="578"/>
      <c r="S1429" s="578"/>
      <c r="T1429" s="578"/>
      <c r="U1429" s="578"/>
      <c r="V1429" s="578"/>
      <c r="W1429" s="578"/>
      <c r="X1429" s="578"/>
      <c r="Y1429" s="578"/>
      <c r="Z1429" s="578"/>
    </row>
    <row r="1430" spans="1:26" ht="18.75">
      <c r="A1430" s="682"/>
      <c r="B1430" s="682"/>
      <c r="C1430" s="682"/>
      <c r="D1430" s="914"/>
      <c r="E1430" s="682"/>
      <c r="F1430" s="682"/>
      <c r="G1430" s="682"/>
      <c r="H1430" s="915"/>
      <c r="I1430" s="916"/>
      <c r="J1430" s="916"/>
      <c r="K1430" s="917"/>
      <c r="L1430" s="917"/>
      <c r="M1430" s="917"/>
      <c r="N1430" s="917"/>
      <c r="O1430" s="917"/>
      <c r="P1430" s="917"/>
      <c r="Q1430" s="578"/>
      <c r="R1430" s="578"/>
      <c r="S1430" s="578"/>
      <c r="T1430" s="578"/>
      <c r="U1430" s="578"/>
      <c r="V1430" s="578"/>
      <c r="W1430" s="578"/>
      <c r="X1430" s="578"/>
      <c r="Y1430" s="578"/>
      <c r="Z1430" s="578"/>
    </row>
    <row r="1431" spans="1:26" ht="18.75">
      <c r="A1431" s="682"/>
      <c r="B1431" s="682"/>
      <c r="C1431" s="682"/>
      <c r="D1431" s="914"/>
      <c r="E1431" s="682"/>
      <c r="F1431" s="682"/>
      <c r="G1431" s="682"/>
      <c r="H1431" s="915"/>
      <c r="I1431" s="916"/>
      <c r="J1431" s="916"/>
      <c r="K1431" s="917"/>
      <c r="L1431" s="917"/>
      <c r="M1431" s="917"/>
      <c r="N1431" s="917"/>
      <c r="O1431" s="917"/>
      <c r="P1431" s="917"/>
      <c r="Q1431" s="578"/>
      <c r="R1431" s="578"/>
      <c r="S1431" s="578"/>
      <c r="T1431" s="578"/>
      <c r="U1431" s="578"/>
      <c r="V1431" s="578"/>
      <c r="W1431" s="578"/>
      <c r="X1431" s="578"/>
      <c r="Y1431" s="578"/>
      <c r="Z1431" s="578"/>
    </row>
    <row r="1432" spans="1:26" ht="18.75">
      <c r="A1432" s="682"/>
      <c r="B1432" s="682"/>
      <c r="C1432" s="682"/>
      <c r="D1432" s="914"/>
      <c r="E1432" s="682"/>
      <c r="F1432" s="682"/>
      <c r="G1432" s="682"/>
      <c r="H1432" s="915"/>
      <c r="I1432" s="916"/>
      <c r="J1432" s="916"/>
      <c r="K1432" s="917"/>
      <c r="L1432" s="917"/>
      <c r="M1432" s="917"/>
      <c r="N1432" s="917"/>
      <c r="O1432" s="917"/>
      <c r="P1432" s="917"/>
      <c r="Q1432" s="578"/>
      <c r="R1432" s="578"/>
      <c r="S1432" s="578"/>
      <c r="T1432" s="578"/>
      <c r="U1432" s="578"/>
      <c r="V1432" s="578"/>
      <c r="W1432" s="578"/>
      <c r="X1432" s="578"/>
      <c r="Y1432" s="578"/>
      <c r="Z1432" s="578"/>
    </row>
    <row r="1433" spans="1:26" ht="18.75">
      <c r="A1433" s="682"/>
      <c r="B1433" s="682"/>
      <c r="C1433" s="682"/>
      <c r="D1433" s="914"/>
      <c r="E1433" s="682"/>
      <c r="F1433" s="682"/>
      <c r="G1433" s="682"/>
      <c r="H1433" s="915"/>
      <c r="I1433" s="916"/>
      <c r="J1433" s="916"/>
      <c r="K1433" s="917"/>
      <c r="L1433" s="917"/>
      <c r="M1433" s="917"/>
      <c r="N1433" s="917"/>
      <c r="O1433" s="917"/>
      <c r="P1433" s="917"/>
      <c r="Q1433" s="578"/>
      <c r="R1433" s="578"/>
      <c r="S1433" s="578"/>
      <c r="T1433" s="578"/>
      <c r="U1433" s="578"/>
      <c r="V1433" s="578"/>
      <c r="W1433" s="578"/>
      <c r="X1433" s="578"/>
      <c r="Y1433" s="578"/>
      <c r="Z1433" s="578"/>
    </row>
    <row r="1434" spans="1:26" ht="18.75">
      <c r="A1434" s="682"/>
      <c r="B1434" s="682"/>
      <c r="C1434" s="682"/>
      <c r="D1434" s="914"/>
      <c r="E1434" s="682"/>
      <c r="F1434" s="682"/>
      <c r="G1434" s="682"/>
      <c r="H1434" s="915"/>
      <c r="I1434" s="916"/>
      <c r="J1434" s="916"/>
      <c r="K1434" s="917"/>
      <c r="L1434" s="917"/>
      <c r="M1434" s="917"/>
      <c r="N1434" s="917"/>
      <c r="O1434" s="917"/>
      <c r="P1434" s="917"/>
      <c r="Q1434" s="578"/>
      <c r="R1434" s="578"/>
      <c r="S1434" s="578"/>
      <c r="T1434" s="578"/>
      <c r="U1434" s="578"/>
      <c r="V1434" s="578"/>
      <c r="W1434" s="578"/>
      <c r="X1434" s="578"/>
      <c r="Y1434" s="578"/>
      <c r="Z1434" s="578"/>
    </row>
    <row r="1435" spans="1:26" ht="18.75">
      <c r="A1435" s="682"/>
      <c r="B1435" s="682"/>
      <c r="C1435" s="682"/>
      <c r="D1435" s="914"/>
      <c r="E1435" s="682"/>
      <c r="F1435" s="682"/>
      <c r="G1435" s="682"/>
      <c r="H1435" s="915"/>
      <c r="I1435" s="916"/>
      <c r="J1435" s="916"/>
      <c r="K1435" s="917"/>
      <c r="L1435" s="917"/>
      <c r="M1435" s="917"/>
      <c r="N1435" s="917"/>
      <c r="O1435" s="917"/>
      <c r="P1435" s="917"/>
      <c r="Q1435" s="578"/>
      <c r="R1435" s="578"/>
      <c r="S1435" s="578"/>
      <c r="T1435" s="578"/>
      <c r="U1435" s="578"/>
      <c r="V1435" s="578"/>
      <c r="W1435" s="578"/>
      <c r="X1435" s="578"/>
      <c r="Y1435" s="578"/>
      <c r="Z1435" s="578"/>
    </row>
    <row r="1436" spans="1:26" ht="18.75">
      <c r="A1436" s="682"/>
      <c r="B1436" s="682"/>
      <c r="C1436" s="682"/>
      <c r="D1436" s="914"/>
      <c r="E1436" s="682"/>
      <c r="F1436" s="682"/>
      <c r="G1436" s="682"/>
      <c r="H1436" s="915"/>
      <c r="I1436" s="916"/>
      <c r="J1436" s="916"/>
      <c r="K1436" s="917"/>
      <c r="L1436" s="917"/>
      <c r="M1436" s="917"/>
      <c r="N1436" s="917"/>
      <c r="O1436" s="917"/>
      <c r="P1436" s="917"/>
      <c r="Q1436" s="578"/>
      <c r="R1436" s="578"/>
      <c r="S1436" s="578"/>
      <c r="T1436" s="578"/>
      <c r="U1436" s="578"/>
      <c r="V1436" s="578"/>
      <c r="W1436" s="578"/>
      <c r="X1436" s="578"/>
      <c r="Y1436" s="578"/>
      <c r="Z1436" s="578"/>
    </row>
    <row r="1437" spans="1:26" ht="18.75">
      <c r="A1437" s="682"/>
      <c r="B1437" s="682"/>
      <c r="C1437" s="682"/>
      <c r="D1437" s="914"/>
      <c r="E1437" s="682"/>
      <c r="F1437" s="682"/>
      <c r="G1437" s="682"/>
      <c r="H1437" s="915"/>
      <c r="I1437" s="916"/>
      <c r="J1437" s="916"/>
      <c r="K1437" s="917"/>
      <c r="L1437" s="917"/>
      <c r="M1437" s="917"/>
      <c r="N1437" s="917"/>
      <c r="O1437" s="917"/>
      <c r="P1437" s="917"/>
      <c r="Q1437" s="578"/>
      <c r="R1437" s="578"/>
      <c r="S1437" s="578"/>
      <c r="T1437" s="578"/>
      <c r="U1437" s="578"/>
      <c r="V1437" s="578"/>
      <c r="W1437" s="578"/>
      <c r="X1437" s="578"/>
      <c r="Y1437" s="578"/>
      <c r="Z1437" s="578"/>
    </row>
    <row r="1438" spans="1:26" ht="18.75">
      <c r="A1438" s="682"/>
      <c r="B1438" s="682"/>
      <c r="C1438" s="682"/>
      <c r="D1438" s="914"/>
      <c r="E1438" s="682"/>
      <c r="F1438" s="682"/>
      <c r="G1438" s="682"/>
      <c r="H1438" s="915"/>
      <c r="I1438" s="916"/>
      <c r="J1438" s="916"/>
      <c r="K1438" s="917"/>
      <c r="L1438" s="917"/>
      <c r="M1438" s="917"/>
      <c r="N1438" s="917"/>
      <c r="O1438" s="917"/>
      <c r="P1438" s="917"/>
      <c r="Q1438" s="578"/>
      <c r="R1438" s="578"/>
      <c r="S1438" s="578"/>
      <c r="T1438" s="578"/>
      <c r="U1438" s="578"/>
      <c r="V1438" s="578"/>
      <c r="W1438" s="578"/>
      <c r="X1438" s="578"/>
      <c r="Y1438" s="578"/>
      <c r="Z1438" s="578"/>
    </row>
    <row r="1439" spans="1:26" ht="18.75">
      <c r="A1439" s="682"/>
      <c r="B1439" s="682"/>
      <c r="C1439" s="682"/>
      <c r="D1439" s="914"/>
      <c r="E1439" s="682"/>
      <c r="F1439" s="682"/>
      <c r="G1439" s="682"/>
      <c r="H1439" s="915"/>
      <c r="I1439" s="916"/>
      <c r="J1439" s="916"/>
      <c r="K1439" s="917"/>
      <c r="L1439" s="917"/>
      <c r="M1439" s="917"/>
      <c r="N1439" s="917"/>
      <c r="O1439" s="917"/>
      <c r="P1439" s="917"/>
      <c r="Q1439" s="578"/>
      <c r="R1439" s="578"/>
      <c r="S1439" s="578"/>
      <c r="T1439" s="578"/>
      <c r="U1439" s="578"/>
      <c r="V1439" s="578"/>
      <c r="W1439" s="578"/>
      <c r="X1439" s="578"/>
      <c r="Y1439" s="578"/>
      <c r="Z1439" s="578"/>
    </row>
    <row r="1440" spans="1:26" ht="18.75">
      <c r="A1440" s="682"/>
      <c r="B1440" s="682"/>
      <c r="C1440" s="682"/>
      <c r="D1440" s="914"/>
      <c r="E1440" s="682"/>
      <c r="F1440" s="682"/>
      <c r="G1440" s="682"/>
      <c r="H1440" s="915"/>
      <c r="I1440" s="916"/>
      <c r="J1440" s="916"/>
      <c r="K1440" s="917"/>
      <c r="L1440" s="917"/>
      <c r="M1440" s="917"/>
      <c r="N1440" s="917"/>
      <c r="O1440" s="917"/>
      <c r="P1440" s="917"/>
      <c r="Q1440" s="578"/>
      <c r="R1440" s="578"/>
      <c r="S1440" s="578"/>
      <c r="T1440" s="578"/>
      <c r="U1440" s="578"/>
      <c r="V1440" s="578"/>
      <c r="W1440" s="578"/>
      <c r="X1440" s="578"/>
      <c r="Y1440" s="578"/>
      <c r="Z1440" s="578"/>
    </row>
    <row r="1441" spans="1:26" ht="18.75">
      <c r="A1441" s="682"/>
      <c r="B1441" s="682"/>
      <c r="C1441" s="682"/>
      <c r="D1441" s="914"/>
      <c r="E1441" s="682"/>
      <c r="F1441" s="682"/>
      <c r="G1441" s="682"/>
      <c r="H1441" s="915"/>
      <c r="I1441" s="916"/>
      <c r="J1441" s="916"/>
      <c r="K1441" s="917"/>
      <c r="L1441" s="917"/>
      <c r="M1441" s="917"/>
      <c r="N1441" s="917"/>
      <c r="O1441" s="917"/>
      <c r="P1441" s="917"/>
      <c r="Q1441" s="578"/>
      <c r="R1441" s="578"/>
      <c r="S1441" s="578"/>
      <c r="T1441" s="578"/>
      <c r="U1441" s="578"/>
      <c r="V1441" s="578"/>
      <c r="W1441" s="578"/>
      <c r="X1441" s="578"/>
      <c r="Y1441" s="578"/>
      <c r="Z1441" s="578"/>
    </row>
    <row r="1442" spans="1:26" ht="18.75">
      <c r="A1442" s="682"/>
      <c r="B1442" s="682"/>
      <c r="C1442" s="682"/>
      <c r="D1442" s="914"/>
      <c r="E1442" s="682"/>
      <c r="F1442" s="682"/>
      <c r="G1442" s="682"/>
      <c r="H1442" s="915"/>
      <c r="I1442" s="916"/>
      <c r="J1442" s="916"/>
      <c r="K1442" s="917"/>
      <c r="L1442" s="917"/>
      <c r="M1442" s="917"/>
      <c r="N1442" s="917"/>
      <c r="O1442" s="917"/>
      <c r="P1442" s="917"/>
      <c r="Q1442" s="578"/>
      <c r="R1442" s="578"/>
      <c r="S1442" s="578"/>
      <c r="T1442" s="578"/>
      <c r="U1442" s="578"/>
      <c r="V1442" s="578"/>
      <c r="W1442" s="578"/>
      <c r="X1442" s="578"/>
      <c r="Y1442" s="578"/>
      <c r="Z1442" s="578"/>
    </row>
    <row r="1443" spans="1:26" ht="18.75">
      <c r="A1443" s="682"/>
      <c r="B1443" s="682"/>
      <c r="C1443" s="682"/>
      <c r="D1443" s="914"/>
      <c r="E1443" s="682"/>
      <c r="F1443" s="682"/>
      <c r="G1443" s="682"/>
      <c r="H1443" s="915"/>
      <c r="I1443" s="916"/>
      <c r="J1443" s="916"/>
      <c r="K1443" s="917"/>
      <c r="L1443" s="917"/>
      <c r="M1443" s="917"/>
      <c r="N1443" s="917"/>
      <c r="O1443" s="917"/>
      <c r="P1443" s="917"/>
      <c r="Q1443" s="578"/>
      <c r="R1443" s="578"/>
      <c r="S1443" s="578"/>
      <c r="T1443" s="578"/>
      <c r="U1443" s="578"/>
      <c r="V1443" s="578"/>
      <c r="W1443" s="578"/>
      <c r="X1443" s="578"/>
      <c r="Y1443" s="578"/>
      <c r="Z1443" s="578"/>
    </row>
    <row r="1444" spans="1:26" ht="18.75">
      <c r="A1444" s="682"/>
      <c r="B1444" s="682"/>
      <c r="C1444" s="682"/>
      <c r="D1444" s="914"/>
      <c r="E1444" s="682"/>
      <c r="F1444" s="682"/>
      <c r="G1444" s="682"/>
      <c r="H1444" s="915"/>
      <c r="I1444" s="916"/>
      <c r="J1444" s="916"/>
      <c r="K1444" s="917"/>
      <c r="L1444" s="917"/>
      <c r="M1444" s="917"/>
      <c r="N1444" s="917"/>
      <c r="O1444" s="917"/>
      <c r="P1444" s="917"/>
      <c r="Q1444" s="578"/>
      <c r="R1444" s="578"/>
      <c r="S1444" s="578"/>
      <c r="T1444" s="578"/>
      <c r="U1444" s="578"/>
      <c r="V1444" s="578"/>
      <c r="W1444" s="578"/>
      <c r="X1444" s="578"/>
      <c r="Y1444" s="578"/>
      <c r="Z1444" s="578"/>
    </row>
    <row r="1445" spans="1:26" ht="18.75">
      <c r="A1445" s="682"/>
      <c r="B1445" s="682"/>
      <c r="C1445" s="682"/>
      <c r="D1445" s="914"/>
      <c r="E1445" s="682"/>
      <c r="F1445" s="682"/>
      <c r="G1445" s="682"/>
      <c r="H1445" s="915"/>
      <c r="I1445" s="916"/>
      <c r="J1445" s="916"/>
      <c r="K1445" s="917"/>
      <c r="L1445" s="917"/>
      <c r="M1445" s="917"/>
      <c r="N1445" s="917"/>
      <c r="O1445" s="917"/>
      <c r="P1445" s="917"/>
      <c r="Q1445" s="578"/>
      <c r="R1445" s="578"/>
      <c r="S1445" s="578"/>
      <c r="T1445" s="578"/>
      <c r="U1445" s="578"/>
      <c r="V1445" s="578"/>
      <c r="W1445" s="578"/>
      <c r="X1445" s="578"/>
      <c r="Y1445" s="578"/>
      <c r="Z1445" s="578"/>
    </row>
    <row r="1446" spans="1:26" ht="18.75">
      <c r="A1446" s="682"/>
      <c r="B1446" s="682"/>
      <c r="C1446" s="682"/>
      <c r="D1446" s="914"/>
      <c r="E1446" s="682"/>
      <c r="F1446" s="682"/>
      <c r="G1446" s="682"/>
      <c r="H1446" s="915"/>
      <c r="I1446" s="916"/>
      <c r="J1446" s="916"/>
      <c r="K1446" s="917"/>
      <c r="L1446" s="917"/>
      <c r="M1446" s="917"/>
      <c r="N1446" s="917"/>
      <c r="O1446" s="917"/>
      <c r="P1446" s="917"/>
      <c r="Q1446" s="578"/>
      <c r="R1446" s="578"/>
      <c r="S1446" s="578"/>
      <c r="T1446" s="578"/>
      <c r="U1446" s="578"/>
      <c r="V1446" s="578"/>
      <c r="W1446" s="578"/>
      <c r="X1446" s="578"/>
      <c r="Y1446" s="578"/>
      <c r="Z1446" s="578"/>
    </row>
    <row r="1447" spans="1:26" ht="18.75">
      <c r="A1447" s="682"/>
      <c r="B1447" s="682"/>
      <c r="C1447" s="682"/>
      <c r="D1447" s="914"/>
      <c r="E1447" s="682"/>
      <c r="F1447" s="682"/>
      <c r="G1447" s="682"/>
      <c r="H1447" s="915"/>
      <c r="I1447" s="916"/>
      <c r="J1447" s="916"/>
      <c r="K1447" s="917"/>
      <c r="L1447" s="917"/>
      <c r="M1447" s="917"/>
      <c r="N1447" s="917"/>
      <c r="O1447" s="917"/>
      <c r="P1447" s="917"/>
      <c r="Q1447" s="578"/>
      <c r="R1447" s="578"/>
      <c r="S1447" s="578"/>
      <c r="T1447" s="578"/>
      <c r="U1447" s="578"/>
      <c r="V1447" s="578"/>
      <c r="W1447" s="578"/>
      <c r="X1447" s="578"/>
      <c r="Y1447" s="578"/>
      <c r="Z1447" s="578"/>
    </row>
    <row r="1448" spans="1:26" ht="18.75">
      <c r="A1448" s="682"/>
      <c r="B1448" s="682"/>
      <c r="C1448" s="682"/>
      <c r="D1448" s="914"/>
      <c r="E1448" s="682"/>
      <c r="F1448" s="682"/>
      <c r="G1448" s="682"/>
      <c r="H1448" s="915"/>
      <c r="I1448" s="916"/>
      <c r="J1448" s="916"/>
      <c r="K1448" s="917"/>
      <c r="L1448" s="917"/>
      <c r="M1448" s="917"/>
      <c r="N1448" s="917"/>
      <c r="O1448" s="917"/>
      <c r="P1448" s="917"/>
      <c r="Q1448" s="578"/>
      <c r="R1448" s="578"/>
      <c r="S1448" s="578"/>
      <c r="T1448" s="578"/>
      <c r="U1448" s="578"/>
      <c r="V1448" s="578"/>
      <c r="W1448" s="578"/>
      <c r="X1448" s="578"/>
      <c r="Y1448" s="578"/>
      <c r="Z1448" s="578"/>
    </row>
    <row r="1449" spans="1:26" ht="18.75">
      <c r="A1449" s="682"/>
      <c r="B1449" s="682"/>
      <c r="C1449" s="682"/>
      <c r="D1449" s="914"/>
      <c r="E1449" s="682"/>
      <c r="F1449" s="682"/>
      <c r="G1449" s="682"/>
      <c r="H1449" s="915"/>
      <c r="I1449" s="916"/>
      <c r="J1449" s="916"/>
      <c r="K1449" s="917"/>
      <c r="L1449" s="917"/>
      <c r="M1449" s="917"/>
      <c r="N1449" s="917"/>
      <c r="O1449" s="917"/>
      <c r="P1449" s="917"/>
      <c r="Q1449" s="578"/>
      <c r="R1449" s="578"/>
      <c r="S1449" s="578"/>
      <c r="T1449" s="578"/>
      <c r="U1449" s="578"/>
      <c r="V1449" s="578"/>
      <c r="W1449" s="578"/>
      <c r="X1449" s="578"/>
      <c r="Y1449" s="578"/>
      <c r="Z1449" s="578"/>
    </row>
    <row r="1450" spans="1:26" ht="18.75">
      <c r="A1450" s="682"/>
      <c r="B1450" s="682"/>
      <c r="C1450" s="682"/>
      <c r="D1450" s="914"/>
      <c r="E1450" s="682"/>
      <c r="F1450" s="682"/>
      <c r="G1450" s="682"/>
      <c r="H1450" s="915"/>
      <c r="I1450" s="916"/>
      <c r="J1450" s="916"/>
      <c r="K1450" s="917"/>
      <c r="L1450" s="917"/>
      <c r="M1450" s="917"/>
      <c r="N1450" s="917"/>
      <c r="O1450" s="917"/>
      <c r="P1450" s="917"/>
      <c r="Q1450" s="578"/>
      <c r="R1450" s="578"/>
      <c r="S1450" s="578"/>
      <c r="T1450" s="578"/>
      <c r="U1450" s="578"/>
      <c r="V1450" s="578"/>
      <c r="W1450" s="578"/>
      <c r="X1450" s="578"/>
      <c r="Y1450" s="578"/>
      <c r="Z1450" s="578"/>
    </row>
    <row r="1451" spans="1:26" ht="18.75">
      <c r="A1451" s="682"/>
      <c r="B1451" s="682"/>
      <c r="C1451" s="682"/>
      <c r="D1451" s="914"/>
      <c r="E1451" s="682"/>
      <c r="F1451" s="682"/>
      <c r="G1451" s="682"/>
      <c r="H1451" s="915"/>
      <c r="I1451" s="916"/>
      <c r="J1451" s="916"/>
      <c r="K1451" s="917"/>
      <c r="L1451" s="917"/>
      <c r="M1451" s="917"/>
      <c r="N1451" s="917"/>
      <c r="O1451" s="917"/>
      <c r="P1451" s="917"/>
      <c r="Q1451" s="578"/>
      <c r="R1451" s="578"/>
      <c r="S1451" s="578"/>
      <c r="T1451" s="578"/>
      <c r="U1451" s="578"/>
      <c r="V1451" s="578"/>
      <c r="W1451" s="578"/>
      <c r="X1451" s="578"/>
      <c r="Y1451" s="578"/>
      <c r="Z1451" s="578"/>
    </row>
    <row r="1452" spans="1:26" ht="18.75">
      <c r="A1452" s="682"/>
      <c r="B1452" s="682"/>
      <c r="C1452" s="682"/>
      <c r="D1452" s="914"/>
      <c r="E1452" s="682"/>
      <c r="F1452" s="682"/>
      <c r="G1452" s="682"/>
      <c r="H1452" s="915"/>
      <c r="I1452" s="916"/>
      <c r="J1452" s="916"/>
      <c r="K1452" s="917"/>
      <c r="L1452" s="917"/>
      <c r="M1452" s="917"/>
      <c r="N1452" s="917"/>
      <c r="O1452" s="917"/>
      <c r="P1452" s="917"/>
      <c r="Q1452" s="578"/>
      <c r="R1452" s="578"/>
      <c r="S1452" s="578"/>
      <c r="T1452" s="578"/>
      <c r="U1452" s="578"/>
      <c r="V1452" s="578"/>
      <c r="W1452" s="578"/>
      <c r="X1452" s="578"/>
      <c r="Y1452" s="578"/>
      <c r="Z1452" s="578"/>
    </row>
    <row r="1453" spans="1:26" ht="18.75">
      <c r="A1453" s="682"/>
      <c r="B1453" s="682"/>
      <c r="C1453" s="682"/>
      <c r="D1453" s="914"/>
      <c r="E1453" s="682"/>
      <c r="F1453" s="682"/>
      <c r="G1453" s="682"/>
      <c r="H1453" s="915"/>
      <c r="I1453" s="916"/>
      <c r="J1453" s="916"/>
      <c r="K1453" s="917"/>
      <c r="L1453" s="917"/>
      <c r="M1453" s="917"/>
      <c r="N1453" s="917"/>
      <c r="O1453" s="917"/>
      <c r="P1453" s="917"/>
      <c r="Q1453" s="578"/>
      <c r="R1453" s="578"/>
      <c r="S1453" s="578"/>
      <c r="T1453" s="578"/>
      <c r="U1453" s="578"/>
      <c r="V1453" s="578"/>
      <c r="W1453" s="578"/>
      <c r="X1453" s="578"/>
      <c r="Y1453" s="578"/>
      <c r="Z1453" s="578"/>
    </row>
    <row r="1454" spans="1:26" ht="18.75">
      <c r="A1454" s="682"/>
      <c r="B1454" s="682"/>
      <c r="C1454" s="682"/>
      <c r="D1454" s="914"/>
      <c r="E1454" s="682"/>
      <c r="F1454" s="682"/>
      <c r="G1454" s="682"/>
      <c r="H1454" s="915"/>
      <c r="I1454" s="916"/>
      <c r="J1454" s="916"/>
      <c r="K1454" s="917"/>
      <c r="L1454" s="917"/>
      <c r="M1454" s="917"/>
      <c r="N1454" s="917"/>
      <c r="O1454" s="917"/>
      <c r="P1454" s="917"/>
      <c r="Q1454" s="578"/>
      <c r="R1454" s="578"/>
      <c r="S1454" s="578"/>
      <c r="T1454" s="578"/>
      <c r="U1454" s="578"/>
      <c r="V1454" s="578"/>
      <c r="W1454" s="578"/>
      <c r="X1454" s="578"/>
      <c r="Y1454" s="578"/>
      <c r="Z1454" s="578"/>
    </row>
    <row r="1455" spans="1:26" ht="18.75">
      <c r="A1455" s="682"/>
      <c r="B1455" s="682"/>
      <c r="C1455" s="682"/>
      <c r="D1455" s="914"/>
      <c r="E1455" s="682"/>
      <c r="F1455" s="682"/>
      <c r="G1455" s="682"/>
      <c r="H1455" s="915"/>
      <c r="I1455" s="916"/>
      <c r="J1455" s="916"/>
      <c r="K1455" s="917"/>
      <c r="L1455" s="917"/>
      <c r="M1455" s="917"/>
      <c r="N1455" s="917"/>
      <c r="O1455" s="917"/>
      <c r="P1455" s="917"/>
      <c r="Q1455" s="578"/>
      <c r="R1455" s="578"/>
      <c r="S1455" s="578"/>
      <c r="T1455" s="578"/>
      <c r="U1455" s="578"/>
      <c r="V1455" s="578"/>
      <c r="W1455" s="578"/>
      <c r="X1455" s="578"/>
      <c r="Y1455" s="578"/>
      <c r="Z1455" s="578"/>
    </row>
    <row r="1456" spans="1:26" ht="18.75">
      <c r="A1456" s="682"/>
      <c r="B1456" s="682"/>
      <c r="C1456" s="682"/>
      <c r="D1456" s="914"/>
      <c r="E1456" s="682"/>
      <c r="F1456" s="682"/>
      <c r="G1456" s="682"/>
      <c r="H1456" s="915"/>
      <c r="I1456" s="916"/>
      <c r="J1456" s="916"/>
      <c r="K1456" s="917"/>
      <c r="L1456" s="917"/>
      <c r="M1456" s="917"/>
      <c r="N1456" s="917"/>
      <c r="O1456" s="917"/>
      <c r="P1456" s="917"/>
      <c r="Q1456" s="578"/>
      <c r="R1456" s="578"/>
      <c r="S1456" s="578"/>
      <c r="T1456" s="578"/>
      <c r="U1456" s="578"/>
      <c r="V1456" s="578"/>
      <c r="W1456" s="578"/>
      <c r="X1456" s="578"/>
      <c r="Y1456" s="578"/>
      <c r="Z1456" s="578"/>
    </row>
    <row r="1457" spans="1:26" ht="18.75">
      <c r="A1457" s="682"/>
      <c r="B1457" s="682"/>
      <c r="C1457" s="682"/>
      <c r="D1457" s="914"/>
      <c r="E1457" s="682"/>
      <c r="F1457" s="682"/>
      <c r="G1457" s="682"/>
      <c r="H1457" s="915"/>
      <c r="I1457" s="916"/>
      <c r="J1457" s="916"/>
      <c r="K1457" s="917"/>
      <c r="L1457" s="917"/>
      <c r="M1457" s="917"/>
      <c r="N1457" s="917"/>
      <c r="O1457" s="917"/>
      <c r="P1457" s="917"/>
      <c r="Q1457" s="578"/>
      <c r="R1457" s="578"/>
      <c r="S1457" s="578"/>
      <c r="T1457" s="578"/>
      <c r="U1457" s="578"/>
      <c r="V1457" s="578"/>
      <c r="W1457" s="578"/>
      <c r="X1457" s="578"/>
      <c r="Y1457" s="578"/>
      <c r="Z1457" s="578"/>
    </row>
    <row r="1458" spans="1:26" ht="18.75">
      <c r="A1458" s="682"/>
      <c r="B1458" s="682"/>
      <c r="C1458" s="682"/>
      <c r="D1458" s="914"/>
      <c r="E1458" s="682"/>
      <c r="F1458" s="682"/>
      <c r="G1458" s="682"/>
      <c r="H1458" s="915"/>
      <c r="I1458" s="916"/>
      <c r="J1458" s="916"/>
      <c r="K1458" s="917"/>
      <c r="L1458" s="917"/>
      <c r="M1458" s="917"/>
      <c r="N1458" s="917"/>
      <c r="O1458" s="917"/>
      <c r="P1458" s="917"/>
      <c r="Q1458" s="578"/>
      <c r="R1458" s="578"/>
      <c r="S1458" s="578"/>
      <c r="T1458" s="578"/>
      <c r="U1458" s="578"/>
      <c r="V1458" s="578"/>
      <c r="W1458" s="578"/>
      <c r="X1458" s="578"/>
      <c r="Y1458" s="578"/>
      <c r="Z1458" s="578"/>
    </row>
    <row r="1459" spans="1:26" ht="18.75">
      <c r="A1459" s="682"/>
      <c r="B1459" s="682"/>
      <c r="C1459" s="682"/>
      <c r="D1459" s="914"/>
      <c r="E1459" s="682"/>
      <c r="F1459" s="682"/>
      <c r="G1459" s="682"/>
      <c r="H1459" s="915"/>
      <c r="I1459" s="916"/>
      <c r="J1459" s="916"/>
      <c r="K1459" s="917"/>
      <c r="L1459" s="917"/>
      <c r="M1459" s="917"/>
      <c r="N1459" s="917"/>
      <c r="O1459" s="917"/>
      <c r="P1459" s="917"/>
      <c r="Q1459" s="578"/>
      <c r="R1459" s="578"/>
      <c r="S1459" s="578"/>
      <c r="T1459" s="578"/>
      <c r="U1459" s="578"/>
      <c r="V1459" s="578"/>
      <c r="W1459" s="578"/>
      <c r="X1459" s="578"/>
      <c r="Y1459" s="578"/>
      <c r="Z1459" s="578"/>
    </row>
    <row r="1460" spans="1:26" ht="18.75">
      <c r="A1460" s="682"/>
      <c r="B1460" s="682"/>
      <c r="C1460" s="682"/>
      <c r="D1460" s="914"/>
      <c r="E1460" s="682"/>
      <c r="F1460" s="682"/>
      <c r="G1460" s="682"/>
      <c r="H1460" s="915"/>
      <c r="I1460" s="916"/>
      <c r="J1460" s="916"/>
      <c r="K1460" s="917"/>
      <c r="L1460" s="917"/>
      <c r="M1460" s="917"/>
      <c r="N1460" s="917"/>
      <c r="O1460" s="917"/>
      <c r="P1460" s="917"/>
      <c r="Q1460" s="578"/>
      <c r="R1460" s="578"/>
      <c r="S1460" s="578"/>
      <c r="T1460" s="578"/>
      <c r="U1460" s="578"/>
      <c r="V1460" s="578"/>
      <c r="W1460" s="578"/>
      <c r="X1460" s="578"/>
      <c r="Y1460" s="578"/>
      <c r="Z1460" s="578"/>
    </row>
    <row r="1461" spans="1:26" ht="18.75">
      <c r="A1461" s="682"/>
      <c r="B1461" s="682"/>
      <c r="C1461" s="682"/>
      <c r="D1461" s="914"/>
      <c r="E1461" s="682"/>
      <c r="F1461" s="682"/>
      <c r="G1461" s="682"/>
      <c r="H1461" s="915"/>
      <c r="I1461" s="916"/>
      <c r="J1461" s="916"/>
      <c r="K1461" s="917"/>
      <c r="L1461" s="917"/>
      <c r="M1461" s="917"/>
      <c r="N1461" s="917"/>
      <c r="O1461" s="917"/>
      <c r="P1461" s="917"/>
      <c r="Q1461" s="578"/>
      <c r="R1461" s="578"/>
      <c r="S1461" s="578"/>
      <c r="T1461" s="578"/>
      <c r="U1461" s="578"/>
      <c r="V1461" s="578"/>
      <c r="W1461" s="578"/>
      <c r="X1461" s="578"/>
      <c r="Y1461" s="578"/>
      <c r="Z1461" s="578"/>
    </row>
    <row r="1462" spans="1:26" ht="18.75">
      <c r="A1462" s="682"/>
      <c r="B1462" s="682"/>
      <c r="C1462" s="682"/>
      <c r="D1462" s="914"/>
      <c r="E1462" s="682"/>
      <c r="F1462" s="682"/>
      <c r="G1462" s="682"/>
      <c r="H1462" s="915"/>
      <c r="I1462" s="916"/>
      <c r="J1462" s="916"/>
      <c r="K1462" s="917"/>
      <c r="L1462" s="917"/>
      <c r="M1462" s="917"/>
      <c r="N1462" s="917"/>
      <c r="O1462" s="917"/>
      <c r="P1462" s="917"/>
      <c r="Q1462" s="578"/>
      <c r="R1462" s="578"/>
      <c r="S1462" s="578"/>
      <c r="T1462" s="578"/>
      <c r="U1462" s="578"/>
      <c r="V1462" s="578"/>
      <c r="W1462" s="578"/>
      <c r="X1462" s="578"/>
      <c r="Y1462" s="578"/>
      <c r="Z1462" s="578"/>
    </row>
    <row r="1463" spans="1:26" ht="18.75">
      <c r="A1463" s="682"/>
      <c r="B1463" s="682"/>
      <c r="C1463" s="682"/>
      <c r="D1463" s="914"/>
      <c r="E1463" s="682"/>
      <c r="F1463" s="682"/>
      <c r="G1463" s="682"/>
      <c r="H1463" s="915"/>
      <c r="I1463" s="916"/>
      <c r="J1463" s="916"/>
      <c r="K1463" s="917"/>
      <c r="L1463" s="917"/>
      <c r="M1463" s="917"/>
      <c r="N1463" s="917"/>
      <c r="O1463" s="917"/>
      <c r="P1463" s="917"/>
      <c r="Q1463" s="578"/>
      <c r="R1463" s="578"/>
      <c r="S1463" s="578"/>
      <c r="T1463" s="578"/>
      <c r="U1463" s="578"/>
      <c r="V1463" s="578"/>
      <c r="W1463" s="578"/>
      <c r="X1463" s="578"/>
      <c r="Y1463" s="578"/>
      <c r="Z1463" s="578"/>
    </row>
    <row r="1464" spans="1:26" ht="18.75">
      <c r="A1464" s="682"/>
      <c r="B1464" s="682"/>
      <c r="C1464" s="682"/>
      <c r="D1464" s="914"/>
      <c r="E1464" s="682"/>
      <c r="F1464" s="682"/>
      <c r="G1464" s="682"/>
      <c r="H1464" s="915"/>
      <c r="I1464" s="916"/>
      <c r="J1464" s="916"/>
      <c r="K1464" s="917"/>
      <c r="L1464" s="917"/>
      <c r="M1464" s="917"/>
      <c r="N1464" s="917"/>
      <c r="O1464" s="917"/>
      <c r="P1464" s="917"/>
      <c r="Q1464" s="578"/>
      <c r="R1464" s="578"/>
      <c r="S1464" s="578"/>
      <c r="T1464" s="578"/>
      <c r="U1464" s="578"/>
      <c r="V1464" s="578"/>
      <c r="W1464" s="578"/>
      <c r="X1464" s="578"/>
      <c r="Y1464" s="578"/>
      <c r="Z1464" s="578"/>
    </row>
    <row r="1465" spans="1:26" ht="18.75">
      <c r="A1465" s="682"/>
      <c r="B1465" s="682"/>
      <c r="C1465" s="682"/>
      <c r="D1465" s="914"/>
      <c r="E1465" s="682"/>
      <c r="F1465" s="682"/>
      <c r="G1465" s="682"/>
      <c r="H1465" s="915"/>
      <c r="I1465" s="916"/>
      <c r="J1465" s="916"/>
      <c r="K1465" s="917"/>
      <c r="L1465" s="917"/>
      <c r="M1465" s="917"/>
      <c r="N1465" s="917"/>
      <c r="O1465" s="917"/>
      <c r="P1465" s="917"/>
      <c r="Q1465" s="578"/>
      <c r="R1465" s="578"/>
      <c r="S1465" s="578"/>
      <c r="T1465" s="578"/>
      <c r="U1465" s="578"/>
      <c r="V1465" s="578"/>
      <c r="W1465" s="578"/>
      <c r="X1465" s="578"/>
      <c r="Y1465" s="578"/>
      <c r="Z1465" s="578"/>
    </row>
    <row r="1466" spans="1:26" ht="18.75">
      <c r="A1466" s="682"/>
      <c r="B1466" s="682"/>
      <c r="C1466" s="682"/>
      <c r="D1466" s="914"/>
      <c r="E1466" s="682"/>
      <c r="F1466" s="682"/>
      <c r="G1466" s="682"/>
      <c r="H1466" s="915"/>
      <c r="I1466" s="916"/>
      <c r="J1466" s="916"/>
      <c r="K1466" s="917"/>
      <c r="L1466" s="917"/>
      <c r="M1466" s="917"/>
      <c r="N1466" s="917"/>
      <c r="O1466" s="917"/>
      <c r="P1466" s="917"/>
      <c r="Q1466" s="578"/>
      <c r="R1466" s="578"/>
      <c r="S1466" s="578"/>
      <c r="T1466" s="578"/>
      <c r="U1466" s="578"/>
      <c r="V1466" s="578"/>
      <c r="W1466" s="578"/>
      <c r="X1466" s="578"/>
      <c r="Y1466" s="578"/>
      <c r="Z1466" s="578"/>
    </row>
    <row r="1467" spans="1:26" ht="18.75">
      <c r="A1467" s="682"/>
      <c r="B1467" s="682"/>
      <c r="C1467" s="682"/>
      <c r="D1467" s="914"/>
      <c r="E1467" s="682"/>
      <c r="F1467" s="682"/>
      <c r="G1467" s="682"/>
      <c r="H1467" s="915"/>
      <c r="I1467" s="916"/>
      <c r="J1467" s="916"/>
      <c r="K1467" s="917"/>
      <c r="L1467" s="917"/>
      <c r="M1467" s="917"/>
      <c r="N1467" s="917"/>
      <c r="O1467" s="917"/>
      <c r="P1467" s="917"/>
      <c r="Q1467" s="578"/>
      <c r="R1467" s="578"/>
      <c r="S1467" s="578"/>
      <c r="T1467" s="578"/>
      <c r="U1467" s="578"/>
      <c r="V1467" s="578"/>
      <c r="W1467" s="578"/>
      <c r="X1467" s="578"/>
      <c r="Y1467" s="578"/>
      <c r="Z1467" s="578"/>
    </row>
    <row r="1468" spans="1:26" ht="18.75">
      <c r="A1468" s="682"/>
      <c r="B1468" s="682"/>
      <c r="C1468" s="682"/>
      <c r="D1468" s="914"/>
      <c r="E1468" s="682"/>
      <c r="F1468" s="682"/>
      <c r="G1468" s="682"/>
      <c r="H1468" s="915"/>
      <c r="I1468" s="916"/>
      <c r="J1468" s="916"/>
      <c r="K1468" s="917"/>
      <c r="L1468" s="917"/>
      <c r="M1468" s="917"/>
      <c r="N1468" s="917"/>
      <c r="O1468" s="917"/>
      <c r="P1468" s="917"/>
      <c r="Q1468" s="578"/>
      <c r="R1468" s="578"/>
      <c r="S1468" s="578"/>
      <c r="T1468" s="578"/>
      <c r="U1468" s="578"/>
      <c r="V1468" s="578"/>
      <c r="W1468" s="578"/>
      <c r="X1468" s="578"/>
      <c r="Y1468" s="578"/>
      <c r="Z1468" s="578"/>
    </row>
    <row r="1469" spans="1:26" ht="18.75">
      <c r="A1469" s="682"/>
      <c r="B1469" s="682"/>
      <c r="C1469" s="682"/>
      <c r="D1469" s="914"/>
      <c r="E1469" s="682"/>
      <c r="F1469" s="682"/>
      <c r="G1469" s="682"/>
      <c r="H1469" s="915"/>
      <c r="I1469" s="916"/>
      <c r="J1469" s="916"/>
      <c r="K1469" s="917"/>
      <c r="L1469" s="917"/>
      <c r="M1469" s="917"/>
      <c r="N1469" s="917"/>
      <c r="O1469" s="917"/>
      <c r="P1469" s="917"/>
      <c r="Q1469" s="578"/>
      <c r="R1469" s="578"/>
      <c r="S1469" s="578"/>
      <c r="T1469" s="578"/>
      <c r="U1469" s="578"/>
      <c r="V1469" s="578"/>
      <c r="W1469" s="578"/>
      <c r="X1469" s="578"/>
      <c r="Y1469" s="578"/>
      <c r="Z1469" s="578"/>
    </row>
    <row r="1470" spans="1:26" ht="18.75">
      <c r="A1470" s="682"/>
      <c r="B1470" s="682"/>
      <c r="C1470" s="682"/>
      <c r="D1470" s="914"/>
      <c r="E1470" s="682"/>
      <c r="F1470" s="682"/>
      <c r="G1470" s="682"/>
      <c r="H1470" s="915"/>
      <c r="I1470" s="916"/>
      <c r="J1470" s="916"/>
      <c r="K1470" s="917"/>
      <c r="L1470" s="917"/>
      <c r="M1470" s="917"/>
      <c r="N1470" s="917"/>
      <c r="O1470" s="917"/>
      <c r="P1470" s="917"/>
      <c r="Q1470" s="578"/>
      <c r="R1470" s="578"/>
      <c r="S1470" s="578"/>
      <c r="T1470" s="578"/>
      <c r="U1470" s="578"/>
      <c r="V1470" s="578"/>
      <c r="W1470" s="578"/>
      <c r="X1470" s="578"/>
      <c r="Y1470" s="578"/>
      <c r="Z1470" s="578"/>
    </row>
    <row r="1471" spans="1:26" ht="18.75">
      <c r="A1471" s="682"/>
      <c r="B1471" s="682"/>
      <c r="C1471" s="682"/>
      <c r="D1471" s="914"/>
      <c r="E1471" s="682"/>
      <c r="F1471" s="682"/>
      <c r="G1471" s="682"/>
      <c r="H1471" s="915"/>
      <c r="I1471" s="916"/>
      <c r="J1471" s="916"/>
      <c r="K1471" s="917"/>
      <c r="L1471" s="917"/>
      <c r="M1471" s="917"/>
      <c r="N1471" s="917"/>
      <c r="O1471" s="917"/>
      <c r="P1471" s="917"/>
      <c r="Q1471" s="578"/>
      <c r="R1471" s="578"/>
      <c r="S1471" s="578"/>
      <c r="T1471" s="578"/>
      <c r="U1471" s="578"/>
      <c r="V1471" s="578"/>
      <c r="W1471" s="578"/>
      <c r="X1471" s="578"/>
      <c r="Y1471" s="578"/>
      <c r="Z1471" s="578"/>
    </row>
    <row r="1472" spans="1:26" ht="18.75">
      <c r="A1472" s="682"/>
      <c r="B1472" s="682"/>
      <c r="C1472" s="682"/>
      <c r="D1472" s="914"/>
      <c r="E1472" s="682"/>
      <c r="F1472" s="682"/>
      <c r="G1472" s="682"/>
      <c r="H1472" s="915"/>
      <c r="I1472" s="916"/>
      <c r="J1472" s="916"/>
      <c r="K1472" s="917"/>
      <c r="L1472" s="917"/>
      <c r="M1472" s="917"/>
      <c r="N1472" s="917"/>
      <c r="O1472" s="917"/>
      <c r="P1472" s="917"/>
      <c r="Q1472" s="578"/>
      <c r="R1472" s="578"/>
      <c r="S1472" s="578"/>
      <c r="T1472" s="578"/>
      <c r="U1472" s="578"/>
      <c r="V1472" s="578"/>
      <c r="W1472" s="578"/>
      <c r="X1472" s="578"/>
      <c r="Y1472" s="578"/>
      <c r="Z1472" s="578"/>
    </row>
    <row r="1473" spans="1:26" ht="18.75">
      <c r="A1473" s="682"/>
      <c r="B1473" s="682"/>
      <c r="C1473" s="682"/>
      <c r="D1473" s="914"/>
      <c r="E1473" s="682"/>
      <c r="F1473" s="682"/>
      <c r="G1473" s="682"/>
      <c r="H1473" s="915"/>
      <c r="I1473" s="916"/>
      <c r="J1473" s="916"/>
      <c r="K1473" s="917"/>
      <c r="L1473" s="917"/>
      <c r="M1473" s="917"/>
      <c r="N1473" s="917"/>
      <c r="O1473" s="917"/>
      <c r="P1473" s="917"/>
      <c r="Q1473" s="578"/>
      <c r="R1473" s="578"/>
      <c r="S1473" s="578"/>
      <c r="T1473" s="578"/>
      <c r="U1473" s="578"/>
      <c r="V1473" s="578"/>
      <c r="W1473" s="578"/>
      <c r="X1473" s="578"/>
      <c r="Y1473" s="578"/>
      <c r="Z1473" s="578"/>
    </row>
    <row r="1474" spans="1:26" ht="18.75">
      <c r="A1474" s="682"/>
      <c r="B1474" s="682"/>
      <c r="C1474" s="682"/>
      <c r="D1474" s="914"/>
      <c r="E1474" s="682"/>
      <c r="F1474" s="682"/>
      <c r="G1474" s="682"/>
      <c r="H1474" s="915"/>
      <c r="I1474" s="916"/>
      <c r="J1474" s="916"/>
      <c r="K1474" s="917"/>
      <c r="L1474" s="917"/>
      <c r="M1474" s="917"/>
      <c r="N1474" s="917"/>
      <c r="O1474" s="917"/>
      <c r="P1474" s="917"/>
      <c r="Q1474" s="578"/>
      <c r="R1474" s="578"/>
      <c r="S1474" s="578"/>
      <c r="T1474" s="578"/>
      <c r="U1474" s="578"/>
      <c r="V1474" s="578"/>
      <c r="W1474" s="578"/>
      <c r="X1474" s="578"/>
      <c r="Y1474" s="578"/>
      <c r="Z1474" s="578"/>
    </row>
    <row r="1475" spans="1:26" ht="18.75">
      <c r="A1475" s="682"/>
      <c r="B1475" s="682"/>
      <c r="C1475" s="682"/>
      <c r="D1475" s="914"/>
      <c r="E1475" s="682"/>
      <c r="F1475" s="682"/>
      <c r="G1475" s="682"/>
      <c r="H1475" s="915"/>
      <c r="I1475" s="916"/>
      <c r="J1475" s="916"/>
      <c r="K1475" s="917"/>
      <c r="L1475" s="917"/>
      <c r="M1475" s="917"/>
      <c r="N1475" s="917"/>
      <c r="O1475" s="917"/>
      <c r="P1475" s="917"/>
      <c r="Q1475" s="578"/>
      <c r="R1475" s="578"/>
      <c r="S1475" s="578"/>
      <c r="T1475" s="578"/>
      <c r="U1475" s="578"/>
      <c r="V1475" s="578"/>
      <c r="W1475" s="578"/>
      <c r="X1475" s="578"/>
      <c r="Y1475" s="578"/>
      <c r="Z1475" s="578"/>
    </row>
    <row r="1476" spans="1:26" ht="18.75">
      <c r="A1476" s="682"/>
      <c r="B1476" s="682"/>
      <c r="C1476" s="682"/>
      <c r="D1476" s="914"/>
      <c r="E1476" s="682"/>
      <c r="F1476" s="682"/>
      <c r="G1476" s="682"/>
      <c r="H1476" s="915"/>
      <c r="I1476" s="916"/>
      <c r="J1476" s="916"/>
      <c r="K1476" s="917"/>
      <c r="L1476" s="917"/>
      <c r="M1476" s="917"/>
      <c r="N1476" s="917"/>
      <c r="O1476" s="917"/>
      <c r="P1476" s="917"/>
      <c r="Q1476" s="578"/>
      <c r="R1476" s="578"/>
      <c r="S1476" s="578"/>
      <c r="T1476" s="578"/>
      <c r="U1476" s="578"/>
      <c r="V1476" s="578"/>
      <c r="W1476" s="578"/>
      <c r="X1476" s="578"/>
      <c r="Y1476" s="578"/>
      <c r="Z1476" s="578"/>
    </row>
    <row r="1477" spans="1:26" ht="18.75">
      <c r="A1477" s="682"/>
      <c r="B1477" s="682"/>
      <c r="C1477" s="682"/>
      <c r="D1477" s="914"/>
      <c r="E1477" s="682"/>
      <c r="F1477" s="682"/>
      <c r="G1477" s="682"/>
      <c r="H1477" s="915"/>
      <c r="I1477" s="916"/>
      <c r="J1477" s="916"/>
      <c r="K1477" s="917"/>
      <c r="L1477" s="917"/>
      <c r="M1477" s="917"/>
      <c r="N1477" s="917"/>
      <c r="O1477" s="917"/>
      <c r="P1477" s="917"/>
      <c r="Q1477" s="578"/>
      <c r="R1477" s="578"/>
      <c r="S1477" s="578"/>
      <c r="T1477" s="578"/>
      <c r="U1477" s="578"/>
      <c r="V1477" s="578"/>
      <c r="W1477" s="578"/>
      <c r="X1477" s="578"/>
      <c r="Y1477" s="578"/>
      <c r="Z1477" s="578"/>
    </row>
    <row r="1478" spans="1:26" ht="18.75">
      <c r="A1478" s="682"/>
      <c r="B1478" s="682"/>
      <c r="C1478" s="682"/>
      <c r="D1478" s="914"/>
      <c r="E1478" s="682"/>
      <c r="F1478" s="682"/>
      <c r="G1478" s="682"/>
      <c r="H1478" s="915"/>
      <c r="I1478" s="916"/>
      <c r="J1478" s="916"/>
      <c r="K1478" s="917"/>
      <c r="L1478" s="917"/>
      <c r="M1478" s="917"/>
      <c r="N1478" s="917"/>
      <c r="O1478" s="917"/>
      <c r="P1478" s="917"/>
      <c r="Q1478" s="578"/>
      <c r="R1478" s="578"/>
      <c r="S1478" s="578"/>
      <c r="T1478" s="578"/>
      <c r="U1478" s="578"/>
      <c r="V1478" s="578"/>
      <c r="W1478" s="578"/>
      <c r="X1478" s="578"/>
      <c r="Y1478" s="578"/>
      <c r="Z1478" s="578"/>
    </row>
    <row r="1479" spans="1:26" ht="18.75">
      <c r="A1479" s="682"/>
      <c r="B1479" s="682"/>
      <c r="C1479" s="682"/>
      <c r="D1479" s="914"/>
      <c r="E1479" s="682"/>
      <c r="F1479" s="682"/>
      <c r="G1479" s="682"/>
      <c r="H1479" s="915"/>
      <c r="I1479" s="916"/>
      <c r="J1479" s="916"/>
      <c r="K1479" s="917"/>
      <c r="L1479" s="917"/>
      <c r="M1479" s="917"/>
      <c r="N1479" s="917"/>
      <c r="O1479" s="917"/>
      <c r="P1479" s="917"/>
      <c r="Q1479" s="578"/>
      <c r="R1479" s="578"/>
      <c r="S1479" s="578"/>
      <c r="T1479" s="578"/>
      <c r="U1479" s="578"/>
      <c r="V1479" s="578"/>
      <c r="W1479" s="578"/>
      <c r="X1479" s="578"/>
      <c r="Y1479" s="578"/>
      <c r="Z1479" s="578"/>
    </row>
    <row r="1480" spans="1:26" ht="18.75">
      <c r="A1480" s="682"/>
      <c r="B1480" s="682"/>
      <c r="C1480" s="682"/>
      <c r="D1480" s="914"/>
      <c r="E1480" s="682"/>
      <c r="F1480" s="682"/>
      <c r="G1480" s="682"/>
      <c r="H1480" s="915"/>
      <c r="I1480" s="916"/>
      <c r="J1480" s="916"/>
      <c r="K1480" s="917"/>
      <c r="L1480" s="917"/>
      <c r="M1480" s="917"/>
      <c r="N1480" s="917"/>
      <c r="O1480" s="917"/>
      <c r="P1480" s="917"/>
      <c r="Q1480" s="578"/>
      <c r="R1480" s="578"/>
      <c r="S1480" s="578"/>
      <c r="T1480" s="578"/>
      <c r="U1480" s="578"/>
      <c r="V1480" s="578"/>
      <c r="W1480" s="578"/>
      <c r="X1480" s="578"/>
      <c r="Y1480" s="578"/>
      <c r="Z1480" s="578"/>
    </row>
    <row r="1481" spans="1:26" ht="18.75">
      <c r="A1481" s="682"/>
      <c r="B1481" s="682"/>
      <c r="C1481" s="682"/>
      <c r="D1481" s="914"/>
      <c r="E1481" s="682"/>
      <c r="F1481" s="682"/>
      <c r="G1481" s="682"/>
      <c r="H1481" s="915"/>
      <c r="I1481" s="916"/>
      <c r="J1481" s="916"/>
      <c r="K1481" s="917"/>
      <c r="L1481" s="917"/>
      <c r="M1481" s="917"/>
      <c r="N1481" s="917"/>
      <c r="O1481" s="917"/>
      <c r="P1481" s="917"/>
      <c r="Q1481" s="578"/>
      <c r="R1481" s="578"/>
      <c r="S1481" s="578"/>
      <c r="T1481" s="578"/>
      <c r="U1481" s="578"/>
      <c r="V1481" s="578"/>
      <c r="W1481" s="578"/>
      <c r="X1481" s="578"/>
      <c r="Y1481" s="578"/>
      <c r="Z1481" s="578"/>
    </row>
    <row r="1482" spans="1:26" ht="18.75">
      <c r="A1482" s="682"/>
      <c r="B1482" s="682"/>
      <c r="C1482" s="682"/>
      <c r="D1482" s="914"/>
      <c r="E1482" s="682"/>
      <c r="F1482" s="682"/>
      <c r="G1482" s="682"/>
      <c r="H1482" s="915"/>
      <c r="I1482" s="916"/>
      <c r="J1482" s="916"/>
      <c r="K1482" s="917"/>
      <c r="L1482" s="917"/>
      <c r="M1482" s="917"/>
      <c r="N1482" s="917"/>
      <c r="O1482" s="917"/>
      <c r="P1482" s="917"/>
      <c r="Q1482" s="578"/>
      <c r="R1482" s="578"/>
      <c r="S1482" s="578"/>
      <c r="T1482" s="578"/>
      <c r="U1482" s="578"/>
      <c r="V1482" s="578"/>
      <c r="W1482" s="578"/>
      <c r="X1482" s="578"/>
      <c r="Y1482" s="578"/>
      <c r="Z1482" s="578"/>
    </row>
    <row r="1483" spans="1:26" ht="18.75">
      <c r="A1483" s="682"/>
      <c r="B1483" s="682"/>
      <c r="C1483" s="682"/>
      <c r="D1483" s="914"/>
      <c r="E1483" s="682"/>
      <c r="F1483" s="682"/>
      <c r="G1483" s="682"/>
      <c r="H1483" s="915"/>
      <c r="I1483" s="916"/>
      <c r="J1483" s="916"/>
      <c r="K1483" s="917"/>
      <c r="L1483" s="917"/>
      <c r="M1483" s="917"/>
      <c r="N1483" s="917"/>
      <c r="O1483" s="917"/>
      <c r="P1483" s="917"/>
      <c r="Q1483" s="578"/>
      <c r="R1483" s="578"/>
      <c r="S1483" s="578"/>
      <c r="T1483" s="578"/>
      <c r="U1483" s="578"/>
      <c r="V1483" s="578"/>
      <c r="W1483" s="578"/>
      <c r="X1483" s="578"/>
      <c r="Y1483" s="578"/>
      <c r="Z1483" s="578"/>
    </row>
    <row r="1484" spans="1:26" ht="18.75">
      <c r="A1484" s="682"/>
      <c r="B1484" s="682"/>
      <c r="C1484" s="682"/>
      <c r="D1484" s="914"/>
      <c r="E1484" s="682"/>
      <c r="F1484" s="682"/>
      <c r="G1484" s="682"/>
      <c r="H1484" s="915"/>
      <c r="I1484" s="916"/>
      <c r="J1484" s="916"/>
      <c r="K1484" s="917"/>
      <c r="L1484" s="917"/>
      <c r="M1484" s="917"/>
      <c r="N1484" s="917"/>
      <c r="O1484" s="917"/>
      <c r="P1484" s="917"/>
      <c r="Q1484" s="578"/>
      <c r="R1484" s="578"/>
      <c r="S1484" s="578"/>
      <c r="T1484" s="578"/>
      <c r="U1484" s="578"/>
      <c r="V1484" s="578"/>
      <c r="W1484" s="578"/>
      <c r="X1484" s="578"/>
      <c r="Y1484" s="578"/>
      <c r="Z1484" s="578"/>
    </row>
    <row r="1485" spans="1:26" ht="18.75">
      <c r="A1485" s="682"/>
      <c r="B1485" s="682"/>
      <c r="C1485" s="682"/>
      <c r="D1485" s="914"/>
      <c r="E1485" s="682"/>
      <c r="F1485" s="682"/>
      <c r="G1485" s="682"/>
      <c r="H1485" s="915"/>
      <c r="I1485" s="916"/>
      <c r="J1485" s="916"/>
      <c r="K1485" s="917"/>
      <c r="L1485" s="917"/>
      <c r="M1485" s="917"/>
      <c r="N1485" s="917"/>
      <c r="O1485" s="917"/>
      <c r="P1485" s="917"/>
      <c r="Q1485" s="578"/>
      <c r="R1485" s="578"/>
      <c r="S1485" s="578"/>
      <c r="T1485" s="578"/>
      <c r="U1485" s="578"/>
      <c r="V1485" s="578"/>
      <c r="W1485" s="578"/>
      <c r="X1485" s="578"/>
      <c r="Y1485" s="578"/>
      <c r="Z1485" s="578"/>
    </row>
    <row r="1486" spans="1:26" ht="18.75">
      <c r="A1486" s="682"/>
      <c r="B1486" s="682"/>
      <c r="C1486" s="682"/>
      <c r="D1486" s="914"/>
      <c r="E1486" s="682"/>
      <c r="F1486" s="682"/>
      <c r="G1486" s="682"/>
      <c r="H1486" s="915"/>
      <c r="I1486" s="916"/>
      <c r="J1486" s="916"/>
      <c r="K1486" s="917"/>
      <c r="L1486" s="917"/>
      <c r="M1486" s="917"/>
      <c r="N1486" s="917"/>
      <c r="O1486" s="917"/>
      <c r="P1486" s="917"/>
      <c r="Q1486" s="578"/>
      <c r="R1486" s="578"/>
      <c r="S1486" s="578"/>
      <c r="T1486" s="578"/>
      <c r="U1486" s="578"/>
      <c r="V1486" s="578"/>
      <c r="W1486" s="578"/>
      <c r="X1486" s="578"/>
      <c r="Y1486" s="578"/>
      <c r="Z1486" s="578"/>
    </row>
    <row r="1487" spans="1:26" ht="18.75">
      <c r="A1487" s="682"/>
      <c r="B1487" s="682"/>
      <c r="C1487" s="682"/>
      <c r="D1487" s="914"/>
      <c r="E1487" s="682"/>
      <c r="F1487" s="682"/>
      <c r="G1487" s="682"/>
      <c r="H1487" s="915"/>
      <c r="I1487" s="916"/>
      <c r="J1487" s="916"/>
      <c r="K1487" s="917"/>
      <c r="L1487" s="917"/>
      <c r="M1487" s="917"/>
      <c r="N1487" s="917"/>
      <c r="O1487" s="917"/>
      <c r="P1487" s="917"/>
      <c r="Q1487" s="578"/>
      <c r="R1487" s="578"/>
      <c r="S1487" s="578"/>
      <c r="T1487" s="578"/>
      <c r="U1487" s="578"/>
      <c r="V1487" s="578"/>
      <c r="W1487" s="578"/>
      <c r="X1487" s="578"/>
      <c r="Y1487" s="578"/>
      <c r="Z1487" s="578"/>
    </row>
    <row r="1488" spans="1:26" ht="18.75">
      <c r="A1488" s="682"/>
      <c r="B1488" s="682"/>
      <c r="C1488" s="682"/>
      <c r="D1488" s="914"/>
      <c r="E1488" s="682"/>
      <c r="F1488" s="682"/>
      <c r="G1488" s="682"/>
      <c r="H1488" s="915"/>
      <c r="I1488" s="916"/>
      <c r="J1488" s="916"/>
      <c r="K1488" s="917"/>
      <c r="L1488" s="917"/>
      <c r="M1488" s="917"/>
      <c r="N1488" s="917"/>
      <c r="O1488" s="917"/>
      <c r="P1488" s="917"/>
      <c r="Q1488" s="578"/>
      <c r="R1488" s="578"/>
      <c r="S1488" s="578"/>
      <c r="T1488" s="578"/>
      <c r="U1488" s="578"/>
      <c r="V1488" s="578"/>
      <c r="W1488" s="578"/>
      <c r="X1488" s="578"/>
      <c r="Y1488" s="578"/>
      <c r="Z1488" s="578"/>
    </row>
    <row r="1489" spans="1:26" ht="18.75">
      <c r="A1489" s="682"/>
      <c r="B1489" s="682"/>
      <c r="C1489" s="682"/>
      <c r="D1489" s="914"/>
      <c r="E1489" s="682"/>
      <c r="F1489" s="682"/>
      <c r="G1489" s="682"/>
      <c r="H1489" s="915"/>
      <c r="I1489" s="916"/>
      <c r="J1489" s="916"/>
      <c r="K1489" s="917"/>
      <c r="L1489" s="917"/>
      <c r="M1489" s="917"/>
      <c r="N1489" s="917"/>
      <c r="O1489" s="917"/>
      <c r="P1489" s="917"/>
      <c r="Q1489" s="578"/>
      <c r="R1489" s="578"/>
      <c r="S1489" s="578"/>
      <c r="T1489" s="578"/>
      <c r="U1489" s="578"/>
      <c r="V1489" s="578"/>
      <c r="W1489" s="578"/>
      <c r="X1489" s="578"/>
      <c r="Y1489" s="578"/>
      <c r="Z1489" s="578"/>
    </row>
    <row r="1490" spans="1:26" ht="18.75">
      <c r="A1490" s="682"/>
      <c r="B1490" s="682"/>
      <c r="C1490" s="682"/>
      <c r="D1490" s="914"/>
      <c r="E1490" s="682"/>
      <c r="F1490" s="682"/>
      <c r="G1490" s="682"/>
      <c r="H1490" s="915"/>
      <c r="I1490" s="916"/>
      <c r="J1490" s="916"/>
      <c r="K1490" s="917"/>
      <c r="L1490" s="917"/>
      <c r="M1490" s="917"/>
      <c r="N1490" s="917"/>
      <c r="O1490" s="917"/>
      <c r="P1490" s="917"/>
      <c r="Q1490" s="578"/>
      <c r="R1490" s="578"/>
      <c r="S1490" s="578"/>
      <c r="T1490" s="578"/>
      <c r="U1490" s="578"/>
      <c r="V1490" s="578"/>
      <c r="W1490" s="578"/>
      <c r="X1490" s="578"/>
      <c r="Y1490" s="578"/>
      <c r="Z1490" s="578"/>
    </row>
    <row r="1491" spans="1:26" ht="18.75">
      <c r="A1491" s="682"/>
      <c r="B1491" s="682"/>
      <c r="C1491" s="682"/>
      <c r="D1491" s="914"/>
      <c r="E1491" s="682"/>
      <c r="F1491" s="682"/>
      <c r="G1491" s="682"/>
      <c r="H1491" s="915"/>
      <c r="I1491" s="916"/>
      <c r="J1491" s="916"/>
      <c r="K1491" s="917"/>
      <c r="L1491" s="917"/>
      <c r="M1491" s="917"/>
      <c r="N1491" s="917"/>
      <c r="O1491" s="917"/>
      <c r="P1491" s="917"/>
      <c r="Q1491" s="578"/>
      <c r="R1491" s="578"/>
      <c r="S1491" s="578"/>
      <c r="T1491" s="578"/>
      <c r="U1491" s="578"/>
      <c r="V1491" s="578"/>
      <c r="W1491" s="578"/>
      <c r="X1491" s="578"/>
      <c r="Y1491" s="578"/>
      <c r="Z1491" s="578"/>
    </row>
    <row r="1492" spans="1:26" ht="18.75">
      <c r="A1492" s="682"/>
      <c r="B1492" s="682"/>
      <c r="C1492" s="682"/>
      <c r="D1492" s="914"/>
      <c r="E1492" s="682"/>
      <c r="F1492" s="682"/>
      <c r="G1492" s="682"/>
      <c r="H1492" s="915"/>
      <c r="I1492" s="916"/>
      <c r="J1492" s="916"/>
      <c r="K1492" s="917"/>
      <c r="L1492" s="917"/>
      <c r="M1492" s="917"/>
      <c r="N1492" s="917"/>
      <c r="O1492" s="917"/>
      <c r="P1492" s="917"/>
      <c r="Q1492" s="578"/>
      <c r="R1492" s="578"/>
      <c r="S1492" s="578"/>
      <c r="T1492" s="578"/>
      <c r="U1492" s="578"/>
      <c r="V1492" s="578"/>
      <c r="W1492" s="578"/>
      <c r="X1492" s="578"/>
      <c r="Y1492" s="578"/>
      <c r="Z1492" s="578"/>
    </row>
    <row r="1493" spans="1:26" ht="18.75">
      <c r="A1493" s="682"/>
      <c r="B1493" s="682"/>
      <c r="C1493" s="682"/>
      <c r="D1493" s="914"/>
      <c r="E1493" s="682"/>
      <c r="F1493" s="682"/>
      <c r="G1493" s="682"/>
      <c r="H1493" s="915"/>
      <c r="I1493" s="916"/>
      <c r="J1493" s="916"/>
      <c r="K1493" s="917"/>
      <c r="L1493" s="917"/>
      <c r="M1493" s="917"/>
      <c r="N1493" s="917"/>
      <c r="O1493" s="917"/>
      <c r="P1493" s="917"/>
      <c r="Q1493" s="578"/>
      <c r="R1493" s="578"/>
      <c r="S1493" s="578"/>
      <c r="T1493" s="578"/>
      <c r="U1493" s="578"/>
      <c r="V1493" s="578"/>
      <c r="W1493" s="578"/>
      <c r="X1493" s="578"/>
      <c r="Y1493" s="578"/>
      <c r="Z1493" s="578"/>
    </row>
    <row r="1494" spans="1:26" ht="18.75">
      <c r="A1494" s="682"/>
      <c r="B1494" s="682"/>
      <c r="C1494" s="682"/>
      <c r="D1494" s="914"/>
      <c r="E1494" s="682"/>
      <c r="F1494" s="682"/>
      <c r="G1494" s="682"/>
      <c r="H1494" s="915"/>
      <c r="I1494" s="916"/>
      <c r="J1494" s="916"/>
      <c r="K1494" s="917"/>
      <c r="L1494" s="917"/>
      <c r="M1494" s="917"/>
      <c r="N1494" s="917"/>
      <c r="O1494" s="917"/>
      <c r="P1494" s="917"/>
      <c r="Q1494" s="578"/>
      <c r="R1494" s="578"/>
      <c r="S1494" s="578"/>
      <c r="T1494" s="578"/>
      <c r="U1494" s="578"/>
      <c r="V1494" s="578"/>
      <c r="W1494" s="578"/>
      <c r="X1494" s="578"/>
      <c r="Y1494" s="578"/>
      <c r="Z1494" s="578"/>
    </row>
    <row r="1495" spans="1:26" ht="18.75">
      <c r="A1495" s="682"/>
      <c r="B1495" s="682"/>
      <c r="C1495" s="682"/>
      <c r="D1495" s="914"/>
      <c r="E1495" s="682"/>
      <c r="F1495" s="682"/>
      <c r="G1495" s="682"/>
      <c r="H1495" s="915"/>
      <c r="I1495" s="916"/>
      <c r="J1495" s="916"/>
      <c r="K1495" s="917"/>
      <c r="L1495" s="917"/>
      <c r="M1495" s="917"/>
      <c r="N1495" s="917"/>
      <c r="O1495" s="917"/>
      <c r="P1495" s="917"/>
      <c r="Q1495" s="578"/>
      <c r="R1495" s="578"/>
      <c r="S1495" s="578"/>
      <c r="T1495" s="578"/>
      <c r="U1495" s="578"/>
      <c r="V1495" s="578"/>
      <c r="W1495" s="578"/>
      <c r="X1495" s="578"/>
      <c r="Y1495" s="578"/>
      <c r="Z1495" s="578"/>
    </row>
    <row r="1496" spans="1:26" ht="18.75">
      <c r="A1496" s="682"/>
      <c r="B1496" s="682"/>
      <c r="C1496" s="682"/>
      <c r="D1496" s="914"/>
      <c r="E1496" s="682"/>
      <c r="F1496" s="682"/>
      <c r="G1496" s="682"/>
      <c r="H1496" s="915"/>
      <c r="I1496" s="916"/>
      <c r="J1496" s="916"/>
      <c r="K1496" s="917"/>
      <c r="L1496" s="917"/>
      <c r="M1496" s="917"/>
      <c r="N1496" s="917"/>
      <c r="O1496" s="917"/>
      <c r="P1496" s="917"/>
      <c r="Q1496" s="578"/>
      <c r="R1496" s="578"/>
      <c r="S1496" s="578"/>
      <c r="T1496" s="578"/>
      <c r="U1496" s="578"/>
      <c r="V1496" s="578"/>
      <c r="W1496" s="578"/>
      <c r="X1496" s="578"/>
      <c r="Y1496" s="578"/>
      <c r="Z1496" s="578"/>
    </row>
    <row r="1497" spans="1:26" ht="18.75">
      <c r="A1497" s="682"/>
      <c r="B1497" s="682"/>
      <c r="C1497" s="682"/>
      <c r="D1497" s="914"/>
      <c r="E1497" s="682"/>
      <c r="F1497" s="682"/>
      <c r="G1497" s="682"/>
      <c r="H1497" s="915"/>
      <c r="I1497" s="916"/>
      <c r="J1497" s="916"/>
      <c r="K1497" s="917"/>
      <c r="L1497" s="917"/>
      <c r="M1497" s="917"/>
      <c r="N1497" s="917"/>
      <c r="O1497" s="917"/>
      <c r="P1497" s="917"/>
      <c r="Q1497" s="578"/>
      <c r="R1497" s="578"/>
      <c r="S1497" s="578"/>
      <c r="T1497" s="578"/>
      <c r="U1497" s="578"/>
      <c r="V1497" s="578"/>
      <c r="W1497" s="578"/>
      <c r="X1497" s="578"/>
      <c r="Y1497" s="578"/>
      <c r="Z1497" s="578"/>
    </row>
    <row r="1498" spans="1:26" ht="18.75">
      <c r="A1498" s="682"/>
      <c r="B1498" s="682"/>
      <c r="C1498" s="682"/>
      <c r="D1498" s="914"/>
      <c r="E1498" s="682"/>
      <c r="F1498" s="682"/>
      <c r="G1498" s="682"/>
      <c r="H1498" s="915"/>
      <c r="I1498" s="916"/>
      <c r="J1498" s="916"/>
      <c r="K1498" s="917"/>
      <c r="L1498" s="917"/>
      <c r="M1498" s="917"/>
      <c r="N1498" s="917"/>
      <c r="O1498" s="917"/>
      <c r="P1498" s="917"/>
      <c r="Q1498" s="578"/>
      <c r="R1498" s="578"/>
      <c r="S1498" s="578"/>
      <c r="T1498" s="578"/>
      <c r="U1498" s="578"/>
      <c r="V1498" s="578"/>
      <c r="W1498" s="578"/>
      <c r="X1498" s="578"/>
      <c r="Y1498" s="578"/>
      <c r="Z1498" s="578"/>
    </row>
    <row r="1499" spans="1:26" ht="18.75">
      <c r="A1499" s="682"/>
      <c r="B1499" s="682"/>
      <c r="C1499" s="682"/>
      <c r="D1499" s="914"/>
      <c r="E1499" s="682"/>
      <c r="F1499" s="682"/>
      <c r="G1499" s="682"/>
      <c r="H1499" s="915"/>
      <c r="I1499" s="916"/>
      <c r="J1499" s="916"/>
      <c r="K1499" s="917"/>
      <c r="L1499" s="917"/>
      <c r="M1499" s="917"/>
      <c r="N1499" s="917"/>
      <c r="O1499" s="917"/>
      <c r="P1499" s="917"/>
      <c r="Q1499" s="578"/>
      <c r="R1499" s="578"/>
      <c r="S1499" s="578"/>
      <c r="T1499" s="578"/>
      <c r="U1499" s="578"/>
      <c r="V1499" s="578"/>
      <c r="W1499" s="578"/>
      <c r="X1499" s="578"/>
      <c r="Y1499" s="578"/>
      <c r="Z1499" s="578"/>
    </row>
    <row r="1500" spans="1:26" ht="18.75">
      <c r="A1500" s="682"/>
      <c r="B1500" s="682"/>
      <c r="C1500" s="682"/>
      <c r="D1500" s="914"/>
      <c r="E1500" s="682"/>
      <c r="F1500" s="682"/>
      <c r="G1500" s="682"/>
      <c r="H1500" s="915"/>
      <c r="I1500" s="916"/>
      <c r="J1500" s="916"/>
      <c r="K1500" s="917"/>
      <c r="L1500" s="917"/>
      <c r="M1500" s="917"/>
      <c r="N1500" s="917"/>
      <c r="O1500" s="917"/>
      <c r="P1500" s="917"/>
      <c r="Q1500" s="578"/>
      <c r="R1500" s="578"/>
      <c r="S1500" s="578"/>
      <c r="T1500" s="578"/>
      <c r="U1500" s="578"/>
      <c r="V1500" s="578"/>
      <c r="W1500" s="578"/>
      <c r="X1500" s="578"/>
      <c r="Y1500" s="578"/>
      <c r="Z1500" s="578"/>
    </row>
    <row r="1501" spans="1:26" ht="18.75">
      <c r="A1501" s="682"/>
      <c r="B1501" s="682"/>
      <c r="C1501" s="682"/>
      <c r="D1501" s="914"/>
      <c r="E1501" s="682"/>
      <c r="F1501" s="682"/>
      <c r="G1501" s="682"/>
      <c r="H1501" s="915"/>
      <c r="I1501" s="916"/>
      <c r="J1501" s="916"/>
      <c r="K1501" s="917"/>
      <c r="L1501" s="917"/>
      <c r="M1501" s="917"/>
      <c r="N1501" s="917"/>
      <c r="O1501" s="917"/>
      <c r="P1501" s="917"/>
      <c r="Q1501" s="578"/>
      <c r="R1501" s="578"/>
      <c r="S1501" s="578"/>
      <c r="T1501" s="578"/>
      <c r="U1501" s="578"/>
      <c r="V1501" s="578"/>
      <c r="W1501" s="578"/>
      <c r="X1501" s="578"/>
      <c r="Y1501" s="578"/>
      <c r="Z1501" s="578"/>
    </row>
    <row r="1502" spans="1:26" ht="18.75">
      <c r="A1502" s="682"/>
      <c r="B1502" s="682"/>
      <c r="C1502" s="682"/>
      <c r="D1502" s="914"/>
      <c r="E1502" s="682"/>
      <c r="F1502" s="682"/>
      <c r="G1502" s="682"/>
      <c r="H1502" s="915"/>
      <c r="I1502" s="916"/>
      <c r="J1502" s="916"/>
      <c r="K1502" s="917"/>
      <c r="L1502" s="917"/>
      <c r="M1502" s="917"/>
      <c r="N1502" s="917"/>
      <c r="O1502" s="917"/>
      <c r="P1502" s="917"/>
      <c r="Q1502" s="578"/>
      <c r="R1502" s="578"/>
      <c r="S1502" s="578"/>
      <c r="T1502" s="578"/>
      <c r="U1502" s="578"/>
      <c r="V1502" s="578"/>
      <c r="W1502" s="578"/>
      <c r="X1502" s="578"/>
      <c r="Y1502" s="578"/>
      <c r="Z1502" s="578"/>
    </row>
    <row r="1503" spans="1:26" ht="18.75">
      <c r="A1503" s="682"/>
      <c r="B1503" s="682"/>
      <c r="C1503" s="682"/>
      <c r="D1503" s="914"/>
      <c r="E1503" s="682"/>
      <c r="F1503" s="682"/>
      <c r="G1503" s="682"/>
      <c r="H1503" s="915"/>
      <c r="I1503" s="916"/>
      <c r="J1503" s="916"/>
      <c r="K1503" s="917"/>
      <c r="L1503" s="917"/>
      <c r="M1503" s="917"/>
      <c r="N1503" s="917"/>
      <c r="O1503" s="917"/>
      <c r="P1503" s="917"/>
      <c r="Q1503" s="578"/>
      <c r="R1503" s="578"/>
      <c r="S1503" s="578"/>
      <c r="T1503" s="578"/>
      <c r="U1503" s="578"/>
      <c r="V1503" s="578"/>
      <c r="W1503" s="578"/>
      <c r="X1503" s="578"/>
      <c r="Y1503" s="578"/>
      <c r="Z1503" s="578"/>
    </row>
    <row r="1504" spans="1:26" ht="18.75">
      <c r="A1504" s="682"/>
      <c r="B1504" s="682"/>
      <c r="C1504" s="682"/>
      <c r="D1504" s="914"/>
      <c r="E1504" s="682"/>
      <c r="F1504" s="682"/>
      <c r="G1504" s="682"/>
      <c r="H1504" s="915"/>
      <c r="I1504" s="916"/>
      <c r="J1504" s="916"/>
      <c r="K1504" s="917"/>
      <c r="L1504" s="917"/>
      <c r="M1504" s="917"/>
      <c r="N1504" s="917"/>
      <c r="O1504" s="917"/>
      <c r="P1504" s="917"/>
      <c r="Q1504" s="578"/>
      <c r="R1504" s="578"/>
      <c r="S1504" s="578"/>
      <c r="T1504" s="578"/>
      <c r="U1504" s="578"/>
      <c r="V1504" s="578"/>
      <c r="W1504" s="578"/>
      <c r="X1504" s="578"/>
      <c r="Y1504" s="578"/>
      <c r="Z1504" s="578"/>
    </row>
    <row r="1505" spans="1:26" ht="18.75">
      <c r="A1505" s="682"/>
      <c r="B1505" s="682"/>
      <c r="C1505" s="682"/>
      <c r="D1505" s="914"/>
      <c r="E1505" s="682"/>
      <c r="F1505" s="682"/>
      <c r="G1505" s="682"/>
      <c r="H1505" s="915"/>
      <c r="I1505" s="916"/>
      <c r="J1505" s="916"/>
      <c r="K1505" s="917"/>
      <c r="L1505" s="917"/>
      <c r="M1505" s="917"/>
      <c r="N1505" s="917"/>
      <c r="O1505" s="917"/>
      <c r="P1505" s="917"/>
      <c r="Q1505" s="578"/>
      <c r="R1505" s="578"/>
      <c r="S1505" s="578"/>
      <c r="T1505" s="578"/>
      <c r="U1505" s="578"/>
      <c r="V1505" s="578"/>
      <c r="W1505" s="578"/>
      <c r="X1505" s="578"/>
      <c r="Y1505" s="578"/>
      <c r="Z1505" s="578"/>
    </row>
    <row r="1506" spans="1:26" ht="18.75">
      <c r="A1506" s="682"/>
      <c r="B1506" s="682"/>
      <c r="C1506" s="682"/>
      <c r="D1506" s="914"/>
      <c r="E1506" s="682"/>
      <c r="F1506" s="682"/>
      <c r="G1506" s="682"/>
      <c r="H1506" s="915"/>
      <c r="I1506" s="916"/>
      <c r="J1506" s="916"/>
      <c r="K1506" s="917"/>
      <c r="L1506" s="917"/>
      <c r="M1506" s="917"/>
      <c r="N1506" s="917"/>
      <c r="O1506" s="917"/>
      <c r="P1506" s="917"/>
      <c r="Q1506" s="578"/>
      <c r="R1506" s="578"/>
      <c r="S1506" s="578"/>
      <c r="T1506" s="578"/>
      <c r="U1506" s="578"/>
      <c r="V1506" s="578"/>
      <c r="W1506" s="578"/>
      <c r="X1506" s="578"/>
      <c r="Y1506" s="578"/>
      <c r="Z1506" s="578"/>
    </row>
    <row r="1507" spans="1:26" ht="18.75">
      <c r="A1507" s="682"/>
      <c r="B1507" s="682"/>
      <c r="C1507" s="682"/>
      <c r="D1507" s="914"/>
      <c r="E1507" s="682"/>
      <c r="F1507" s="682"/>
      <c r="G1507" s="682"/>
      <c r="H1507" s="915"/>
      <c r="I1507" s="916"/>
      <c r="J1507" s="916"/>
      <c r="K1507" s="917"/>
      <c r="L1507" s="917"/>
      <c r="M1507" s="917"/>
      <c r="N1507" s="917"/>
      <c r="O1507" s="917"/>
      <c r="P1507" s="917"/>
      <c r="Q1507" s="578"/>
      <c r="R1507" s="578"/>
      <c r="S1507" s="578"/>
      <c r="T1507" s="578"/>
      <c r="U1507" s="578"/>
      <c r="V1507" s="578"/>
      <c r="W1507" s="578"/>
      <c r="X1507" s="578"/>
      <c r="Y1507" s="578"/>
      <c r="Z1507" s="578"/>
    </row>
    <row r="1508" spans="1:26" ht="18.75">
      <c r="A1508" s="682"/>
      <c r="B1508" s="682"/>
      <c r="C1508" s="682"/>
      <c r="D1508" s="914"/>
      <c r="E1508" s="682"/>
      <c r="F1508" s="682"/>
      <c r="G1508" s="682"/>
      <c r="H1508" s="915"/>
      <c r="I1508" s="916"/>
      <c r="J1508" s="916"/>
      <c r="K1508" s="917"/>
      <c r="L1508" s="917"/>
      <c r="M1508" s="917"/>
      <c r="N1508" s="917"/>
      <c r="O1508" s="917"/>
      <c r="P1508" s="917"/>
      <c r="Q1508" s="578"/>
      <c r="R1508" s="578"/>
      <c r="S1508" s="578"/>
      <c r="T1508" s="578"/>
      <c r="U1508" s="578"/>
      <c r="V1508" s="578"/>
      <c r="W1508" s="578"/>
      <c r="X1508" s="578"/>
      <c r="Y1508" s="578"/>
      <c r="Z1508" s="578"/>
    </row>
    <row r="1509" spans="1:26" ht="18.75">
      <c r="A1509" s="682"/>
      <c r="B1509" s="682"/>
      <c r="C1509" s="682"/>
      <c r="D1509" s="914"/>
      <c r="E1509" s="682"/>
      <c r="F1509" s="682"/>
      <c r="G1509" s="682"/>
      <c r="H1509" s="915"/>
      <c r="I1509" s="916"/>
      <c r="J1509" s="916"/>
      <c r="K1509" s="917"/>
      <c r="L1509" s="917"/>
      <c r="M1509" s="917"/>
      <c r="N1509" s="917"/>
      <c r="O1509" s="917"/>
      <c r="P1509" s="917"/>
      <c r="Q1509" s="578"/>
      <c r="R1509" s="578"/>
      <c r="S1509" s="578"/>
      <c r="T1509" s="578"/>
      <c r="U1509" s="578"/>
      <c r="V1509" s="578"/>
      <c r="W1509" s="578"/>
      <c r="X1509" s="578"/>
      <c r="Y1509" s="578"/>
      <c r="Z1509" s="578"/>
    </row>
    <row r="1510" spans="1:26" ht="18.75">
      <c r="A1510" s="682"/>
      <c r="B1510" s="682"/>
      <c r="C1510" s="682"/>
      <c r="D1510" s="914"/>
      <c r="E1510" s="682"/>
      <c r="F1510" s="682"/>
      <c r="G1510" s="682"/>
      <c r="H1510" s="915"/>
      <c r="I1510" s="916"/>
      <c r="J1510" s="916"/>
      <c r="K1510" s="917"/>
      <c r="L1510" s="917"/>
      <c r="M1510" s="917"/>
      <c r="N1510" s="917"/>
      <c r="O1510" s="917"/>
      <c r="P1510" s="917"/>
      <c r="Q1510" s="578"/>
      <c r="R1510" s="578"/>
      <c r="S1510" s="578"/>
      <c r="T1510" s="578"/>
      <c r="U1510" s="578"/>
      <c r="V1510" s="578"/>
      <c r="W1510" s="578"/>
      <c r="X1510" s="578"/>
      <c r="Y1510" s="578"/>
      <c r="Z1510" s="578"/>
    </row>
    <row r="1511" spans="1:26" ht="18.75">
      <c r="A1511" s="682"/>
      <c r="B1511" s="682"/>
      <c r="C1511" s="682"/>
      <c r="D1511" s="914"/>
      <c r="E1511" s="682"/>
      <c r="F1511" s="682"/>
      <c r="G1511" s="682"/>
      <c r="H1511" s="915"/>
      <c r="I1511" s="916"/>
      <c r="J1511" s="916"/>
      <c r="K1511" s="917"/>
      <c r="L1511" s="917"/>
      <c r="M1511" s="917"/>
      <c r="N1511" s="917"/>
      <c r="O1511" s="917"/>
      <c r="P1511" s="917"/>
      <c r="Q1511" s="578"/>
      <c r="R1511" s="578"/>
      <c r="S1511" s="578"/>
      <c r="T1511" s="578"/>
      <c r="U1511" s="578"/>
      <c r="V1511" s="578"/>
      <c r="W1511" s="578"/>
      <c r="X1511" s="578"/>
      <c r="Y1511" s="578"/>
      <c r="Z1511" s="578"/>
    </row>
    <row r="1512" spans="1:26" ht="18.75">
      <c r="A1512" s="682"/>
      <c r="B1512" s="682"/>
      <c r="C1512" s="682"/>
      <c r="D1512" s="914"/>
      <c r="E1512" s="682"/>
      <c r="F1512" s="682"/>
      <c r="G1512" s="682"/>
      <c r="H1512" s="915"/>
      <c r="I1512" s="916"/>
      <c r="J1512" s="916"/>
      <c r="K1512" s="917"/>
      <c r="L1512" s="917"/>
      <c r="M1512" s="917"/>
      <c r="N1512" s="917"/>
      <c r="O1512" s="917"/>
      <c r="P1512" s="917"/>
      <c r="Q1512" s="578"/>
      <c r="R1512" s="578"/>
      <c r="S1512" s="578"/>
      <c r="T1512" s="578"/>
      <c r="U1512" s="578"/>
      <c r="V1512" s="578"/>
      <c r="W1512" s="578"/>
      <c r="X1512" s="578"/>
      <c r="Y1512" s="578"/>
      <c r="Z1512" s="578"/>
    </row>
    <row r="1513" spans="1:26" ht="18.75">
      <c r="A1513" s="682"/>
      <c r="B1513" s="682"/>
      <c r="C1513" s="682"/>
      <c r="D1513" s="914"/>
      <c r="E1513" s="682"/>
      <c r="F1513" s="682"/>
      <c r="G1513" s="682"/>
      <c r="H1513" s="915"/>
      <c r="I1513" s="916"/>
      <c r="J1513" s="916"/>
      <c r="K1513" s="917"/>
      <c r="L1513" s="917"/>
      <c r="M1513" s="917"/>
      <c r="N1513" s="917"/>
      <c r="O1513" s="917"/>
      <c r="P1513" s="917"/>
      <c r="Q1513" s="578"/>
      <c r="R1513" s="578"/>
      <c r="S1513" s="578"/>
      <c r="T1513" s="578"/>
      <c r="U1513" s="578"/>
      <c r="V1513" s="578"/>
      <c r="W1513" s="578"/>
      <c r="X1513" s="578"/>
      <c r="Y1513" s="578"/>
      <c r="Z1513" s="578"/>
    </row>
    <row r="1514" spans="1:26" ht="18.75">
      <c r="A1514" s="682"/>
      <c r="B1514" s="682"/>
      <c r="C1514" s="682"/>
      <c r="D1514" s="914"/>
      <c r="E1514" s="682"/>
      <c r="F1514" s="682"/>
      <c r="G1514" s="682"/>
      <c r="H1514" s="915"/>
      <c r="I1514" s="916"/>
      <c r="J1514" s="916"/>
      <c r="K1514" s="917"/>
      <c r="L1514" s="917"/>
      <c r="M1514" s="917"/>
      <c r="N1514" s="917"/>
      <c r="O1514" s="917"/>
      <c r="P1514" s="917"/>
      <c r="Q1514" s="578"/>
      <c r="R1514" s="578"/>
      <c r="S1514" s="578"/>
      <c r="T1514" s="578"/>
      <c r="U1514" s="578"/>
      <c r="V1514" s="578"/>
      <c r="W1514" s="578"/>
      <c r="X1514" s="578"/>
      <c r="Y1514" s="578"/>
      <c r="Z1514" s="578"/>
    </row>
    <row r="1515" spans="1:26" ht="18.75">
      <c r="A1515" s="682"/>
      <c r="B1515" s="682"/>
      <c r="C1515" s="682"/>
      <c r="D1515" s="914"/>
      <c r="E1515" s="682"/>
      <c r="F1515" s="682"/>
      <c r="G1515" s="682"/>
      <c r="H1515" s="915"/>
      <c r="I1515" s="916"/>
      <c r="J1515" s="916"/>
      <c r="K1515" s="917"/>
      <c r="L1515" s="917"/>
      <c r="M1515" s="917"/>
      <c r="N1515" s="917"/>
      <c r="O1515" s="917"/>
      <c r="P1515" s="917"/>
      <c r="Q1515" s="578"/>
      <c r="R1515" s="578"/>
      <c r="S1515" s="578"/>
      <c r="T1515" s="578"/>
      <c r="U1515" s="578"/>
      <c r="V1515" s="578"/>
      <c r="W1515" s="578"/>
      <c r="X1515" s="578"/>
      <c r="Y1515" s="578"/>
      <c r="Z1515" s="578"/>
    </row>
    <row r="1516" spans="1:26" ht="18.75">
      <c r="A1516" s="682"/>
      <c r="B1516" s="682"/>
      <c r="C1516" s="682"/>
      <c r="D1516" s="914"/>
      <c r="E1516" s="682"/>
      <c r="F1516" s="682"/>
      <c r="G1516" s="682"/>
      <c r="H1516" s="915"/>
      <c r="I1516" s="916"/>
      <c r="J1516" s="916"/>
      <c r="K1516" s="917"/>
      <c r="L1516" s="917"/>
      <c r="M1516" s="917"/>
      <c r="N1516" s="917"/>
      <c r="O1516" s="917"/>
      <c r="P1516" s="917"/>
      <c r="Q1516" s="578"/>
      <c r="R1516" s="578"/>
      <c r="S1516" s="578"/>
      <c r="T1516" s="578"/>
      <c r="U1516" s="578"/>
      <c r="V1516" s="578"/>
      <c r="W1516" s="578"/>
      <c r="X1516" s="578"/>
      <c r="Y1516" s="578"/>
      <c r="Z1516" s="578"/>
    </row>
    <row r="1517" spans="1:26" ht="18.75">
      <c r="A1517" s="682"/>
      <c r="B1517" s="682"/>
      <c r="C1517" s="682"/>
      <c r="D1517" s="914"/>
      <c r="E1517" s="682"/>
      <c r="F1517" s="682"/>
      <c r="G1517" s="682"/>
      <c r="H1517" s="915"/>
      <c r="I1517" s="916"/>
      <c r="J1517" s="916"/>
      <c r="K1517" s="917"/>
      <c r="L1517" s="917"/>
      <c r="M1517" s="917"/>
      <c r="N1517" s="917"/>
      <c r="O1517" s="917"/>
      <c r="P1517" s="917"/>
      <c r="Q1517" s="578"/>
      <c r="R1517" s="578"/>
      <c r="S1517" s="578"/>
      <c r="T1517" s="578"/>
      <c r="U1517" s="578"/>
      <c r="V1517" s="578"/>
      <c r="W1517" s="578"/>
      <c r="X1517" s="578"/>
      <c r="Y1517" s="578"/>
      <c r="Z1517" s="578"/>
    </row>
    <row r="1518" spans="1:26" ht="18.75">
      <c r="A1518" s="682"/>
      <c r="B1518" s="682"/>
      <c r="C1518" s="682"/>
      <c r="D1518" s="914"/>
      <c r="E1518" s="682"/>
      <c r="F1518" s="682"/>
      <c r="G1518" s="682"/>
      <c r="H1518" s="915"/>
      <c r="I1518" s="916"/>
      <c r="J1518" s="916"/>
      <c r="K1518" s="917"/>
      <c r="L1518" s="917"/>
      <c r="M1518" s="917"/>
      <c r="N1518" s="917"/>
      <c r="O1518" s="917"/>
      <c r="P1518" s="917"/>
      <c r="Q1518" s="578"/>
      <c r="R1518" s="578"/>
      <c r="S1518" s="578"/>
      <c r="T1518" s="578"/>
      <c r="U1518" s="578"/>
      <c r="V1518" s="578"/>
      <c r="W1518" s="578"/>
      <c r="X1518" s="578"/>
      <c r="Y1518" s="578"/>
      <c r="Z1518" s="578"/>
    </row>
    <row r="1519" spans="1:26" ht="18.75">
      <c r="A1519" s="682"/>
      <c r="B1519" s="682"/>
      <c r="C1519" s="682"/>
      <c r="D1519" s="914"/>
      <c r="E1519" s="682"/>
      <c r="F1519" s="682"/>
      <c r="G1519" s="682"/>
      <c r="H1519" s="915"/>
      <c r="I1519" s="916"/>
      <c r="J1519" s="916"/>
      <c r="K1519" s="917"/>
      <c r="L1519" s="917"/>
      <c r="M1519" s="917"/>
      <c r="N1519" s="917"/>
      <c r="O1519" s="917"/>
      <c r="P1519" s="917"/>
      <c r="Q1519" s="578"/>
      <c r="R1519" s="578"/>
      <c r="S1519" s="578"/>
      <c r="T1519" s="578"/>
      <c r="U1519" s="578"/>
      <c r="V1519" s="578"/>
      <c r="W1519" s="578"/>
      <c r="X1519" s="578"/>
      <c r="Y1519" s="578"/>
      <c r="Z1519" s="578"/>
    </row>
    <row r="1520" spans="1:26" ht="18.75">
      <c r="A1520" s="682"/>
      <c r="B1520" s="682"/>
      <c r="C1520" s="682"/>
      <c r="D1520" s="914"/>
      <c r="E1520" s="682"/>
      <c r="F1520" s="682"/>
      <c r="G1520" s="682"/>
      <c r="H1520" s="915"/>
      <c r="I1520" s="916"/>
      <c r="J1520" s="916"/>
      <c r="K1520" s="917"/>
      <c r="L1520" s="917"/>
      <c r="M1520" s="917"/>
      <c r="N1520" s="917"/>
      <c r="O1520" s="917"/>
      <c r="P1520" s="917"/>
      <c r="Q1520" s="578"/>
      <c r="R1520" s="578"/>
      <c r="S1520" s="578"/>
      <c r="T1520" s="578"/>
      <c r="U1520" s="578"/>
      <c r="V1520" s="578"/>
      <c r="W1520" s="578"/>
      <c r="X1520" s="578"/>
      <c r="Y1520" s="578"/>
      <c r="Z1520" s="578"/>
    </row>
    <row r="1521" spans="1:26" ht="18.75">
      <c r="A1521" s="682"/>
      <c r="B1521" s="682"/>
      <c r="C1521" s="682"/>
      <c r="D1521" s="914"/>
      <c r="E1521" s="682"/>
      <c r="F1521" s="682"/>
      <c r="G1521" s="682"/>
      <c r="H1521" s="915"/>
      <c r="I1521" s="916"/>
      <c r="J1521" s="916"/>
      <c r="K1521" s="917"/>
      <c r="L1521" s="917"/>
      <c r="M1521" s="917"/>
      <c r="N1521" s="917"/>
      <c r="O1521" s="917"/>
      <c r="P1521" s="917"/>
      <c r="Q1521" s="578"/>
      <c r="R1521" s="578"/>
      <c r="S1521" s="578"/>
      <c r="T1521" s="578"/>
      <c r="U1521" s="578"/>
      <c r="V1521" s="578"/>
      <c r="W1521" s="578"/>
      <c r="X1521" s="578"/>
      <c r="Y1521" s="578"/>
      <c r="Z1521" s="578"/>
    </row>
    <row r="1522" spans="1:26" ht="18.75">
      <c r="A1522" s="682"/>
      <c r="B1522" s="682"/>
      <c r="C1522" s="682"/>
      <c r="D1522" s="914"/>
      <c r="E1522" s="682"/>
      <c r="F1522" s="682"/>
      <c r="G1522" s="682"/>
      <c r="H1522" s="915"/>
      <c r="I1522" s="916"/>
      <c r="J1522" s="916"/>
      <c r="K1522" s="917"/>
      <c r="L1522" s="917"/>
      <c r="M1522" s="917"/>
      <c r="N1522" s="917"/>
      <c r="O1522" s="917"/>
      <c r="P1522" s="917"/>
      <c r="Q1522" s="578"/>
      <c r="R1522" s="578"/>
      <c r="S1522" s="578"/>
      <c r="T1522" s="578"/>
      <c r="U1522" s="578"/>
      <c r="V1522" s="578"/>
      <c r="W1522" s="578"/>
      <c r="X1522" s="578"/>
      <c r="Y1522" s="578"/>
      <c r="Z1522" s="578"/>
    </row>
    <row r="1523" spans="1:26" ht="18.75">
      <c r="A1523" s="682"/>
      <c r="B1523" s="682"/>
      <c r="C1523" s="682"/>
      <c r="D1523" s="914"/>
      <c r="E1523" s="682"/>
      <c r="F1523" s="682"/>
      <c r="G1523" s="682"/>
      <c r="H1523" s="915"/>
      <c r="I1523" s="916"/>
      <c r="J1523" s="916"/>
      <c r="K1523" s="917"/>
      <c r="L1523" s="917"/>
      <c r="M1523" s="917"/>
      <c r="N1523" s="917"/>
      <c r="O1523" s="917"/>
      <c r="P1523" s="917"/>
      <c r="Q1523" s="578"/>
      <c r="R1523" s="578"/>
      <c r="S1523" s="578"/>
      <c r="T1523" s="578"/>
      <c r="U1523" s="578"/>
      <c r="V1523" s="578"/>
      <c r="W1523" s="578"/>
      <c r="X1523" s="578"/>
      <c r="Y1523" s="578"/>
      <c r="Z1523" s="578"/>
    </row>
    <row r="1524" spans="1:26" ht="18.75">
      <c r="A1524" s="682"/>
      <c r="B1524" s="682"/>
      <c r="C1524" s="682"/>
      <c r="D1524" s="914"/>
      <c r="E1524" s="682"/>
      <c r="F1524" s="682"/>
      <c r="G1524" s="682"/>
      <c r="H1524" s="915"/>
      <c r="I1524" s="916"/>
      <c r="J1524" s="916"/>
      <c r="K1524" s="917"/>
      <c r="L1524" s="917"/>
      <c r="M1524" s="917"/>
      <c r="N1524" s="917"/>
      <c r="O1524" s="917"/>
      <c r="P1524" s="917"/>
      <c r="Q1524" s="578"/>
      <c r="R1524" s="578"/>
      <c r="S1524" s="578"/>
      <c r="T1524" s="578"/>
      <c r="U1524" s="578"/>
      <c r="V1524" s="578"/>
      <c r="W1524" s="578"/>
      <c r="X1524" s="578"/>
      <c r="Y1524" s="578"/>
      <c r="Z1524" s="578"/>
    </row>
    <row r="1525" spans="1:26" ht="18.75">
      <c r="A1525" s="682"/>
      <c r="B1525" s="682"/>
      <c r="C1525" s="682"/>
      <c r="D1525" s="914"/>
      <c r="E1525" s="682"/>
      <c r="F1525" s="682"/>
      <c r="G1525" s="682"/>
      <c r="H1525" s="915"/>
      <c r="I1525" s="916"/>
      <c r="J1525" s="916"/>
      <c r="K1525" s="917"/>
      <c r="L1525" s="917"/>
      <c r="M1525" s="917"/>
      <c r="N1525" s="917"/>
      <c r="O1525" s="917"/>
      <c r="P1525" s="917"/>
      <c r="Q1525" s="578"/>
      <c r="R1525" s="578"/>
      <c r="S1525" s="578"/>
      <c r="T1525" s="578"/>
      <c r="U1525" s="578"/>
      <c r="V1525" s="578"/>
      <c r="W1525" s="578"/>
      <c r="X1525" s="578"/>
      <c r="Y1525" s="578"/>
      <c r="Z1525" s="578"/>
    </row>
    <row r="1526" spans="1:26" ht="18.75">
      <c r="A1526" s="682"/>
      <c r="B1526" s="682"/>
      <c r="C1526" s="682"/>
      <c r="D1526" s="914"/>
      <c r="E1526" s="682"/>
      <c r="F1526" s="682"/>
      <c r="G1526" s="682"/>
      <c r="H1526" s="915"/>
      <c r="I1526" s="916"/>
      <c r="J1526" s="916"/>
      <c r="K1526" s="917"/>
      <c r="L1526" s="917"/>
      <c r="M1526" s="917"/>
      <c r="N1526" s="917"/>
      <c r="O1526" s="917"/>
      <c r="P1526" s="917"/>
      <c r="Q1526" s="578"/>
      <c r="R1526" s="578"/>
      <c r="S1526" s="578"/>
      <c r="T1526" s="578"/>
      <c r="U1526" s="578"/>
      <c r="V1526" s="578"/>
      <c r="W1526" s="578"/>
      <c r="X1526" s="578"/>
      <c r="Y1526" s="578"/>
      <c r="Z1526" s="578"/>
    </row>
    <row r="1527" spans="1:26" ht="18.75">
      <c r="A1527" s="682"/>
      <c r="B1527" s="682"/>
      <c r="C1527" s="682"/>
      <c r="D1527" s="914"/>
      <c r="E1527" s="682"/>
      <c r="F1527" s="682"/>
      <c r="G1527" s="682"/>
      <c r="H1527" s="915"/>
      <c r="I1527" s="916"/>
      <c r="J1527" s="916"/>
      <c r="K1527" s="917"/>
      <c r="L1527" s="917"/>
      <c r="M1527" s="917"/>
      <c r="N1527" s="917"/>
      <c r="O1527" s="917"/>
      <c r="P1527" s="917"/>
      <c r="Q1527" s="578"/>
      <c r="R1527" s="578"/>
      <c r="S1527" s="578"/>
      <c r="T1527" s="578"/>
      <c r="U1527" s="578"/>
      <c r="V1527" s="578"/>
      <c r="W1527" s="578"/>
      <c r="X1527" s="578"/>
      <c r="Y1527" s="578"/>
      <c r="Z1527" s="578"/>
    </row>
    <row r="1528" spans="1:26" ht="18.75">
      <c r="A1528" s="682"/>
      <c r="B1528" s="682"/>
      <c r="C1528" s="682"/>
      <c r="D1528" s="914"/>
      <c r="E1528" s="682"/>
      <c r="F1528" s="682"/>
      <c r="G1528" s="682"/>
      <c r="H1528" s="915"/>
      <c r="I1528" s="916"/>
      <c r="J1528" s="916"/>
      <c r="K1528" s="917"/>
      <c r="L1528" s="917"/>
      <c r="M1528" s="917"/>
      <c r="N1528" s="917"/>
      <c r="O1528" s="917"/>
      <c r="P1528" s="917"/>
      <c r="Q1528" s="578"/>
      <c r="R1528" s="578"/>
      <c r="S1528" s="578"/>
      <c r="T1528" s="578"/>
      <c r="U1528" s="578"/>
      <c r="V1528" s="578"/>
      <c r="W1528" s="578"/>
      <c r="X1528" s="578"/>
      <c r="Y1528" s="578"/>
      <c r="Z1528" s="578"/>
    </row>
    <row r="1529" spans="1:26" ht="18.75">
      <c r="A1529" s="682"/>
      <c r="B1529" s="682"/>
      <c r="C1529" s="682"/>
      <c r="D1529" s="914"/>
      <c r="E1529" s="682"/>
      <c r="F1529" s="682"/>
      <c r="G1529" s="682"/>
      <c r="H1529" s="915"/>
      <c r="I1529" s="916"/>
      <c r="J1529" s="916"/>
      <c r="K1529" s="917"/>
      <c r="L1529" s="917"/>
      <c r="M1529" s="917"/>
      <c r="N1529" s="917"/>
      <c r="O1529" s="917"/>
      <c r="P1529" s="917"/>
      <c r="Q1529" s="578"/>
      <c r="R1529" s="578"/>
      <c r="S1529" s="578"/>
      <c r="T1529" s="578"/>
      <c r="U1529" s="578"/>
      <c r="V1529" s="578"/>
      <c r="W1529" s="578"/>
      <c r="X1529" s="578"/>
      <c r="Y1529" s="578"/>
      <c r="Z1529" s="578"/>
    </row>
    <row r="1530" spans="1:26" ht="18.75">
      <c r="A1530" s="682"/>
      <c r="B1530" s="682"/>
      <c r="C1530" s="682"/>
      <c r="D1530" s="914"/>
      <c r="E1530" s="682"/>
      <c r="F1530" s="682"/>
      <c r="G1530" s="682"/>
      <c r="H1530" s="915"/>
      <c r="I1530" s="916"/>
      <c r="J1530" s="916"/>
      <c r="K1530" s="917"/>
      <c r="L1530" s="917"/>
      <c r="M1530" s="917"/>
      <c r="N1530" s="917"/>
      <c r="O1530" s="917"/>
      <c r="P1530" s="917"/>
      <c r="Q1530" s="578"/>
      <c r="R1530" s="578"/>
      <c r="S1530" s="578"/>
      <c r="T1530" s="578"/>
      <c r="U1530" s="578"/>
      <c r="V1530" s="578"/>
      <c r="W1530" s="578"/>
      <c r="X1530" s="578"/>
      <c r="Y1530" s="578"/>
      <c r="Z1530" s="578"/>
    </row>
    <row r="1531" spans="1:26" ht="18.75">
      <c r="A1531" s="682"/>
      <c r="B1531" s="682"/>
      <c r="C1531" s="682"/>
      <c r="D1531" s="914"/>
      <c r="E1531" s="682"/>
      <c r="F1531" s="682"/>
      <c r="G1531" s="682"/>
      <c r="H1531" s="915"/>
      <c r="I1531" s="916"/>
      <c r="J1531" s="916"/>
      <c r="K1531" s="917"/>
      <c r="L1531" s="917"/>
      <c r="M1531" s="917"/>
      <c r="N1531" s="917"/>
      <c r="O1531" s="917"/>
      <c r="P1531" s="917"/>
      <c r="Q1531" s="578"/>
      <c r="R1531" s="578"/>
      <c r="S1531" s="578"/>
      <c r="T1531" s="578"/>
      <c r="U1531" s="578"/>
      <c r="V1531" s="578"/>
      <c r="W1531" s="578"/>
      <c r="X1531" s="578"/>
      <c r="Y1531" s="578"/>
      <c r="Z1531" s="578"/>
    </row>
    <row r="1532" spans="1:26" ht="18.75">
      <c r="A1532" s="682"/>
      <c r="B1532" s="682"/>
      <c r="C1532" s="682"/>
      <c r="D1532" s="914"/>
      <c r="E1532" s="682"/>
      <c r="F1532" s="682"/>
      <c r="G1532" s="682"/>
      <c r="H1532" s="915"/>
      <c r="I1532" s="916"/>
      <c r="J1532" s="916"/>
      <c r="K1532" s="917"/>
      <c r="L1532" s="917"/>
      <c r="M1532" s="917"/>
      <c r="N1532" s="917"/>
      <c r="O1532" s="917"/>
      <c r="P1532" s="917"/>
      <c r="Q1532" s="578"/>
      <c r="R1532" s="578"/>
      <c r="S1532" s="578"/>
      <c r="T1532" s="578"/>
      <c r="U1532" s="578"/>
      <c r="V1532" s="578"/>
      <c r="W1532" s="578"/>
      <c r="X1532" s="578"/>
      <c r="Y1532" s="578"/>
      <c r="Z1532" s="578"/>
    </row>
    <row r="1533" spans="1:26" ht="18.75">
      <c r="A1533" s="682"/>
      <c r="B1533" s="682"/>
      <c r="C1533" s="682"/>
      <c r="D1533" s="914"/>
      <c r="E1533" s="682"/>
      <c r="F1533" s="682"/>
      <c r="G1533" s="682"/>
      <c r="H1533" s="915"/>
      <c r="I1533" s="916"/>
      <c r="J1533" s="916"/>
      <c r="K1533" s="917"/>
      <c r="L1533" s="917"/>
      <c r="M1533" s="917"/>
      <c r="N1533" s="917"/>
      <c r="O1533" s="917"/>
      <c r="P1533" s="917"/>
      <c r="Q1533" s="578"/>
      <c r="R1533" s="578"/>
      <c r="S1533" s="578"/>
      <c r="T1533" s="578"/>
      <c r="U1533" s="578"/>
      <c r="V1533" s="578"/>
      <c r="W1533" s="578"/>
      <c r="X1533" s="578"/>
      <c r="Y1533" s="578"/>
      <c r="Z1533" s="578"/>
    </row>
    <row r="1534" spans="1:26" ht="18.75">
      <c r="A1534" s="682"/>
      <c r="B1534" s="682"/>
      <c r="C1534" s="682"/>
      <c r="D1534" s="914"/>
      <c r="E1534" s="682"/>
      <c r="F1534" s="682"/>
      <c r="G1534" s="682"/>
      <c r="H1534" s="915"/>
      <c r="I1534" s="916"/>
      <c r="J1534" s="916"/>
      <c r="K1534" s="917"/>
      <c r="L1534" s="917"/>
      <c r="M1534" s="917"/>
      <c r="N1534" s="917"/>
      <c r="O1534" s="917"/>
      <c r="P1534" s="917"/>
      <c r="Q1534" s="578"/>
      <c r="R1534" s="578"/>
      <c r="S1534" s="578"/>
      <c r="T1534" s="578"/>
      <c r="U1534" s="578"/>
      <c r="V1534" s="578"/>
      <c r="W1534" s="578"/>
      <c r="X1534" s="578"/>
      <c r="Y1534" s="578"/>
      <c r="Z1534" s="578"/>
    </row>
    <row r="1535" spans="1:26" ht="18.75">
      <c r="A1535" s="682"/>
      <c r="B1535" s="682"/>
      <c r="C1535" s="682"/>
      <c r="D1535" s="914"/>
      <c r="E1535" s="682"/>
      <c r="F1535" s="682"/>
      <c r="G1535" s="682"/>
      <c r="H1535" s="915"/>
      <c r="I1535" s="916"/>
      <c r="J1535" s="916"/>
      <c r="K1535" s="917"/>
      <c r="L1535" s="917"/>
      <c r="M1535" s="917"/>
      <c r="N1535" s="917"/>
      <c r="O1535" s="917"/>
      <c r="P1535" s="917"/>
      <c r="Q1535" s="578"/>
      <c r="R1535" s="578"/>
      <c r="S1535" s="578"/>
      <c r="T1535" s="578"/>
      <c r="U1535" s="578"/>
      <c r="V1535" s="578"/>
      <c r="W1535" s="578"/>
      <c r="X1535" s="578"/>
      <c r="Y1535" s="578"/>
      <c r="Z1535" s="578"/>
    </row>
    <row r="1536" spans="1:26" ht="18.75">
      <c r="A1536" s="682"/>
      <c r="B1536" s="682"/>
      <c r="C1536" s="682"/>
      <c r="D1536" s="914"/>
      <c r="E1536" s="682"/>
      <c r="F1536" s="682"/>
      <c r="G1536" s="682"/>
      <c r="H1536" s="915"/>
      <c r="I1536" s="916"/>
      <c r="J1536" s="916"/>
      <c r="K1536" s="917"/>
      <c r="L1536" s="917"/>
      <c r="M1536" s="917"/>
      <c r="N1536" s="917"/>
      <c r="O1536" s="917"/>
      <c r="P1536" s="917"/>
      <c r="Q1536" s="578"/>
      <c r="R1536" s="578"/>
      <c r="S1536" s="578"/>
      <c r="T1536" s="578"/>
      <c r="U1536" s="578"/>
      <c r="V1536" s="578"/>
      <c r="W1536" s="578"/>
      <c r="X1536" s="578"/>
      <c r="Y1536" s="578"/>
      <c r="Z1536" s="578"/>
    </row>
    <row r="1537" spans="1:26" ht="18.75">
      <c r="A1537" s="682"/>
      <c r="B1537" s="682"/>
      <c r="C1537" s="682"/>
      <c r="D1537" s="914"/>
      <c r="E1537" s="682"/>
      <c r="F1537" s="682"/>
      <c r="G1537" s="682"/>
      <c r="H1537" s="915"/>
      <c r="I1537" s="916"/>
      <c r="J1537" s="916"/>
      <c r="K1537" s="917"/>
      <c r="L1537" s="917"/>
      <c r="M1537" s="917"/>
      <c r="N1537" s="917"/>
      <c r="O1537" s="917"/>
      <c r="P1537" s="917"/>
      <c r="Q1537" s="578"/>
      <c r="R1537" s="578"/>
      <c r="S1537" s="578"/>
      <c r="T1537" s="578"/>
      <c r="U1537" s="578"/>
      <c r="V1537" s="578"/>
      <c r="W1537" s="578"/>
      <c r="X1537" s="578"/>
      <c r="Y1537" s="578"/>
      <c r="Z1537" s="578"/>
    </row>
    <row r="1538" spans="1:26" ht="18.75">
      <c r="A1538" s="682"/>
      <c r="B1538" s="682"/>
      <c r="C1538" s="682"/>
      <c r="D1538" s="914"/>
      <c r="E1538" s="682"/>
      <c r="F1538" s="682"/>
      <c r="G1538" s="682"/>
      <c r="H1538" s="915"/>
      <c r="I1538" s="916"/>
      <c r="J1538" s="916"/>
      <c r="K1538" s="917"/>
      <c r="L1538" s="917"/>
      <c r="M1538" s="917"/>
      <c r="N1538" s="917"/>
      <c r="O1538" s="917"/>
      <c r="P1538" s="917"/>
      <c r="Q1538" s="578"/>
      <c r="R1538" s="578"/>
      <c r="S1538" s="578"/>
      <c r="T1538" s="578"/>
      <c r="U1538" s="578"/>
      <c r="V1538" s="578"/>
      <c r="W1538" s="578"/>
      <c r="X1538" s="578"/>
      <c r="Y1538" s="578"/>
      <c r="Z1538" s="578"/>
    </row>
    <row r="1539" spans="1:26" ht="18.75">
      <c r="A1539" s="682"/>
      <c r="B1539" s="682"/>
      <c r="C1539" s="682"/>
      <c r="D1539" s="914"/>
      <c r="E1539" s="682"/>
      <c r="F1539" s="682"/>
      <c r="G1539" s="682"/>
      <c r="H1539" s="915"/>
      <c r="I1539" s="916"/>
      <c r="J1539" s="916"/>
      <c r="K1539" s="917"/>
      <c r="L1539" s="917"/>
      <c r="M1539" s="917"/>
      <c r="N1539" s="917"/>
      <c r="O1539" s="917"/>
      <c r="P1539" s="917"/>
      <c r="Q1539" s="578"/>
      <c r="R1539" s="578"/>
      <c r="S1539" s="578"/>
      <c r="T1539" s="578"/>
      <c r="U1539" s="578"/>
      <c r="V1539" s="578"/>
      <c r="W1539" s="578"/>
      <c r="X1539" s="578"/>
      <c r="Y1539" s="578"/>
      <c r="Z1539" s="578"/>
    </row>
    <row r="1540" spans="1:26" ht="18.75">
      <c r="A1540" s="682"/>
      <c r="B1540" s="682"/>
      <c r="C1540" s="682"/>
      <c r="D1540" s="914"/>
      <c r="E1540" s="682"/>
      <c r="F1540" s="682"/>
      <c r="G1540" s="682"/>
      <c r="H1540" s="915"/>
      <c r="I1540" s="916"/>
      <c r="J1540" s="916"/>
      <c r="K1540" s="917"/>
      <c r="L1540" s="917"/>
      <c r="M1540" s="917"/>
      <c r="N1540" s="917"/>
      <c r="O1540" s="917"/>
      <c r="P1540" s="917"/>
      <c r="Q1540" s="578"/>
      <c r="R1540" s="578"/>
      <c r="S1540" s="578"/>
      <c r="T1540" s="578"/>
      <c r="U1540" s="578"/>
      <c r="V1540" s="578"/>
      <c r="W1540" s="578"/>
      <c r="X1540" s="578"/>
      <c r="Y1540" s="578"/>
      <c r="Z1540" s="578"/>
    </row>
    <row r="1541" spans="1:26" ht="18.75">
      <c r="A1541" s="682"/>
      <c r="B1541" s="682"/>
      <c r="C1541" s="682"/>
      <c r="D1541" s="914"/>
      <c r="E1541" s="682"/>
      <c r="F1541" s="682"/>
      <c r="G1541" s="682"/>
      <c r="H1541" s="915"/>
      <c r="I1541" s="916"/>
      <c r="J1541" s="916"/>
      <c r="K1541" s="917"/>
      <c r="L1541" s="917"/>
      <c r="M1541" s="917"/>
      <c r="N1541" s="917"/>
      <c r="O1541" s="917"/>
      <c r="P1541" s="917"/>
      <c r="Q1541" s="578"/>
      <c r="R1541" s="578"/>
      <c r="S1541" s="578"/>
      <c r="T1541" s="578"/>
      <c r="U1541" s="578"/>
      <c r="V1541" s="578"/>
      <c r="W1541" s="578"/>
      <c r="X1541" s="578"/>
      <c r="Y1541" s="578"/>
      <c r="Z1541" s="578"/>
    </row>
    <row r="1542" spans="1:26" ht="18.75">
      <c r="A1542" s="682"/>
      <c r="B1542" s="682"/>
      <c r="C1542" s="682"/>
      <c r="D1542" s="914"/>
      <c r="E1542" s="682"/>
      <c r="F1542" s="682"/>
      <c r="G1542" s="682"/>
      <c r="H1542" s="915"/>
      <c r="I1542" s="916"/>
      <c r="J1542" s="916"/>
      <c r="K1542" s="917"/>
      <c r="L1542" s="917"/>
      <c r="M1542" s="917"/>
      <c r="N1542" s="917"/>
      <c r="O1542" s="917"/>
      <c r="P1542" s="917"/>
      <c r="Q1542" s="578"/>
      <c r="R1542" s="578"/>
      <c r="S1542" s="578"/>
      <c r="T1542" s="578"/>
      <c r="U1542" s="578"/>
      <c r="V1542" s="578"/>
      <c r="W1542" s="578"/>
      <c r="X1542" s="578"/>
      <c r="Y1542" s="578"/>
      <c r="Z1542" s="578"/>
    </row>
    <row r="1543" spans="1:26" ht="18.75">
      <c r="A1543" s="682"/>
      <c r="B1543" s="682"/>
      <c r="C1543" s="682"/>
      <c r="D1543" s="914"/>
      <c r="E1543" s="682"/>
      <c r="F1543" s="682"/>
      <c r="G1543" s="682"/>
      <c r="H1543" s="915"/>
      <c r="I1543" s="916"/>
      <c r="J1543" s="916"/>
      <c r="K1543" s="917"/>
      <c r="L1543" s="917"/>
      <c r="M1543" s="917"/>
      <c r="N1543" s="917"/>
      <c r="O1543" s="917"/>
      <c r="P1543" s="917"/>
      <c r="Q1543" s="578"/>
      <c r="R1543" s="578"/>
      <c r="S1543" s="578"/>
      <c r="T1543" s="578"/>
      <c r="U1543" s="578"/>
      <c r="V1543" s="578"/>
      <c r="W1543" s="578"/>
      <c r="X1543" s="578"/>
      <c r="Y1543" s="578"/>
      <c r="Z1543" s="578"/>
    </row>
    <row r="1544" spans="1:26" ht="18.75">
      <c r="A1544" s="682"/>
      <c r="B1544" s="682"/>
      <c r="C1544" s="682"/>
      <c r="D1544" s="914"/>
      <c r="E1544" s="682"/>
      <c r="F1544" s="682"/>
      <c r="G1544" s="682"/>
      <c r="H1544" s="915"/>
      <c r="I1544" s="916"/>
      <c r="J1544" s="916"/>
      <c r="K1544" s="917"/>
      <c r="L1544" s="917"/>
      <c r="M1544" s="917"/>
      <c r="N1544" s="917"/>
      <c r="O1544" s="917"/>
      <c r="P1544" s="917"/>
      <c r="Q1544" s="578"/>
      <c r="R1544" s="578"/>
      <c r="S1544" s="578"/>
      <c r="T1544" s="578"/>
      <c r="U1544" s="578"/>
      <c r="V1544" s="578"/>
      <c r="W1544" s="578"/>
      <c r="X1544" s="578"/>
      <c r="Y1544" s="578"/>
      <c r="Z1544" s="578"/>
    </row>
    <row r="1545" spans="1:26" ht="18.75">
      <c r="A1545" s="682"/>
      <c r="B1545" s="682"/>
      <c r="C1545" s="682"/>
      <c r="D1545" s="914"/>
      <c r="E1545" s="682"/>
      <c r="F1545" s="682"/>
      <c r="G1545" s="682"/>
      <c r="H1545" s="915"/>
      <c r="I1545" s="916"/>
      <c r="J1545" s="916"/>
      <c r="K1545" s="917"/>
      <c r="L1545" s="917"/>
      <c r="M1545" s="917"/>
      <c r="N1545" s="917"/>
      <c r="O1545" s="917"/>
      <c r="P1545" s="917"/>
      <c r="Q1545" s="578"/>
      <c r="R1545" s="578"/>
      <c r="S1545" s="578"/>
      <c r="T1545" s="578"/>
      <c r="U1545" s="578"/>
      <c r="V1545" s="578"/>
      <c r="W1545" s="578"/>
      <c r="X1545" s="578"/>
      <c r="Y1545" s="578"/>
      <c r="Z1545" s="578"/>
    </row>
    <row r="1546" spans="1:26" ht="18.75">
      <c r="A1546" s="682"/>
      <c r="B1546" s="682"/>
      <c r="C1546" s="682"/>
      <c r="D1546" s="914"/>
      <c r="E1546" s="682"/>
      <c r="F1546" s="682"/>
      <c r="G1546" s="682"/>
      <c r="H1546" s="915"/>
      <c r="I1546" s="916"/>
      <c r="J1546" s="916"/>
      <c r="K1546" s="917"/>
      <c r="L1546" s="917"/>
      <c r="M1546" s="917"/>
      <c r="N1546" s="917"/>
      <c r="O1546" s="917"/>
      <c r="P1546" s="917"/>
      <c r="Q1546" s="578"/>
      <c r="R1546" s="578"/>
      <c r="S1546" s="578"/>
      <c r="T1546" s="578"/>
      <c r="U1546" s="578"/>
      <c r="V1546" s="578"/>
      <c r="W1546" s="578"/>
      <c r="X1546" s="578"/>
      <c r="Y1546" s="578"/>
      <c r="Z1546" s="578"/>
    </row>
    <row r="1547" spans="1:26" ht="18.75">
      <c r="A1547" s="682"/>
      <c r="B1547" s="682"/>
      <c r="C1547" s="682"/>
      <c r="D1547" s="914"/>
      <c r="E1547" s="682"/>
      <c r="F1547" s="682"/>
      <c r="G1547" s="682"/>
      <c r="H1547" s="915"/>
      <c r="I1547" s="916"/>
      <c r="J1547" s="916"/>
      <c r="K1547" s="917"/>
      <c r="L1547" s="917"/>
      <c r="M1547" s="917"/>
      <c r="N1547" s="917"/>
      <c r="O1547" s="917"/>
      <c r="P1547" s="917"/>
      <c r="Q1547" s="578"/>
      <c r="R1547" s="578"/>
      <c r="S1547" s="578"/>
      <c r="T1547" s="578"/>
      <c r="U1547" s="578"/>
      <c r="V1547" s="578"/>
      <c r="W1547" s="578"/>
      <c r="X1547" s="578"/>
      <c r="Y1547" s="578"/>
      <c r="Z1547" s="578"/>
    </row>
    <row r="1548" spans="1:26" ht="18.75">
      <c r="A1548" s="682"/>
      <c r="B1548" s="682"/>
      <c r="C1548" s="682"/>
      <c r="D1548" s="914"/>
      <c r="E1548" s="682"/>
      <c r="F1548" s="682"/>
      <c r="G1548" s="682"/>
      <c r="H1548" s="915"/>
      <c r="I1548" s="916"/>
      <c r="J1548" s="916"/>
      <c r="K1548" s="917"/>
      <c r="L1548" s="917"/>
      <c r="M1548" s="917"/>
      <c r="N1548" s="917"/>
      <c r="O1548" s="917"/>
      <c r="P1548" s="917"/>
      <c r="Q1548" s="578"/>
      <c r="R1548" s="578"/>
      <c r="S1548" s="578"/>
      <c r="T1548" s="578"/>
      <c r="U1548" s="578"/>
      <c r="V1548" s="578"/>
      <c r="W1548" s="578"/>
      <c r="X1548" s="578"/>
      <c r="Y1548" s="578"/>
      <c r="Z1548" s="578"/>
    </row>
    <row r="1549" spans="1:26" ht="18.75">
      <c r="A1549" s="682"/>
      <c r="B1549" s="682"/>
      <c r="C1549" s="682"/>
      <c r="D1549" s="914"/>
      <c r="E1549" s="682"/>
      <c r="F1549" s="682"/>
      <c r="G1549" s="682"/>
      <c r="H1549" s="915"/>
      <c r="I1549" s="916"/>
      <c r="J1549" s="916"/>
      <c r="K1549" s="917"/>
      <c r="L1549" s="917"/>
      <c r="M1549" s="917"/>
      <c r="N1549" s="917"/>
      <c r="O1549" s="917"/>
      <c r="P1549" s="917"/>
      <c r="Q1549" s="578"/>
      <c r="R1549" s="578"/>
      <c r="S1549" s="578"/>
      <c r="T1549" s="578"/>
      <c r="U1549" s="578"/>
      <c r="V1549" s="578"/>
      <c r="W1549" s="578"/>
      <c r="X1549" s="578"/>
      <c r="Y1549" s="578"/>
      <c r="Z1549" s="578"/>
    </row>
    <row r="1550" spans="1:26" ht="18.75">
      <c r="A1550" s="682"/>
      <c r="B1550" s="682"/>
      <c r="C1550" s="682"/>
      <c r="D1550" s="914"/>
      <c r="E1550" s="682"/>
      <c r="F1550" s="682"/>
      <c r="G1550" s="682"/>
      <c r="H1550" s="915"/>
      <c r="I1550" s="916"/>
      <c r="J1550" s="916"/>
      <c r="K1550" s="917"/>
      <c r="L1550" s="917"/>
      <c r="M1550" s="917"/>
      <c r="N1550" s="917"/>
      <c r="O1550" s="917"/>
      <c r="P1550" s="917"/>
      <c r="Q1550" s="578"/>
      <c r="R1550" s="578"/>
      <c r="S1550" s="578"/>
      <c r="T1550" s="578"/>
      <c r="U1550" s="578"/>
      <c r="V1550" s="578"/>
      <c r="W1550" s="578"/>
      <c r="X1550" s="578"/>
      <c r="Y1550" s="578"/>
      <c r="Z1550" s="578"/>
    </row>
    <row r="1551" spans="1:26" ht="18.75">
      <c r="A1551" s="682"/>
      <c r="B1551" s="682"/>
      <c r="C1551" s="682"/>
      <c r="D1551" s="914"/>
      <c r="E1551" s="682"/>
      <c r="F1551" s="682"/>
      <c r="G1551" s="682"/>
      <c r="H1551" s="915"/>
      <c r="I1551" s="916"/>
      <c r="J1551" s="916"/>
      <c r="K1551" s="917"/>
      <c r="L1551" s="917"/>
      <c r="M1551" s="917"/>
      <c r="N1551" s="917"/>
      <c r="O1551" s="917"/>
      <c r="P1551" s="917"/>
      <c r="Q1551" s="578"/>
      <c r="R1551" s="578"/>
      <c r="S1551" s="578"/>
      <c r="T1551" s="578"/>
      <c r="U1551" s="578"/>
      <c r="V1551" s="578"/>
      <c r="W1551" s="578"/>
      <c r="X1551" s="578"/>
      <c r="Y1551" s="578"/>
      <c r="Z1551" s="578"/>
    </row>
    <row r="1552" spans="1:26" ht="18.75">
      <c r="A1552" s="682"/>
      <c r="B1552" s="682"/>
      <c r="C1552" s="682"/>
      <c r="D1552" s="914"/>
      <c r="E1552" s="682"/>
      <c r="F1552" s="682"/>
      <c r="G1552" s="682"/>
      <c r="H1552" s="915"/>
      <c r="I1552" s="916"/>
      <c r="J1552" s="916"/>
      <c r="K1552" s="917"/>
      <c r="L1552" s="917"/>
      <c r="M1552" s="917"/>
      <c r="N1552" s="917"/>
      <c r="O1552" s="917"/>
      <c r="P1552" s="917"/>
      <c r="Q1552" s="578"/>
      <c r="R1552" s="578"/>
      <c r="S1552" s="578"/>
      <c r="T1552" s="578"/>
      <c r="U1552" s="578"/>
      <c r="V1552" s="578"/>
      <c r="W1552" s="578"/>
      <c r="X1552" s="578"/>
      <c r="Y1552" s="578"/>
      <c r="Z1552" s="578"/>
    </row>
    <row r="1553" spans="1:26" ht="18.75">
      <c r="A1553" s="682"/>
      <c r="B1553" s="682"/>
      <c r="C1553" s="682"/>
      <c r="D1553" s="914"/>
      <c r="E1553" s="682"/>
      <c r="F1553" s="682"/>
      <c r="G1553" s="682"/>
      <c r="H1553" s="915"/>
      <c r="I1553" s="916"/>
      <c r="J1553" s="916"/>
      <c r="K1553" s="917"/>
      <c r="L1553" s="917"/>
      <c r="M1553" s="917"/>
      <c r="N1553" s="917"/>
      <c r="O1553" s="917"/>
      <c r="P1553" s="917"/>
      <c r="Q1553" s="578"/>
      <c r="R1553" s="578"/>
      <c r="S1553" s="578"/>
      <c r="T1553" s="578"/>
      <c r="U1553" s="578"/>
      <c r="V1553" s="578"/>
      <c r="W1553" s="578"/>
      <c r="X1553" s="578"/>
      <c r="Y1553" s="578"/>
      <c r="Z1553" s="578"/>
    </row>
    <row r="1554" spans="1:26" ht="18.75">
      <c r="A1554" s="682"/>
      <c r="B1554" s="682"/>
      <c r="C1554" s="682"/>
      <c r="D1554" s="914"/>
      <c r="E1554" s="682"/>
      <c r="F1554" s="682"/>
      <c r="G1554" s="682"/>
      <c r="H1554" s="915"/>
      <c r="I1554" s="916"/>
      <c r="J1554" s="916"/>
      <c r="K1554" s="917"/>
      <c r="L1554" s="917"/>
      <c r="M1554" s="917"/>
      <c r="N1554" s="917"/>
      <c r="O1554" s="917"/>
      <c r="P1554" s="917"/>
      <c r="Q1554" s="578"/>
      <c r="R1554" s="578"/>
      <c r="S1554" s="578"/>
      <c r="T1554" s="578"/>
      <c r="U1554" s="578"/>
      <c r="V1554" s="578"/>
      <c r="W1554" s="578"/>
      <c r="X1554" s="578"/>
      <c r="Y1554" s="578"/>
      <c r="Z1554" s="578"/>
    </row>
    <row r="1555" spans="1:26" ht="18.75">
      <c r="A1555" s="682"/>
      <c r="B1555" s="682"/>
      <c r="C1555" s="682"/>
      <c r="D1555" s="914"/>
      <c r="E1555" s="682"/>
      <c r="F1555" s="682"/>
      <c r="G1555" s="682"/>
      <c r="H1555" s="915"/>
      <c r="I1555" s="916"/>
      <c r="J1555" s="916"/>
      <c r="K1555" s="917"/>
      <c r="L1555" s="917"/>
      <c r="M1555" s="917"/>
      <c r="N1555" s="917"/>
      <c r="O1555" s="917"/>
      <c r="P1555" s="917"/>
      <c r="Q1555" s="578"/>
      <c r="R1555" s="578"/>
      <c r="S1555" s="578"/>
      <c r="T1555" s="578"/>
      <c r="U1555" s="578"/>
      <c r="V1555" s="578"/>
      <c r="W1555" s="578"/>
      <c r="X1555" s="578"/>
      <c r="Y1555" s="578"/>
      <c r="Z1555" s="578"/>
    </row>
    <row r="1556" spans="1:26" ht="18.75">
      <c r="A1556" s="682"/>
      <c r="B1556" s="682"/>
      <c r="C1556" s="682"/>
      <c r="D1556" s="914"/>
      <c r="E1556" s="682"/>
      <c r="F1556" s="682"/>
      <c r="G1556" s="682"/>
      <c r="H1556" s="915"/>
      <c r="I1556" s="916"/>
      <c r="J1556" s="916"/>
      <c r="K1556" s="917"/>
      <c r="L1556" s="917"/>
      <c r="M1556" s="917"/>
      <c r="N1556" s="917"/>
      <c r="O1556" s="917"/>
      <c r="P1556" s="917"/>
      <c r="Q1556" s="578"/>
      <c r="R1556" s="578"/>
      <c r="S1556" s="578"/>
      <c r="T1556" s="578"/>
      <c r="U1556" s="578"/>
      <c r="V1556" s="578"/>
      <c r="W1556" s="578"/>
      <c r="X1556" s="578"/>
      <c r="Y1556" s="578"/>
      <c r="Z1556" s="578"/>
    </row>
    <row r="1557" spans="1:26" ht="18.75">
      <c r="A1557" s="682"/>
      <c r="B1557" s="682"/>
      <c r="C1557" s="682"/>
      <c r="D1557" s="914"/>
      <c r="E1557" s="682"/>
      <c r="F1557" s="682"/>
      <c r="G1557" s="682"/>
      <c r="H1557" s="915"/>
      <c r="I1557" s="916"/>
      <c r="J1557" s="916"/>
      <c r="K1557" s="917"/>
      <c r="L1557" s="917"/>
      <c r="M1557" s="917"/>
      <c r="N1557" s="917"/>
      <c r="O1557" s="917"/>
      <c r="P1557" s="917"/>
      <c r="Q1557" s="578"/>
      <c r="R1557" s="578"/>
      <c r="S1557" s="578"/>
      <c r="T1557" s="578"/>
      <c r="U1557" s="578"/>
      <c r="V1557" s="578"/>
      <c r="W1557" s="578"/>
      <c r="X1557" s="578"/>
      <c r="Y1557" s="578"/>
      <c r="Z1557" s="578"/>
    </row>
    <row r="1558" spans="1:26" ht="18.75">
      <c r="A1558" s="682"/>
      <c r="B1558" s="682"/>
      <c r="C1558" s="682"/>
      <c r="D1558" s="914"/>
      <c r="E1558" s="682"/>
      <c r="F1558" s="682"/>
      <c r="G1558" s="682"/>
      <c r="H1558" s="915"/>
      <c r="I1558" s="916"/>
      <c r="J1558" s="916"/>
      <c r="K1558" s="917"/>
      <c r="L1558" s="917"/>
      <c r="M1558" s="917"/>
      <c r="N1558" s="917"/>
      <c r="O1558" s="917"/>
      <c r="P1558" s="917"/>
      <c r="Q1558" s="578"/>
      <c r="R1558" s="578"/>
      <c r="S1558" s="578"/>
      <c r="T1558" s="578"/>
      <c r="U1558" s="578"/>
      <c r="V1558" s="578"/>
      <c r="W1558" s="578"/>
      <c r="X1558" s="578"/>
      <c r="Y1558" s="578"/>
      <c r="Z1558" s="578"/>
    </row>
    <row r="1559" spans="1:26" ht="18.75">
      <c r="A1559" s="682"/>
      <c r="B1559" s="682"/>
      <c r="C1559" s="682"/>
      <c r="D1559" s="914"/>
      <c r="E1559" s="682"/>
      <c r="F1559" s="682"/>
      <c r="G1559" s="682"/>
      <c r="H1559" s="915"/>
      <c r="I1559" s="916"/>
      <c r="J1559" s="916"/>
      <c r="K1559" s="917"/>
      <c r="L1559" s="917"/>
      <c r="M1559" s="917"/>
      <c r="N1559" s="917"/>
      <c r="O1559" s="917"/>
      <c r="P1559" s="917"/>
      <c r="Q1559" s="578"/>
      <c r="R1559" s="578"/>
      <c r="S1559" s="578"/>
      <c r="T1559" s="578"/>
      <c r="U1559" s="578"/>
      <c r="V1559" s="578"/>
      <c r="W1559" s="578"/>
      <c r="X1559" s="578"/>
      <c r="Y1559" s="578"/>
      <c r="Z1559" s="578"/>
    </row>
    <row r="1560" spans="1:26" ht="18.75">
      <c r="A1560" s="682"/>
      <c r="B1560" s="682"/>
      <c r="C1560" s="682"/>
      <c r="D1560" s="914"/>
      <c r="E1560" s="682"/>
      <c r="F1560" s="682"/>
      <c r="G1560" s="682"/>
      <c r="H1560" s="915"/>
      <c r="I1560" s="916"/>
      <c r="J1560" s="916"/>
      <c r="K1560" s="917"/>
      <c r="L1560" s="917"/>
      <c r="M1560" s="917"/>
      <c r="N1560" s="917"/>
      <c r="O1560" s="917"/>
      <c r="P1560" s="917"/>
      <c r="Q1560" s="578"/>
      <c r="R1560" s="578"/>
      <c r="S1560" s="578"/>
      <c r="T1560" s="578"/>
      <c r="U1560" s="578"/>
      <c r="V1560" s="578"/>
      <c r="W1560" s="578"/>
      <c r="X1560" s="578"/>
      <c r="Y1560" s="578"/>
      <c r="Z1560" s="578"/>
    </row>
    <row r="1561" spans="1:26" ht="18.75">
      <c r="A1561" s="682"/>
      <c r="B1561" s="682"/>
      <c r="C1561" s="682"/>
      <c r="D1561" s="914"/>
      <c r="E1561" s="682"/>
      <c r="F1561" s="682"/>
      <c r="G1561" s="682"/>
      <c r="H1561" s="915"/>
      <c r="I1561" s="916"/>
      <c r="J1561" s="916"/>
      <c r="K1561" s="917"/>
      <c r="L1561" s="917"/>
      <c r="M1561" s="917"/>
      <c r="N1561" s="917"/>
      <c r="O1561" s="917"/>
      <c r="P1561" s="917"/>
      <c r="Q1561" s="578"/>
      <c r="R1561" s="578"/>
      <c r="S1561" s="578"/>
      <c r="T1561" s="578"/>
      <c r="U1561" s="578"/>
      <c r="V1561" s="578"/>
      <c r="W1561" s="578"/>
      <c r="X1561" s="578"/>
      <c r="Y1561" s="578"/>
      <c r="Z1561" s="578"/>
    </row>
    <row r="1562" spans="1:26" ht="18.75">
      <c r="A1562" s="682"/>
      <c r="B1562" s="682"/>
      <c r="C1562" s="682"/>
      <c r="D1562" s="914"/>
      <c r="E1562" s="682"/>
      <c r="F1562" s="682"/>
      <c r="G1562" s="682"/>
      <c r="H1562" s="915"/>
      <c r="I1562" s="916"/>
      <c r="J1562" s="916"/>
      <c r="K1562" s="917"/>
      <c r="L1562" s="917"/>
      <c r="M1562" s="917"/>
      <c r="N1562" s="917"/>
      <c r="O1562" s="917"/>
      <c r="P1562" s="917"/>
      <c r="Q1562" s="578"/>
      <c r="R1562" s="578"/>
      <c r="S1562" s="578"/>
      <c r="T1562" s="578"/>
      <c r="U1562" s="578"/>
      <c r="V1562" s="578"/>
      <c r="W1562" s="578"/>
      <c r="X1562" s="578"/>
      <c r="Y1562" s="578"/>
      <c r="Z1562" s="578"/>
    </row>
    <row r="1563" spans="1:26" ht="18.75">
      <c r="A1563" s="682"/>
      <c r="B1563" s="682"/>
      <c r="C1563" s="682"/>
      <c r="D1563" s="914"/>
      <c r="E1563" s="682"/>
      <c r="F1563" s="682"/>
      <c r="G1563" s="682"/>
      <c r="H1563" s="915"/>
      <c r="I1563" s="916"/>
      <c r="J1563" s="916"/>
      <c r="K1563" s="917"/>
      <c r="L1563" s="917"/>
      <c r="M1563" s="917"/>
      <c r="N1563" s="917"/>
      <c r="O1563" s="917"/>
      <c r="P1563" s="917"/>
      <c r="Q1563" s="578"/>
      <c r="R1563" s="578"/>
      <c r="S1563" s="578"/>
      <c r="T1563" s="578"/>
      <c r="U1563" s="578"/>
      <c r="V1563" s="578"/>
      <c r="W1563" s="578"/>
      <c r="X1563" s="578"/>
      <c r="Y1563" s="578"/>
      <c r="Z1563" s="578"/>
    </row>
    <row r="1564" spans="1:26" ht="18.75">
      <c r="A1564" s="682"/>
      <c r="B1564" s="682"/>
      <c r="C1564" s="682"/>
      <c r="D1564" s="914"/>
      <c r="E1564" s="682"/>
      <c r="F1564" s="682"/>
      <c r="G1564" s="682"/>
      <c r="H1564" s="915"/>
      <c r="I1564" s="916"/>
      <c r="J1564" s="916"/>
      <c r="K1564" s="917"/>
      <c r="L1564" s="917"/>
      <c r="M1564" s="917"/>
      <c r="N1564" s="917"/>
      <c r="O1564" s="917"/>
      <c r="P1564" s="917"/>
      <c r="Q1564" s="578"/>
      <c r="R1564" s="578"/>
      <c r="S1564" s="578"/>
      <c r="T1564" s="578"/>
      <c r="U1564" s="578"/>
      <c r="V1564" s="578"/>
      <c r="W1564" s="578"/>
      <c r="X1564" s="578"/>
      <c r="Y1564" s="578"/>
      <c r="Z1564" s="578"/>
    </row>
    <row r="1565" spans="1:26" ht="18.75">
      <c r="A1565" s="682"/>
      <c r="B1565" s="682"/>
      <c r="C1565" s="682"/>
      <c r="D1565" s="914"/>
      <c r="E1565" s="682"/>
      <c r="F1565" s="682"/>
      <c r="G1565" s="682"/>
      <c r="H1565" s="915"/>
      <c r="I1565" s="916"/>
      <c r="J1565" s="916"/>
      <c r="K1565" s="917"/>
      <c r="L1565" s="917"/>
      <c r="M1565" s="917"/>
      <c r="N1565" s="917"/>
      <c r="O1565" s="917"/>
      <c r="P1565" s="917"/>
      <c r="Q1565" s="578"/>
      <c r="R1565" s="578"/>
      <c r="S1565" s="578"/>
      <c r="T1565" s="578"/>
      <c r="U1565" s="578"/>
      <c r="V1565" s="578"/>
      <c r="W1565" s="578"/>
      <c r="X1565" s="578"/>
      <c r="Y1565" s="578"/>
      <c r="Z1565" s="578"/>
    </row>
    <row r="1566" spans="1:26" ht="18.75">
      <c r="A1566" s="682"/>
      <c r="B1566" s="682"/>
      <c r="C1566" s="682"/>
      <c r="D1566" s="914"/>
      <c r="E1566" s="682"/>
      <c r="F1566" s="682"/>
      <c r="G1566" s="682"/>
      <c r="H1566" s="915"/>
      <c r="I1566" s="916"/>
      <c r="J1566" s="916"/>
      <c r="K1566" s="917"/>
      <c r="L1566" s="917"/>
      <c r="M1566" s="917"/>
      <c r="N1566" s="917"/>
      <c r="O1566" s="917"/>
      <c r="P1566" s="917"/>
      <c r="Q1566" s="578"/>
      <c r="R1566" s="578"/>
      <c r="S1566" s="578"/>
      <c r="T1566" s="578"/>
      <c r="U1566" s="578"/>
      <c r="V1566" s="578"/>
      <c r="W1566" s="578"/>
      <c r="X1566" s="578"/>
      <c r="Y1566" s="578"/>
      <c r="Z1566" s="578"/>
    </row>
    <row r="1567" spans="1:26" ht="18.75">
      <c r="A1567" s="682"/>
      <c r="B1567" s="682"/>
      <c r="C1567" s="682"/>
      <c r="D1567" s="914"/>
      <c r="E1567" s="682"/>
      <c r="F1567" s="682"/>
      <c r="G1567" s="682"/>
      <c r="H1567" s="915"/>
      <c r="I1567" s="916"/>
      <c r="J1567" s="916"/>
      <c r="K1567" s="917"/>
      <c r="L1567" s="917"/>
      <c r="M1567" s="917"/>
      <c r="N1567" s="917"/>
      <c r="O1567" s="917"/>
      <c r="P1567" s="917"/>
      <c r="Q1567" s="578"/>
      <c r="R1567" s="578"/>
      <c r="S1567" s="578"/>
      <c r="T1567" s="578"/>
      <c r="U1567" s="578"/>
      <c r="V1567" s="578"/>
      <c r="W1567" s="578"/>
      <c r="X1567" s="578"/>
      <c r="Y1567" s="578"/>
      <c r="Z1567" s="578"/>
    </row>
    <row r="1568" spans="1:26" ht="18.75">
      <c r="A1568" s="682"/>
      <c r="B1568" s="682"/>
      <c r="C1568" s="682"/>
      <c r="D1568" s="914"/>
      <c r="E1568" s="682"/>
      <c r="F1568" s="682"/>
      <c r="G1568" s="682"/>
      <c r="H1568" s="915"/>
      <c r="I1568" s="916"/>
      <c r="J1568" s="916"/>
      <c r="K1568" s="917"/>
      <c r="L1568" s="917"/>
      <c r="M1568" s="917"/>
      <c r="N1568" s="917"/>
      <c r="O1568" s="917"/>
      <c r="P1568" s="917"/>
      <c r="Q1568" s="578"/>
      <c r="R1568" s="578"/>
      <c r="S1568" s="578"/>
      <c r="T1568" s="578"/>
      <c r="U1568" s="578"/>
      <c r="V1568" s="578"/>
      <c r="W1568" s="578"/>
      <c r="X1568" s="578"/>
      <c r="Y1568" s="578"/>
      <c r="Z1568" s="578"/>
    </row>
    <row r="1569" spans="1:26" ht="18.75">
      <c r="A1569" s="682"/>
      <c r="B1569" s="682"/>
      <c r="C1569" s="682"/>
      <c r="D1569" s="914"/>
      <c r="E1569" s="682"/>
      <c r="F1569" s="682"/>
      <c r="G1569" s="682"/>
      <c r="H1569" s="915"/>
      <c r="I1569" s="916"/>
      <c r="J1569" s="916"/>
      <c r="K1569" s="917"/>
      <c r="L1569" s="917"/>
      <c r="M1569" s="917"/>
      <c r="N1569" s="917"/>
      <c r="O1569" s="917"/>
      <c r="P1569" s="917"/>
      <c r="Q1569" s="578"/>
      <c r="R1569" s="578"/>
      <c r="S1569" s="578"/>
      <c r="T1569" s="578"/>
      <c r="U1569" s="578"/>
      <c r="V1569" s="578"/>
      <c r="W1569" s="578"/>
      <c r="X1569" s="578"/>
      <c r="Y1569" s="578"/>
      <c r="Z1569" s="578"/>
    </row>
    <row r="1570" spans="1:26" ht="18.75">
      <c r="A1570" s="682"/>
      <c r="B1570" s="682"/>
      <c r="C1570" s="682"/>
      <c r="D1570" s="914"/>
      <c r="E1570" s="682"/>
      <c r="F1570" s="682"/>
      <c r="G1570" s="682"/>
      <c r="H1570" s="915"/>
      <c r="I1570" s="916"/>
      <c r="J1570" s="916"/>
      <c r="K1570" s="917"/>
      <c r="L1570" s="917"/>
      <c r="M1570" s="917"/>
      <c r="N1570" s="917"/>
      <c r="O1570" s="917"/>
      <c r="P1570" s="917"/>
      <c r="Q1570" s="578"/>
      <c r="R1570" s="578"/>
      <c r="S1570" s="578"/>
      <c r="T1570" s="578"/>
      <c r="U1570" s="578"/>
      <c r="V1570" s="578"/>
      <c r="W1570" s="578"/>
      <c r="X1570" s="578"/>
      <c r="Y1570" s="578"/>
      <c r="Z1570" s="578"/>
    </row>
    <row r="1571" spans="1:26" ht="18.75">
      <c r="A1571" s="682"/>
      <c r="B1571" s="682"/>
      <c r="C1571" s="682"/>
      <c r="D1571" s="914"/>
      <c r="E1571" s="682"/>
      <c r="F1571" s="682"/>
      <c r="G1571" s="682"/>
      <c r="H1571" s="915"/>
      <c r="I1571" s="916"/>
      <c r="J1571" s="916"/>
      <c r="K1571" s="917"/>
      <c r="L1571" s="917"/>
      <c r="M1571" s="917"/>
      <c r="N1571" s="917"/>
      <c r="O1571" s="917"/>
      <c r="P1571" s="917"/>
      <c r="Q1571" s="578"/>
      <c r="R1571" s="578"/>
      <c r="S1571" s="578"/>
      <c r="T1571" s="578"/>
      <c r="U1571" s="578"/>
      <c r="V1571" s="578"/>
      <c r="W1571" s="578"/>
      <c r="X1571" s="578"/>
      <c r="Y1571" s="578"/>
      <c r="Z1571" s="578"/>
    </row>
    <row r="1572" spans="1:26" ht="18.75">
      <c r="A1572" s="682"/>
      <c r="B1572" s="682"/>
      <c r="C1572" s="682"/>
      <c r="D1572" s="914"/>
      <c r="E1572" s="682"/>
      <c r="F1572" s="682"/>
      <c r="G1572" s="682"/>
      <c r="H1572" s="915"/>
      <c r="I1572" s="916"/>
      <c r="J1572" s="916"/>
      <c r="K1572" s="917"/>
      <c r="L1572" s="917"/>
      <c r="M1572" s="917"/>
      <c r="N1572" s="917"/>
      <c r="O1572" s="917"/>
      <c r="P1572" s="917"/>
      <c r="Q1572" s="578"/>
      <c r="R1572" s="578"/>
      <c r="S1572" s="578"/>
      <c r="T1572" s="578"/>
      <c r="U1572" s="578"/>
      <c r="V1572" s="578"/>
      <c r="W1572" s="578"/>
      <c r="X1572" s="578"/>
      <c r="Y1572" s="578"/>
      <c r="Z1572" s="578"/>
    </row>
    <row r="1573" spans="1:26" ht="18.75">
      <c r="A1573" s="682"/>
      <c r="B1573" s="682"/>
      <c r="C1573" s="682"/>
      <c r="D1573" s="914"/>
      <c r="E1573" s="682"/>
      <c r="F1573" s="682"/>
      <c r="G1573" s="682"/>
      <c r="H1573" s="915"/>
      <c r="I1573" s="916"/>
      <c r="J1573" s="916"/>
      <c r="K1573" s="917"/>
      <c r="L1573" s="917"/>
      <c r="M1573" s="917"/>
      <c r="N1573" s="917"/>
      <c r="O1573" s="917"/>
      <c r="P1573" s="917"/>
      <c r="Q1573" s="578"/>
      <c r="R1573" s="578"/>
      <c r="S1573" s="578"/>
      <c r="T1573" s="578"/>
      <c r="U1573" s="578"/>
      <c r="V1573" s="578"/>
      <c r="W1573" s="578"/>
      <c r="X1573" s="578"/>
      <c r="Y1573" s="578"/>
      <c r="Z1573" s="578"/>
    </row>
    <row r="1574" spans="1:26" ht="18.75">
      <c r="A1574" s="682"/>
      <c r="B1574" s="682"/>
      <c r="C1574" s="682"/>
      <c r="D1574" s="914"/>
      <c r="E1574" s="682"/>
      <c r="F1574" s="682"/>
      <c r="G1574" s="682"/>
      <c r="H1574" s="915"/>
      <c r="I1574" s="916"/>
      <c r="J1574" s="916"/>
      <c r="K1574" s="917"/>
      <c r="L1574" s="917"/>
      <c r="M1574" s="917"/>
      <c r="N1574" s="917"/>
      <c r="O1574" s="917"/>
      <c r="P1574" s="917"/>
      <c r="Q1574" s="578"/>
      <c r="R1574" s="578"/>
      <c r="S1574" s="578"/>
      <c r="T1574" s="578"/>
      <c r="U1574" s="578"/>
      <c r="V1574" s="578"/>
      <c r="W1574" s="578"/>
      <c r="X1574" s="578"/>
      <c r="Y1574" s="578"/>
      <c r="Z1574" s="578"/>
    </row>
    <row r="1575" spans="1:26" ht="18.75">
      <c r="A1575" s="682"/>
      <c r="B1575" s="682"/>
      <c r="C1575" s="682"/>
      <c r="D1575" s="914"/>
      <c r="E1575" s="682"/>
      <c r="F1575" s="682"/>
      <c r="G1575" s="682"/>
      <c r="H1575" s="915"/>
      <c r="I1575" s="916"/>
      <c r="J1575" s="916"/>
      <c r="K1575" s="917"/>
      <c r="L1575" s="917"/>
      <c r="M1575" s="917"/>
      <c r="N1575" s="917"/>
      <c r="O1575" s="917"/>
      <c r="P1575" s="917"/>
      <c r="Q1575" s="578"/>
      <c r="R1575" s="578"/>
      <c r="S1575" s="578"/>
      <c r="T1575" s="578"/>
      <c r="U1575" s="578"/>
      <c r="V1575" s="578"/>
      <c r="W1575" s="578"/>
      <c r="X1575" s="578"/>
      <c r="Y1575" s="578"/>
      <c r="Z1575" s="578"/>
    </row>
    <row r="1576" spans="1:26" ht="18.75">
      <c r="A1576" s="682"/>
      <c r="B1576" s="682"/>
      <c r="C1576" s="682"/>
      <c r="D1576" s="914"/>
      <c r="E1576" s="682"/>
      <c r="F1576" s="682"/>
      <c r="G1576" s="682"/>
      <c r="H1576" s="915"/>
      <c r="I1576" s="916"/>
      <c r="J1576" s="916"/>
      <c r="K1576" s="917"/>
      <c r="L1576" s="917"/>
      <c r="M1576" s="917"/>
      <c r="N1576" s="917"/>
      <c r="O1576" s="917"/>
      <c r="P1576" s="917"/>
      <c r="Q1576" s="578"/>
      <c r="R1576" s="578"/>
      <c r="S1576" s="578"/>
      <c r="T1576" s="578"/>
      <c r="U1576" s="578"/>
      <c r="V1576" s="578"/>
      <c r="W1576" s="578"/>
      <c r="X1576" s="578"/>
      <c r="Y1576" s="578"/>
      <c r="Z1576" s="578"/>
    </row>
    <row r="1577" spans="1:26" ht="18.75">
      <c r="A1577" s="682"/>
      <c r="B1577" s="682"/>
      <c r="C1577" s="682"/>
      <c r="D1577" s="914"/>
      <c r="E1577" s="682"/>
      <c r="F1577" s="682"/>
      <c r="G1577" s="682"/>
      <c r="H1577" s="915"/>
      <c r="I1577" s="916"/>
      <c r="J1577" s="916"/>
      <c r="K1577" s="917"/>
      <c r="L1577" s="917"/>
      <c r="M1577" s="917"/>
      <c r="N1577" s="917"/>
      <c r="O1577" s="917"/>
      <c r="P1577" s="917"/>
      <c r="Q1577" s="578"/>
      <c r="R1577" s="578"/>
      <c r="S1577" s="578"/>
      <c r="T1577" s="578"/>
      <c r="U1577" s="578"/>
      <c r="V1577" s="578"/>
      <c r="W1577" s="578"/>
      <c r="X1577" s="578"/>
      <c r="Y1577" s="578"/>
      <c r="Z1577" s="578"/>
    </row>
    <row r="1578" spans="1:26" ht="18.75">
      <c r="A1578" s="682"/>
      <c r="B1578" s="682"/>
      <c r="C1578" s="682"/>
      <c r="D1578" s="914"/>
      <c r="E1578" s="682"/>
      <c r="F1578" s="682"/>
      <c r="G1578" s="682"/>
      <c r="H1578" s="915"/>
      <c r="I1578" s="916"/>
      <c r="J1578" s="916"/>
      <c r="K1578" s="917"/>
      <c r="L1578" s="917"/>
      <c r="M1578" s="917"/>
      <c r="N1578" s="917"/>
      <c r="O1578" s="917"/>
      <c r="P1578" s="917"/>
      <c r="Q1578" s="578"/>
      <c r="R1578" s="578"/>
      <c r="S1578" s="578"/>
      <c r="T1578" s="578"/>
      <c r="U1578" s="578"/>
      <c r="V1578" s="578"/>
      <c r="W1578" s="578"/>
      <c r="X1578" s="578"/>
      <c r="Y1578" s="578"/>
      <c r="Z1578" s="578"/>
    </row>
    <row r="1579" spans="1:26" ht="18.75">
      <c r="A1579" s="682"/>
      <c r="B1579" s="682"/>
      <c r="C1579" s="682"/>
      <c r="D1579" s="914"/>
      <c r="E1579" s="682"/>
      <c r="F1579" s="682"/>
      <c r="G1579" s="682"/>
      <c r="H1579" s="915"/>
      <c r="I1579" s="916"/>
      <c r="J1579" s="916"/>
      <c r="K1579" s="917"/>
      <c r="L1579" s="917"/>
      <c r="M1579" s="917"/>
      <c r="N1579" s="917"/>
      <c r="O1579" s="917"/>
      <c r="P1579" s="917"/>
      <c r="Q1579" s="578"/>
      <c r="R1579" s="578"/>
      <c r="S1579" s="578"/>
      <c r="T1579" s="578"/>
      <c r="U1579" s="578"/>
      <c r="V1579" s="578"/>
      <c r="W1579" s="578"/>
      <c r="X1579" s="578"/>
      <c r="Y1579" s="578"/>
      <c r="Z1579" s="578"/>
    </row>
    <row r="1580" spans="1:26" ht="18.75">
      <c r="A1580" s="682"/>
      <c r="B1580" s="682"/>
      <c r="C1580" s="682"/>
      <c r="D1580" s="914"/>
      <c r="E1580" s="682"/>
      <c r="F1580" s="682"/>
      <c r="G1580" s="682"/>
      <c r="H1580" s="915"/>
      <c r="I1580" s="916"/>
      <c r="J1580" s="916"/>
      <c r="K1580" s="917"/>
      <c r="L1580" s="917"/>
      <c r="M1580" s="917"/>
      <c r="N1580" s="917"/>
      <c r="O1580" s="917"/>
      <c r="P1580" s="917"/>
      <c r="Q1580" s="578"/>
      <c r="R1580" s="578"/>
      <c r="S1580" s="578"/>
      <c r="T1580" s="578"/>
      <c r="U1580" s="578"/>
      <c r="V1580" s="578"/>
      <c r="W1580" s="578"/>
      <c r="X1580" s="578"/>
      <c r="Y1580" s="578"/>
      <c r="Z1580" s="578"/>
    </row>
    <row r="1581" spans="1:26" ht="18.75">
      <c r="A1581" s="682"/>
      <c r="B1581" s="682"/>
      <c r="C1581" s="682"/>
      <c r="D1581" s="914"/>
      <c r="E1581" s="682"/>
      <c r="F1581" s="682"/>
      <c r="G1581" s="682"/>
      <c r="H1581" s="915"/>
      <c r="I1581" s="916"/>
      <c r="J1581" s="916"/>
      <c r="K1581" s="917"/>
      <c r="L1581" s="917"/>
      <c r="M1581" s="917"/>
      <c r="N1581" s="917"/>
      <c r="O1581" s="917"/>
      <c r="P1581" s="917"/>
      <c r="Q1581" s="578"/>
      <c r="R1581" s="578"/>
      <c r="S1581" s="578"/>
      <c r="T1581" s="578"/>
      <c r="U1581" s="578"/>
      <c r="V1581" s="578"/>
      <c r="W1581" s="578"/>
      <c r="X1581" s="578"/>
      <c r="Y1581" s="578"/>
      <c r="Z1581" s="578"/>
    </row>
    <row r="1582" spans="1:26" ht="18.75">
      <c r="A1582" s="682"/>
      <c r="B1582" s="682"/>
      <c r="C1582" s="682"/>
      <c r="D1582" s="914"/>
      <c r="E1582" s="682"/>
      <c r="F1582" s="682"/>
      <c r="G1582" s="682"/>
      <c r="H1582" s="915"/>
      <c r="I1582" s="916"/>
      <c r="J1582" s="916"/>
      <c r="K1582" s="917"/>
      <c r="L1582" s="917"/>
      <c r="M1582" s="917"/>
      <c r="N1582" s="917"/>
      <c r="O1582" s="917"/>
      <c r="P1582" s="917"/>
      <c r="Q1582" s="578"/>
      <c r="R1582" s="578"/>
      <c r="S1582" s="578"/>
      <c r="T1582" s="578"/>
      <c r="U1582" s="578"/>
      <c r="V1582" s="578"/>
      <c r="W1582" s="578"/>
      <c r="X1582" s="578"/>
      <c r="Y1582" s="578"/>
      <c r="Z1582" s="578"/>
    </row>
    <row r="1583" spans="1:26" ht="18.75">
      <c r="A1583" s="682"/>
      <c r="B1583" s="682"/>
      <c r="C1583" s="682"/>
      <c r="D1583" s="914"/>
      <c r="E1583" s="682"/>
      <c r="F1583" s="682"/>
      <c r="G1583" s="682"/>
      <c r="H1583" s="915"/>
      <c r="I1583" s="916"/>
      <c r="J1583" s="916"/>
      <c r="K1583" s="917"/>
      <c r="L1583" s="917"/>
      <c r="M1583" s="917"/>
      <c r="N1583" s="917"/>
      <c r="O1583" s="917"/>
      <c r="P1583" s="917"/>
      <c r="Q1583" s="578"/>
      <c r="R1583" s="578"/>
      <c r="S1583" s="578"/>
      <c r="T1583" s="578"/>
      <c r="U1583" s="578"/>
      <c r="V1583" s="578"/>
      <c r="W1583" s="578"/>
      <c r="X1583" s="578"/>
      <c r="Y1583" s="578"/>
      <c r="Z1583" s="578"/>
    </row>
    <row r="1584" spans="1:26" ht="18.75">
      <c r="A1584" s="682"/>
      <c r="B1584" s="682"/>
      <c r="C1584" s="682"/>
      <c r="D1584" s="914"/>
      <c r="E1584" s="682"/>
      <c r="F1584" s="682"/>
      <c r="G1584" s="682"/>
      <c r="H1584" s="915"/>
      <c r="I1584" s="916"/>
      <c r="J1584" s="916"/>
      <c r="K1584" s="917"/>
      <c r="L1584" s="917"/>
      <c r="M1584" s="917"/>
      <c r="N1584" s="917"/>
      <c r="O1584" s="917"/>
      <c r="P1584" s="917"/>
      <c r="Q1584" s="578"/>
      <c r="R1584" s="578"/>
      <c r="S1584" s="578"/>
      <c r="T1584" s="578"/>
      <c r="U1584" s="578"/>
      <c r="V1584" s="578"/>
      <c r="W1584" s="578"/>
      <c r="X1584" s="578"/>
      <c r="Y1584" s="578"/>
      <c r="Z1584" s="578"/>
    </row>
    <row r="1585" spans="1:26" ht="18.75">
      <c r="A1585" s="682"/>
      <c r="B1585" s="682"/>
      <c r="C1585" s="682"/>
      <c r="D1585" s="914"/>
      <c r="E1585" s="682"/>
      <c r="F1585" s="682"/>
      <c r="G1585" s="682"/>
      <c r="H1585" s="915"/>
      <c r="I1585" s="916"/>
      <c r="J1585" s="916"/>
      <c r="K1585" s="917"/>
      <c r="L1585" s="917"/>
      <c r="M1585" s="917"/>
      <c r="N1585" s="917"/>
      <c r="O1585" s="917"/>
      <c r="P1585" s="917"/>
      <c r="Q1585" s="578"/>
      <c r="R1585" s="578"/>
      <c r="S1585" s="578"/>
      <c r="T1585" s="578"/>
      <c r="U1585" s="578"/>
      <c r="V1585" s="578"/>
      <c r="W1585" s="578"/>
      <c r="X1585" s="578"/>
      <c r="Y1585" s="578"/>
      <c r="Z1585" s="578"/>
    </row>
    <row r="1586" spans="1:26" ht="18.75">
      <c r="A1586" s="682"/>
      <c r="B1586" s="682"/>
      <c r="C1586" s="682"/>
      <c r="D1586" s="914"/>
      <c r="E1586" s="682"/>
      <c r="F1586" s="682"/>
      <c r="G1586" s="682"/>
      <c r="H1586" s="915"/>
      <c r="I1586" s="916"/>
      <c r="J1586" s="916"/>
      <c r="K1586" s="917"/>
      <c r="L1586" s="917"/>
      <c r="M1586" s="917"/>
      <c r="N1586" s="917"/>
      <c r="O1586" s="917"/>
      <c r="P1586" s="917"/>
      <c r="Q1586" s="578"/>
      <c r="R1586" s="578"/>
      <c r="S1586" s="578"/>
      <c r="T1586" s="578"/>
      <c r="U1586" s="578"/>
      <c r="V1586" s="578"/>
      <c r="W1586" s="578"/>
      <c r="X1586" s="578"/>
      <c r="Y1586" s="578"/>
      <c r="Z1586" s="578"/>
    </row>
    <row r="1587" spans="1:26" ht="18.75">
      <c r="A1587" s="682"/>
      <c r="B1587" s="682"/>
      <c r="C1587" s="682"/>
      <c r="D1587" s="914"/>
      <c r="E1587" s="682"/>
      <c r="F1587" s="682"/>
      <c r="G1587" s="682"/>
      <c r="H1587" s="915"/>
      <c r="I1587" s="916"/>
      <c r="J1587" s="916"/>
      <c r="K1587" s="917"/>
      <c r="L1587" s="917"/>
      <c r="M1587" s="917"/>
      <c r="N1587" s="917"/>
      <c r="O1587" s="917"/>
      <c r="P1587" s="917"/>
      <c r="Q1587" s="578"/>
      <c r="R1587" s="578"/>
      <c r="S1587" s="578"/>
      <c r="T1587" s="578"/>
      <c r="U1587" s="578"/>
      <c r="V1587" s="578"/>
      <c r="W1587" s="578"/>
      <c r="X1587" s="578"/>
      <c r="Y1587" s="578"/>
      <c r="Z1587" s="578"/>
    </row>
    <row r="1588" spans="1:26" ht="18.75">
      <c r="A1588" s="682"/>
      <c r="B1588" s="682"/>
      <c r="C1588" s="682"/>
      <c r="D1588" s="914"/>
      <c r="E1588" s="682"/>
      <c r="F1588" s="682"/>
      <c r="G1588" s="682"/>
      <c r="H1588" s="915"/>
      <c r="I1588" s="916"/>
      <c r="J1588" s="916"/>
      <c r="K1588" s="917"/>
      <c r="L1588" s="917"/>
      <c r="M1588" s="917"/>
      <c r="N1588" s="917"/>
      <c r="O1588" s="917"/>
      <c r="P1588" s="917"/>
      <c r="Q1588" s="578"/>
      <c r="R1588" s="578"/>
      <c r="S1588" s="578"/>
      <c r="T1588" s="578"/>
      <c r="U1588" s="578"/>
      <c r="V1588" s="578"/>
      <c r="W1588" s="578"/>
      <c r="X1588" s="578"/>
      <c r="Y1588" s="578"/>
      <c r="Z1588" s="578"/>
    </row>
    <row r="1589" spans="1:26" ht="18.75">
      <c r="A1589" s="682"/>
      <c r="B1589" s="682"/>
      <c r="C1589" s="682"/>
      <c r="D1589" s="914"/>
      <c r="E1589" s="682"/>
      <c r="F1589" s="682"/>
      <c r="G1589" s="682"/>
      <c r="H1589" s="915"/>
      <c r="I1589" s="916"/>
      <c r="J1589" s="916"/>
      <c r="K1589" s="917"/>
      <c r="L1589" s="917"/>
      <c r="M1589" s="917"/>
      <c r="N1589" s="917"/>
      <c r="O1589" s="917"/>
      <c r="P1589" s="917"/>
      <c r="Q1589" s="578"/>
      <c r="R1589" s="578"/>
      <c r="S1589" s="578"/>
      <c r="T1589" s="578"/>
      <c r="U1589" s="578"/>
      <c r="V1589" s="578"/>
      <c r="W1589" s="578"/>
      <c r="X1589" s="578"/>
      <c r="Y1589" s="578"/>
      <c r="Z1589" s="578"/>
    </row>
    <row r="1590" spans="1:26" ht="18.75">
      <c r="A1590" s="682"/>
      <c r="B1590" s="682"/>
      <c r="C1590" s="682"/>
      <c r="D1590" s="914"/>
      <c r="E1590" s="682"/>
      <c r="F1590" s="682"/>
      <c r="G1590" s="682"/>
      <c r="H1590" s="915"/>
      <c r="I1590" s="916"/>
      <c r="J1590" s="916"/>
      <c r="K1590" s="917"/>
      <c r="L1590" s="917"/>
      <c r="M1590" s="917"/>
      <c r="N1590" s="917"/>
      <c r="O1590" s="917"/>
      <c r="P1590" s="917"/>
      <c r="Q1590" s="578"/>
      <c r="R1590" s="578"/>
      <c r="S1590" s="578"/>
      <c r="T1590" s="578"/>
      <c r="U1590" s="578"/>
      <c r="V1590" s="578"/>
      <c r="W1590" s="578"/>
      <c r="X1590" s="578"/>
      <c r="Y1590" s="578"/>
      <c r="Z1590" s="578"/>
    </row>
    <row r="1591" spans="1:26" ht="18.75">
      <c r="A1591" s="682"/>
      <c r="B1591" s="682"/>
      <c r="C1591" s="682"/>
      <c r="D1591" s="914"/>
      <c r="E1591" s="682"/>
      <c r="F1591" s="682"/>
      <c r="G1591" s="682"/>
      <c r="H1591" s="915"/>
      <c r="I1591" s="916"/>
      <c r="J1591" s="916"/>
      <c r="K1591" s="917"/>
      <c r="L1591" s="917"/>
      <c r="M1591" s="917"/>
      <c r="N1591" s="917"/>
      <c r="O1591" s="917"/>
      <c r="P1591" s="917"/>
      <c r="Q1591" s="578"/>
      <c r="R1591" s="578"/>
      <c r="S1591" s="578"/>
      <c r="T1591" s="578"/>
      <c r="U1591" s="578"/>
      <c r="V1591" s="578"/>
      <c r="W1591" s="578"/>
      <c r="X1591" s="578"/>
      <c r="Y1591" s="578"/>
      <c r="Z1591" s="578"/>
    </row>
    <row r="1592" spans="1:26" ht="18.75">
      <c r="A1592" s="682"/>
      <c r="B1592" s="682"/>
      <c r="C1592" s="682"/>
      <c r="D1592" s="914"/>
      <c r="E1592" s="682"/>
      <c r="F1592" s="682"/>
      <c r="G1592" s="682"/>
      <c r="H1592" s="915"/>
      <c r="I1592" s="916"/>
      <c r="J1592" s="916"/>
      <c r="K1592" s="917"/>
      <c r="L1592" s="917"/>
      <c r="M1592" s="917"/>
      <c r="N1592" s="917"/>
      <c r="O1592" s="917"/>
      <c r="P1592" s="917"/>
      <c r="Q1592" s="578"/>
      <c r="R1592" s="578"/>
      <c r="S1592" s="578"/>
      <c r="T1592" s="578"/>
      <c r="U1592" s="578"/>
      <c r="V1592" s="578"/>
      <c r="W1592" s="578"/>
      <c r="X1592" s="578"/>
      <c r="Y1592" s="578"/>
      <c r="Z1592" s="578"/>
    </row>
    <row r="1593" spans="1:26" ht="18.75">
      <c r="A1593" s="682"/>
      <c r="B1593" s="682"/>
      <c r="C1593" s="682"/>
      <c r="D1593" s="914"/>
      <c r="E1593" s="682"/>
      <c r="F1593" s="682"/>
      <c r="G1593" s="682"/>
      <c r="H1593" s="915"/>
      <c r="I1593" s="916"/>
      <c r="J1593" s="916"/>
      <c r="K1593" s="917"/>
      <c r="L1593" s="917"/>
      <c r="M1593" s="917"/>
      <c r="N1593" s="917"/>
      <c r="O1593" s="917"/>
      <c r="P1593" s="917"/>
      <c r="Q1593" s="578"/>
      <c r="R1593" s="578"/>
      <c r="S1593" s="578"/>
      <c r="T1593" s="578"/>
      <c r="U1593" s="578"/>
      <c r="V1593" s="578"/>
      <c r="W1593" s="578"/>
      <c r="X1593" s="578"/>
      <c r="Y1593" s="578"/>
      <c r="Z1593" s="578"/>
    </row>
    <row r="1594" spans="1:26" ht="18.75">
      <c r="A1594" s="682"/>
      <c r="B1594" s="682"/>
      <c r="C1594" s="682"/>
      <c r="D1594" s="914"/>
      <c r="E1594" s="682"/>
      <c r="F1594" s="682"/>
      <c r="G1594" s="682"/>
      <c r="H1594" s="915"/>
      <c r="I1594" s="916"/>
      <c r="J1594" s="916"/>
      <c r="K1594" s="917"/>
      <c r="L1594" s="917"/>
      <c r="M1594" s="917"/>
      <c r="N1594" s="917"/>
      <c r="O1594" s="917"/>
      <c r="P1594" s="917"/>
      <c r="Q1594" s="578"/>
      <c r="R1594" s="578"/>
      <c r="S1594" s="578"/>
      <c r="T1594" s="578"/>
      <c r="U1594" s="578"/>
      <c r="V1594" s="578"/>
      <c r="W1594" s="578"/>
      <c r="X1594" s="578"/>
      <c r="Y1594" s="578"/>
      <c r="Z1594" s="578"/>
    </row>
    <row r="1595" spans="1:26" ht="18.75">
      <c r="A1595" s="682"/>
      <c r="B1595" s="682"/>
      <c r="C1595" s="682"/>
      <c r="D1595" s="914"/>
      <c r="E1595" s="682"/>
      <c r="F1595" s="682"/>
      <c r="G1595" s="682"/>
      <c r="H1595" s="915"/>
      <c r="I1595" s="916"/>
      <c r="J1595" s="916"/>
      <c r="K1595" s="917"/>
      <c r="L1595" s="917"/>
      <c r="M1595" s="917"/>
      <c r="N1595" s="917"/>
      <c r="O1595" s="917"/>
      <c r="P1595" s="917"/>
      <c r="Q1595" s="578"/>
      <c r="R1595" s="578"/>
      <c r="S1595" s="578"/>
      <c r="T1595" s="578"/>
      <c r="U1595" s="578"/>
      <c r="V1595" s="578"/>
      <c r="W1595" s="578"/>
      <c r="X1595" s="578"/>
      <c r="Y1595" s="578"/>
      <c r="Z1595" s="578"/>
    </row>
    <row r="1596" spans="1:26" ht="18.75">
      <c r="A1596" s="682"/>
      <c r="B1596" s="682"/>
      <c r="C1596" s="682"/>
      <c r="D1596" s="914"/>
      <c r="E1596" s="682"/>
      <c r="F1596" s="682"/>
      <c r="G1596" s="682"/>
      <c r="H1596" s="915"/>
      <c r="I1596" s="916"/>
      <c r="J1596" s="916"/>
      <c r="K1596" s="917"/>
      <c r="L1596" s="917"/>
      <c r="M1596" s="917"/>
      <c r="N1596" s="917"/>
      <c r="O1596" s="917"/>
      <c r="P1596" s="917"/>
      <c r="Q1596" s="578"/>
      <c r="R1596" s="578"/>
      <c r="S1596" s="578"/>
      <c r="T1596" s="578"/>
      <c r="U1596" s="578"/>
      <c r="V1596" s="578"/>
      <c r="W1596" s="578"/>
      <c r="X1596" s="578"/>
      <c r="Y1596" s="578"/>
      <c r="Z1596" s="578"/>
    </row>
    <row r="1597" spans="1:26" ht="18.75">
      <c r="A1597" s="682"/>
      <c r="B1597" s="682"/>
      <c r="C1597" s="682"/>
      <c r="D1597" s="914"/>
      <c r="E1597" s="682"/>
      <c r="F1597" s="682"/>
      <c r="G1597" s="682"/>
      <c r="H1597" s="915"/>
      <c r="I1597" s="916"/>
      <c r="J1597" s="916"/>
      <c r="K1597" s="917"/>
      <c r="L1597" s="917"/>
      <c r="M1597" s="917"/>
      <c r="N1597" s="917"/>
      <c r="O1597" s="917"/>
      <c r="P1597" s="917"/>
      <c r="Q1597" s="578"/>
      <c r="R1597" s="578"/>
      <c r="S1597" s="578"/>
      <c r="T1597" s="578"/>
      <c r="U1597" s="578"/>
      <c r="V1597" s="578"/>
      <c r="W1597" s="578"/>
      <c r="X1597" s="578"/>
      <c r="Y1597" s="578"/>
      <c r="Z1597" s="578"/>
    </row>
    <row r="1598" spans="1:26" ht="18.75">
      <c r="A1598" s="682"/>
      <c r="B1598" s="682"/>
      <c r="C1598" s="682"/>
      <c r="D1598" s="914"/>
      <c r="E1598" s="682"/>
      <c r="F1598" s="682"/>
      <c r="G1598" s="682"/>
      <c r="H1598" s="915"/>
      <c r="I1598" s="916"/>
      <c r="J1598" s="916"/>
      <c r="K1598" s="917"/>
      <c r="L1598" s="917"/>
      <c r="M1598" s="917"/>
      <c r="N1598" s="917"/>
      <c r="O1598" s="917"/>
      <c r="P1598" s="917"/>
      <c r="Q1598" s="578"/>
      <c r="R1598" s="578"/>
      <c r="S1598" s="578"/>
      <c r="T1598" s="578"/>
      <c r="U1598" s="578"/>
      <c r="V1598" s="578"/>
      <c r="W1598" s="578"/>
      <c r="X1598" s="578"/>
      <c r="Y1598" s="578"/>
      <c r="Z1598" s="578"/>
    </row>
    <row r="1599" spans="1:26" ht="18.75">
      <c r="A1599" s="682"/>
      <c r="B1599" s="682"/>
      <c r="C1599" s="682"/>
      <c r="D1599" s="914"/>
      <c r="E1599" s="682"/>
      <c r="F1599" s="682"/>
      <c r="G1599" s="682"/>
      <c r="H1599" s="915"/>
      <c r="I1599" s="916"/>
      <c r="J1599" s="916"/>
      <c r="K1599" s="917"/>
      <c r="L1599" s="917"/>
      <c r="M1599" s="917"/>
      <c r="N1599" s="917"/>
      <c r="O1599" s="917"/>
      <c r="P1599" s="917"/>
      <c r="Q1599" s="578"/>
      <c r="R1599" s="578"/>
      <c r="S1599" s="578"/>
      <c r="T1599" s="578"/>
      <c r="U1599" s="578"/>
      <c r="V1599" s="578"/>
      <c r="W1599" s="578"/>
      <c r="X1599" s="578"/>
      <c r="Y1599" s="578"/>
      <c r="Z1599" s="578"/>
    </row>
    <row r="1600" spans="1:26" ht="18.75">
      <c r="A1600" s="682"/>
      <c r="B1600" s="682"/>
      <c r="C1600" s="682"/>
      <c r="D1600" s="914"/>
      <c r="E1600" s="682"/>
      <c r="F1600" s="682"/>
      <c r="G1600" s="682"/>
      <c r="H1600" s="915"/>
      <c r="I1600" s="916"/>
      <c r="J1600" s="916"/>
      <c r="K1600" s="917"/>
      <c r="L1600" s="917"/>
      <c r="M1600" s="917"/>
      <c r="N1600" s="917"/>
      <c r="O1600" s="917"/>
      <c r="P1600" s="917"/>
      <c r="Q1600" s="578"/>
      <c r="R1600" s="578"/>
      <c r="S1600" s="578"/>
      <c r="T1600" s="578"/>
      <c r="U1600" s="578"/>
      <c r="V1600" s="578"/>
      <c r="W1600" s="578"/>
      <c r="X1600" s="578"/>
      <c r="Y1600" s="578"/>
      <c r="Z1600" s="578"/>
    </row>
    <row r="1601" spans="1:26" ht="18.75">
      <c r="A1601" s="682"/>
      <c r="B1601" s="682"/>
      <c r="C1601" s="682"/>
      <c r="D1601" s="914"/>
      <c r="E1601" s="682"/>
      <c r="F1601" s="682"/>
      <c r="G1601" s="682"/>
      <c r="H1601" s="915"/>
      <c r="I1601" s="916"/>
      <c r="J1601" s="916"/>
      <c r="K1601" s="917"/>
      <c r="L1601" s="917"/>
      <c r="M1601" s="917"/>
      <c r="N1601" s="917"/>
      <c r="O1601" s="917"/>
      <c r="P1601" s="917"/>
      <c r="Q1601" s="578"/>
      <c r="R1601" s="578"/>
      <c r="S1601" s="578"/>
      <c r="T1601" s="578"/>
      <c r="U1601" s="578"/>
      <c r="V1601" s="578"/>
      <c r="W1601" s="578"/>
      <c r="X1601" s="578"/>
      <c r="Y1601" s="578"/>
      <c r="Z1601" s="578"/>
    </row>
    <row r="1602" spans="1:26" ht="18.75">
      <c r="A1602" s="682"/>
      <c r="B1602" s="682"/>
      <c r="C1602" s="682"/>
      <c r="D1602" s="914"/>
      <c r="E1602" s="682"/>
      <c r="F1602" s="682"/>
      <c r="G1602" s="682"/>
      <c r="H1602" s="915"/>
      <c r="I1602" s="916"/>
      <c r="J1602" s="916"/>
      <c r="K1602" s="917"/>
      <c r="L1602" s="917"/>
      <c r="M1602" s="917"/>
      <c r="N1602" s="917"/>
      <c r="O1602" s="917"/>
      <c r="P1602" s="917"/>
      <c r="Q1602" s="578"/>
      <c r="R1602" s="578"/>
      <c r="S1602" s="578"/>
      <c r="T1602" s="578"/>
      <c r="U1602" s="578"/>
      <c r="V1602" s="578"/>
      <c r="W1602" s="578"/>
      <c r="X1602" s="578"/>
      <c r="Y1602" s="578"/>
      <c r="Z1602" s="578"/>
    </row>
    <row r="1603" spans="1:26" ht="18.75">
      <c r="A1603" s="682"/>
      <c r="B1603" s="682"/>
      <c r="C1603" s="682"/>
      <c r="D1603" s="914"/>
      <c r="E1603" s="682"/>
      <c r="F1603" s="682"/>
      <c r="G1603" s="682"/>
      <c r="H1603" s="915"/>
      <c r="I1603" s="916"/>
      <c r="J1603" s="916"/>
      <c r="K1603" s="917"/>
      <c r="L1603" s="917"/>
      <c r="M1603" s="917"/>
      <c r="N1603" s="917"/>
      <c r="O1603" s="917"/>
      <c r="P1603" s="917"/>
      <c r="Q1603" s="578"/>
      <c r="R1603" s="578"/>
      <c r="S1603" s="578"/>
      <c r="T1603" s="578"/>
      <c r="U1603" s="578"/>
      <c r="V1603" s="578"/>
      <c r="W1603" s="578"/>
      <c r="X1603" s="578"/>
      <c r="Y1603" s="578"/>
      <c r="Z1603" s="578"/>
    </row>
    <row r="1604" spans="1:26" ht="18.75">
      <c r="A1604" s="682"/>
      <c r="B1604" s="682"/>
      <c r="C1604" s="682"/>
      <c r="D1604" s="914"/>
      <c r="E1604" s="682"/>
      <c r="F1604" s="682"/>
      <c r="G1604" s="682"/>
      <c r="H1604" s="915"/>
      <c r="I1604" s="916"/>
      <c r="J1604" s="916"/>
      <c r="K1604" s="917"/>
      <c r="L1604" s="917"/>
      <c r="M1604" s="917"/>
      <c r="N1604" s="917"/>
      <c r="O1604" s="917"/>
      <c r="P1604" s="917"/>
      <c r="Q1604" s="578"/>
      <c r="R1604" s="578"/>
      <c r="S1604" s="578"/>
      <c r="T1604" s="578"/>
      <c r="U1604" s="578"/>
      <c r="V1604" s="578"/>
      <c r="W1604" s="578"/>
      <c r="X1604" s="578"/>
      <c r="Y1604" s="578"/>
      <c r="Z1604" s="578"/>
    </row>
    <row r="1605" spans="1:26" ht="18.75">
      <c r="A1605" s="682"/>
      <c r="B1605" s="682"/>
      <c r="C1605" s="682"/>
      <c r="D1605" s="914"/>
      <c r="E1605" s="682"/>
      <c r="F1605" s="682"/>
      <c r="G1605" s="682"/>
      <c r="H1605" s="915"/>
      <c r="I1605" s="916"/>
      <c r="J1605" s="916"/>
      <c r="K1605" s="917"/>
      <c r="L1605" s="917"/>
      <c r="M1605" s="917"/>
      <c r="N1605" s="917"/>
      <c r="O1605" s="917"/>
      <c r="P1605" s="917"/>
      <c r="Q1605" s="578"/>
      <c r="R1605" s="578"/>
      <c r="S1605" s="578"/>
      <c r="T1605" s="578"/>
      <c r="U1605" s="578"/>
      <c r="V1605" s="578"/>
      <c r="W1605" s="578"/>
      <c r="X1605" s="578"/>
      <c r="Y1605" s="578"/>
      <c r="Z1605" s="578"/>
    </row>
    <row r="1606" spans="1:26" ht="18.75">
      <c r="A1606" s="682"/>
      <c r="B1606" s="682"/>
      <c r="C1606" s="682"/>
      <c r="D1606" s="914"/>
      <c r="E1606" s="682"/>
      <c r="F1606" s="682"/>
      <c r="G1606" s="682"/>
      <c r="H1606" s="915"/>
      <c r="I1606" s="916"/>
      <c r="J1606" s="916"/>
      <c r="K1606" s="917"/>
      <c r="L1606" s="917"/>
      <c r="M1606" s="917"/>
      <c r="N1606" s="917"/>
      <c r="O1606" s="917"/>
      <c r="P1606" s="917"/>
      <c r="Q1606" s="578"/>
      <c r="R1606" s="578"/>
      <c r="S1606" s="578"/>
      <c r="T1606" s="578"/>
      <c r="U1606" s="578"/>
      <c r="V1606" s="578"/>
      <c r="W1606" s="578"/>
      <c r="X1606" s="578"/>
      <c r="Y1606" s="578"/>
      <c r="Z1606" s="578"/>
    </row>
    <row r="1607" spans="1:26" ht="18.75">
      <c r="A1607" s="682"/>
      <c r="B1607" s="682"/>
      <c r="C1607" s="682"/>
      <c r="D1607" s="914"/>
      <c r="E1607" s="682"/>
      <c r="F1607" s="682"/>
      <c r="G1607" s="682"/>
      <c r="H1607" s="915"/>
      <c r="I1607" s="916"/>
      <c r="J1607" s="916"/>
      <c r="K1607" s="917"/>
      <c r="L1607" s="917"/>
      <c r="M1607" s="917"/>
      <c r="N1607" s="917"/>
      <c r="O1607" s="917"/>
      <c r="P1607" s="917"/>
      <c r="Q1607" s="578"/>
      <c r="R1607" s="578"/>
      <c r="S1607" s="578"/>
      <c r="T1607" s="578"/>
      <c r="U1607" s="578"/>
      <c r="V1607" s="578"/>
      <c r="W1607" s="578"/>
      <c r="X1607" s="578"/>
      <c r="Y1607" s="578"/>
      <c r="Z1607" s="578"/>
    </row>
    <row r="1608" spans="1:26" ht="18.75">
      <c r="A1608" s="682"/>
      <c r="B1608" s="682"/>
      <c r="C1608" s="682"/>
      <c r="D1608" s="914"/>
      <c r="E1608" s="682"/>
      <c r="F1608" s="682"/>
      <c r="G1608" s="682"/>
      <c r="H1608" s="915"/>
      <c r="I1608" s="916"/>
      <c r="J1608" s="916"/>
      <c r="K1608" s="917"/>
      <c r="L1608" s="917"/>
      <c r="M1608" s="917"/>
      <c r="N1608" s="917"/>
      <c r="O1608" s="917"/>
      <c r="P1608" s="917"/>
      <c r="Q1608" s="578"/>
      <c r="R1608" s="578"/>
      <c r="S1608" s="578"/>
      <c r="T1608" s="578"/>
      <c r="U1608" s="578"/>
      <c r="V1608" s="578"/>
      <c r="W1608" s="578"/>
      <c r="X1608" s="578"/>
      <c r="Y1608" s="578"/>
      <c r="Z1608" s="578"/>
    </row>
    <row r="1609" spans="1:26" ht="18.75">
      <c r="A1609" s="682"/>
      <c r="B1609" s="682"/>
      <c r="C1609" s="682"/>
      <c r="D1609" s="914"/>
      <c r="E1609" s="682"/>
      <c r="F1609" s="682"/>
      <c r="G1609" s="682"/>
      <c r="H1609" s="915"/>
      <c r="I1609" s="916"/>
      <c r="J1609" s="916"/>
      <c r="K1609" s="917"/>
      <c r="L1609" s="917"/>
      <c r="M1609" s="917"/>
      <c r="N1609" s="917"/>
      <c r="O1609" s="917"/>
      <c r="P1609" s="917"/>
      <c r="Q1609" s="578"/>
      <c r="R1609" s="578"/>
      <c r="S1609" s="578"/>
      <c r="T1609" s="578"/>
      <c r="U1609" s="578"/>
      <c r="V1609" s="578"/>
      <c r="W1609" s="578"/>
      <c r="X1609" s="578"/>
      <c r="Y1609" s="578"/>
      <c r="Z1609" s="578"/>
    </row>
    <row r="1610" spans="1:26" ht="18.75">
      <c r="A1610" s="682"/>
      <c r="B1610" s="682"/>
      <c r="C1610" s="682"/>
      <c r="D1610" s="914"/>
      <c r="E1610" s="682"/>
      <c r="F1610" s="682"/>
      <c r="G1610" s="682"/>
      <c r="H1610" s="915"/>
      <c r="I1610" s="916"/>
      <c r="J1610" s="916"/>
      <c r="K1610" s="917"/>
      <c r="L1610" s="917"/>
      <c r="M1610" s="917"/>
      <c r="N1610" s="917"/>
      <c r="O1610" s="917"/>
      <c r="P1610" s="917"/>
      <c r="Q1610" s="578"/>
      <c r="R1610" s="578"/>
      <c r="S1610" s="578"/>
      <c r="T1610" s="578"/>
      <c r="U1610" s="578"/>
      <c r="V1610" s="578"/>
      <c r="W1610" s="578"/>
      <c r="X1610" s="578"/>
      <c r="Y1610" s="578"/>
      <c r="Z1610" s="578"/>
    </row>
    <row r="1611" spans="1:26" ht="18.75">
      <c r="A1611" s="682"/>
      <c r="B1611" s="682"/>
      <c r="C1611" s="682"/>
      <c r="D1611" s="914"/>
      <c r="E1611" s="682"/>
      <c r="F1611" s="682"/>
      <c r="G1611" s="682"/>
      <c r="H1611" s="915"/>
      <c r="I1611" s="916"/>
      <c r="J1611" s="916"/>
      <c r="K1611" s="917"/>
      <c r="L1611" s="917"/>
      <c r="M1611" s="917"/>
      <c r="N1611" s="917"/>
      <c r="O1611" s="917"/>
      <c r="P1611" s="917"/>
      <c r="Q1611" s="578"/>
      <c r="R1611" s="578"/>
      <c r="S1611" s="578"/>
      <c r="T1611" s="578"/>
      <c r="U1611" s="578"/>
      <c r="V1611" s="578"/>
      <c r="W1611" s="578"/>
      <c r="X1611" s="578"/>
      <c r="Y1611" s="578"/>
      <c r="Z1611" s="578"/>
    </row>
    <row r="1612" spans="1:26" ht="18.75">
      <c r="A1612" s="682"/>
      <c r="B1612" s="682"/>
      <c r="C1612" s="682"/>
      <c r="D1612" s="914"/>
      <c r="E1612" s="682"/>
      <c r="F1612" s="682"/>
      <c r="G1612" s="682"/>
      <c r="H1612" s="915"/>
      <c r="I1612" s="916"/>
      <c r="J1612" s="916"/>
      <c r="K1612" s="917"/>
      <c r="L1612" s="917"/>
      <c r="M1612" s="917"/>
      <c r="N1612" s="917"/>
      <c r="O1612" s="917"/>
      <c r="P1612" s="917"/>
      <c r="Q1612" s="578"/>
      <c r="R1612" s="578"/>
      <c r="S1612" s="578"/>
      <c r="T1612" s="578"/>
      <c r="U1612" s="578"/>
      <c r="V1612" s="578"/>
      <c r="W1612" s="578"/>
      <c r="X1612" s="578"/>
      <c r="Y1612" s="578"/>
      <c r="Z1612" s="578"/>
    </row>
    <row r="1613" spans="1:26" ht="18.75">
      <c r="A1613" s="682"/>
      <c r="B1613" s="682"/>
      <c r="C1613" s="682"/>
      <c r="D1613" s="914"/>
      <c r="E1613" s="682"/>
      <c r="F1613" s="682"/>
      <c r="G1613" s="682"/>
      <c r="H1613" s="915"/>
      <c r="I1613" s="916"/>
      <c r="J1613" s="916"/>
      <c r="K1613" s="917"/>
      <c r="L1613" s="917"/>
      <c r="M1613" s="917"/>
      <c r="N1613" s="917"/>
      <c r="O1613" s="917"/>
      <c r="P1613" s="917"/>
      <c r="Q1613" s="578"/>
      <c r="R1613" s="578"/>
      <c r="S1613" s="578"/>
      <c r="T1613" s="578"/>
      <c r="U1613" s="578"/>
      <c r="V1613" s="578"/>
      <c r="W1613" s="578"/>
      <c r="X1613" s="578"/>
      <c r="Y1613" s="578"/>
      <c r="Z1613" s="578"/>
    </row>
    <row r="1614" spans="1:26" ht="18.75">
      <c r="A1614" s="682"/>
      <c r="B1614" s="682"/>
      <c r="C1614" s="682"/>
      <c r="D1614" s="914"/>
      <c r="E1614" s="682"/>
      <c r="F1614" s="682"/>
      <c r="G1614" s="682"/>
      <c r="H1614" s="915"/>
      <c r="I1614" s="916"/>
      <c r="J1614" s="916"/>
      <c r="K1614" s="917"/>
      <c r="L1614" s="917"/>
      <c r="M1614" s="917"/>
      <c r="N1614" s="917"/>
      <c r="O1614" s="917"/>
      <c r="P1614" s="917"/>
      <c r="Q1614" s="578"/>
      <c r="R1614" s="578"/>
      <c r="S1614" s="578"/>
      <c r="T1614" s="578"/>
      <c r="U1614" s="578"/>
      <c r="V1614" s="578"/>
      <c r="W1614" s="578"/>
      <c r="X1614" s="578"/>
      <c r="Y1614" s="578"/>
      <c r="Z1614" s="578"/>
    </row>
    <row r="1615" spans="1:26" ht="18.75">
      <c r="A1615" s="682"/>
      <c r="B1615" s="682"/>
      <c r="C1615" s="682"/>
      <c r="D1615" s="914"/>
      <c r="E1615" s="682"/>
      <c r="F1615" s="682"/>
      <c r="G1615" s="682"/>
      <c r="H1615" s="915"/>
      <c r="I1615" s="916"/>
      <c r="J1615" s="916"/>
      <c r="K1615" s="917"/>
      <c r="L1615" s="917"/>
      <c r="M1615" s="917"/>
      <c r="N1615" s="917"/>
      <c r="O1615" s="917"/>
      <c r="P1615" s="917"/>
      <c r="Q1615" s="578"/>
      <c r="R1615" s="578"/>
      <c r="S1615" s="578"/>
      <c r="T1615" s="578"/>
      <c r="U1615" s="578"/>
      <c r="V1615" s="578"/>
      <c r="W1615" s="578"/>
      <c r="X1615" s="578"/>
      <c r="Y1615" s="578"/>
      <c r="Z1615" s="578"/>
    </row>
    <row r="1616" spans="1:26" ht="18.75">
      <c r="A1616" s="682"/>
      <c r="B1616" s="682"/>
      <c r="C1616" s="682"/>
      <c r="D1616" s="914"/>
      <c r="E1616" s="682"/>
      <c r="F1616" s="682"/>
      <c r="G1616" s="682"/>
      <c r="H1616" s="915"/>
      <c r="I1616" s="916"/>
      <c r="J1616" s="916"/>
      <c r="K1616" s="917"/>
      <c r="L1616" s="917"/>
      <c r="M1616" s="917"/>
      <c r="N1616" s="917"/>
      <c r="O1616" s="917"/>
      <c r="P1616" s="917"/>
      <c r="Q1616" s="578"/>
      <c r="R1616" s="578"/>
      <c r="S1616" s="578"/>
      <c r="T1616" s="578"/>
      <c r="U1616" s="578"/>
      <c r="V1616" s="578"/>
      <c r="W1616" s="578"/>
      <c r="X1616" s="578"/>
      <c r="Y1616" s="578"/>
      <c r="Z1616" s="578"/>
    </row>
    <row r="1617" spans="1:26" ht="18.75">
      <c r="A1617" s="682"/>
      <c r="B1617" s="682"/>
      <c r="C1617" s="682"/>
      <c r="D1617" s="914"/>
      <c r="E1617" s="682"/>
      <c r="F1617" s="682"/>
      <c r="G1617" s="682"/>
      <c r="H1617" s="915"/>
      <c r="I1617" s="916"/>
      <c r="J1617" s="916"/>
      <c r="K1617" s="917"/>
      <c r="L1617" s="917"/>
      <c r="M1617" s="917"/>
      <c r="N1617" s="917"/>
      <c r="O1617" s="917"/>
      <c r="P1617" s="917"/>
      <c r="Q1617" s="578"/>
      <c r="R1617" s="578"/>
      <c r="S1617" s="578"/>
      <c r="T1617" s="578"/>
      <c r="U1617" s="578"/>
      <c r="V1617" s="578"/>
      <c r="W1617" s="578"/>
      <c r="X1617" s="578"/>
      <c r="Y1617" s="578"/>
      <c r="Z1617" s="578"/>
    </row>
    <row r="1618" spans="1:26" ht="18.75">
      <c r="A1618" s="682"/>
      <c r="B1618" s="682"/>
      <c r="C1618" s="682"/>
      <c r="D1618" s="914"/>
      <c r="E1618" s="682"/>
      <c r="F1618" s="682"/>
      <c r="G1618" s="682"/>
      <c r="H1618" s="915"/>
      <c r="I1618" s="916"/>
      <c r="J1618" s="916"/>
      <c r="K1618" s="917"/>
      <c r="L1618" s="917"/>
      <c r="M1618" s="917"/>
      <c r="N1618" s="917"/>
      <c r="O1618" s="917"/>
      <c r="P1618" s="917"/>
      <c r="Q1618" s="578"/>
      <c r="R1618" s="578"/>
      <c r="S1618" s="578"/>
      <c r="T1618" s="578"/>
      <c r="U1618" s="578"/>
      <c r="V1618" s="578"/>
      <c r="W1618" s="578"/>
      <c r="X1618" s="578"/>
      <c r="Y1618" s="578"/>
      <c r="Z1618" s="578"/>
    </row>
    <row r="1619" spans="1:26" ht="18.75">
      <c r="A1619" s="682"/>
      <c r="B1619" s="682"/>
      <c r="C1619" s="682"/>
      <c r="D1619" s="914"/>
      <c r="E1619" s="682"/>
      <c r="F1619" s="682"/>
      <c r="G1619" s="682"/>
      <c r="H1619" s="915"/>
      <c r="I1619" s="916"/>
      <c r="J1619" s="916"/>
      <c r="K1619" s="917"/>
      <c r="L1619" s="917"/>
      <c r="M1619" s="917"/>
      <c r="N1619" s="917"/>
      <c r="O1619" s="917"/>
      <c r="P1619" s="917"/>
      <c r="Q1619" s="578"/>
      <c r="R1619" s="578"/>
      <c r="S1619" s="578"/>
      <c r="T1619" s="578"/>
      <c r="U1619" s="578"/>
      <c r="V1619" s="578"/>
      <c r="W1619" s="578"/>
      <c r="X1619" s="578"/>
      <c r="Y1619" s="578"/>
      <c r="Z1619" s="578"/>
    </row>
    <row r="1620" spans="1:26" ht="18.75">
      <c r="A1620" s="682"/>
      <c r="B1620" s="682"/>
      <c r="C1620" s="682"/>
      <c r="D1620" s="914"/>
      <c r="E1620" s="682"/>
      <c r="F1620" s="682"/>
      <c r="G1620" s="682"/>
      <c r="H1620" s="915"/>
      <c r="I1620" s="916"/>
      <c r="J1620" s="916"/>
      <c r="K1620" s="917"/>
      <c r="L1620" s="917"/>
      <c r="M1620" s="917"/>
      <c r="N1620" s="917"/>
      <c r="O1620" s="917"/>
      <c r="P1620" s="917"/>
      <c r="Q1620" s="578"/>
      <c r="R1620" s="578"/>
      <c r="S1620" s="578"/>
      <c r="T1620" s="578"/>
      <c r="U1620" s="578"/>
      <c r="V1620" s="578"/>
      <c r="W1620" s="578"/>
      <c r="X1620" s="578"/>
      <c r="Y1620" s="578"/>
      <c r="Z1620" s="578"/>
    </row>
    <row r="1621" spans="1:26" ht="18.75">
      <c r="A1621" s="682"/>
      <c r="B1621" s="682"/>
      <c r="C1621" s="682"/>
      <c r="D1621" s="914"/>
      <c r="E1621" s="682"/>
      <c r="F1621" s="682"/>
      <c r="G1621" s="682"/>
      <c r="H1621" s="915"/>
      <c r="I1621" s="916"/>
      <c r="J1621" s="916"/>
      <c r="K1621" s="917"/>
      <c r="L1621" s="917"/>
      <c r="M1621" s="917"/>
      <c r="N1621" s="917"/>
      <c r="O1621" s="917"/>
      <c r="P1621" s="917"/>
      <c r="Q1621" s="578"/>
      <c r="R1621" s="578"/>
      <c r="S1621" s="578"/>
      <c r="T1621" s="578"/>
      <c r="U1621" s="578"/>
      <c r="V1621" s="578"/>
      <c r="W1621" s="578"/>
      <c r="X1621" s="578"/>
      <c r="Y1621" s="578"/>
      <c r="Z1621" s="578"/>
    </row>
    <row r="1622" spans="1:26" ht="18.75">
      <c r="A1622" s="682"/>
      <c r="B1622" s="682"/>
      <c r="C1622" s="682"/>
      <c r="D1622" s="914"/>
      <c r="E1622" s="682"/>
      <c r="F1622" s="682"/>
      <c r="G1622" s="682"/>
      <c r="H1622" s="915"/>
      <c r="I1622" s="916"/>
      <c r="J1622" s="916"/>
      <c r="K1622" s="917"/>
      <c r="L1622" s="917"/>
      <c r="M1622" s="917"/>
      <c r="N1622" s="917"/>
      <c r="O1622" s="917"/>
      <c r="P1622" s="917"/>
      <c r="Q1622" s="578"/>
      <c r="R1622" s="578"/>
      <c r="S1622" s="578"/>
      <c r="T1622" s="578"/>
      <c r="U1622" s="578"/>
      <c r="V1622" s="578"/>
      <c r="W1622" s="578"/>
      <c r="X1622" s="578"/>
      <c r="Y1622" s="578"/>
      <c r="Z1622" s="578"/>
    </row>
    <row r="1623" spans="1:26" ht="18.75">
      <c r="A1623" s="682"/>
      <c r="B1623" s="682"/>
      <c r="C1623" s="682"/>
      <c r="D1623" s="914"/>
      <c r="E1623" s="682"/>
      <c r="F1623" s="682"/>
      <c r="G1623" s="682"/>
      <c r="H1623" s="915"/>
      <c r="I1623" s="916"/>
      <c r="J1623" s="916"/>
      <c r="K1623" s="917"/>
      <c r="L1623" s="917"/>
      <c r="M1623" s="917"/>
      <c r="N1623" s="917"/>
      <c r="O1623" s="917"/>
      <c r="P1623" s="917"/>
      <c r="Q1623" s="578"/>
      <c r="R1623" s="578"/>
      <c r="S1623" s="578"/>
      <c r="T1623" s="578"/>
      <c r="U1623" s="578"/>
      <c r="V1623" s="578"/>
      <c r="W1623" s="578"/>
      <c r="X1623" s="578"/>
      <c r="Y1623" s="578"/>
      <c r="Z1623" s="578"/>
    </row>
    <row r="1624" spans="1:26" ht="18.75">
      <c r="A1624" s="682"/>
      <c r="B1624" s="682"/>
      <c r="C1624" s="682"/>
      <c r="D1624" s="914"/>
      <c r="E1624" s="682"/>
      <c r="F1624" s="682"/>
      <c r="G1624" s="682"/>
      <c r="H1624" s="915"/>
      <c r="I1624" s="916"/>
      <c r="J1624" s="916"/>
      <c r="K1624" s="917"/>
      <c r="L1624" s="917"/>
      <c r="M1624" s="917"/>
      <c r="N1624" s="917"/>
      <c r="O1624" s="917"/>
      <c r="P1624" s="917"/>
      <c r="Q1624" s="578"/>
      <c r="R1624" s="578"/>
      <c r="S1624" s="578"/>
      <c r="T1624" s="578"/>
      <c r="U1624" s="578"/>
      <c r="V1624" s="578"/>
      <c r="W1624" s="578"/>
      <c r="X1624" s="578"/>
      <c r="Y1624" s="578"/>
      <c r="Z1624" s="578"/>
    </row>
    <row r="1625" spans="1:26" ht="18.75">
      <c r="A1625" s="682"/>
      <c r="B1625" s="682"/>
      <c r="C1625" s="682"/>
      <c r="D1625" s="914"/>
      <c r="E1625" s="682"/>
      <c r="F1625" s="682"/>
      <c r="G1625" s="682"/>
      <c r="H1625" s="915"/>
      <c r="I1625" s="916"/>
      <c r="J1625" s="916"/>
      <c r="K1625" s="917"/>
      <c r="L1625" s="917"/>
      <c r="M1625" s="917"/>
      <c r="N1625" s="917"/>
      <c r="O1625" s="917"/>
      <c r="P1625" s="917"/>
      <c r="Q1625" s="578"/>
      <c r="R1625" s="578"/>
      <c r="S1625" s="578"/>
      <c r="T1625" s="578"/>
      <c r="U1625" s="578"/>
      <c r="V1625" s="578"/>
      <c r="W1625" s="578"/>
      <c r="X1625" s="578"/>
      <c r="Y1625" s="578"/>
      <c r="Z1625" s="578"/>
    </row>
    <row r="1626" spans="1:26" ht="18.75">
      <c r="A1626" s="682"/>
      <c r="B1626" s="682"/>
      <c r="C1626" s="682"/>
      <c r="D1626" s="914"/>
      <c r="E1626" s="682"/>
      <c r="F1626" s="682"/>
      <c r="G1626" s="682"/>
      <c r="H1626" s="915"/>
      <c r="I1626" s="916"/>
      <c r="J1626" s="916"/>
      <c r="K1626" s="917"/>
      <c r="L1626" s="917"/>
      <c r="M1626" s="917"/>
      <c r="N1626" s="917"/>
      <c r="O1626" s="917"/>
      <c r="P1626" s="917"/>
      <c r="Q1626" s="578"/>
      <c r="R1626" s="578"/>
      <c r="S1626" s="578"/>
      <c r="T1626" s="578"/>
      <c r="U1626" s="578"/>
      <c r="V1626" s="578"/>
      <c r="W1626" s="578"/>
      <c r="X1626" s="578"/>
      <c r="Y1626" s="578"/>
      <c r="Z1626" s="578"/>
    </row>
    <row r="1627" spans="1:26" ht="18.75">
      <c r="A1627" s="682"/>
      <c r="B1627" s="682"/>
      <c r="C1627" s="682"/>
      <c r="D1627" s="914"/>
      <c r="E1627" s="682"/>
      <c r="F1627" s="682"/>
      <c r="G1627" s="682"/>
      <c r="H1627" s="915"/>
      <c r="I1627" s="916"/>
      <c r="J1627" s="916"/>
      <c r="K1627" s="917"/>
      <c r="L1627" s="917"/>
      <c r="M1627" s="917"/>
      <c r="N1627" s="917"/>
      <c r="O1627" s="917"/>
      <c r="P1627" s="917"/>
      <c r="Q1627" s="578"/>
      <c r="R1627" s="578"/>
      <c r="S1627" s="578"/>
      <c r="T1627" s="578"/>
      <c r="U1627" s="578"/>
      <c r="V1627" s="578"/>
      <c r="W1627" s="578"/>
      <c r="X1627" s="578"/>
      <c r="Y1627" s="578"/>
      <c r="Z1627" s="578"/>
    </row>
    <row r="1628" spans="1:26" ht="18.75">
      <c r="A1628" s="682"/>
      <c r="B1628" s="682"/>
      <c r="C1628" s="682"/>
      <c r="D1628" s="914"/>
      <c r="E1628" s="682"/>
      <c r="F1628" s="682"/>
      <c r="G1628" s="682"/>
      <c r="H1628" s="915"/>
      <c r="I1628" s="916"/>
      <c r="J1628" s="916"/>
      <c r="K1628" s="917"/>
      <c r="L1628" s="917"/>
      <c r="M1628" s="917"/>
      <c r="N1628" s="917"/>
      <c r="O1628" s="917"/>
      <c r="P1628" s="917"/>
      <c r="Q1628" s="578"/>
      <c r="R1628" s="578"/>
      <c r="S1628" s="578"/>
      <c r="T1628" s="578"/>
      <c r="U1628" s="578"/>
      <c r="V1628" s="578"/>
      <c r="W1628" s="578"/>
      <c r="X1628" s="578"/>
      <c r="Y1628" s="578"/>
      <c r="Z1628" s="578"/>
    </row>
    <row r="1629" spans="1:26" ht="18.75">
      <c r="A1629" s="682"/>
      <c r="B1629" s="682"/>
      <c r="C1629" s="682"/>
      <c r="D1629" s="914"/>
      <c r="E1629" s="682"/>
      <c r="F1629" s="682"/>
      <c r="G1629" s="682"/>
      <c r="H1629" s="915"/>
      <c r="I1629" s="916"/>
      <c r="J1629" s="916"/>
      <c r="K1629" s="917"/>
      <c r="L1629" s="917"/>
      <c r="M1629" s="917"/>
      <c r="N1629" s="917"/>
      <c r="O1629" s="917"/>
      <c r="P1629" s="917"/>
      <c r="Q1629" s="578"/>
      <c r="R1629" s="578"/>
      <c r="S1629" s="578"/>
      <c r="T1629" s="578"/>
      <c r="U1629" s="578"/>
      <c r="V1629" s="578"/>
      <c r="W1629" s="578"/>
      <c r="X1629" s="578"/>
      <c r="Y1629" s="578"/>
      <c r="Z1629" s="578"/>
    </row>
    <row r="1630" spans="1:26" ht="18.75">
      <c r="A1630" s="682"/>
      <c r="B1630" s="682"/>
      <c r="C1630" s="682"/>
      <c r="D1630" s="914"/>
      <c r="E1630" s="682"/>
      <c r="F1630" s="682"/>
      <c r="G1630" s="682"/>
      <c r="H1630" s="915"/>
      <c r="I1630" s="916"/>
      <c r="J1630" s="916"/>
      <c r="K1630" s="917"/>
      <c r="L1630" s="917"/>
      <c r="M1630" s="917"/>
      <c r="N1630" s="917"/>
      <c r="O1630" s="917"/>
      <c r="P1630" s="917"/>
      <c r="Q1630" s="578"/>
      <c r="R1630" s="578"/>
      <c r="S1630" s="578"/>
      <c r="T1630" s="578"/>
      <c r="U1630" s="578"/>
      <c r="V1630" s="578"/>
      <c r="W1630" s="578"/>
      <c r="X1630" s="578"/>
      <c r="Y1630" s="578"/>
      <c r="Z1630" s="578"/>
    </row>
    <row r="1631" spans="1:26" ht="18.75">
      <c r="A1631" s="682"/>
      <c r="B1631" s="682"/>
      <c r="C1631" s="682"/>
      <c r="D1631" s="914"/>
      <c r="E1631" s="682"/>
      <c r="F1631" s="682"/>
      <c r="G1631" s="682"/>
      <c r="H1631" s="915"/>
      <c r="I1631" s="916"/>
      <c r="J1631" s="916"/>
      <c r="K1631" s="917"/>
      <c r="L1631" s="917"/>
      <c r="M1631" s="917"/>
      <c r="N1631" s="917"/>
      <c r="O1631" s="917"/>
      <c r="P1631" s="917"/>
      <c r="Q1631" s="578"/>
      <c r="R1631" s="578"/>
      <c r="S1631" s="578"/>
      <c r="T1631" s="578"/>
      <c r="U1631" s="578"/>
      <c r="V1631" s="578"/>
      <c r="W1631" s="578"/>
      <c r="X1631" s="578"/>
      <c r="Y1631" s="578"/>
      <c r="Z1631" s="578"/>
    </row>
    <row r="1632" spans="1:26" ht="18.75">
      <c r="A1632" s="682"/>
      <c r="B1632" s="682"/>
      <c r="C1632" s="682"/>
      <c r="D1632" s="914"/>
      <c r="E1632" s="682"/>
      <c r="F1632" s="682"/>
      <c r="G1632" s="682"/>
      <c r="H1632" s="915"/>
      <c r="I1632" s="916"/>
      <c r="J1632" s="916"/>
      <c r="K1632" s="917"/>
      <c r="L1632" s="917"/>
      <c r="M1632" s="917"/>
      <c r="N1632" s="917"/>
      <c r="O1632" s="917"/>
      <c r="P1632" s="917"/>
      <c r="Q1632" s="578"/>
      <c r="R1632" s="578"/>
      <c r="S1632" s="578"/>
      <c r="T1632" s="578"/>
      <c r="U1632" s="578"/>
      <c r="V1632" s="578"/>
      <c r="W1632" s="578"/>
      <c r="X1632" s="578"/>
      <c r="Y1632" s="578"/>
      <c r="Z1632" s="578"/>
    </row>
    <row r="1633" spans="1:26" ht="18.75">
      <c r="A1633" s="682"/>
      <c r="B1633" s="682"/>
      <c r="C1633" s="682"/>
      <c r="D1633" s="914"/>
      <c r="E1633" s="682"/>
      <c r="F1633" s="682"/>
      <c r="G1633" s="682"/>
      <c r="H1633" s="915"/>
      <c r="I1633" s="916"/>
      <c r="J1633" s="916"/>
      <c r="K1633" s="917"/>
      <c r="L1633" s="917"/>
      <c r="M1633" s="917"/>
      <c r="N1633" s="917"/>
      <c r="O1633" s="917"/>
      <c r="P1633" s="917"/>
      <c r="Q1633" s="578"/>
      <c r="R1633" s="578"/>
      <c r="S1633" s="578"/>
      <c r="T1633" s="578"/>
      <c r="U1633" s="578"/>
      <c r="V1633" s="578"/>
      <c r="W1633" s="578"/>
      <c r="X1633" s="578"/>
      <c r="Y1633" s="578"/>
      <c r="Z1633" s="578"/>
    </row>
    <row r="1634" spans="1:26" ht="18.75">
      <c r="A1634" s="682"/>
      <c r="B1634" s="682"/>
      <c r="C1634" s="682"/>
      <c r="D1634" s="914"/>
      <c r="E1634" s="682"/>
      <c r="F1634" s="682"/>
      <c r="G1634" s="682"/>
      <c r="H1634" s="915"/>
      <c r="I1634" s="916"/>
      <c r="J1634" s="916"/>
      <c r="K1634" s="917"/>
      <c r="L1634" s="917"/>
      <c r="M1634" s="917"/>
      <c r="N1634" s="917"/>
      <c r="O1634" s="917"/>
      <c r="P1634" s="917"/>
      <c r="Q1634" s="578"/>
      <c r="R1634" s="578"/>
      <c r="S1634" s="578"/>
      <c r="T1634" s="578"/>
      <c r="U1634" s="578"/>
      <c r="V1634" s="578"/>
      <c r="W1634" s="578"/>
      <c r="X1634" s="578"/>
      <c r="Y1634" s="578"/>
      <c r="Z1634" s="578"/>
    </row>
    <row r="1635" spans="1:26" ht="18.75">
      <c r="A1635" s="682"/>
      <c r="B1635" s="682"/>
      <c r="C1635" s="682"/>
      <c r="D1635" s="914"/>
      <c r="E1635" s="682"/>
      <c r="F1635" s="682"/>
      <c r="G1635" s="682"/>
      <c r="H1635" s="915"/>
      <c r="I1635" s="916"/>
      <c r="J1635" s="916"/>
      <c r="K1635" s="917"/>
      <c r="L1635" s="917"/>
      <c r="M1635" s="917"/>
      <c r="N1635" s="917"/>
      <c r="O1635" s="917"/>
      <c r="P1635" s="917"/>
      <c r="Q1635" s="578"/>
      <c r="R1635" s="578"/>
      <c r="S1635" s="578"/>
      <c r="T1635" s="578"/>
      <c r="U1635" s="578"/>
      <c r="V1635" s="578"/>
      <c r="W1635" s="578"/>
      <c r="X1635" s="578"/>
      <c r="Y1635" s="578"/>
      <c r="Z1635" s="578"/>
    </row>
    <row r="1636" spans="1:26" ht="18.75">
      <c r="A1636" s="682"/>
      <c r="B1636" s="682"/>
      <c r="C1636" s="682"/>
      <c r="D1636" s="914"/>
      <c r="E1636" s="682"/>
      <c r="F1636" s="682"/>
      <c r="G1636" s="682"/>
      <c r="H1636" s="915"/>
      <c r="I1636" s="916"/>
      <c r="J1636" s="916"/>
      <c r="K1636" s="917"/>
      <c r="L1636" s="917"/>
      <c r="M1636" s="917"/>
      <c r="N1636" s="917"/>
      <c r="O1636" s="917"/>
      <c r="P1636" s="917"/>
      <c r="Q1636" s="578"/>
      <c r="R1636" s="578"/>
      <c r="S1636" s="578"/>
      <c r="T1636" s="578"/>
      <c r="U1636" s="578"/>
      <c r="V1636" s="578"/>
      <c r="W1636" s="578"/>
      <c r="X1636" s="578"/>
      <c r="Y1636" s="578"/>
      <c r="Z1636" s="578"/>
    </row>
    <row r="1637" spans="1:26" ht="18.75">
      <c r="A1637" s="682"/>
      <c r="B1637" s="682"/>
      <c r="C1637" s="682"/>
      <c r="D1637" s="914"/>
      <c r="E1637" s="682"/>
      <c r="F1637" s="682"/>
      <c r="G1637" s="682"/>
      <c r="H1637" s="915"/>
      <c r="I1637" s="916"/>
      <c r="J1637" s="916"/>
      <c r="K1637" s="917"/>
      <c r="L1637" s="917"/>
      <c r="M1637" s="917"/>
      <c r="N1637" s="917"/>
      <c r="O1637" s="917"/>
      <c r="P1637" s="917"/>
      <c r="Q1637" s="578"/>
      <c r="R1637" s="578"/>
      <c r="S1637" s="578"/>
      <c r="T1637" s="578"/>
      <c r="U1637" s="578"/>
      <c r="V1637" s="578"/>
      <c r="W1637" s="578"/>
      <c r="X1637" s="578"/>
      <c r="Y1637" s="578"/>
      <c r="Z1637" s="578"/>
    </row>
    <row r="1638" spans="1:26" ht="18.75">
      <c r="A1638" s="682"/>
      <c r="B1638" s="682"/>
      <c r="C1638" s="682"/>
      <c r="D1638" s="914"/>
      <c r="E1638" s="682"/>
      <c r="F1638" s="682"/>
      <c r="G1638" s="682"/>
      <c r="H1638" s="915"/>
      <c r="I1638" s="916"/>
      <c r="J1638" s="916"/>
      <c r="K1638" s="917"/>
      <c r="L1638" s="917"/>
      <c r="M1638" s="917"/>
      <c r="N1638" s="917"/>
      <c r="O1638" s="917"/>
      <c r="P1638" s="917"/>
      <c r="Q1638" s="578"/>
      <c r="R1638" s="578"/>
      <c r="S1638" s="578"/>
      <c r="T1638" s="578"/>
      <c r="U1638" s="578"/>
      <c r="V1638" s="578"/>
      <c r="W1638" s="578"/>
      <c r="X1638" s="578"/>
      <c r="Y1638" s="578"/>
      <c r="Z1638" s="578"/>
    </row>
    <row r="1639" spans="1:26" ht="18.75">
      <c r="A1639" s="682"/>
      <c r="B1639" s="682"/>
      <c r="C1639" s="682"/>
      <c r="D1639" s="914"/>
      <c r="E1639" s="682"/>
      <c r="F1639" s="682"/>
      <c r="G1639" s="682"/>
      <c r="H1639" s="915"/>
      <c r="I1639" s="916"/>
      <c r="J1639" s="916"/>
      <c r="K1639" s="917"/>
      <c r="L1639" s="917"/>
      <c r="M1639" s="917"/>
      <c r="N1639" s="917"/>
      <c r="O1639" s="917"/>
      <c r="P1639" s="917"/>
      <c r="Q1639" s="578"/>
      <c r="R1639" s="578"/>
      <c r="S1639" s="578"/>
      <c r="T1639" s="578"/>
      <c r="U1639" s="578"/>
      <c r="V1639" s="578"/>
      <c r="W1639" s="578"/>
      <c r="X1639" s="578"/>
      <c r="Y1639" s="578"/>
      <c r="Z1639" s="578"/>
    </row>
    <row r="1640" spans="1:26" ht="18.75">
      <c r="A1640" s="682"/>
      <c r="B1640" s="682"/>
      <c r="C1640" s="682"/>
      <c r="D1640" s="914"/>
      <c r="E1640" s="682"/>
      <c r="F1640" s="682"/>
      <c r="G1640" s="682"/>
      <c r="H1640" s="915"/>
      <c r="I1640" s="916"/>
      <c r="J1640" s="916"/>
      <c r="K1640" s="917"/>
      <c r="L1640" s="917"/>
      <c r="M1640" s="917"/>
      <c r="N1640" s="917"/>
      <c r="O1640" s="917"/>
      <c r="P1640" s="917"/>
      <c r="Q1640" s="578"/>
      <c r="R1640" s="578"/>
      <c r="S1640" s="578"/>
      <c r="T1640" s="578"/>
      <c r="U1640" s="578"/>
      <c r="V1640" s="578"/>
      <c r="W1640" s="578"/>
      <c r="X1640" s="578"/>
      <c r="Y1640" s="578"/>
      <c r="Z1640" s="578"/>
    </row>
    <row r="1641" spans="1:26" ht="18.75">
      <c r="A1641" s="682"/>
      <c r="B1641" s="682"/>
      <c r="C1641" s="682"/>
      <c r="D1641" s="914"/>
      <c r="E1641" s="682"/>
      <c r="F1641" s="682"/>
      <c r="G1641" s="682"/>
      <c r="H1641" s="915"/>
      <c r="I1641" s="916"/>
      <c r="J1641" s="916"/>
      <c r="K1641" s="917"/>
      <c r="L1641" s="917"/>
      <c r="M1641" s="917"/>
      <c r="N1641" s="917"/>
      <c r="O1641" s="917"/>
      <c r="P1641" s="917"/>
      <c r="Q1641" s="578"/>
      <c r="R1641" s="578"/>
      <c r="S1641" s="578"/>
      <c r="T1641" s="578"/>
      <c r="U1641" s="578"/>
      <c r="V1641" s="578"/>
      <c r="W1641" s="578"/>
      <c r="X1641" s="578"/>
      <c r="Y1641" s="578"/>
      <c r="Z1641" s="578"/>
    </row>
    <row r="1642" spans="1:26" ht="18.75">
      <c r="A1642" s="682"/>
      <c r="B1642" s="682"/>
      <c r="C1642" s="682"/>
      <c r="D1642" s="914"/>
      <c r="E1642" s="682"/>
      <c r="F1642" s="682"/>
      <c r="G1642" s="682"/>
      <c r="H1642" s="915"/>
      <c r="I1642" s="916"/>
      <c r="J1642" s="916"/>
      <c r="K1642" s="917"/>
      <c r="L1642" s="917"/>
      <c r="M1642" s="917"/>
      <c r="N1642" s="917"/>
      <c r="O1642" s="917"/>
      <c r="P1642" s="917"/>
      <c r="Q1642" s="578"/>
      <c r="R1642" s="578"/>
      <c r="S1642" s="578"/>
      <c r="T1642" s="578"/>
      <c r="U1642" s="578"/>
      <c r="V1642" s="578"/>
      <c r="W1642" s="578"/>
      <c r="X1642" s="578"/>
      <c r="Y1642" s="578"/>
      <c r="Z1642" s="578"/>
    </row>
    <row r="1643" spans="1:26" ht="18.75">
      <c r="A1643" s="682"/>
      <c r="B1643" s="682"/>
      <c r="C1643" s="682"/>
      <c r="D1643" s="914"/>
      <c r="E1643" s="682"/>
      <c r="F1643" s="682"/>
      <c r="G1643" s="682"/>
      <c r="H1643" s="915"/>
      <c r="I1643" s="916"/>
      <c r="J1643" s="916"/>
      <c r="K1643" s="917"/>
      <c r="L1643" s="917"/>
      <c r="M1643" s="917"/>
      <c r="N1643" s="917"/>
      <c r="O1643" s="917"/>
      <c r="P1643" s="917"/>
      <c r="Q1643" s="578"/>
      <c r="R1643" s="578"/>
      <c r="S1643" s="578"/>
      <c r="T1643" s="578"/>
      <c r="U1643" s="578"/>
      <c r="V1643" s="578"/>
      <c r="W1643" s="578"/>
      <c r="X1643" s="578"/>
      <c r="Y1643" s="578"/>
      <c r="Z1643" s="578"/>
    </row>
    <row r="1644" spans="1:26" ht="18.75">
      <c r="A1644" s="682"/>
      <c r="B1644" s="682"/>
      <c r="C1644" s="682"/>
      <c r="D1644" s="914"/>
      <c r="E1644" s="682"/>
      <c r="F1644" s="682"/>
      <c r="G1644" s="682"/>
      <c r="H1644" s="915"/>
      <c r="I1644" s="916"/>
      <c r="J1644" s="916"/>
      <c r="K1644" s="917"/>
      <c r="L1644" s="917"/>
      <c r="M1644" s="917"/>
      <c r="N1644" s="917"/>
      <c r="O1644" s="917"/>
      <c r="P1644" s="917"/>
      <c r="Q1644" s="578"/>
      <c r="R1644" s="578"/>
      <c r="S1644" s="578"/>
      <c r="T1644" s="578"/>
      <c r="U1644" s="578"/>
      <c r="V1644" s="578"/>
      <c r="W1644" s="578"/>
      <c r="X1644" s="578"/>
      <c r="Y1644" s="578"/>
      <c r="Z1644" s="578"/>
    </row>
    <row r="1645" spans="1:26" ht="18.75">
      <c r="A1645" s="682"/>
      <c r="B1645" s="682"/>
      <c r="C1645" s="682"/>
      <c r="D1645" s="914"/>
      <c r="E1645" s="682"/>
      <c r="F1645" s="682"/>
      <c r="G1645" s="682"/>
      <c r="H1645" s="915"/>
      <c r="I1645" s="916"/>
      <c r="J1645" s="916"/>
      <c r="K1645" s="917"/>
      <c r="L1645" s="917"/>
      <c r="M1645" s="917"/>
      <c r="N1645" s="917"/>
      <c r="O1645" s="917"/>
      <c r="P1645" s="917"/>
      <c r="Q1645" s="578"/>
      <c r="R1645" s="578"/>
      <c r="S1645" s="578"/>
      <c r="T1645" s="578"/>
      <c r="U1645" s="578"/>
      <c r="V1645" s="578"/>
      <c r="W1645" s="578"/>
      <c r="X1645" s="578"/>
      <c r="Y1645" s="578"/>
      <c r="Z1645" s="578"/>
    </row>
    <row r="1646" spans="1:26" ht="18.75">
      <c r="A1646" s="682"/>
      <c r="B1646" s="682"/>
      <c r="C1646" s="682"/>
      <c r="D1646" s="914"/>
      <c r="E1646" s="682"/>
      <c r="F1646" s="682"/>
      <c r="G1646" s="682"/>
      <c r="H1646" s="915"/>
      <c r="I1646" s="916"/>
      <c r="J1646" s="916"/>
      <c r="K1646" s="917"/>
      <c r="L1646" s="917"/>
      <c r="M1646" s="917"/>
      <c r="N1646" s="917"/>
      <c r="O1646" s="917"/>
      <c r="P1646" s="917"/>
      <c r="Q1646" s="578"/>
      <c r="R1646" s="578"/>
      <c r="S1646" s="578"/>
      <c r="T1646" s="578"/>
      <c r="U1646" s="578"/>
      <c r="V1646" s="578"/>
      <c r="W1646" s="578"/>
      <c r="X1646" s="578"/>
      <c r="Y1646" s="578"/>
      <c r="Z1646" s="578"/>
    </row>
    <row r="1647" spans="1:26" ht="18.75">
      <c r="A1647" s="682"/>
      <c r="B1647" s="682"/>
      <c r="C1647" s="682"/>
      <c r="D1647" s="914"/>
      <c r="E1647" s="682"/>
      <c r="F1647" s="682"/>
      <c r="G1647" s="682"/>
      <c r="H1647" s="915"/>
      <c r="I1647" s="916"/>
      <c r="J1647" s="916"/>
      <c r="K1647" s="917"/>
      <c r="L1647" s="917"/>
      <c r="M1647" s="917"/>
      <c r="N1647" s="917"/>
      <c r="O1647" s="917"/>
      <c r="P1647" s="917"/>
      <c r="Q1647" s="578"/>
      <c r="R1647" s="578"/>
      <c r="S1647" s="578"/>
      <c r="T1647" s="578"/>
      <c r="U1647" s="578"/>
      <c r="V1647" s="578"/>
      <c r="W1647" s="578"/>
      <c r="X1647" s="578"/>
      <c r="Y1647" s="578"/>
      <c r="Z1647" s="578"/>
    </row>
    <row r="1648" spans="1:26" ht="18.75">
      <c r="A1648" s="682"/>
      <c r="B1648" s="682"/>
      <c r="C1648" s="682"/>
      <c r="D1648" s="914"/>
      <c r="E1648" s="682"/>
      <c r="F1648" s="682"/>
      <c r="G1648" s="682"/>
      <c r="H1648" s="915"/>
      <c r="I1648" s="916"/>
      <c r="J1648" s="916"/>
      <c r="K1648" s="917"/>
      <c r="L1648" s="917"/>
      <c r="M1648" s="917"/>
      <c r="N1648" s="917"/>
      <c r="O1648" s="917"/>
      <c r="P1648" s="917"/>
      <c r="Q1648" s="578"/>
      <c r="R1648" s="578"/>
      <c r="S1648" s="578"/>
      <c r="T1648" s="578"/>
      <c r="U1648" s="578"/>
      <c r="V1648" s="578"/>
      <c r="W1648" s="578"/>
      <c r="X1648" s="578"/>
      <c r="Y1648" s="578"/>
      <c r="Z1648" s="578"/>
    </row>
    <row r="1649" spans="1:26" ht="18.75">
      <c r="A1649" s="682"/>
      <c r="B1649" s="682"/>
      <c r="C1649" s="682"/>
      <c r="D1649" s="914"/>
      <c r="E1649" s="682"/>
      <c r="F1649" s="682"/>
      <c r="G1649" s="682"/>
      <c r="H1649" s="915"/>
      <c r="I1649" s="916"/>
      <c r="J1649" s="916"/>
      <c r="K1649" s="917"/>
      <c r="L1649" s="917"/>
      <c r="M1649" s="917"/>
      <c r="N1649" s="917"/>
      <c r="O1649" s="917"/>
      <c r="P1649" s="917"/>
      <c r="Q1649" s="578"/>
      <c r="R1649" s="578"/>
      <c r="S1649" s="578"/>
      <c r="T1649" s="578"/>
      <c r="U1649" s="578"/>
      <c r="V1649" s="578"/>
      <c r="W1649" s="578"/>
      <c r="X1649" s="578"/>
      <c r="Y1649" s="578"/>
      <c r="Z1649" s="578"/>
    </row>
    <row r="1650" spans="1:26" ht="18.75">
      <c r="A1650" s="682"/>
      <c r="B1650" s="682"/>
      <c r="C1650" s="682"/>
      <c r="D1650" s="914"/>
      <c r="E1650" s="682"/>
      <c r="F1650" s="682"/>
      <c r="G1650" s="682"/>
      <c r="H1650" s="915"/>
      <c r="I1650" s="916"/>
      <c r="J1650" s="916"/>
      <c r="K1650" s="917"/>
      <c r="L1650" s="917"/>
      <c r="M1650" s="917"/>
      <c r="N1650" s="917"/>
      <c r="O1650" s="917"/>
      <c r="P1650" s="917"/>
      <c r="Q1650" s="578"/>
      <c r="R1650" s="578"/>
      <c r="S1650" s="578"/>
      <c r="T1650" s="578"/>
      <c r="U1650" s="578"/>
      <c r="V1650" s="578"/>
      <c r="W1650" s="578"/>
      <c r="X1650" s="578"/>
      <c r="Y1650" s="578"/>
      <c r="Z1650" s="578"/>
    </row>
    <row r="1651" spans="1:26" ht="18.75">
      <c r="A1651" s="682"/>
      <c r="B1651" s="682"/>
      <c r="C1651" s="682"/>
      <c r="D1651" s="914"/>
      <c r="E1651" s="682"/>
      <c r="F1651" s="682"/>
      <c r="G1651" s="682"/>
      <c r="H1651" s="915"/>
      <c r="I1651" s="916"/>
      <c r="J1651" s="916"/>
      <c r="K1651" s="917"/>
      <c r="L1651" s="917"/>
      <c r="M1651" s="917"/>
      <c r="N1651" s="917"/>
      <c r="O1651" s="917"/>
      <c r="P1651" s="917"/>
      <c r="Q1651" s="578"/>
      <c r="R1651" s="578"/>
      <c r="S1651" s="578"/>
      <c r="T1651" s="578"/>
      <c r="U1651" s="578"/>
      <c r="V1651" s="578"/>
      <c r="W1651" s="578"/>
      <c r="X1651" s="578"/>
      <c r="Y1651" s="578"/>
      <c r="Z1651" s="578"/>
    </row>
    <row r="1652" spans="1:26" ht="18.75">
      <c r="A1652" s="682"/>
      <c r="B1652" s="682"/>
      <c r="C1652" s="682"/>
      <c r="D1652" s="914"/>
      <c r="E1652" s="682"/>
      <c r="F1652" s="682"/>
      <c r="G1652" s="682"/>
      <c r="H1652" s="915"/>
      <c r="I1652" s="916"/>
      <c r="J1652" s="916"/>
      <c r="K1652" s="917"/>
      <c r="L1652" s="917"/>
      <c r="M1652" s="917"/>
      <c r="N1652" s="917"/>
      <c r="O1652" s="917"/>
      <c r="P1652" s="917"/>
      <c r="Q1652" s="578"/>
      <c r="R1652" s="578"/>
      <c r="S1652" s="578"/>
      <c r="T1652" s="578"/>
      <c r="U1652" s="578"/>
      <c r="V1652" s="578"/>
      <c r="W1652" s="578"/>
      <c r="X1652" s="578"/>
      <c r="Y1652" s="578"/>
      <c r="Z1652" s="578"/>
    </row>
    <row r="1653" spans="1:26" ht="18.75">
      <c r="A1653" s="682"/>
      <c r="B1653" s="682"/>
      <c r="C1653" s="682"/>
      <c r="D1653" s="914"/>
      <c r="E1653" s="682"/>
      <c r="F1653" s="682"/>
      <c r="G1653" s="682"/>
      <c r="H1653" s="915"/>
      <c r="I1653" s="916"/>
      <c r="J1653" s="916"/>
      <c r="K1653" s="917"/>
      <c r="L1653" s="917"/>
      <c r="M1653" s="917"/>
      <c r="N1653" s="917"/>
      <c r="O1653" s="917"/>
      <c r="P1653" s="917"/>
      <c r="Q1653" s="578"/>
      <c r="R1653" s="578"/>
      <c r="S1653" s="578"/>
      <c r="T1653" s="578"/>
      <c r="U1653" s="578"/>
      <c r="V1653" s="578"/>
      <c r="W1653" s="578"/>
      <c r="X1653" s="578"/>
      <c r="Y1653" s="578"/>
      <c r="Z1653" s="578"/>
    </row>
    <row r="1654" spans="1:26" ht="18.75">
      <c r="A1654" s="682"/>
      <c r="B1654" s="682"/>
      <c r="C1654" s="682"/>
      <c r="D1654" s="914"/>
      <c r="E1654" s="682"/>
      <c r="F1654" s="682"/>
      <c r="G1654" s="682"/>
      <c r="H1654" s="915"/>
      <c r="I1654" s="916"/>
      <c r="J1654" s="916"/>
      <c r="K1654" s="917"/>
      <c r="L1654" s="917"/>
      <c r="M1654" s="917"/>
      <c r="N1654" s="917"/>
      <c r="O1654" s="917"/>
      <c r="P1654" s="917"/>
      <c r="Q1654" s="578"/>
      <c r="R1654" s="578"/>
      <c r="S1654" s="578"/>
      <c r="T1654" s="578"/>
      <c r="U1654" s="578"/>
      <c r="V1654" s="578"/>
      <c r="W1654" s="578"/>
      <c r="X1654" s="578"/>
      <c r="Y1654" s="578"/>
      <c r="Z1654" s="578"/>
    </row>
    <row r="1655" spans="1:26" ht="18.75">
      <c r="A1655" s="682"/>
      <c r="B1655" s="682"/>
      <c r="C1655" s="682"/>
      <c r="D1655" s="914"/>
      <c r="E1655" s="682"/>
      <c r="F1655" s="682"/>
      <c r="G1655" s="682"/>
      <c r="H1655" s="915"/>
      <c r="I1655" s="916"/>
      <c r="J1655" s="916"/>
      <c r="K1655" s="917"/>
      <c r="L1655" s="917"/>
      <c r="M1655" s="917"/>
      <c r="N1655" s="917"/>
      <c r="O1655" s="917"/>
      <c r="P1655" s="917"/>
      <c r="Q1655" s="578"/>
      <c r="R1655" s="578"/>
      <c r="S1655" s="578"/>
      <c r="T1655" s="578"/>
      <c r="U1655" s="578"/>
      <c r="V1655" s="578"/>
      <c r="W1655" s="578"/>
      <c r="X1655" s="578"/>
      <c r="Y1655" s="578"/>
      <c r="Z1655" s="578"/>
    </row>
    <row r="1656" spans="1:26" ht="18.75">
      <c r="A1656" s="682"/>
      <c r="B1656" s="682"/>
      <c r="C1656" s="682"/>
      <c r="D1656" s="914"/>
      <c r="E1656" s="682"/>
      <c r="F1656" s="682"/>
      <c r="G1656" s="682"/>
      <c r="H1656" s="915"/>
      <c r="I1656" s="916"/>
      <c r="J1656" s="916"/>
      <c r="K1656" s="917"/>
      <c r="L1656" s="917"/>
      <c r="M1656" s="917"/>
      <c r="N1656" s="917"/>
      <c r="O1656" s="917"/>
      <c r="P1656" s="917"/>
      <c r="Q1656" s="578"/>
      <c r="R1656" s="578"/>
      <c r="S1656" s="578"/>
      <c r="T1656" s="578"/>
      <c r="U1656" s="578"/>
      <c r="V1656" s="578"/>
      <c r="W1656" s="578"/>
      <c r="X1656" s="578"/>
      <c r="Y1656" s="578"/>
      <c r="Z1656" s="578"/>
    </row>
    <row r="1657" spans="1:26" ht="18.75">
      <c r="A1657" s="682"/>
      <c r="B1657" s="682"/>
      <c r="C1657" s="682"/>
      <c r="D1657" s="914"/>
      <c r="E1657" s="682"/>
      <c r="F1657" s="682"/>
      <c r="G1657" s="682"/>
      <c r="H1657" s="915"/>
      <c r="I1657" s="916"/>
      <c r="J1657" s="916"/>
      <c r="K1657" s="917"/>
      <c r="L1657" s="917"/>
      <c r="M1657" s="917"/>
      <c r="N1657" s="917"/>
      <c r="O1657" s="917"/>
      <c r="P1657" s="917"/>
      <c r="Q1657" s="578"/>
      <c r="R1657" s="578"/>
      <c r="S1657" s="578"/>
      <c r="T1657" s="578"/>
      <c r="U1657" s="578"/>
      <c r="V1657" s="578"/>
      <c r="W1657" s="578"/>
      <c r="X1657" s="578"/>
      <c r="Y1657" s="578"/>
      <c r="Z1657" s="578"/>
    </row>
    <row r="1658" spans="1:26" ht="18.75">
      <c r="A1658" s="682"/>
      <c r="B1658" s="682"/>
      <c r="C1658" s="682"/>
      <c r="D1658" s="914"/>
      <c r="E1658" s="682"/>
      <c r="F1658" s="682"/>
      <c r="G1658" s="682"/>
      <c r="H1658" s="915"/>
      <c r="I1658" s="916"/>
      <c r="J1658" s="916"/>
      <c r="K1658" s="917"/>
      <c r="L1658" s="917"/>
      <c r="M1658" s="917"/>
      <c r="N1658" s="917"/>
      <c r="O1658" s="917"/>
      <c r="P1658" s="917"/>
      <c r="Q1658" s="578"/>
      <c r="R1658" s="578"/>
      <c r="S1658" s="578"/>
      <c r="T1658" s="578"/>
      <c r="U1658" s="578"/>
      <c r="V1658" s="578"/>
      <c r="W1658" s="578"/>
      <c r="X1658" s="578"/>
      <c r="Y1658" s="578"/>
      <c r="Z1658" s="578"/>
    </row>
    <row r="1659" spans="1:26" ht="18.75">
      <c r="A1659" s="682"/>
      <c r="B1659" s="682"/>
      <c r="C1659" s="682"/>
      <c r="D1659" s="914"/>
      <c r="E1659" s="682"/>
      <c r="F1659" s="682"/>
      <c r="G1659" s="682"/>
      <c r="H1659" s="915"/>
      <c r="I1659" s="916"/>
      <c r="J1659" s="916"/>
      <c r="K1659" s="917"/>
      <c r="L1659" s="917"/>
      <c r="M1659" s="917"/>
      <c r="N1659" s="917"/>
      <c r="O1659" s="917"/>
      <c r="P1659" s="917"/>
      <c r="Q1659" s="578"/>
      <c r="R1659" s="578"/>
      <c r="S1659" s="578"/>
      <c r="T1659" s="578"/>
      <c r="U1659" s="578"/>
      <c r="V1659" s="578"/>
      <c r="W1659" s="578"/>
      <c r="X1659" s="578"/>
      <c r="Y1659" s="578"/>
      <c r="Z1659" s="578"/>
    </row>
    <row r="1660" spans="1:26" ht="18.75">
      <c r="A1660" s="682"/>
      <c r="B1660" s="682"/>
      <c r="C1660" s="682"/>
      <c r="D1660" s="914"/>
      <c r="E1660" s="682"/>
      <c r="F1660" s="682"/>
      <c r="G1660" s="682"/>
      <c r="H1660" s="915"/>
      <c r="I1660" s="916"/>
      <c r="J1660" s="916"/>
      <c r="K1660" s="917"/>
      <c r="L1660" s="917"/>
      <c r="M1660" s="917"/>
      <c r="N1660" s="917"/>
      <c r="O1660" s="917"/>
      <c r="P1660" s="917"/>
      <c r="Q1660" s="578"/>
      <c r="R1660" s="578"/>
      <c r="S1660" s="578"/>
      <c r="T1660" s="578"/>
      <c r="U1660" s="578"/>
      <c r="V1660" s="578"/>
      <c r="W1660" s="578"/>
      <c r="X1660" s="578"/>
      <c r="Y1660" s="578"/>
      <c r="Z1660" s="578"/>
    </row>
    <row r="1661" spans="1:26" ht="18.75">
      <c r="A1661" s="682"/>
      <c r="B1661" s="682"/>
      <c r="C1661" s="682"/>
      <c r="D1661" s="914"/>
      <c r="E1661" s="682"/>
      <c r="F1661" s="682"/>
      <c r="G1661" s="682"/>
      <c r="H1661" s="915"/>
      <c r="I1661" s="916"/>
      <c r="J1661" s="916"/>
      <c r="K1661" s="917"/>
      <c r="L1661" s="917"/>
      <c r="M1661" s="917"/>
      <c r="N1661" s="917"/>
      <c r="O1661" s="917"/>
      <c r="P1661" s="917"/>
      <c r="Q1661" s="578"/>
      <c r="R1661" s="578"/>
      <c r="S1661" s="578"/>
      <c r="T1661" s="578"/>
      <c r="U1661" s="578"/>
      <c r="V1661" s="578"/>
      <c r="W1661" s="578"/>
      <c r="X1661" s="578"/>
      <c r="Y1661" s="578"/>
      <c r="Z1661" s="578"/>
    </row>
    <row r="1662" spans="1:26" ht="18.75">
      <c r="A1662" s="682"/>
      <c r="B1662" s="682"/>
      <c r="C1662" s="682"/>
      <c r="D1662" s="914"/>
      <c r="E1662" s="682"/>
      <c r="F1662" s="682"/>
      <c r="G1662" s="682"/>
      <c r="H1662" s="915"/>
      <c r="I1662" s="916"/>
      <c r="J1662" s="916"/>
      <c r="K1662" s="917"/>
      <c r="L1662" s="917"/>
      <c r="M1662" s="917"/>
      <c r="N1662" s="917"/>
      <c r="O1662" s="917"/>
      <c r="P1662" s="917"/>
      <c r="Q1662" s="578"/>
      <c r="R1662" s="578"/>
      <c r="S1662" s="578"/>
      <c r="T1662" s="578"/>
      <c r="U1662" s="578"/>
      <c r="V1662" s="578"/>
      <c r="W1662" s="578"/>
      <c r="X1662" s="578"/>
      <c r="Y1662" s="578"/>
      <c r="Z1662" s="578"/>
    </row>
    <row r="1663" spans="1:26" ht="18.75">
      <c r="A1663" s="682"/>
      <c r="B1663" s="682"/>
      <c r="C1663" s="682"/>
      <c r="D1663" s="914"/>
      <c r="E1663" s="682"/>
      <c r="F1663" s="682"/>
      <c r="G1663" s="682"/>
      <c r="H1663" s="915"/>
      <c r="I1663" s="916"/>
      <c r="J1663" s="916"/>
      <c r="K1663" s="917"/>
      <c r="L1663" s="917"/>
      <c r="M1663" s="917"/>
      <c r="N1663" s="917"/>
      <c r="O1663" s="917"/>
      <c r="P1663" s="917"/>
      <c r="Q1663" s="578"/>
      <c r="R1663" s="578"/>
      <c r="S1663" s="578"/>
      <c r="T1663" s="578"/>
      <c r="U1663" s="578"/>
      <c r="V1663" s="578"/>
      <c r="W1663" s="578"/>
      <c r="X1663" s="578"/>
      <c r="Y1663" s="578"/>
      <c r="Z1663" s="578"/>
    </row>
    <row r="1664" spans="1:26" ht="18.75">
      <c r="A1664" s="682"/>
      <c r="B1664" s="682"/>
      <c r="C1664" s="682"/>
      <c r="D1664" s="914"/>
      <c r="E1664" s="682"/>
      <c r="F1664" s="682"/>
      <c r="G1664" s="682"/>
      <c r="H1664" s="915"/>
      <c r="I1664" s="916"/>
      <c r="J1664" s="916"/>
      <c r="K1664" s="917"/>
      <c r="L1664" s="917"/>
      <c r="M1664" s="917"/>
      <c r="N1664" s="917"/>
      <c r="O1664" s="917"/>
      <c r="P1664" s="917"/>
      <c r="Q1664" s="578"/>
      <c r="R1664" s="578"/>
      <c r="S1664" s="578"/>
      <c r="T1664" s="578"/>
      <c r="U1664" s="578"/>
      <c r="V1664" s="578"/>
      <c r="W1664" s="578"/>
      <c r="X1664" s="578"/>
      <c r="Y1664" s="578"/>
      <c r="Z1664" s="578"/>
    </row>
    <row r="1665" spans="1:26" ht="18.75">
      <c r="A1665" s="682"/>
      <c r="B1665" s="682"/>
      <c r="C1665" s="682"/>
      <c r="D1665" s="914"/>
      <c r="E1665" s="682"/>
      <c r="F1665" s="682"/>
      <c r="G1665" s="682"/>
      <c r="H1665" s="915"/>
      <c r="I1665" s="916"/>
      <c r="J1665" s="916"/>
      <c r="K1665" s="917"/>
      <c r="L1665" s="917"/>
      <c r="M1665" s="917"/>
      <c r="N1665" s="917"/>
      <c r="O1665" s="917"/>
      <c r="P1665" s="917"/>
      <c r="Q1665" s="578"/>
      <c r="R1665" s="578"/>
      <c r="S1665" s="578"/>
      <c r="T1665" s="578"/>
      <c r="U1665" s="578"/>
      <c r="V1665" s="578"/>
      <c r="W1665" s="578"/>
      <c r="X1665" s="578"/>
      <c r="Y1665" s="578"/>
      <c r="Z1665" s="578"/>
    </row>
    <row r="1666" spans="1:26" ht="18.75">
      <c r="A1666" s="682"/>
      <c r="B1666" s="682"/>
      <c r="C1666" s="682"/>
      <c r="D1666" s="914"/>
      <c r="E1666" s="682"/>
      <c r="F1666" s="682"/>
      <c r="G1666" s="682"/>
      <c r="H1666" s="915"/>
      <c r="I1666" s="916"/>
      <c r="J1666" s="916"/>
      <c r="K1666" s="917"/>
      <c r="L1666" s="917"/>
      <c r="M1666" s="917"/>
      <c r="N1666" s="917"/>
      <c r="O1666" s="917"/>
      <c r="P1666" s="917"/>
      <c r="Q1666" s="578"/>
      <c r="R1666" s="578"/>
      <c r="S1666" s="578"/>
      <c r="T1666" s="578"/>
      <c r="U1666" s="578"/>
      <c r="V1666" s="578"/>
      <c r="W1666" s="578"/>
      <c r="X1666" s="578"/>
      <c r="Y1666" s="578"/>
      <c r="Z1666" s="578"/>
    </row>
    <row r="1667" spans="1:26" ht="18.75">
      <c r="A1667" s="682"/>
      <c r="B1667" s="682"/>
      <c r="C1667" s="682"/>
      <c r="D1667" s="914"/>
      <c r="E1667" s="682"/>
      <c r="F1667" s="682"/>
      <c r="G1667" s="682"/>
      <c r="H1667" s="915"/>
      <c r="I1667" s="916"/>
      <c r="J1667" s="916"/>
      <c r="K1667" s="917"/>
      <c r="L1667" s="917"/>
      <c r="M1667" s="917"/>
      <c r="N1667" s="917"/>
      <c r="O1667" s="917"/>
      <c r="P1667" s="917"/>
      <c r="Q1667" s="578"/>
      <c r="R1667" s="578"/>
      <c r="S1667" s="578"/>
      <c r="T1667" s="578"/>
      <c r="U1667" s="578"/>
      <c r="V1667" s="578"/>
      <c r="W1667" s="578"/>
      <c r="X1667" s="578"/>
      <c r="Y1667" s="578"/>
      <c r="Z1667" s="578"/>
    </row>
    <row r="1668" spans="1:26" ht="18.75">
      <c r="A1668" s="682"/>
      <c r="B1668" s="682"/>
      <c r="C1668" s="682"/>
      <c r="D1668" s="914"/>
      <c r="E1668" s="682"/>
      <c r="F1668" s="682"/>
      <c r="G1668" s="682"/>
      <c r="H1668" s="915"/>
      <c r="I1668" s="916"/>
      <c r="J1668" s="916"/>
      <c r="K1668" s="917"/>
      <c r="L1668" s="917"/>
      <c r="M1668" s="917"/>
      <c r="N1668" s="917"/>
      <c r="O1668" s="917"/>
      <c r="P1668" s="917"/>
      <c r="Q1668" s="578"/>
      <c r="R1668" s="578"/>
      <c r="S1668" s="578"/>
      <c r="T1668" s="578"/>
      <c r="U1668" s="578"/>
      <c r="V1668" s="578"/>
      <c r="W1668" s="578"/>
      <c r="X1668" s="578"/>
      <c r="Y1668" s="578"/>
      <c r="Z1668" s="578"/>
    </row>
    <row r="1669" spans="1:26" ht="18.75">
      <c r="A1669" s="682"/>
      <c r="B1669" s="682"/>
      <c r="C1669" s="682"/>
      <c r="D1669" s="914"/>
      <c r="E1669" s="682"/>
      <c r="F1669" s="682"/>
      <c r="G1669" s="682"/>
      <c r="H1669" s="915"/>
      <c r="I1669" s="916"/>
      <c r="J1669" s="916"/>
      <c r="K1669" s="917"/>
      <c r="L1669" s="917"/>
      <c r="M1669" s="917"/>
      <c r="N1669" s="917"/>
      <c r="O1669" s="917"/>
      <c r="P1669" s="917"/>
      <c r="Q1669" s="578"/>
      <c r="R1669" s="578"/>
      <c r="S1669" s="578"/>
      <c r="T1669" s="578"/>
      <c r="U1669" s="578"/>
      <c r="V1669" s="578"/>
      <c r="W1669" s="578"/>
      <c r="X1669" s="578"/>
      <c r="Y1669" s="578"/>
      <c r="Z1669" s="578"/>
    </row>
    <row r="1670" spans="1:26" ht="18.75">
      <c r="A1670" s="682"/>
      <c r="B1670" s="682"/>
      <c r="C1670" s="682"/>
      <c r="D1670" s="914"/>
      <c r="E1670" s="682"/>
      <c r="F1670" s="682"/>
      <c r="G1670" s="682"/>
      <c r="H1670" s="915"/>
      <c r="I1670" s="916"/>
      <c r="J1670" s="916"/>
      <c r="K1670" s="917"/>
      <c r="L1670" s="917"/>
      <c r="M1670" s="917"/>
      <c r="N1670" s="917"/>
      <c r="O1670" s="917"/>
      <c r="P1670" s="917"/>
      <c r="Q1670" s="578"/>
      <c r="R1670" s="578"/>
      <c r="S1670" s="578"/>
      <c r="T1670" s="578"/>
      <c r="U1670" s="578"/>
      <c r="V1670" s="578"/>
      <c r="W1670" s="578"/>
      <c r="X1670" s="578"/>
      <c r="Y1670" s="578"/>
      <c r="Z1670" s="578"/>
    </row>
    <row r="1671" spans="1:26" ht="18.75">
      <c r="A1671" s="682"/>
      <c r="B1671" s="682"/>
      <c r="C1671" s="682"/>
      <c r="D1671" s="914"/>
      <c r="E1671" s="682"/>
      <c r="F1671" s="682"/>
      <c r="G1671" s="682"/>
      <c r="H1671" s="915"/>
      <c r="I1671" s="916"/>
      <c r="J1671" s="916"/>
      <c r="K1671" s="917"/>
      <c r="L1671" s="917"/>
      <c r="M1671" s="917"/>
      <c r="N1671" s="917"/>
      <c r="O1671" s="917"/>
      <c r="P1671" s="917"/>
      <c r="Q1671" s="578"/>
      <c r="R1671" s="578"/>
      <c r="S1671" s="578"/>
      <c r="T1671" s="578"/>
      <c r="U1671" s="578"/>
      <c r="V1671" s="578"/>
      <c r="W1671" s="578"/>
      <c r="X1671" s="578"/>
      <c r="Y1671" s="578"/>
      <c r="Z1671" s="578"/>
    </row>
    <row r="1672" spans="1:26" ht="18.75">
      <c r="A1672" s="682"/>
      <c r="B1672" s="682"/>
      <c r="C1672" s="682"/>
      <c r="D1672" s="914"/>
      <c r="E1672" s="682"/>
      <c r="F1672" s="682"/>
      <c r="G1672" s="682"/>
      <c r="H1672" s="915"/>
      <c r="I1672" s="916"/>
      <c r="J1672" s="916"/>
      <c r="K1672" s="917"/>
      <c r="L1672" s="917"/>
      <c r="M1672" s="917"/>
      <c r="N1672" s="917"/>
      <c r="O1672" s="917"/>
      <c r="P1672" s="917"/>
      <c r="Q1672" s="578"/>
      <c r="R1672" s="578"/>
      <c r="S1672" s="578"/>
      <c r="T1672" s="578"/>
      <c r="U1672" s="578"/>
      <c r="V1672" s="578"/>
      <c r="W1672" s="578"/>
      <c r="X1672" s="578"/>
      <c r="Y1672" s="578"/>
      <c r="Z1672" s="578"/>
    </row>
    <row r="1673" spans="1:26" ht="18.75">
      <c r="A1673" s="682"/>
      <c r="B1673" s="682"/>
      <c r="C1673" s="682"/>
      <c r="D1673" s="914"/>
      <c r="E1673" s="682"/>
      <c r="F1673" s="682"/>
      <c r="G1673" s="682"/>
      <c r="H1673" s="915"/>
      <c r="I1673" s="916"/>
      <c r="J1673" s="916"/>
      <c r="K1673" s="917"/>
      <c r="L1673" s="917"/>
      <c r="M1673" s="917"/>
      <c r="N1673" s="917"/>
      <c r="O1673" s="917"/>
      <c r="P1673" s="917"/>
      <c r="Q1673" s="578"/>
      <c r="R1673" s="578"/>
      <c r="S1673" s="578"/>
      <c r="T1673" s="578"/>
      <c r="U1673" s="578"/>
      <c r="V1673" s="578"/>
      <c r="W1673" s="578"/>
      <c r="X1673" s="578"/>
      <c r="Y1673" s="578"/>
      <c r="Z1673" s="578"/>
    </row>
    <row r="1674" spans="1:26" ht="18.75">
      <c r="A1674" s="682"/>
      <c r="B1674" s="682"/>
      <c r="C1674" s="682"/>
      <c r="D1674" s="914"/>
      <c r="E1674" s="682"/>
      <c r="F1674" s="682"/>
      <c r="G1674" s="682"/>
      <c r="H1674" s="915"/>
      <c r="I1674" s="916"/>
      <c r="J1674" s="916"/>
      <c r="K1674" s="917"/>
      <c r="L1674" s="917"/>
      <c r="M1674" s="917"/>
      <c r="N1674" s="917"/>
      <c r="O1674" s="917"/>
      <c r="P1674" s="917"/>
      <c r="Q1674" s="578"/>
      <c r="R1674" s="578"/>
      <c r="S1674" s="578"/>
      <c r="T1674" s="578"/>
      <c r="U1674" s="578"/>
      <c r="V1674" s="578"/>
      <c r="W1674" s="578"/>
      <c r="X1674" s="578"/>
      <c r="Y1674" s="578"/>
      <c r="Z1674" s="578"/>
    </row>
    <row r="1675" spans="1:26" ht="18.75">
      <c r="A1675" s="682"/>
      <c r="B1675" s="682"/>
      <c r="C1675" s="682"/>
      <c r="D1675" s="914"/>
      <c r="E1675" s="682"/>
      <c r="F1675" s="682"/>
      <c r="G1675" s="682"/>
      <c r="H1675" s="915"/>
      <c r="I1675" s="916"/>
      <c r="J1675" s="916"/>
      <c r="K1675" s="917"/>
      <c r="L1675" s="917"/>
      <c r="M1675" s="917"/>
      <c r="N1675" s="917"/>
      <c r="O1675" s="917"/>
      <c r="P1675" s="917"/>
      <c r="Q1675" s="578"/>
      <c r="R1675" s="578"/>
      <c r="S1675" s="578"/>
      <c r="T1675" s="578"/>
      <c r="U1675" s="578"/>
      <c r="V1675" s="578"/>
      <c r="W1675" s="578"/>
      <c r="X1675" s="578"/>
      <c r="Y1675" s="578"/>
      <c r="Z1675" s="578"/>
    </row>
    <row r="1676" spans="1:26" ht="18.75">
      <c r="A1676" s="682"/>
      <c r="B1676" s="682"/>
      <c r="C1676" s="682"/>
      <c r="D1676" s="914"/>
      <c r="E1676" s="682"/>
      <c r="F1676" s="682"/>
      <c r="G1676" s="682"/>
      <c r="H1676" s="915"/>
      <c r="I1676" s="916"/>
      <c r="J1676" s="916"/>
      <c r="K1676" s="917"/>
      <c r="L1676" s="917"/>
      <c r="M1676" s="917"/>
      <c r="N1676" s="917"/>
      <c r="O1676" s="917"/>
      <c r="P1676" s="917"/>
      <c r="Q1676" s="578"/>
      <c r="R1676" s="578"/>
      <c r="S1676" s="578"/>
      <c r="T1676" s="578"/>
      <c r="U1676" s="578"/>
      <c r="V1676" s="578"/>
      <c r="W1676" s="578"/>
      <c r="X1676" s="578"/>
      <c r="Y1676" s="578"/>
      <c r="Z1676" s="578"/>
    </row>
    <row r="1677" spans="1:26" ht="18.75">
      <c r="A1677" s="682"/>
      <c r="B1677" s="682"/>
      <c r="C1677" s="682"/>
      <c r="D1677" s="914"/>
      <c r="E1677" s="682"/>
      <c r="F1677" s="682"/>
      <c r="G1677" s="682"/>
      <c r="H1677" s="915"/>
      <c r="I1677" s="916"/>
      <c r="J1677" s="916"/>
      <c r="K1677" s="917"/>
      <c r="L1677" s="917"/>
      <c r="M1677" s="917"/>
      <c r="N1677" s="917"/>
      <c r="O1677" s="917"/>
      <c r="P1677" s="917"/>
      <c r="Q1677" s="578"/>
      <c r="R1677" s="578"/>
      <c r="S1677" s="578"/>
      <c r="T1677" s="578"/>
      <c r="U1677" s="578"/>
      <c r="V1677" s="578"/>
      <c r="W1677" s="578"/>
      <c r="X1677" s="578"/>
      <c r="Y1677" s="578"/>
      <c r="Z1677" s="578"/>
    </row>
    <row r="1678" spans="1:26" ht="18.75">
      <c r="A1678" s="682"/>
      <c r="B1678" s="682"/>
      <c r="C1678" s="682"/>
      <c r="D1678" s="914"/>
      <c r="E1678" s="682"/>
      <c r="F1678" s="682"/>
      <c r="G1678" s="682"/>
      <c r="H1678" s="915"/>
      <c r="I1678" s="916"/>
      <c r="J1678" s="916"/>
      <c r="K1678" s="917"/>
      <c r="L1678" s="917"/>
      <c r="M1678" s="917"/>
      <c r="N1678" s="917"/>
      <c r="O1678" s="917"/>
      <c r="P1678" s="917"/>
      <c r="Q1678" s="578"/>
      <c r="R1678" s="578"/>
      <c r="S1678" s="578"/>
      <c r="T1678" s="578"/>
      <c r="U1678" s="578"/>
      <c r="V1678" s="578"/>
      <c r="W1678" s="578"/>
      <c r="X1678" s="578"/>
      <c r="Y1678" s="578"/>
      <c r="Z1678" s="578"/>
    </row>
    <row r="1679" spans="1:26" ht="18.75">
      <c r="A1679" s="682"/>
      <c r="B1679" s="682"/>
      <c r="C1679" s="682"/>
      <c r="D1679" s="914"/>
      <c r="E1679" s="682"/>
      <c r="F1679" s="682"/>
      <c r="G1679" s="682"/>
      <c r="H1679" s="915"/>
      <c r="I1679" s="916"/>
      <c r="J1679" s="916"/>
      <c r="K1679" s="917"/>
      <c r="L1679" s="917"/>
      <c r="M1679" s="917"/>
      <c r="N1679" s="917"/>
      <c r="O1679" s="917"/>
      <c r="P1679" s="917"/>
      <c r="Q1679" s="578"/>
      <c r="R1679" s="578"/>
      <c r="S1679" s="578"/>
      <c r="T1679" s="578"/>
      <c r="U1679" s="578"/>
      <c r="V1679" s="578"/>
      <c r="W1679" s="578"/>
      <c r="X1679" s="578"/>
      <c r="Y1679" s="578"/>
      <c r="Z1679" s="578"/>
    </row>
    <row r="1680" spans="1:26" ht="18.75">
      <c r="A1680" s="682"/>
      <c r="B1680" s="682"/>
      <c r="C1680" s="682"/>
      <c r="D1680" s="914"/>
      <c r="E1680" s="682"/>
      <c r="F1680" s="682"/>
      <c r="G1680" s="682"/>
      <c r="H1680" s="915"/>
      <c r="I1680" s="916"/>
      <c r="J1680" s="916"/>
      <c r="K1680" s="917"/>
      <c r="L1680" s="917"/>
      <c r="M1680" s="917"/>
      <c r="N1680" s="917"/>
      <c r="O1680" s="917"/>
      <c r="P1680" s="917"/>
      <c r="Q1680" s="578"/>
      <c r="R1680" s="578"/>
      <c r="S1680" s="578"/>
      <c r="T1680" s="578"/>
      <c r="U1680" s="578"/>
      <c r="V1680" s="578"/>
      <c r="W1680" s="578"/>
      <c r="X1680" s="578"/>
      <c r="Y1680" s="578"/>
      <c r="Z1680" s="578"/>
    </row>
    <row r="1681" spans="1:26" ht="18.75">
      <c r="A1681" s="682"/>
      <c r="B1681" s="682"/>
      <c r="C1681" s="682"/>
      <c r="D1681" s="914"/>
      <c r="E1681" s="682"/>
      <c r="F1681" s="682"/>
      <c r="G1681" s="682"/>
      <c r="H1681" s="915"/>
      <c r="I1681" s="916"/>
      <c r="J1681" s="916"/>
      <c r="K1681" s="917"/>
      <c r="L1681" s="917"/>
      <c r="M1681" s="917"/>
      <c r="N1681" s="917"/>
      <c r="O1681" s="917"/>
      <c r="P1681" s="917"/>
      <c r="Q1681" s="578"/>
      <c r="R1681" s="578"/>
      <c r="S1681" s="578"/>
      <c r="T1681" s="578"/>
      <c r="U1681" s="578"/>
      <c r="V1681" s="578"/>
      <c r="W1681" s="578"/>
      <c r="X1681" s="578"/>
      <c r="Y1681" s="578"/>
      <c r="Z1681" s="578"/>
    </row>
    <row r="1682" spans="1:26" ht="18.75">
      <c r="A1682" s="682"/>
      <c r="B1682" s="682"/>
      <c r="C1682" s="682"/>
      <c r="D1682" s="914"/>
      <c r="E1682" s="682"/>
      <c r="F1682" s="682"/>
      <c r="G1682" s="682"/>
      <c r="H1682" s="915"/>
      <c r="I1682" s="916"/>
      <c r="J1682" s="916"/>
      <c r="K1682" s="917"/>
      <c r="L1682" s="917"/>
      <c r="M1682" s="917"/>
      <c r="N1682" s="917"/>
      <c r="O1682" s="917"/>
      <c r="P1682" s="917"/>
      <c r="Q1682" s="578"/>
      <c r="R1682" s="578"/>
      <c r="S1682" s="578"/>
      <c r="T1682" s="578"/>
      <c r="U1682" s="578"/>
      <c r="V1682" s="578"/>
      <c r="W1682" s="578"/>
      <c r="X1682" s="578"/>
      <c r="Y1682" s="578"/>
      <c r="Z1682" s="578"/>
    </row>
    <row r="1683" spans="1:26" ht="18.75">
      <c r="A1683" s="682"/>
      <c r="B1683" s="682"/>
      <c r="C1683" s="682"/>
      <c r="D1683" s="914"/>
      <c r="E1683" s="682"/>
      <c r="F1683" s="682"/>
      <c r="G1683" s="682"/>
      <c r="H1683" s="915"/>
      <c r="I1683" s="916"/>
      <c r="J1683" s="916"/>
      <c r="K1683" s="917"/>
      <c r="L1683" s="917"/>
      <c r="M1683" s="917"/>
      <c r="N1683" s="917"/>
      <c r="O1683" s="917"/>
      <c r="P1683" s="917"/>
      <c r="Q1683" s="578"/>
      <c r="R1683" s="578"/>
      <c r="S1683" s="578"/>
      <c r="T1683" s="578"/>
      <c r="U1683" s="578"/>
      <c r="V1683" s="578"/>
      <c r="W1683" s="578"/>
      <c r="X1683" s="578"/>
      <c r="Y1683" s="578"/>
      <c r="Z1683" s="578"/>
    </row>
    <row r="1684" spans="1:26" ht="18.75">
      <c r="A1684" s="682"/>
      <c r="B1684" s="682"/>
      <c r="C1684" s="682"/>
      <c r="D1684" s="914"/>
      <c r="E1684" s="682"/>
      <c r="F1684" s="682"/>
      <c r="G1684" s="682"/>
      <c r="H1684" s="915"/>
      <c r="I1684" s="916"/>
      <c r="J1684" s="916"/>
      <c r="K1684" s="917"/>
      <c r="L1684" s="917"/>
      <c r="M1684" s="917"/>
      <c r="N1684" s="917"/>
      <c r="O1684" s="917"/>
      <c r="P1684" s="917"/>
      <c r="Q1684" s="578"/>
      <c r="R1684" s="578"/>
      <c r="S1684" s="578"/>
      <c r="T1684" s="578"/>
      <c r="U1684" s="578"/>
      <c r="V1684" s="578"/>
      <c r="W1684" s="578"/>
      <c r="X1684" s="578"/>
      <c r="Y1684" s="578"/>
      <c r="Z1684" s="578"/>
    </row>
    <row r="1685" spans="1:26" ht="18.75">
      <c r="A1685" s="682"/>
      <c r="B1685" s="682"/>
      <c r="C1685" s="682"/>
      <c r="D1685" s="914"/>
      <c r="E1685" s="682"/>
      <c r="F1685" s="682"/>
      <c r="G1685" s="682"/>
      <c r="H1685" s="915"/>
      <c r="I1685" s="916"/>
      <c r="J1685" s="916"/>
      <c r="K1685" s="917"/>
      <c r="L1685" s="917"/>
      <c r="M1685" s="917"/>
      <c r="N1685" s="917"/>
      <c r="O1685" s="917"/>
      <c r="P1685" s="917"/>
      <c r="Q1685" s="578"/>
      <c r="R1685" s="578"/>
      <c r="S1685" s="578"/>
      <c r="T1685" s="578"/>
      <c r="U1685" s="578"/>
      <c r="V1685" s="578"/>
      <c r="W1685" s="578"/>
      <c r="X1685" s="578"/>
      <c r="Y1685" s="578"/>
      <c r="Z1685" s="578"/>
    </row>
    <row r="1686" spans="1:26" ht="18.75">
      <c r="A1686" s="682"/>
      <c r="B1686" s="682"/>
      <c r="C1686" s="682"/>
      <c r="D1686" s="914"/>
      <c r="E1686" s="682"/>
      <c r="F1686" s="682"/>
      <c r="G1686" s="682"/>
      <c r="H1686" s="915"/>
      <c r="I1686" s="916"/>
      <c r="J1686" s="916"/>
      <c r="K1686" s="917"/>
      <c r="L1686" s="917"/>
      <c r="M1686" s="917"/>
      <c r="N1686" s="917"/>
      <c r="O1686" s="917"/>
      <c r="P1686" s="917"/>
      <c r="Q1686" s="578"/>
      <c r="R1686" s="578"/>
      <c r="S1686" s="578"/>
      <c r="T1686" s="578"/>
      <c r="U1686" s="578"/>
      <c r="V1686" s="578"/>
      <c r="W1686" s="578"/>
      <c r="X1686" s="578"/>
      <c r="Y1686" s="578"/>
      <c r="Z1686" s="578"/>
    </row>
    <row r="1687" spans="1:26" ht="18.75">
      <c r="A1687" s="682"/>
      <c r="B1687" s="682"/>
      <c r="C1687" s="682"/>
      <c r="D1687" s="914"/>
      <c r="E1687" s="682"/>
      <c r="F1687" s="682"/>
      <c r="G1687" s="682"/>
      <c r="H1687" s="915"/>
      <c r="I1687" s="916"/>
      <c r="J1687" s="916"/>
      <c r="K1687" s="917"/>
      <c r="L1687" s="917"/>
      <c r="M1687" s="917"/>
      <c r="N1687" s="917"/>
      <c r="O1687" s="917"/>
      <c r="P1687" s="917"/>
      <c r="Q1687" s="578"/>
      <c r="R1687" s="578"/>
      <c r="S1687" s="578"/>
      <c r="T1687" s="578"/>
      <c r="U1687" s="578"/>
      <c r="V1687" s="578"/>
      <c r="W1687" s="578"/>
      <c r="X1687" s="578"/>
      <c r="Y1687" s="578"/>
      <c r="Z1687" s="578"/>
    </row>
    <row r="1688" spans="1:26" ht="18.75">
      <c r="A1688" s="682"/>
      <c r="B1688" s="682"/>
      <c r="C1688" s="682"/>
      <c r="D1688" s="914"/>
      <c r="E1688" s="682"/>
      <c r="F1688" s="682"/>
      <c r="G1688" s="682"/>
      <c r="H1688" s="915"/>
      <c r="I1688" s="916"/>
      <c r="J1688" s="916"/>
      <c r="K1688" s="917"/>
      <c r="L1688" s="917"/>
      <c r="M1688" s="917"/>
      <c r="N1688" s="917"/>
      <c r="O1688" s="917"/>
      <c r="P1688" s="917"/>
      <c r="Q1688" s="578"/>
      <c r="R1688" s="578"/>
      <c r="S1688" s="578"/>
      <c r="T1688" s="578"/>
      <c r="U1688" s="578"/>
      <c r="V1688" s="578"/>
      <c r="W1688" s="578"/>
      <c r="X1688" s="578"/>
      <c r="Y1688" s="578"/>
      <c r="Z1688" s="578"/>
    </row>
    <row r="1689" spans="1:26" ht="18.75">
      <c r="A1689" s="682"/>
      <c r="B1689" s="682"/>
      <c r="C1689" s="682"/>
      <c r="D1689" s="914"/>
      <c r="E1689" s="682"/>
      <c r="F1689" s="682"/>
      <c r="G1689" s="682"/>
      <c r="H1689" s="915"/>
      <c r="I1689" s="916"/>
      <c r="J1689" s="916"/>
      <c r="K1689" s="917"/>
      <c r="L1689" s="917"/>
      <c r="M1689" s="917"/>
      <c r="N1689" s="917"/>
      <c r="O1689" s="917"/>
      <c r="P1689" s="917"/>
      <c r="Q1689" s="578"/>
      <c r="R1689" s="578"/>
      <c r="S1689" s="578"/>
      <c r="T1689" s="578"/>
      <c r="U1689" s="578"/>
      <c r="V1689" s="578"/>
      <c r="W1689" s="578"/>
      <c r="X1689" s="578"/>
      <c r="Y1689" s="578"/>
      <c r="Z1689" s="578"/>
    </row>
    <row r="1690" spans="1:26" ht="18.75">
      <c r="A1690" s="682"/>
      <c r="B1690" s="682"/>
      <c r="C1690" s="682"/>
      <c r="D1690" s="914"/>
      <c r="E1690" s="682"/>
      <c r="F1690" s="682"/>
      <c r="G1690" s="682"/>
      <c r="H1690" s="915"/>
      <c r="I1690" s="916"/>
      <c r="J1690" s="916"/>
      <c r="K1690" s="917"/>
      <c r="L1690" s="917"/>
      <c r="M1690" s="917"/>
      <c r="N1690" s="917"/>
      <c r="O1690" s="917"/>
      <c r="P1690" s="917"/>
      <c r="Q1690" s="578"/>
      <c r="R1690" s="578"/>
      <c r="S1690" s="578"/>
      <c r="T1690" s="578"/>
      <c r="U1690" s="578"/>
      <c r="V1690" s="578"/>
      <c r="W1690" s="578"/>
      <c r="X1690" s="578"/>
      <c r="Y1690" s="578"/>
      <c r="Z1690" s="578"/>
    </row>
    <row r="1691" spans="1:26" ht="18.75">
      <c r="A1691" s="682"/>
      <c r="B1691" s="682"/>
      <c r="C1691" s="682"/>
      <c r="D1691" s="914"/>
      <c r="E1691" s="682"/>
      <c r="F1691" s="682"/>
      <c r="G1691" s="682"/>
      <c r="H1691" s="915"/>
      <c r="I1691" s="916"/>
      <c r="J1691" s="916"/>
      <c r="K1691" s="917"/>
      <c r="L1691" s="917"/>
      <c r="M1691" s="917"/>
      <c r="N1691" s="917"/>
      <c r="O1691" s="917"/>
      <c r="P1691" s="917"/>
      <c r="Q1691" s="578"/>
      <c r="R1691" s="578"/>
      <c r="S1691" s="578"/>
      <c r="T1691" s="578"/>
      <c r="U1691" s="578"/>
      <c r="V1691" s="578"/>
      <c r="W1691" s="578"/>
      <c r="X1691" s="578"/>
      <c r="Y1691" s="578"/>
      <c r="Z1691" s="578"/>
    </row>
    <row r="1692" spans="1:26" ht="18.75">
      <c r="A1692" s="682"/>
      <c r="B1692" s="682"/>
      <c r="C1692" s="682"/>
      <c r="D1692" s="914"/>
      <c r="E1692" s="682"/>
      <c r="F1692" s="682"/>
      <c r="G1692" s="682"/>
      <c r="H1692" s="915"/>
      <c r="I1692" s="916"/>
      <c r="J1692" s="916"/>
      <c r="K1692" s="917"/>
      <c r="L1692" s="917"/>
      <c r="M1692" s="917"/>
      <c r="N1692" s="917"/>
      <c r="O1692" s="917"/>
      <c r="P1692" s="917"/>
      <c r="Q1692" s="578"/>
      <c r="R1692" s="578"/>
      <c r="S1692" s="578"/>
      <c r="T1692" s="578"/>
      <c r="U1692" s="578"/>
      <c r="V1692" s="578"/>
      <c r="W1692" s="578"/>
      <c r="X1692" s="578"/>
      <c r="Y1692" s="578"/>
      <c r="Z1692" s="578"/>
    </row>
    <row r="1693" spans="1:26" ht="18.75">
      <c r="A1693" s="682"/>
      <c r="B1693" s="682"/>
      <c r="C1693" s="682"/>
      <c r="D1693" s="914"/>
      <c r="E1693" s="682"/>
      <c r="F1693" s="682"/>
      <c r="G1693" s="682"/>
      <c r="H1693" s="915"/>
      <c r="I1693" s="916"/>
      <c r="J1693" s="916"/>
      <c r="K1693" s="917"/>
      <c r="L1693" s="917"/>
      <c r="M1693" s="917"/>
      <c r="N1693" s="917"/>
      <c r="O1693" s="917"/>
      <c r="P1693" s="917"/>
      <c r="Q1693" s="578"/>
      <c r="R1693" s="578"/>
      <c r="S1693" s="578"/>
      <c r="T1693" s="578"/>
      <c r="U1693" s="578"/>
      <c r="V1693" s="578"/>
      <c r="W1693" s="578"/>
      <c r="X1693" s="578"/>
      <c r="Y1693" s="578"/>
      <c r="Z1693" s="578"/>
    </row>
    <row r="1694" spans="1:26" ht="18.75">
      <c r="A1694" s="682"/>
      <c r="B1694" s="682"/>
      <c r="C1694" s="682"/>
      <c r="D1694" s="914"/>
      <c r="E1694" s="682"/>
      <c r="F1694" s="682"/>
      <c r="G1694" s="682"/>
      <c r="H1694" s="915"/>
      <c r="I1694" s="916"/>
      <c r="J1694" s="916"/>
      <c r="K1694" s="917"/>
      <c r="L1694" s="917"/>
      <c r="M1694" s="917"/>
      <c r="N1694" s="917"/>
      <c r="O1694" s="917"/>
      <c r="P1694" s="917"/>
      <c r="Q1694" s="578"/>
      <c r="R1694" s="578"/>
      <c r="S1694" s="578"/>
      <c r="T1694" s="578"/>
      <c r="U1694" s="578"/>
      <c r="V1694" s="578"/>
      <c r="W1694" s="578"/>
      <c r="X1694" s="578"/>
      <c r="Y1694" s="578"/>
      <c r="Z1694" s="578"/>
    </row>
    <row r="1695" spans="1:26" ht="18.75">
      <c r="A1695" s="682"/>
      <c r="B1695" s="682"/>
      <c r="C1695" s="682"/>
      <c r="D1695" s="914"/>
      <c r="E1695" s="682"/>
      <c r="F1695" s="682"/>
      <c r="G1695" s="682"/>
      <c r="H1695" s="915"/>
      <c r="I1695" s="916"/>
      <c r="J1695" s="916"/>
      <c r="K1695" s="917"/>
      <c r="L1695" s="917"/>
      <c r="M1695" s="917"/>
      <c r="N1695" s="917"/>
      <c r="O1695" s="917"/>
      <c r="P1695" s="917"/>
      <c r="Q1695" s="578"/>
      <c r="R1695" s="578"/>
      <c r="S1695" s="578"/>
      <c r="T1695" s="578"/>
      <c r="U1695" s="578"/>
      <c r="V1695" s="578"/>
      <c r="W1695" s="578"/>
      <c r="X1695" s="578"/>
      <c r="Y1695" s="578"/>
      <c r="Z1695" s="578"/>
    </row>
    <row r="1696" spans="1:26" ht="18.75">
      <c r="A1696" s="682"/>
      <c r="B1696" s="682"/>
      <c r="C1696" s="682"/>
      <c r="D1696" s="914"/>
      <c r="E1696" s="682"/>
      <c r="F1696" s="682"/>
      <c r="G1696" s="682"/>
      <c r="H1696" s="915"/>
      <c r="I1696" s="916"/>
      <c r="J1696" s="916"/>
      <c r="K1696" s="917"/>
      <c r="L1696" s="917"/>
      <c r="M1696" s="917"/>
      <c r="N1696" s="917"/>
      <c r="O1696" s="917"/>
      <c r="P1696" s="917"/>
      <c r="Q1696" s="578"/>
      <c r="R1696" s="578"/>
      <c r="S1696" s="578"/>
      <c r="T1696" s="578"/>
      <c r="U1696" s="578"/>
      <c r="V1696" s="578"/>
      <c r="W1696" s="578"/>
      <c r="X1696" s="578"/>
      <c r="Y1696" s="578"/>
      <c r="Z1696" s="578"/>
    </row>
    <row r="1697" spans="1:26" ht="18.75">
      <c r="A1697" s="682"/>
      <c r="B1697" s="682"/>
      <c r="C1697" s="682"/>
      <c r="D1697" s="914"/>
      <c r="E1697" s="682"/>
      <c r="F1697" s="682"/>
      <c r="G1697" s="682"/>
      <c r="H1697" s="915"/>
      <c r="I1697" s="916"/>
      <c r="J1697" s="916"/>
      <c r="K1697" s="917"/>
      <c r="L1697" s="917"/>
      <c r="M1697" s="917"/>
      <c r="N1697" s="917"/>
      <c r="O1697" s="917"/>
      <c r="P1697" s="917"/>
      <c r="Q1697" s="578"/>
      <c r="R1697" s="578"/>
      <c r="S1697" s="578"/>
      <c r="T1697" s="578"/>
      <c r="U1697" s="578"/>
      <c r="V1697" s="578"/>
      <c r="W1697" s="578"/>
      <c r="X1697" s="578"/>
      <c r="Y1697" s="578"/>
      <c r="Z1697" s="578"/>
    </row>
    <row r="1698" spans="1:26" ht="18.75">
      <c r="A1698" s="682"/>
      <c r="B1698" s="682"/>
      <c r="C1698" s="682"/>
      <c r="D1698" s="914"/>
      <c r="E1698" s="682"/>
      <c r="F1698" s="682"/>
      <c r="G1698" s="682"/>
      <c r="H1698" s="915"/>
      <c r="I1698" s="916"/>
      <c r="J1698" s="916"/>
      <c r="K1698" s="917"/>
      <c r="L1698" s="917"/>
      <c r="M1698" s="917"/>
      <c r="N1698" s="917"/>
      <c r="O1698" s="917"/>
      <c r="P1698" s="917"/>
      <c r="Q1698" s="578"/>
      <c r="R1698" s="578"/>
      <c r="S1698" s="578"/>
      <c r="T1698" s="578"/>
      <c r="U1698" s="578"/>
      <c r="V1698" s="578"/>
      <c r="W1698" s="578"/>
      <c r="X1698" s="578"/>
      <c r="Y1698" s="578"/>
      <c r="Z1698" s="578"/>
    </row>
    <row r="1699" spans="1:26" ht="18.75">
      <c r="A1699" s="682"/>
      <c r="B1699" s="682"/>
      <c r="C1699" s="682"/>
      <c r="D1699" s="914"/>
      <c r="E1699" s="682"/>
      <c r="F1699" s="682"/>
      <c r="G1699" s="682"/>
      <c r="H1699" s="915"/>
      <c r="I1699" s="916"/>
      <c r="J1699" s="916"/>
      <c r="K1699" s="917"/>
      <c r="L1699" s="917"/>
      <c r="M1699" s="917"/>
      <c r="N1699" s="917"/>
      <c r="O1699" s="917"/>
      <c r="P1699" s="917"/>
      <c r="Q1699" s="578"/>
      <c r="R1699" s="578"/>
      <c r="S1699" s="578"/>
      <c r="T1699" s="578"/>
      <c r="U1699" s="578"/>
      <c r="V1699" s="578"/>
      <c r="W1699" s="578"/>
      <c r="X1699" s="578"/>
      <c r="Y1699" s="578"/>
      <c r="Z1699" s="578"/>
    </row>
    <row r="1700" spans="1:26" ht="18.75">
      <c r="A1700" s="682"/>
      <c r="B1700" s="682"/>
      <c r="C1700" s="682"/>
      <c r="D1700" s="914"/>
      <c r="E1700" s="682"/>
      <c r="F1700" s="682"/>
      <c r="G1700" s="682"/>
      <c r="H1700" s="915"/>
      <c r="I1700" s="916"/>
      <c r="J1700" s="916"/>
      <c r="K1700" s="917"/>
      <c r="L1700" s="917"/>
      <c r="M1700" s="917"/>
      <c r="N1700" s="917"/>
      <c r="O1700" s="917"/>
      <c r="P1700" s="917"/>
      <c r="Q1700" s="578"/>
      <c r="R1700" s="578"/>
      <c r="S1700" s="578"/>
      <c r="T1700" s="578"/>
      <c r="U1700" s="578"/>
      <c r="V1700" s="578"/>
      <c r="W1700" s="578"/>
      <c r="X1700" s="578"/>
      <c r="Y1700" s="578"/>
      <c r="Z1700" s="578"/>
    </row>
    <row r="1701" spans="1:26" ht="18.75">
      <c r="A1701" s="682"/>
      <c r="B1701" s="682"/>
      <c r="C1701" s="682"/>
      <c r="D1701" s="914"/>
      <c r="E1701" s="682"/>
      <c r="F1701" s="682"/>
      <c r="G1701" s="682"/>
      <c r="H1701" s="915"/>
      <c r="I1701" s="916"/>
      <c r="J1701" s="916"/>
      <c r="K1701" s="917"/>
      <c r="L1701" s="917"/>
      <c r="M1701" s="917"/>
      <c r="N1701" s="917"/>
      <c r="O1701" s="917"/>
      <c r="P1701" s="917"/>
      <c r="Q1701" s="578"/>
      <c r="R1701" s="578"/>
      <c r="S1701" s="578"/>
      <c r="T1701" s="578"/>
      <c r="U1701" s="578"/>
      <c r="V1701" s="578"/>
      <c r="W1701" s="578"/>
      <c r="X1701" s="578"/>
      <c r="Y1701" s="578"/>
      <c r="Z1701" s="578"/>
    </row>
    <row r="1702" spans="1:26" ht="18.75">
      <c r="A1702" s="682"/>
      <c r="B1702" s="682"/>
      <c r="C1702" s="682"/>
      <c r="D1702" s="914"/>
      <c r="E1702" s="682"/>
      <c r="F1702" s="682"/>
      <c r="G1702" s="682"/>
      <c r="H1702" s="915"/>
      <c r="I1702" s="916"/>
      <c r="J1702" s="916"/>
      <c r="K1702" s="917"/>
      <c r="L1702" s="917"/>
      <c r="M1702" s="917"/>
      <c r="N1702" s="917"/>
      <c r="O1702" s="917"/>
      <c r="P1702" s="917"/>
      <c r="Q1702" s="578"/>
      <c r="R1702" s="578"/>
      <c r="S1702" s="578"/>
      <c r="T1702" s="578"/>
      <c r="U1702" s="578"/>
      <c r="V1702" s="578"/>
      <c r="W1702" s="578"/>
      <c r="X1702" s="578"/>
      <c r="Y1702" s="578"/>
      <c r="Z1702" s="578"/>
    </row>
    <row r="1703" spans="1:26" ht="18.75">
      <c r="A1703" s="682"/>
      <c r="B1703" s="682"/>
      <c r="C1703" s="682"/>
      <c r="D1703" s="914"/>
      <c r="E1703" s="682"/>
      <c r="F1703" s="682"/>
      <c r="G1703" s="682"/>
      <c r="H1703" s="915"/>
      <c r="I1703" s="916"/>
      <c r="J1703" s="916"/>
      <c r="K1703" s="917"/>
      <c r="L1703" s="917"/>
      <c r="M1703" s="917"/>
      <c r="N1703" s="917"/>
      <c r="O1703" s="917"/>
      <c r="P1703" s="917"/>
      <c r="Q1703" s="578"/>
      <c r="R1703" s="578"/>
      <c r="S1703" s="578"/>
      <c r="T1703" s="578"/>
      <c r="U1703" s="578"/>
      <c r="V1703" s="578"/>
      <c r="W1703" s="578"/>
      <c r="X1703" s="578"/>
      <c r="Y1703" s="578"/>
      <c r="Z1703" s="578"/>
    </row>
    <row r="1704" spans="1:26" ht="18.75">
      <c r="A1704" s="682"/>
      <c r="B1704" s="682"/>
      <c r="C1704" s="682"/>
      <c r="D1704" s="914"/>
      <c r="E1704" s="682"/>
      <c r="F1704" s="682"/>
      <c r="G1704" s="682"/>
      <c r="H1704" s="915"/>
      <c r="I1704" s="916"/>
      <c r="J1704" s="916"/>
      <c r="K1704" s="917"/>
      <c r="L1704" s="917"/>
      <c r="M1704" s="917"/>
      <c r="N1704" s="917"/>
      <c r="O1704" s="917"/>
      <c r="P1704" s="917"/>
      <c r="Q1704" s="578"/>
      <c r="R1704" s="578"/>
      <c r="S1704" s="578"/>
      <c r="T1704" s="578"/>
      <c r="U1704" s="578"/>
      <c r="V1704" s="578"/>
      <c r="W1704" s="578"/>
      <c r="X1704" s="578"/>
      <c r="Y1704" s="578"/>
      <c r="Z1704" s="578"/>
    </row>
    <row r="1705" spans="1:26" ht="18.75">
      <c r="A1705" s="682"/>
      <c r="B1705" s="682"/>
      <c r="C1705" s="682"/>
      <c r="D1705" s="914"/>
      <c r="E1705" s="682"/>
      <c r="F1705" s="682"/>
      <c r="G1705" s="682"/>
      <c r="H1705" s="915"/>
      <c r="I1705" s="916"/>
      <c r="J1705" s="916"/>
      <c r="K1705" s="917"/>
      <c r="L1705" s="917"/>
      <c r="M1705" s="917"/>
      <c r="N1705" s="917"/>
      <c r="O1705" s="917"/>
      <c r="P1705" s="917"/>
      <c r="Q1705" s="578"/>
      <c r="R1705" s="578"/>
      <c r="S1705" s="578"/>
      <c r="T1705" s="578"/>
      <c r="U1705" s="578"/>
      <c r="V1705" s="578"/>
      <c r="W1705" s="578"/>
      <c r="X1705" s="578"/>
      <c r="Y1705" s="578"/>
      <c r="Z1705" s="578"/>
    </row>
    <row r="1706" spans="1:26" ht="18.75">
      <c r="A1706" s="682"/>
      <c r="B1706" s="682"/>
      <c r="C1706" s="682"/>
      <c r="D1706" s="914"/>
      <c r="E1706" s="682"/>
      <c r="F1706" s="682"/>
      <c r="G1706" s="682"/>
      <c r="H1706" s="915"/>
      <c r="I1706" s="916"/>
      <c r="J1706" s="916"/>
      <c r="K1706" s="917"/>
      <c r="L1706" s="917"/>
      <c r="M1706" s="917"/>
      <c r="N1706" s="917"/>
      <c r="O1706" s="917"/>
      <c r="P1706" s="917"/>
      <c r="Q1706" s="578"/>
      <c r="R1706" s="578"/>
      <c r="S1706" s="578"/>
      <c r="T1706" s="578"/>
      <c r="U1706" s="578"/>
      <c r="V1706" s="578"/>
      <c r="W1706" s="578"/>
      <c r="X1706" s="578"/>
      <c r="Y1706" s="578"/>
      <c r="Z1706" s="578"/>
    </row>
    <row r="1707" spans="1:26" ht="18.75">
      <c r="A1707" s="682"/>
      <c r="B1707" s="682"/>
      <c r="C1707" s="682"/>
      <c r="D1707" s="914"/>
      <c r="E1707" s="682"/>
      <c r="F1707" s="682"/>
      <c r="G1707" s="682"/>
      <c r="H1707" s="915"/>
      <c r="I1707" s="916"/>
      <c r="J1707" s="916"/>
      <c r="K1707" s="917"/>
      <c r="L1707" s="917"/>
      <c r="M1707" s="917"/>
      <c r="N1707" s="917"/>
      <c r="O1707" s="917"/>
      <c r="P1707" s="917"/>
      <c r="Q1707" s="578"/>
      <c r="R1707" s="578"/>
      <c r="S1707" s="578"/>
      <c r="T1707" s="578"/>
      <c r="U1707" s="578"/>
      <c r="V1707" s="578"/>
      <c r="W1707" s="578"/>
      <c r="X1707" s="578"/>
      <c r="Y1707" s="578"/>
      <c r="Z1707" s="578"/>
    </row>
    <row r="1708" spans="1:26" ht="18.75">
      <c r="A1708" s="682"/>
      <c r="B1708" s="682"/>
      <c r="C1708" s="682"/>
      <c r="D1708" s="914"/>
      <c r="E1708" s="682"/>
      <c r="F1708" s="682"/>
      <c r="G1708" s="682"/>
      <c r="H1708" s="915"/>
      <c r="I1708" s="916"/>
      <c r="J1708" s="916"/>
      <c r="K1708" s="917"/>
      <c r="L1708" s="917"/>
      <c r="M1708" s="917"/>
      <c r="N1708" s="917"/>
      <c r="O1708" s="917"/>
      <c r="P1708" s="917"/>
      <c r="Q1708" s="578"/>
      <c r="R1708" s="578"/>
      <c r="S1708" s="578"/>
      <c r="T1708" s="578"/>
      <c r="U1708" s="578"/>
      <c r="V1708" s="578"/>
      <c r="W1708" s="578"/>
      <c r="X1708" s="578"/>
      <c r="Y1708" s="578"/>
      <c r="Z1708" s="578"/>
    </row>
    <row r="1709" spans="1:26" ht="18.75">
      <c r="A1709" s="682"/>
      <c r="B1709" s="682"/>
      <c r="C1709" s="682"/>
      <c r="D1709" s="914"/>
      <c r="E1709" s="682"/>
      <c r="F1709" s="682"/>
      <c r="G1709" s="682"/>
      <c r="H1709" s="915"/>
      <c r="I1709" s="916"/>
      <c r="J1709" s="916"/>
      <c r="K1709" s="917"/>
      <c r="L1709" s="917"/>
      <c r="M1709" s="917"/>
      <c r="N1709" s="917"/>
      <c r="O1709" s="917"/>
      <c r="P1709" s="917"/>
      <c r="Q1709" s="578"/>
      <c r="R1709" s="578"/>
      <c r="S1709" s="578"/>
      <c r="T1709" s="578"/>
      <c r="U1709" s="578"/>
      <c r="V1709" s="578"/>
      <c r="W1709" s="578"/>
      <c r="X1709" s="578"/>
      <c r="Y1709" s="578"/>
      <c r="Z1709" s="578"/>
    </row>
    <row r="1710" spans="1:26" ht="18.75">
      <c r="A1710" s="682"/>
      <c r="B1710" s="682"/>
      <c r="C1710" s="682"/>
      <c r="D1710" s="914"/>
      <c r="E1710" s="682"/>
      <c r="F1710" s="682"/>
      <c r="G1710" s="682"/>
      <c r="H1710" s="915"/>
      <c r="I1710" s="916"/>
      <c r="J1710" s="916"/>
      <c r="K1710" s="917"/>
      <c r="L1710" s="917"/>
      <c r="M1710" s="917"/>
      <c r="N1710" s="917"/>
      <c r="O1710" s="917"/>
      <c r="P1710" s="917"/>
      <c r="Q1710" s="578"/>
      <c r="R1710" s="578"/>
      <c r="S1710" s="578"/>
      <c r="T1710" s="578"/>
      <c r="U1710" s="578"/>
      <c r="V1710" s="578"/>
      <c r="W1710" s="578"/>
      <c r="X1710" s="578"/>
      <c r="Y1710" s="578"/>
      <c r="Z1710" s="578"/>
    </row>
    <row r="1711" spans="1:26" ht="18.75">
      <c r="A1711" s="682"/>
      <c r="B1711" s="682"/>
      <c r="C1711" s="682"/>
      <c r="D1711" s="914"/>
      <c r="E1711" s="682"/>
      <c r="F1711" s="682"/>
      <c r="G1711" s="682"/>
      <c r="H1711" s="915"/>
      <c r="I1711" s="916"/>
      <c r="J1711" s="916"/>
      <c r="K1711" s="917"/>
      <c r="L1711" s="917"/>
      <c r="M1711" s="917"/>
      <c r="N1711" s="917"/>
      <c r="O1711" s="917"/>
      <c r="P1711" s="917"/>
      <c r="Q1711" s="578"/>
      <c r="R1711" s="578"/>
      <c r="S1711" s="578"/>
      <c r="T1711" s="578"/>
      <c r="U1711" s="578"/>
      <c r="V1711" s="578"/>
      <c r="W1711" s="578"/>
      <c r="X1711" s="578"/>
      <c r="Y1711" s="578"/>
      <c r="Z1711" s="578"/>
    </row>
    <row r="1712" spans="1:26" ht="18.75">
      <c r="A1712" s="682"/>
      <c r="B1712" s="682"/>
      <c r="C1712" s="682"/>
      <c r="D1712" s="914"/>
      <c r="E1712" s="682"/>
      <c r="F1712" s="682"/>
      <c r="G1712" s="682"/>
      <c r="H1712" s="915"/>
      <c r="I1712" s="916"/>
      <c r="J1712" s="916"/>
      <c r="K1712" s="917"/>
      <c r="L1712" s="917"/>
      <c r="M1712" s="917"/>
      <c r="N1712" s="917"/>
      <c r="O1712" s="917"/>
      <c r="P1712" s="917"/>
      <c r="Q1712" s="578"/>
      <c r="R1712" s="578"/>
      <c r="S1712" s="578"/>
      <c r="T1712" s="578"/>
      <c r="U1712" s="578"/>
      <c r="V1712" s="578"/>
      <c r="W1712" s="578"/>
      <c r="X1712" s="578"/>
      <c r="Y1712" s="578"/>
      <c r="Z1712" s="578"/>
    </row>
    <row r="1713" spans="1:26" ht="18.75">
      <c r="A1713" s="682"/>
      <c r="B1713" s="682"/>
      <c r="C1713" s="682"/>
      <c r="D1713" s="914"/>
      <c r="E1713" s="682"/>
      <c r="F1713" s="682"/>
      <c r="G1713" s="682"/>
      <c r="H1713" s="915"/>
      <c r="I1713" s="916"/>
      <c r="J1713" s="916"/>
      <c r="K1713" s="917"/>
      <c r="L1713" s="917"/>
      <c r="M1713" s="917"/>
      <c r="N1713" s="917"/>
      <c r="O1713" s="917"/>
      <c r="P1713" s="917"/>
      <c r="Q1713" s="578"/>
      <c r="R1713" s="578"/>
      <c r="S1713" s="578"/>
      <c r="T1713" s="578"/>
      <c r="U1713" s="578"/>
      <c r="V1713" s="578"/>
      <c r="W1713" s="578"/>
      <c r="X1713" s="578"/>
      <c r="Y1713" s="578"/>
      <c r="Z1713" s="578"/>
    </row>
    <row r="1714" spans="1:26" ht="18.75">
      <c r="A1714" s="682"/>
      <c r="B1714" s="682"/>
      <c r="C1714" s="682"/>
      <c r="D1714" s="914"/>
      <c r="E1714" s="682"/>
      <c r="F1714" s="682"/>
      <c r="G1714" s="682"/>
      <c r="H1714" s="915"/>
      <c r="I1714" s="916"/>
      <c r="J1714" s="916"/>
      <c r="K1714" s="917"/>
      <c r="L1714" s="917"/>
      <c r="M1714" s="917"/>
      <c r="N1714" s="917"/>
      <c r="O1714" s="917"/>
      <c r="P1714" s="917"/>
      <c r="Q1714" s="578"/>
      <c r="R1714" s="578"/>
      <c r="S1714" s="578"/>
      <c r="T1714" s="578"/>
      <c r="U1714" s="578"/>
      <c r="V1714" s="578"/>
      <c r="W1714" s="578"/>
      <c r="X1714" s="578"/>
      <c r="Y1714" s="578"/>
      <c r="Z1714" s="578"/>
    </row>
    <row r="1715" spans="1:26" ht="18.75">
      <c r="A1715" s="682"/>
      <c r="B1715" s="682"/>
      <c r="C1715" s="682"/>
      <c r="D1715" s="914"/>
      <c r="E1715" s="682"/>
      <c r="F1715" s="682"/>
      <c r="G1715" s="682"/>
      <c r="H1715" s="915"/>
      <c r="I1715" s="916"/>
      <c r="J1715" s="916"/>
      <c r="K1715" s="917"/>
      <c r="L1715" s="917"/>
      <c r="M1715" s="917"/>
      <c r="N1715" s="917"/>
      <c r="O1715" s="917"/>
      <c r="P1715" s="917"/>
      <c r="Q1715" s="578"/>
      <c r="R1715" s="578"/>
      <c r="S1715" s="578"/>
      <c r="T1715" s="578"/>
      <c r="U1715" s="578"/>
      <c r="V1715" s="578"/>
      <c r="W1715" s="578"/>
      <c r="X1715" s="578"/>
      <c r="Y1715" s="578"/>
      <c r="Z1715" s="578"/>
    </row>
    <row r="1716" spans="1:26" ht="18.75">
      <c r="A1716" s="682"/>
      <c r="B1716" s="682"/>
      <c r="C1716" s="682"/>
      <c r="D1716" s="914"/>
      <c r="E1716" s="682"/>
      <c r="F1716" s="682"/>
      <c r="G1716" s="682"/>
      <c r="H1716" s="915"/>
      <c r="I1716" s="916"/>
      <c r="J1716" s="916"/>
      <c r="K1716" s="917"/>
      <c r="L1716" s="917"/>
      <c r="M1716" s="917"/>
      <c r="N1716" s="917"/>
      <c r="O1716" s="917"/>
      <c r="P1716" s="917"/>
      <c r="Q1716" s="578"/>
      <c r="R1716" s="578"/>
      <c r="S1716" s="578"/>
      <c r="T1716" s="578"/>
      <c r="U1716" s="578"/>
      <c r="V1716" s="578"/>
      <c r="W1716" s="578"/>
      <c r="X1716" s="578"/>
      <c r="Y1716" s="578"/>
      <c r="Z1716" s="578"/>
    </row>
    <row r="1717" spans="1:26" ht="18.75">
      <c r="A1717" s="682"/>
      <c r="B1717" s="682"/>
      <c r="C1717" s="682"/>
      <c r="D1717" s="914"/>
      <c r="E1717" s="682"/>
      <c r="F1717" s="682"/>
      <c r="G1717" s="682"/>
      <c r="H1717" s="915"/>
      <c r="I1717" s="916"/>
      <c r="J1717" s="916"/>
      <c r="K1717" s="917"/>
      <c r="L1717" s="917"/>
      <c r="M1717" s="917"/>
      <c r="N1717" s="917"/>
      <c r="O1717" s="917"/>
      <c r="P1717" s="917"/>
      <c r="Q1717" s="578"/>
      <c r="R1717" s="578"/>
      <c r="S1717" s="578"/>
      <c r="T1717" s="578"/>
      <c r="U1717" s="578"/>
      <c r="V1717" s="578"/>
      <c r="W1717" s="578"/>
      <c r="X1717" s="578"/>
      <c r="Y1717" s="578"/>
      <c r="Z1717" s="578"/>
    </row>
    <row r="1718" spans="1:26" ht="18.75">
      <c r="A1718" s="682"/>
      <c r="B1718" s="682"/>
      <c r="C1718" s="682"/>
      <c r="D1718" s="914"/>
      <c r="E1718" s="682"/>
      <c r="F1718" s="682"/>
      <c r="G1718" s="682"/>
      <c r="H1718" s="915"/>
      <c r="I1718" s="916"/>
      <c r="J1718" s="916"/>
      <c r="K1718" s="917"/>
      <c r="L1718" s="917"/>
      <c r="M1718" s="917"/>
      <c r="N1718" s="917"/>
      <c r="O1718" s="917"/>
      <c r="P1718" s="917"/>
      <c r="Q1718" s="578"/>
      <c r="R1718" s="578"/>
      <c r="S1718" s="578"/>
      <c r="T1718" s="578"/>
      <c r="U1718" s="578"/>
      <c r="V1718" s="578"/>
      <c r="W1718" s="578"/>
      <c r="X1718" s="578"/>
      <c r="Y1718" s="578"/>
      <c r="Z1718" s="578"/>
    </row>
    <row r="1719" spans="1:26" ht="18.75">
      <c r="A1719" s="682"/>
      <c r="B1719" s="682"/>
      <c r="C1719" s="682"/>
      <c r="D1719" s="914"/>
      <c r="E1719" s="682"/>
      <c r="F1719" s="682"/>
      <c r="G1719" s="682"/>
      <c r="H1719" s="915"/>
      <c r="I1719" s="916"/>
      <c r="J1719" s="916"/>
      <c r="K1719" s="917"/>
      <c r="L1719" s="917"/>
      <c r="M1719" s="917"/>
      <c r="N1719" s="917"/>
      <c r="O1719" s="917"/>
      <c r="P1719" s="917"/>
      <c r="Q1719" s="578"/>
      <c r="R1719" s="578"/>
      <c r="S1719" s="578"/>
      <c r="T1719" s="578"/>
      <c r="U1719" s="578"/>
      <c r="V1719" s="578"/>
      <c r="W1719" s="578"/>
      <c r="X1719" s="578"/>
      <c r="Y1719" s="578"/>
      <c r="Z1719" s="578"/>
    </row>
    <row r="1720" spans="1:26" ht="18.75">
      <c r="A1720" s="682"/>
      <c r="B1720" s="682"/>
      <c r="C1720" s="682"/>
      <c r="D1720" s="914"/>
      <c r="E1720" s="682"/>
      <c r="F1720" s="682"/>
      <c r="G1720" s="682"/>
      <c r="H1720" s="915"/>
      <c r="I1720" s="916"/>
      <c r="J1720" s="916"/>
      <c r="K1720" s="917"/>
      <c r="L1720" s="917"/>
      <c r="M1720" s="917"/>
      <c r="N1720" s="917"/>
      <c r="O1720" s="917"/>
      <c r="P1720" s="917"/>
      <c r="Q1720" s="578"/>
      <c r="R1720" s="578"/>
      <c r="S1720" s="578"/>
      <c r="T1720" s="578"/>
      <c r="U1720" s="578"/>
      <c r="V1720" s="578"/>
      <c r="W1720" s="578"/>
      <c r="X1720" s="578"/>
      <c r="Y1720" s="578"/>
      <c r="Z1720" s="578"/>
    </row>
    <row r="1721" spans="1:26" ht="18.75">
      <c r="A1721" s="682"/>
      <c r="B1721" s="682"/>
      <c r="C1721" s="682"/>
      <c r="D1721" s="914"/>
      <c r="E1721" s="682"/>
      <c r="F1721" s="682"/>
      <c r="G1721" s="682"/>
      <c r="H1721" s="915"/>
      <c r="I1721" s="916"/>
      <c r="J1721" s="916"/>
      <c r="K1721" s="917"/>
      <c r="L1721" s="917"/>
      <c r="M1721" s="917"/>
      <c r="N1721" s="917"/>
      <c r="O1721" s="917"/>
      <c r="P1721" s="917"/>
      <c r="Q1721" s="578"/>
      <c r="R1721" s="578"/>
      <c r="S1721" s="578"/>
      <c r="T1721" s="578"/>
      <c r="U1721" s="578"/>
      <c r="V1721" s="578"/>
      <c r="W1721" s="578"/>
      <c r="X1721" s="578"/>
      <c r="Y1721" s="578"/>
      <c r="Z1721" s="578"/>
    </row>
    <row r="1722" spans="1:26" ht="18.75">
      <c r="A1722" s="682"/>
      <c r="B1722" s="682"/>
      <c r="C1722" s="682"/>
      <c r="D1722" s="914"/>
      <c r="E1722" s="682"/>
      <c r="F1722" s="682"/>
      <c r="G1722" s="682"/>
      <c r="H1722" s="915"/>
      <c r="I1722" s="916"/>
      <c r="J1722" s="916"/>
      <c r="K1722" s="917"/>
      <c r="L1722" s="917"/>
      <c r="M1722" s="917"/>
      <c r="N1722" s="917"/>
      <c r="O1722" s="917"/>
      <c r="P1722" s="917"/>
      <c r="Q1722" s="578"/>
      <c r="R1722" s="578"/>
      <c r="S1722" s="578"/>
      <c r="T1722" s="578"/>
      <c r="U1722" s="578"/>
      <c r="V1722" s="578"/>
      <c r="W1722" s="578"/>
      <c r="X1722" s="578"/>
      <c r="Y1722" s="578"/>
      <c r="Z1722" s="578"/>
    </row>
    <row r="1723" spans="1:26" ht="18.75">
      <c r="A1723" s="682"/>
      <c r="B1723" s="682"/>
      <c r="C1723" s="682"/>
      <c r="D1723" s="914"/>
      <c r="E1723" s="682"/>
      <c r="F1723" s="682"/>
      <c r="G1723" s="682"/>
      <c r="H1723" s="915"/>
      <c r="I1723" s="916"/>
      <c r="J1723" s="916"/>
      <c r="K1723" s="917"/>
      <c r="L1723" s="917"/>
      <c r="M1723" s="917"/>
      <c r="N1723" s="917"/>
      <c r="O1723" s="917"/>
      <c r="P1723" s="917"/>
      <c r="Q1723" s="578"/>
      <c r="R1723" s="578"/>
      <c r="S1723" s="578"/>
      <c r="T1723" s="578"/>
      <c r="U1723" s="578"/>
      <c r="V1723" s="578"/>
      <c r="W1723" s="578"/>
      <c r="X1723" s="578"/>
      <c r="Y1723" s="578"/>
      <c r="Z1723" s="578"/>
    </row>
    <row r="1724" spans="1:26" ht="18.75">
      <c r="A1724" s="682"/>
      <c r="B1724" s="682"/>
      <c r="C1724" s="682"/>
      <c r="D1724" s="914"/>
      <c r="E1724" s="682"/>
      <c r="F1724" s="682"/>
      <c r="G1724" s="682"/>
      <c r="H1724" s="915"/>
      <c r="I1724" s="916"/>
      <c r="J1724" s="916"/>
      <c r="K1724" s="917"/>
      <c r="L1724" s="917"/>
      <c r="M1724" s="917"/>
      <c r="N1724" s="917"/>
      <c r="O1724" s="917"/>
      <c r="P1724" s="917"/>
      <c r="Q1724" s="578"/>
      <c r="R1724" s="578"/>
      <c r="S1724" s="578"/>
      <c r="T1724" s="578"/>
      <c r="U1724" s="578"/>
      <c r="V1724" s="578"/>
      <c r="W1724" s="578"/>
      <c r="X1724" s="578"/>
      <c r="Y1724" s="578"/>
      <c r="Z1724" s="578"/>
    </row>
    <row r="1725" spans="1:26" ht="18.75">
      <c r="A1725" s="682"/>
      <c r="B1725" s="682"/>
      <c r="C1725" s="682"/>
      <c r="D1725" s="914"/>
      <c r="E1725" s="682"/>
      <c r="F1725" s="682"/>
      <c r="G1725" s="682"/>
      <c r="H1725" s="915"/>
      <c r="I1725" s="916"/>
      <c r="J1725" s="916"/>
      <c r="K1725" s="917"/>
      <c r="L1725" s="917"/>
      <c r="M1725" s="917"/>
      <c r="N1725" s="917"/>
      <c r="O1725" s="917"/>
      <c r="P1725" s="917"/>
      <c r="Q1725" s="578"/>
      <c r="R1725" s="578"/>
      <c r="S1725" s="578"/>
      <c r="T1725" s="578"/>
      <c r="U1725" s="578"/>
      <c r="V1725" s="578"/>
      <c r="W1725" s="578"/>
      <c r="X1725" s="578"/>
      <c r="Y1725" s="578"/>
      <c r="Z1725" s="578"/>
    </row>
    <row r="1726" spans="1:26" ht="18.75">
      <c r="A1726" s="682"/>
      <c r="B1726" s="682"/>
      <c r="C1726" s="682"/>
      <c r="D1726" s="914"/>
      <c r="E1726" s="682"/>
      <c r="F1726" s="682"/>
      <c r="G1726" s="682"/>
      <c r="H1726" s="915"/>
      <c r="I1726" s="916"/>
      <c r="J1726" s="916"/>
      <c r="K1726" s="917"/>
      <c r="L1726" s="917"/>
      <c r="M1726" s="917"/>
      <c r="N1726" s="917"/>
      <c r="O1726" s="917"/>
      <c r="P1726" s="917"/>
      <c r="Q1726" s="578"/>
      <c r="R1726" s="578"/>
      <c r="S1726" s="578"/>
      <c r="T1726" s="578"/>
      <c r="U1726" s="578"/>
      <c r="V1726" s="578"/>
      <c r="W1726" s="578"/>
      <c r="X1726" s="578"/>
      <c r="Y1726" s="578"/>
      <c r="Z1726" s="578"/>
    </row>
    <row r="1727" spans="1:26" ht="18.75">
      <c r="A1727" s="682"/>
      <c r="B1727" s="682"/>
      <c r="C1727" s="682"/>
      <c r="D1727" s="914"/>
      <c r="E1727" s="682"/>
      <c r="F1727" s="682"/>
      <c r="G1727" s="682"/>
      <c r="H1727" s="915"/>
      <c r="I1727" s="916"/>
      <c r="J1727" s="916"/>
      <c r="K1727" s="917"/>
      <c r="L1727" s="917"/>
      <c r="M1727" s="917"/>
      <c r="N1727" s="917"/>
      <c r="O1727" s="917"/>
      <c r="P1727" s="917"/>
      <c r="Q1727" s="578"/>
      <c r="R1727" s="578"/>
      <c r="S1727" s="578"/>
      <c r="T1727" s="578"/>
      <c r="U1727" s="578"/>
      <c r="V1727" s="578"/>
      <c r="W1727" s="578"/>
      <c r="X1727" s="578"/>
      <c r="Y1727" s="578"/>
      <c r="Z1727" s="578"/>
    </row>
    <row r="1728" spans="1:26" ht="18.75">
      <c r="A1728" s="682"/>
      <c r="B1728" s="682"/>
      <c r="C1728" s="682"/>
      <c r="D1728" s="914"/>
      <c r="E1728" s="682"/>
      <c r="F1728" s="682"/>
      <c r="G1728" s="682"/>
      <c r="H1728" s="915"/>
      <c r="I1728" s="916"/>
      <c r="J1728" s="916"/>
      <c r="K1728" s="917"/>
      <c r="L1728" s="917"/>
      <c r="M1728" s="917"/>
      <c r="N1728" s="917"/>
      <c r="O1728" s="917"/>
      <c r="P1728" s="917"/>
      <c r="Q1728" s="578"/>
      <c r="R1728" s="578"/>
      <c r="S1728" s="578"/>
      <c r="T1728" s="578"/>
      <c r="U1728" s="578"/>
      <c r="V1728" s="578"/>
      <c r="W1728" s="578"/>
      <c r="X1728" s="578"/>
      <c r="Y1728" s="578"/>
      <c r="Z1728" s="578"/>
    </row>
    <row r="1729" spans="1:26" ht="18.75">
      <c r="A1729" s="682"/>
      <c r="B1729" s="682"/>
      <c r="C1729" s="682"/>
      <c r="D1729" s="914"/>
      <c r="E1729" s="682"/>
      <c r="F1729" s="682"/>
      <c r="G1729" s="682"/>
      <c r="H1729" s="915"/>
      <c r="I1729" s="916"/>
      <c r="J1729" s="916"/>
      <c r="K1729" s="917"/>
      <c r="L1729" s="917"/>
      <c r="M1729" s="917"/>
      <c r="N1729" s="917"/>
      <c r="O1729" s="917"/>
      <c r="P1729" s="917"/>
      <c r="Q1729" s="578"/>
      <c r="R1729" s="578"/>
      <c r="S1729" s="578"/>
      <c r="T1729" s="578"/>
      <c r="U1729" s="578"/>
      <c r="V1729" s="578"/>
      <c r="W1729" s="578"/>
      <c r="X1729" s="578"/>
      <c r="Y1729" s="578"/>
      <c r="Z1729" s="578"/>
    </row>
    <row r="1730" spans="1:26" ht="18.75">
      <c r="A1730" s="682"/>
      <c r="B1730" s="682"/>
      <c r="C1730" s="682"/>
      <c r="D1730" s="914"/>
      <c r="E1730" s="682"/>
      <c r="F1730" s="682"/>
      <c r="G1730" s="682"/>
      <c r="H1730" s="915"/>
      <c r="I1730" s="916"/>
      <c r="J1730" s="916"/>
      <c r="K1730" s="917"/>
      <c r="L1730" s="917"/>
      <c r="M1730" s="917"/>
      <c r="N1730" s="917"/>
      <c r="O1730" s="917"/>
      <c r="P1730" s="917"/>
      <c r="Q1730" s="578"/>
      <c r="R1730" s="578"/>
      <c r="S1730" s="578"/>
      <c r="T1730" s="578"/>
      <c r="U1730" s="578"/>
      <c r="V1730" s="578"/>
      <c r="W1730" s="578"/>
      <c r="X1730" s="578"/>
      <c r="Y1730" s="578"/>
      <c r="Z1730" s="578"/>
    </row>
    <row r="1731" spans="1:26" ht="18.75">
      <c r="A1731" s="682"/>
      <c r="B1731" s="682"/>
      <c r="C1731" s="682"/>
      <c r="D1731" s="914"/>
      <c r="E1731" s="682"/>
      <c r="F1731" s="682"/>
      <c r="G1731" s="682"/>
      <c r="H1731" s="915"/>
      <c r="I1731" s="916"/>
      <c r="J1731" s="916"/>
      <c r="K1731" s="917"/>
      <c r="L1731" s="917"/>
      <c r="M1731" s="917"/>
      <c r="N1731" s="917"/>
      <c r="O1731" s="917"/>
      <c r="P1731" s="917"/>
      <c r="Q1731" s="578"/>
      <c r="R1731" s="578"/>
      <c r="S1731" s="578"/>
      <c r="T1731" s="578"/>
      <c r="U1731" s="578"/>
      <c r="V1731" s="578"/>
      <c r="W1731" s="578"/>
      <c r="X1731" s="578"/>
      <c r="Y1731" s="578"/>
      <c r="Z1731" s="578"/>
    </row>
    <row r="1732" spans="1:26" ht="18.75">
      <c r="A1732" s="682"/>
      <c r="B1732" s="682"/>
      <c r="C1732" s="682"/>
      <c r="D1732" s="914"/>
      <c r="E1732" s="682"/>
      <c r="F1732" s="682"/>
      <c r="G1732" s="682"/>
      <c r="H1732" s="915"/>
      <c r="I1732" s="916"/>
      <c r="J1732" s="916"/>
      <c r="K1732" s="917"/>
      <c r="L1732" s="917"/>
      <c r="M1732" s="917"/>
      <c r="N1732" s="917"/>
      <c r="O1732" s="917"/>
      <c r="P1732" s="917"/>
      <c r="Q1732" s="578"/>
      <c r="R1732" s="578"/>
      <c r="S1732" s="578"/>
      <c r="T1732" s="578"/>
      <c r="U1732" s="578"/>
      <c r="V1732" s="578"/>
      <c r="W1732" s="578"/>
      <c r="X1732" s="578"/>
      <c r="Y1732" s="578"/>
      <c r="Z1732" s="578"/>
    </row>
    <row r="1733" spans="1:26" ht="18.75">
      <c r="A1733" s="682"/>
      <c r="B1733" s="682"/>
      <c r="C1733" s="682"/>
      <c r="D1733" s="914"/>
      <c r="E1733" s="682"/>
      <c r="F1733" s="682"/>
      <c r="G1733" s="682"/>
      <c r="H1733" s="915"/>
      <c r="I1733" s="916"/>
      <c r="J1733" s="916"/>
      <c r="K1733" s="917"/>
      <c r="L1733" s="917"/>
      <c r="M1733" s="917"/>
      <c r="N1733" s="917"/>
      <c r="O1733" s="917"/>
      <c r="P1733" s="917"/>
      <c r="Q1733" s="578"/>
      <c r="R1733" s="578"/>
      <c r="S1733" s="578"/>
      <c r="T1733" s="578"/>
      <c r="U1733" s="578"/>
      <c r="V1733" s="578"/>
      <c r="W1733" s="578"/>
      <c r="X1733" s="578"/>
      <c r="Y1733" s="578"/>
      <c r="Z1733" s="578"/>
    </row>
    <row r="1734" spans="1:26" ht="18.75">
      <c r="A1734" s="682"/>
      <c r="B1734" s="682"/>
      <c r="C1734" s="682"/>
      <c r="D1734" s="914"/>
      <c r="E1734" s="682"/>
      <c r="F1734" s="682"/>
      <c r="G1734" s="682"/>
      <c r="H1734" s="915"/>
      <c r="I1734" s="916"/>
      <c r="J1734" s="916"/>
      <c r="K1734" s="917"/>
      <c r="L1734" s="917"/>
      <c r="M1734" s="917"/>
      <c r="N1734" s="917"/>
      <c r="O1734" s="917"/>
      <c r="P1734" s="917"/>
      <c r="Q1734" s="578"/>
      <c r="R1734" s="578"/>
      <c r="S1734" s="578"/>
      <c r="T1734" s="578"/>
      <c r="U1734" s="578"/>
      <c r="V1734" s="578"/>
      <c r="W1734" s="578"/>
      <c r="X1734" s="578"/>
      <c r="Y1734" s="578"/>
      <c r="Z1734" s="578"/>
    </row>
    <row r="1735" spans="1:26" ht="18.75">
      <c r="A1735" s="682"/>
      <c r="B1735" s="682"/>
      <c r="C1735" s="682"/>
      <c r="D1735" s="914"/>
      <c r="E1735" s="682"/>
      <c r="F1735" s="682"/>
      <c r="G1735" s="682"/>
      <c r="H1735" s="915"/>
      <c r="I1735" s="916"/>
      <c r="J1735" s="916"/>
      <c r="K1735" s="917"/>
      <c r="L1735" s="917"/>
      <c r="M1735" s="917"/>
      <c r="N1735" s="917"/>
      <c r="O1735" s="917"/>
      <c r="P1735" s="917"/>
      <c r="Q1735" s="578"/>
      <c r="R1735" s="578"/>
      <c r="S1735" s="578"/>
      <c r="T1735" s="578"/>
      <c r="U1735" s="578"/>
      <c r="V1735" s="578"/>
      <c r="W1735" s="578"/>
      <c r="X1735" s="578"/>
      <c r="Y1735" s="578"/>
      <c r="Z1735" s="578"/>
    </row>
    <row r="1736" spans="1:26" ht="18.75">
      <c r="A1736" s="682"/>
      <c r="B1736" s="682"/>
      <c r="C1736" s="682"/>
      <c r="D1736" s="914"/>
      <c r="E1736" s="682"/>
      <c r="F1736" s="682"/>
      <c r="G1736" s="682"/>
      <c r="H1736" s="915"/>
      <c r="I1736" s="916"/>
      <c r="J1736" s="916"/>
      <c r="K1736" s="917"/>
      <c r="L1736" s="917"/>
      <c r="M1736" s="917"/>
      <c r="N1736" s="917"/>
      <c r="O1736" s="917"/>
      <c r="P1736" s="917"/>
      <c r="Q1736" s="578"/>
      <c r="R1736" s="578"/>
      <c r="S1736" s="578"/>
      <c r="T1736" s="578"/>
      <c r="U1736" s="578"/>
      <c r="V1736" s="578"/>
      <c r="W1736" s="578"/>
      <c r="X1736" s="578"/>
      <c r="Y1736" s="578"/>
      <c r="Z1736" s="578"/>
    </row>
    <row r="1737" spans="1:26" ht="18.75">
      <c r="A1737" s="682"/>
      <c r="B1737" s="682"/>
      <c r="C1737" s="682"/>
      <c r="D1737" s="914"/>
      <c r="E1737" s="682"/>
      <c r="F1737" s="682"/>
      <c r="G1737" s="682"/>
      <c r="H1737" s="915"/>
      <c r="I1737" s="916"/>
      <c r="J1737" s="916"/>
      <c r="K1737" s="917"/>
      <c r="L1737" s="917"/>
      <c r="M1737" s="917"/>
      <c r="N1737" s="917"/>
      <c r="O1737" s="917"/>
      <c r="P1737" s="917"/>
      <c r="Q1737" s="578"/>
      <c r="R1737" s="578"/>
      <c r="S1737" s="578"/>
      <c r="T1737" s="578"/>
      <c r="U1737" s="578"/>
      <c r="V1737" s="578"/>
      <c r="W1737" s="578"/>
      <c r="X1737" s="578"/>
      <c r="Y1737" s="578"/>
      <c r="Z1737" s="578"/>
    </row>
    <row r="1738" spans="1:26" ht="18.75">
      <c r="A1738" s="682"/>
      <c r="B1738" s="682"/>
      <c r="C1738" s="682"/>
      <c r="D1738" s="914"/>
      <c r="E1738" s="682"/>
      <c r="F1738" s="682"/>
      <c r="G1738" s="682"/>
      <c r="H1738" s="915"/>
      <c r="I1738" s="916"/>
      <c r="J1738" s="916"/>
      <c r="K1738" s="917"/>
      <c r="L1738" s="917"/>
      <c r="M1738" s="917"/>
      <c r="N1738" s="917"/>
      <c r="O1738" s="917"/>
      <c r="P1738" s="917"/>
      <c r="Q1738" s="578"/>
      <c r="R1738" s="578"/>
      <c r="S1738" s="578"/>
      <c r="T1738" s="578"/>
      <c r="U1738" s="578"/>
      <c r="V1738" s="578"/>
      <c r="W1738" s="578"/>
      <c r="X1738" s="578"/>
      <c r="Y1738" s="578"/>
      <c r="Z1738" s="578"/>
    </row>
    <row r="1739" spans="1:26" ht="18.75">
      <c r="A1739" s="682"/>
      <c r="B1739" s="682"/>
      <c r="C1739" s="682"/>
      <c r="D1739" s="914"/>
      <c r="E1739" s="682"/>
      <c r="F1739" s="682"/>
      <c r="G1739" s="682"/>
      <c r="H1739" s="915"/>
      <c r="I1739" s="916"/>
      <c r="J1739" s="916"/>
      <c r="K1739" s="917"/>
      <c r="L1739" s="917"/>
      <c r="M1739" s="917"/>
      <c r="N1739" s="917"/>
      <c r="O1739" s="917"/>
      <c r="P1739" s="917"/>
      <c r="Q1739" s="578"/>
      <c r="R1739" s="578"/>
      <c r="S1739" s="578"/>
      <c r="T1739" s="578"/>
      <c r="U1739" s="578"/>
      <c r="V1739" s="578"/>
      <c r="W1739" s="578"/>
      <c r="X1739" s="578"/>
      <c r="Y1739" s="578"/>
      <c r="Z1739" s="578"/>
    </row>
    <row r="1740" spans="1:26" ht="18.75">
      <c r="A1740" s="682"/>
      <c r="B1740" s="682"/>
      <c r="C1740" s="682"/>
      <c r="D1740" s="914"/>
      <c r="E1740" s="682"/>
      <c r="F1740" s="682"/>
      <c r="G1740" s="682"/>
      <c r="H1740" s="915"/>
      <c r="I1740" s="916"/>
      <c r="J1740" s="916"/>
      <c r="K1740" s="917"/>
      <c r="L1740" s="917"/>
      <c r="M1740" s="917"/>
      <c r="N1740" s="917"/>
      <c r="O1740" s="917"/>
      <c r="P1740" s="917"/>
      <c r="Q1740" s="578"/>
      <c r="R1740" s="578"/>
      <c r="S1740" s="578"/>
      <c r="T1740" s="578"/>
      <c r="U1740" s="578"/>
      <c r="V1740" s="578"/>
      <c r="W1740" s="578"/>
      <c r="X1740" s="578"/>
      <c r="Y1740" s="578"/>
      <c r="Z1740" s="578"/>
    </row>
    <row r="1741" spans="1:26" ht="18.75">
      <c r="A1741" s="682"/>
      <c r="B1741" s="682"/>
      <c r="C1741" s="682"/>
      <c r="D1741" s="914"/>
      <c r="E1741" s="682"/>
      <c r="F1741" s="682"/>
      <c r="G1741" s="682"/>
      <c r="H1741" s="915"/>
      <c r="I1741" s="916"/>
      <c r="J1741" s="916"/>
      <c r="K1741" s="917"/>
      <c r="L1741" s="917"/>
      <c r="M1741" s="917"/>
      <c r="N1741" s="917"/>
      <c r="O1741" s="917"/>
      <c r="P1741" s="917"/>
      <c r="Q1741" s="578"/>
      <c r="R1741" s="578"/>
      <c r="S1741" s="578"/>
      <c r="T1741" s="578"/>
      <c r="U1741" s="578"/>
      <c r="V1741" s="578"/>
      <c r="W1741" s="578"/>
      <c r="X1741" s="578"/>
      <c r="Y1741" s="578"/>
      <c r="Z1741" s="578"/>
    </row>
    <row r="1742" spans="1:26" ht="18.75">
      <c r="A1742" s="682"/>
      <c r="B1742" s="682"/>
      <c r="C1742" s="682"/>
      <c r="D1742" s="914"/>
      <c r="E1742" s="682"/>
      <c r="F1742" s="682"/>
      <c r="G1742" s="682"/>
      <c r="H1742" s="915"/>
      <c r="I1742" s="916"/>
      <c r="J1742" s="916"/>
      <c r="K1742" s="917"/>
      <c r="L1742" s="917"/>
      <c r="M1742" s="917"/>
      <c r="N1742" s="917"/>
      <c r="O1742" s="917"/>
      <c r="P1742" s="917"/>
      <c r="Q1742" s="578"/>
      <c r="R1742" s="578"/>
      <c r="S1742" s="578"/>
      <c r="T1742" s="578"/>
      <c r="U1742" s="578"/>
      <c r="V1742" s="578"/>
      <c r="W1742" s="578"/>
      <c r="X1742" s="578"/>
      <c r="Y1742" s="578"/>
      <c r="Z1742" s="578"/>
    </row>
    <row r="1743" spans="1:26" ht="18.75">
      <c r="A1743" s="682"/>
      <c r="B1743" s="682"/>
      <c r="C1743" s="682"/>
      <c r="D1743" s="914"/>
      <c r="E1743" s="682"/>
      <c r="F1743" s="682"/>
      <c r="G1743" s="682"/>
      <c r="H1743" s="915"/>
      <c r="I1743" s="916"/>
      <c r="J1743" s="916"/>
      <c r="K1743" s="917"/>
      <c r="L1743" s="917"/>
      <c r="M1743" s="917"/>
      <c r="N1743" s="917"/>
      <c r="O1743" s="917"/>
      <c r="P1743" s="917"/>
      <c r="Q1743" s="578"/>
      <c r="R1743" s="578"/>
      <c r="S1743" s="578"/>
      <c r="T1743" s="578"/>
      <c r="U1743" s="578"/>
      <c r="V1743" s="578"/>
      <c r="W1743" s="578"/>
      <c r="X1743" s="578"/>
      <c r="Y1743" s="578"/>
      <c r="Z1743" s="578"/>
    </row>
    <row r="1744" spans="1:26" ht="18.75">
      <c r="A1744" s="682"/>
      <c r="B1744" s="682"/>
      <c r="C1744" s="682"/>
      <c r="D1744" s="914"/>
      <c r="E1744" s="682"/>
      <c r="F1744" s="682"/>
      <c r="G1744" s="682"/>
      <c r="H1744" s="915"/>
      <c r="I1744" s="916"/>
      <c r="J1744" s="916"/>
      <c r="K1744" s="917"/>
      <c r="L1744" s="917"/>
      <c r="M1744" s="917"/>
      <c r="N1744" s="917"/>
      <c r="O1744" s="917"/>
      <c r="P1744" s="917"/>
      <c r="Q1744" s="578"/>
      <c r="R1744" s="578"/>
      <c r="S1744" s="578"/>
      <c r="T1744" s="578"/>
      <c r="U1744" s="578"/>
      <c r="V1744" s="578"/>
      <c r="W1744" s="578"/>
      <c r="X1744" s="578"/>
      <c r="Y1744" s="578"/>
      <c r="Z1744" s="578"/>
    </row>
    <row r="1745" spans="1:26" ht="18.75">
      <c r="A1745" s="682"/>
      <c r="B1745" s="682"/>
      <c r="C1745" s="682"/>
      <c r="D1745" s="914"/>
      <c r="E1745" s="682"/>
      <c r="F1745" s="682"/>
      <c r="G1745" s="682"/>
      <c r="H1745" s="915"/>
      <c r="I1745" s="916"/>
      <c r="J1745" s="916"/>
      <c r="K1745" s="917"/>
      <c r="L1745" s="917"/>
      <c r="M1745" s="917"/>
      <c r="N1745" s="917"/>
      <c r="O1745" s="917"/>
      <c r="P1745" s="917"/>
      <c r="Q1745" s="578"/>
      <c r="R1745" s="578"/>
      <c r="S1745" s="578"/>
      <c r="T1745" s="578"/>
      <c r="U1745" s="578"/>
      <c r="V1745" s="578"/>
      <c r="W1745" s="578"/>
      <c r="X1745" s="578"/>
      <c r="Y1745" s="578"/>
      <c r="Z1745" s="578"/>
    </row>
    <row r="1746" spans="1:26" ht="18.75">
      <c r="A1746" s="682"/>
      <c r="B1746" s="682"/>
      <c r="C1746" s="682"/>
      <c r="D1746" s="914"/>
      <c r="E1746" s="682"/>
      <c r="F1746" s="682"/>
      <c r="G1746" s="682"/>
      <c r="H1746" s="915"/>
      <c r="I1746" s="916"/>
      <c r="J1746" s="916"/>
      <c r="K1746" s="917"/>
      <c r="L1746" s="917"/>
      <c r="M1746" s="917"/>
      <c r="N1746" s="917"/>
      <c r="O1746" s="917"/>
      <c r="P1746" s="917"/>
      <c r="Q1746" s="578"/>
      <c r="R1746" s="578"/>
      <c r="S1746" s="578"/>
      <c r="T1746" s="578"/>
      <c r="U1746" s="578"/>
      <c r="V1746" s="578"/>
      <c r="W1746" s="578"/>
      <c r="X1746" s="578"/>
      <c r="Y1746" s="578"/>
      <c r="Z1746" s="578"/>
    </row>
    <row r="1747" spans="1:26" ht="18.75">
      <c r="A1747" s="682"/>
      <c r="B1747" s="682"/>
      <c r="C1747" s="682"/>
      <c r="D1747" s="914"/>
      <c r="E1747" s="682"/>
      <c r="F1747" s="682"/>
      <c r="G1747" s="682"/>
      <c r="H1747" s="915"/>
      <c r="I1747" s="916"/>
      <c r="J1747" s="916"/>
      <c r="K1747" s="917"/>
      <c r="L1747" s="917"/>
      <c r="M1747" s="917"/>
      <c r="N1747" s="917"/>
      <c r="O1747" s="917"/>
      <c r="P1747" s="917"/>
      <c r="Q1747" s="578"/>
      <c r="R1747" s="578"/>
      <c r="S1747" s="578"/>
      <c r="T1747" s="578"/>
      <c r="U1747" s="578"/>
      <c r="V1747" s="578"/>
      <c r="W1747" s="578"/>
      <c r="X1747" s="578"/>
      <c r="Y1747" s="578"/>
      <c r="Z1747" s="578"/>
    </row>
    <row r="1748" spans="1:26" ht="18.75">
      <c r="A1748" s="682"/>
      <c r="B1748" s="682"/>
      <c r="C1748" s="682"/>
      <c r="D1748" s="914"/>
      <c r="E1748" s="682"/>
      <c r="F1748" s="682"/>
      <c r="G1748" s="682"/>
      <c r="H1748" s="915"/>
      <c r="I1748" s="916"/>
      <c r="J1748" s="916"/>
      <c r="K1748" s="917"/>
      <c r="L1748" s="917"/>
      <c r="M1748" s="917"/>
      <c r="N1748" s="917"/>
      <c r="O1748" s="917"/>
      <c r="P1748" s="917"/>
      <c r="Q1748" s="578"/>
      <c r="R1748" s="578"/>
      <c r="S1748" s="578"/>
      <c r="T1748" s="578"/>
      <c r="U1748" s="578"/>
      <c r="V1748" s="578"/>
      <c r="W1748" s="578"/>
      <c r="X1748" s="578"/>
      <c r="Y1748" s="578"/>
      <c r="Z1748" s="578"/>
    </row>
    <row r="1749" spans="1:26" ht="18.75">
      <c r="A1749" s="682"/>
      <c r="B1749" s="682"/>
      <c r="C1749" s="682"/>
      <c r="D1749" s="914"/>
      <c r="E1749" s="682"/>
      <c r="F1749" s="682"/>
      <c r="G1749" s="682"/>
      <c r="H1749" s="915"/>
      <c r="I1749" s="916"/>
      <c r="J1749" s="916"/>
      <c r="K1749" s="917"/>
      <c r="L1749" s="917"/>
      <c r="M1749" s="917"/>
      <c r="N1749" s="917"/>
      <c r="O1749" s="917"/>
      <c r="P1749" s="917"/>
      <c r="Q1749" s="578"/>
      <c r="R1749" s="578"/>
      <c r="S1749" s="578"/>
      <c r="T1749" s="578"/>
      <c r="U1749" s="578"/>
      <c r="V1749" s="578"/>
      <c r="W1749" s="578"/>
      <c r="X1749" s="578"/>
      <c r="Y1749" s="578"/>
      <c r="Z1749" s="578"/>
    </row>
    <row r="1750" spans="1:26" ht="18.75">
      <c r="A1750" s="682"/>
      <c r="B1750" s="682"/>
      <c r="C1750" s="682"/>
      <c r="D1750" s="914"/>
      <c r="E1750" s="682"/>
      <c r="F1750" s="682"/>
      <c r="G1750" s="682"/>
      <c r="H1750" s="915"/>
      <c r="I1750" s="916"/>
      <c r="J1750" s="916"/>
      <c r="K1750" s="917"/>
      <c r="L1750" s="917"/>
      <c r="M1750" s="917"/>
      <c r="N1750" s="917"/>
      <c r="O1750" s="917"/>
      <c r="P1750" s="917"/>
      <c r="Q1750" s="578"/>
      <c r="R1750" s="578"/>
      <c r="S1750" s="578"/>
      <c r="T1750" s="578"/>
      <c r="U1750" s="578"/>
      <c r="V1750" s="578"/>
      <c r="W1750" s="578"/>
      <c r="X1750" s="578"/>
      <c r="Y1750" s="578"/>
      <c r="Z1750" s="578"/>
    </row>
    <row r="1751" spans="1:26" ht="18.75">
      <c r="A1751" s="682"/>
      <c r="B1751" s="682"/>
      <c r="C1751" s="682"/>
      <c r="D1751" s="914"/>
      <c r="E1751" s="682"/>
      <c r="F1751" s="682"/>
      <c r="G1751" s="682"/>
      <c r="H1751" s="915"/>
      <c r="I1751" s="916"/>
      <c r="J1751" s="916"/>
      <c r="K1751" s="917"/>
      <c r="L1751" s="917"/>
      <c r="M1751" s="917"/>
      <c r="N1751" s="917"/>
      <c r="O1751" s="917"/>
      <c r="P1751" s="917"/>
      <c r="Q1751" s="578"/>
      <c r="R1751" s="578"/>
      <c r="S1751" s="578"/>
      <c r="T1751" s="578"/>
      <c r="U1751" s="578"/>
      <c r="V1751" s="578"/>
      <c r="W1751" s="578"/>
      <c r="X1751" s="578"/>
      <c r="Y1751" s="578"/>
      <c r="Z1751" s="578"/>
    </row>
    <row r="1752" spans="1:26" ht="18.75">
      <c r="A1752" s="682"/>
      <c r="B1752" s="682"/>
      <c r="C1752" s="682"/>
      <c r="D1752" s="914"/>
      <c r="E1752" s="682"/>
      <c r="F1752" s="682"/>
      <c r="G1752" s="682"/>
      <c r="H1752" s="915"/>
      <c r="I1752" s="916"/>
      <c r="J1752" s="916"/>
      <c r="K1752" s="917"/>
      <c r="L1752" s="917"/>
      <c r="M1752" s="917"/>
      <c r="N1752" s="917"/>
      <c r="O1752" s="917"/>
      <c r="P1752" s="917"/>
      <c r="Q1752" s="578"/>
      <c r="R1752" s="578"/>
      <c r="S1752" s="578"/>
      <c r="T1752" s="578"/>
      <c r="U1752" s="578"/>
      <c r="V1752" s="578"/>
      <c r="W1752" s="578"/>
      <c r="X1752" s="578"/>
      <c r="Y1752" s="578"/>
      <c r="Z1752" s="578"/>
    </row>
    <row r="1753" spans="1:26" ht="18.75">
      <c r="A1753" s="682"/>
      <c r="B1753" s="682"/>
      <c r="C1753" s="682"/>
      <c r="D1753" s="914"/>
      <c r="E1753" s="682"/>
      <c r="F1753" s="682"/>
      <c r="G1753" s="682"/>
      <c r="H1753" s="915"/>
      <c r="I1753" s="916"/>
      <c r="J1753" s="916"/>
      <c r="K1753" s="917"/>
      <c r="L1753" s="917"/>
      <c r="M1753" s="917"/>
      <c r="N1753" s="917"/>
      <c r="O1753" s="917"/>
      <c r="P1753" s="917"/>
      <c r="Q1753" s="578"/>
      <c r="R1753" s="578"/>
      <c r="S1753" s="578"/>
      <c r="T1753" s="578"/>
      <c r="U1753" s="578"/>
      <c r="V1753" s="578"/>
      <c r="W1753" s="578"/>
      <c r="X1753" s="578"/>
      <c r="Y1753" s="578"/>
      <c r="Z1753" s="578"/>
    </row>
    <row r="1754" spans="1:26" ht="18.75">
      <c r="A1754" s="682"/>
      <c r="B1754" s="682"/>
      <c r="C1754" s="682"/>
      <c r="D1754" s="914"/>
      <c r="E1754" s="682"/>
      <c r="F1754" s="682"/>
      <c r="G1754" s="682"/>
      <c r="H1754" s="915"/>
      <c r="I1754" s="916"/>
      <c r="J1754" s="916"/>
      <c r="K1754" s="917"/>
      <c r="L1754" s="917"/>
      <c r="M1754" s="917"/>
      <c r="N1754" s="917"/>
      <c r="O1754" s="917"/>
      <c r="P1754" s="917"/>
      <c r="Q1754" s="578"/>
      <c r="R1754" s="578"/>
      <c r="S1754" s="578"/>
      <c r="T1754" s="578"/>
      <c r="U1754" s="578"/>
      <c r="V1754" s="578"/>
      <c r="W1754" s="578"/>
      <c r="X1754" s="578"/>
      <c r="Y1754" s="578"/>
      <c r="Z1754" s="578"/>
    </row>
    <row r="1755" spans="1:26" ht="18.75">
      <c r="A1755" s="682"/>
      <c r="B1755" s="682"/>
      <c r="C1755" s="682"/>
      <c r="D1755" s="914"/>
      <c r="E1755" s="682"/>
      <c r="F1755" s="682"/>
      <c r="G1755" s="682"/>
      <c r="H1755" s="915"/>
      <c r="I1755" s="916"/>
      <c r="J1755" s="916"/>
      <c r="K1755" s="917"/>
      <c r="L1755" s="917"/>
      <c r="M1755" s="917"/>
      <c r="N1755" s="917"/>
      <c r="O1755" s="917"/>
      <c r="P1755" s="917"/>
      <c r="Q1755" s="578"/>
      <c r="R1755" s="578"/>
      <c r="S1755" s="578"/>
      <c r="T1755" s="578"/>
      <c r="U1755" s="578"/>
      <c r="V1755" s="578"/>
      <c r="W1755" s="578"/>
      <c r="X1755" s="578"/>
      <c r="Y1755" s="578"/>
      <c r="Z1755" s="578"/>
    </row>
    <row r="1756" spans="1:26" ht="18.75">
      <c r="A1756" s="682"/>
      <c r="B1756" s="682"/>
      <c r="C1756" s="682"/>
      <c r="D1756" s="914"/>
      <c r="E1756" s="682"/>
      <c r="F1756" s="682"/>
      <c r="G1756" s="682"/>
      <c r="H1756" s="915"/>
      <c r="I1756" s="916"/>
      <c r="J1756" s="916"/>
      <c r="K1756" s="917"/>
      <c r="L1756" s="917"/>
      <c r="M1756" s="917"/>
      <c r="N1756" s="917"/>
      <c r="O1756" s="917"/>
      <c r="P1756" s="917"/>
      <c r="Q1756" s="578"/>
      <c r="R1756" s="578"/>
      <c r="S1756" s="578"/>
      <c r="T1756" s="578"/>
      <c r="U1756" s="578"/>
      <c r="V1756" s="578"/>
      <c r="W1756" s="578"/>
      <c r="X1756" s="578"/>
      <c r="Y1756" s="578"/>
      <c r="Z1756" s="578"/>
    </row>
    <row r="1757" spans="1:26" ht="18.75">
      <c r="A1757" s="682"/>
      <c r="B1757" s="682"/>
      <c r="C1757" s="682"/>
      <c r="D1757" s="914"/>
      <c r="E1757" s="682"/>
      <c r="F1757" s="682"/>
      <c r="G1757" s="682"/>
      <c r="H1757" s="915"/>
      <c r="I1757" s="916"/>
      <c r="J1757" s="916"/>
      <c r="K1757" s="917"/>
      <c r="L1757" s="917"/>
      <c r="M1757" s="917"/>
      <c r="N1757" s="917"/>
      <c r="O1757" s="917"/>
      <c r="P1757" s="917"/>
      <c r="Q1757" s="578"/>
      <c r="R1757" s="578"/>
      <c r="S1757" s="578"/>
      <c r="T1757" s="578"/>
      <c r="U1757" s="578"/>
      <c r="V1757" s="578"/>
      <c r="W1757" s="578"/>
      <c r="X1757" s="578"/>
      <c r="Y1757" s="578"/>
      <c r="Z1757" s="578"/>
    </row>
    <row r="1758" spans="1:26" ht="18.75">
      <c r="A1758" s="682"/>
      <c r="B1758" s="682"/>
      <c r="C1758" s="682"/>
      <c r="D1758" s="914"/>
      <c r="E1758" s="682"/>
      <c r="F1758" s="682"/>
      <c r="G1758" s="682"/>
      <c r="H1758" s="915"/>
      <c r="I1758" s="916"/>
      <c r="J1758" s="916"/>
      <c r="K1758" s="917"/>
      <c r="L1758" s="917"/>
      <c r="M1758" s="917"/>
      <c r="N1758" s="917"/>
      <c r="O1758" s="917"/>
      <c r="P1758" s="917"/>
      <c r="Q1758" s="578"/>
      <c r="R1758" s="578"/>
      <c r="S1758" s="578"/>
      <c r="T1758" s="578"/>
      <c r="U1758" s="578"/>
      <c r="V1758" s="578"/>
      <c r="W1758" s="578"/>
      <c r="X1758" s="578"/>
      <c r="Y1758" s="578"/>
      <c r="Z1758" s="578"/>
    </row>
    <row r="1759" spans="1:26" ht="18.75">
      <c r="A1759" s="682"/>
      <c r="B1759" s="682"/>
      <c r="C1759" s="682"/>
      <c r="D1759" s="914"/>
      <c r="E1759" s="682"/>
      <c r="F1759" s="682"/>
      <c r="G1759" s="682"/>
      <c r="H1759" s="915"/>
      <c r="I1759" s="916"/>
      <c r="J1759" s="916"/>
      <c r="K1759" s="917"/>
      <c r="L1759" s="917"/>
      <c r="M1759" s="917"/>
      <c r="N1759" s="917"/>
      <c r="O1759" s="917"/>
      <c r="P1759" s="917"/>
      <c r="Q1759" s="578"/>
      <c r="R1759" s="578"/>
      <c r="S1759" s="578"/>
      <c r="T1759" s="578"/>
      <c r="U1759" s="578"/>
      <c r="V1759" s="578"/>
      <c r="W1759" s="578"/>
      <c r="X1759" s="578"/>
      <c r="Y1759" s="578"/>
      <c r="Z1759" s="578"/>
    </row>
    <row r="1760" spans="1:26" ht="18.75">
      <c r="A1760" s="682"/>
      <c r="B1760" s="682"/>
      <c r="C1760" s="682"/>
      <c r="D1760" s="914"/>
      <c r="E1760" s="682"/>
      <c r="F1760" s="682"/>
      <c r="G1760" s="682"/>
      <c r="H1760" s="915"/>
      <c r="I1760" s="916"/>
      <c r="J1760" s="916"/>
      <c r="K1760" s="917"/>
      <c r="L1760" s="917"/>
      <c r="M1760" s="917"/>
      <c r="N1760" s="917"/>
      <c r="O1760" s="917"/>
      <c r="P1760" s="917"/>
      <c r="Q1760" s="578"/>
      <c r="R1760" s="578"/>
      <c r="S1760" s="578"/>
      <c r="T1760" s="578"/>
      <c r="U1760" s="578"/>
      <c r="V1760" s="578"/>
      <c r="W1760" s="578"/>
      <c r="X1760" s="578"/>
      <c r="Y1760" s="578"/>
      <c r="Z1760" s="578"/>
    </row>
    <row r="1761" spans="1:26" ht="18.75">
      <c r="A1761" s="682"/>
      <c r="B1761" s="682"/>
      <c r="C1761" s="682"/>
      <c r="D1761" s="914"/>
      <c r="E1761" s="682"/>
      <c r="F1761" s="682"/>
      <c r="G1761" s="682"/>
      <c r="H1761" s="915"/>
      <c r="I1761" s="916"/>
      <c r="J1761" s="916"/>
      <c r="K1761" s="917"/>
      <c r="L1761" s="917"/>
      <c r="M1761" s="917"/>
      <c r="N1761" s="917"/>
      <c r="O1761" s="917"/>
      <c r="P1761" s="917"/>
      <c r="Q1761" s="578"/>
      <c r="R1761" s="578"/>
      <c r="S1761" s="578"/>
      <c r="T1761" s="578"/>
      <c r="U1761" s="578"/>
      <c r="V1761" s="578"/>
      <c r="W1761" s="578"/>
      <c r="X1761" s="578"/>
      <c r="Y1761" s="578"/>
      <c r="Z1761" s="578"/>
    </row>
    <row r="1762" spans="1:26" ht="18.75">
      <c r="A1762" s="682"/>
      <c r="B1762" s="682"/>
      <c r="C1762" s="682"/>
      <c r="D1762" s="914"/>
      <c r="E1762" s="682"/>
      <c r="F1762" s="682"/>
      <c r="G1762" s="682"/>
      <c r="H1762" s="915"/>
      <c r="I1762" s="916"/>
      <c r="J1762" s="916"/>
      <c r="K1762" s="917"/>
      <c r="L1762" s="917"/>
      <c r="M1762" s="917"/>
      <c r="N1762" s="917"/>
      <c r="O1762" s="917"/>
      <c r="P1762" s="917"/>
      <c r="Q1762" s="578"/>
      <c r="R1762" s="578"/>
      <c r="S1762" s="578"/>
      <c r="T1762" s="578"/>
      <c r="U1762" s="578"/>
      <c r="V1762" s="578"/>
      <c r="W1762" s="578"/>
      <c r="X1762" s="578"/>
      <c r="Y1762" s="578"/>
      <c r="Z1762" s="578"/>
    </row>
    <row r="1763" spans="1:26" ht="18.75">
      <c r="A1763" s="682"/>
      <c r="B1763" s="682"/>
      <c r="C1763" s="682"/>
      <c r="D1763" s="914"/>
      <c r="E1763" s="682"/>
      <c r="F1763" s="682"/>
      <c r="G1763" s="682"/>
      <c r="H1763" s="915"/>
      <c r="I1763" s="916"/>
      <c r="J1763" s="916"/>
      <c r="K1763" s="917"/>
      <c r="L1763" s="917"/>
      <c r="M1763" s="917"/>
      <c r="N1763" s="917"/>
      <c r="O1763" s="917"/>
      <c r="P1763" s="917"/>
      <c r="Q1763" s="578"/>
      <c r="R1763" s="578"/>
      <c r="S1763" s="578"/>
      <c r="T1763" s="578"/>
      <c r="U1763" s="578"/>
      <c r="V1763" s="578"/>
      <c r="W1763" s="578"/>
      <c r="X1763" s="578"/>
      <c r="Y1763" s="578"/>
      <c r="Z1763" s="578"/>
    </row>
    <row r="1764" spans="1:26" ht="18.75">
      <c r="A1764" s="682"/>
      <c r="B1764" s="682"/>
      <c r="C1764" s="682"/>
      <c r="D1764" s="914"/>
      <c r="E1764" s="682"/>
      <c r="F1764" s="682"/>
      <c r="G1764" s="682"/>
      <c r="H1764" s="915"/>
      <c r="I1764" s="916"/>
      <c r="J1764" s="916"/>
      <c r="K1764" s="917"/>
      <c r="L1764" s="917"/>
      <c r="M1764" s="917"/>
      <c r="N1764" s="917"/>
      <c r="O1764" s="917"/>
      <c r="P1764" s="917"/>
      <c r="Q1764" s="578"/>
      <c r="R1764" s="578"/>
      <c r="S1764" s="578"/>
      <c r="T1764" s="578"/>
      <c r="U1764" s="578"/>
      <c r="V1764" s="578"/>
      <c r="W1764" s="578"/>
      <c r="X1764" s="578"/>
      <c r="Y1764" s="578"/>
      <c r="Z1764" s="578"/>
    </row>
    <row r="1765" spans="1:26" ht="18.75">
      <c r="A1765" s="682"/>
      <c r="B1765" s="682"/>
      <c r="C1765" s="682"/>
      <c r="D1765" s="914"/>
      <c r="E1765" s="682"/>
      <c r="F1765" s="682"/>
      <c r="G1765" s="682"/>
      <c r="H1765" s="915"/>
      <c r="I1765" s="916"/>
      <c r="J1765" s="916"/>
      <c r="K1765" s="917"/>
      <c r="L1765" s="917"/>
      <c r="M1765" s="917"/>
      <c r="N1765" s="917"/>
      <c r="O1765" s="917"/>
      <c r="P1765" s="917"/>
      <c r="Q1765" s="578"/>
      <c r="R1765" s="578"/>
      <c r="S1765" s="578"/>
      <c r="T1765" s="578"/>
      <c r="U1765" s="578"/>
      <c r="V1765" s="578"/>
      <c r="W1765" s="578"/>
      <c r="X1765" s="578"/>
      <c r="Y1765" s="578"/>
      <c r="Z1765" s="578"/>
    </row>
    <row r="1766" spans="1:26" ht="18.75">
      <c r="A1766" s="682"/>
      <c r="B1766" s="682"/>
      <c r="C1766" s="682"/>
      <c r="D1766" s="914"/>
      <c r="E1766" s="682"/>
      <c r="F1766" s="682"/>
      <c r="G1766" s="682"/>
      <c r="H1766" s="915"/>
      <c r="I1766" s="916"/>
      <c r="J1766" s="916"/>
      <c r="K1766" s="917"/>
      <c r="L1766" s="917"/>
      <c r="M1766" s="917"/>
      <c r="N1766" s="917"/>
      <c r="O1766" s="917"/>
      <c r="P1766" s="917"/>
      <c r="Q1766" s="578"/>
      <c r="R1766" s="578"/>
      <c r="S1766" s="578"/>
      <c r="T1766" s="578"/>
      <c r="U1766" s="578"/>
      <c r="V1766" s="578"/>
      <c r="W1766" s="578"/>
      <c r="X1766" s="578"/>
      <c r="Y1766" s="578"/>
      <c r="Z1766" s="578"/>
    </row>
    <row r="1767" spans="1:26" ht="18.75">
      <c r="A1767" s="682"/>
      <c r="B1767" s="682"/>
      <c r="C1767" s="682"/>
      <c r="D1767" s="914"/>
      <c r="E1767" s="682"/>
      <c r="F1767" s="682"/>
      <c r="G1767" s="682"/>
      <c r="H1767" s="915"/>
      <c r="I1767" s="916"/>
      <c r="J1767" s="916"/>
      <c r="K1767" s="917"/>
      <c r="L1767" s="917"/>
      <c r="M1767" s="917"/>
      <c r="N1767" s="917"/>
      <c r="O1767" s="917"/>
      <c r="P1767" s="917"/>
      <c r="Q1767" s="578"/>
      <c r="R1767" s="578"/>
      <c r="S1767" s="578"/>
      <c r="T1767" s="578"/>
      <c r="U1767" s="578"/>
      <c r="V1767" s="578"/>
      <c r="W1767" s="578"/>
      <c r="X1767" s="578"/>
      <c r="Y1767" s="578"/>
      <c r="Z1767" s="578"/>
    </row>
    <row r="1768" spans="1:26" ht="18.75">
      <c r="A1768" s="682"/>
      <c r="B1768" s="682"/>
      <c r="C1768" s="682"/>
      <c r="D1768" s="914"/>
      <c r="E1768" s="682"/>
      <c r="F1768" s="682"/>
      <c r="G1768" s="682"/>
      <c r="H1768" s="915"/>
      <c r="I1768" s="916"/>
      <c r="J1768" s="916"/>
      <c r="K1768" s="917"/>
      <c r="L1768" s="917"/>
      <c r="M1768" s="917"/>
      <c r="N1768" s="917"/>
      <c r="O1768" s="917"/>
      <c r="P1768" s="917"/>
      <c r="Q1768" s="578"/>
      <c r="R1768" s="578"/>
      <c r="S1768" s="578"/>
      <c r="T1768" s="578"/>
      <c r="U1768" s="578"/>
      <c r="V1768" s="578"/>
      <c r="W1768" s="578"/>
      <c r="X1768" s="578"/>
      <c r="Y1768" s="578"/>
      <c r="Z1768" s="578"/>
    </row>
    <row r="1769" spans="1:26" ht="18.75">
      <c r="A1769" s="682"/>
      <c r="B1769" s="682"/>
      <c r="C1769" s="682"/>
      <c r="D1769" s="914"/>
      <c r="E1769" s="682"/>
      <c r="F1769" s="682"/>
      <c r="G1769" s="682"/>
      <c r="H1769" s="915"/>
      <c r="I1769" s="916"/>
      <c r="J1769" s="916"/>
      <c r="K1769" s="917"/>
      <c r="L1769" s="917"/>
      <c r="M1769" s="917"/>
      <c r="N1769" s="917"/>
      <c r="O1769" s="917"/>
      <c r="P1769" s="917"/>
      <c r="Q1769" s="578"/>
      <c r="R1769" s="578"/>
      <c r="S1769" s="578"/>
      <c r="T1769" s="578"/>
      <c r="U1769" s="578"/>
      <c r="V1769" s="578"/>
      <c r="W1769" s="578"/>
      <c r="X1769" s="578"/>
      <c r="Y1769" s="578"/>
      <c r="Z1769" s="578"/>
    </row>
    <row r="1770" spans="1:26" ht="18.75">
      <c r="A1770" s="682"/>
      <c r="B1770" s="682"/>
      <c r="C1770" s="682"/>
      <c r="D1770" s="914"/>
      <c r="E1770" s="682"/>
      <c r="F1770" s="682"/>
      <c r="G1770" s="682"/>
      <c r="H1770" s="915"/>
      <c r="I1770" s="916"/>
      <c r="J1770" s="916"/>
      <c r="K1770" s="917"/>
      <c r="L1770" s="917"/>
      <c r="M1770" s="917"/>
      <c r="N1770" s="917"/>
      <c r="O1770" s="917"/>
      <c r="P1770" s="917"/>
      <c r="Q1770" s="578"/>
      <c r="R1770" s="578"/>
      <c r="S1770" s="578"/>
      <c r="T1770" s="578"/>
      <c r="U1770" s="578"/>
      <c r="V1770" s="578"/>
      <c r="W1770" s="578"/>
      <c r="X1770" s="578"/>
      <c r="Y1770" s="578"/>
      <c r="Z1770" s="578"/>
    </row>
    <row r="1771" spans="1:26" ht="18.75">
      <c r="A1771" s="682"/>
      <c r="B1771" s="682"/>
      <c r="C1771" s="682"/>
      <c r="D1771" s="914"/>
      <c r="E1771" s="682"/>
      <c r="F1771" s="682"/>
      <c r="G1771" s="682"/>
      <c r="H1771" s="915"/>
      <c r="I1771" s="916"/>
      <c r="J1771" s="916"/>
      <c r="K1771" s="917"/>
      <c r="L1771" s="917"/>
      <c r="M1771" s="917"/>
      <c r="N1771" s="917"/>
      <c r="O1771" s="917"/>
      <c r="P1771" s="917"/>
      <c r="Q1771" s="578"/>
      <c r="R1771" s="578"/>
      <c r="S1771" s="578"/>
      <c r="T1771" s="578"/>
      <c r="U1771" s="578"/>
      <c r="V1771" s="578"/>
      <c r="W1771" s="578"/>
      <c r="X1771" s="578"/>
      <c r="Y1771" s="578"/>
      <c r="Z1771" s="578"/>
    </row>
    <row r="1772" spans="1:26" ht="18.75">
      <c r="A1772" s="682"/>
      <c r="B1772" s="682"/>
      <c r="C1772" s="682"/>
      <c r="D1772" s="914"/>
      <c r="E1772" s="682"/>
      <c r="F1772" s="682"/>
      <c r="G1772" s="682"/>
      <c r="H1772" s="915"/>
      <c r="I1772" s="916"/>
      <c r="J1772" s="916"/>
      <c r="K1772" s="917"/>
      <c r="L1772" s="917"/>
      <c r="M1772" s="917"/>
      <c r="N1772" s="917"/>
      <c r="O1772" s="917"/>
      <c r="P1772" s="917"/>
      <c r="Q1772" s="578"/>
      <c r="R1772" s="578"/>
      <c r="S1772" s="578"/>
      <c r="T1772" s="578"/>
      <c r="U1772" s="578"/>
      <c r="V1772" s="578"/>
      <c r="W1772" s="578"/>
      <c r="X1772" s="578"/>
      <c r="Y1772" s="578"/>
      <c r="Z1772" s="578"/>
    </row>
    <row r="1773" spans="1:26" ht="18.75">
      <c r="A1773" s="682"/>
      <c r="B1773" s="682"/>
      <c r="C1773" s="682"/>
      <c r="D1773" s="914"/>
      <c r="E1773" s="682"/>
      <c r="F1773" s="682"/>
      <c r="G1773" s="682"/>
      <c r="H1773" s="915"/>
      <c r="I1773" s="916"/>
      <c r="J1773" s="916"/>
      <c r="K1773" s="917"/>
      <c r="L1773" s="917"/>
      <c r="M1773" s="917"/>
      <c r="N1773" s="917"/>
      <c r="O1773" s="917"/>
      <c r="P1773" s="917"/>
      <c r="Q1773" s="578"/>
      <c r="R1773" s="578"/>
      <c r="S1773" s="578"/>
      <c r="T1773" s="578"/>
      <c r="U1773" s="578"/>
      <c r="V1773" s="578"/>
      <c r="W1773" s="578"/>
      <c r="X1773" s="578"/>
      <c r="Y1773" s="578"/>
      <c r="Z1773" s="578"/>
    </row>
    <row r="1774" spans="1:26" ht="18.75">
      <c r="A1774" s="682"/>
      <c r="B1774" s="682"/>
      <c r="C1774" s="682"/>
      <c r="D1774" s="914"/>
      <c r="E1774" s="682"/>
      <c r="F1774" s="682"/>
      <c r="G1774" s="682"/>
      <c r="H1774" s="915"/>
      <c r="I1774" s="916"/>
      <c r="J1774" s="916"/>
      <c r="K1774" s="917"/>
      <c r="L1774" s="917"/>
      <c r="M1774" s="917"/>
      <c r="N1774" s="917"/>
      <c r="O1774" s="917"/>
      <c r="P1774" s="917"/>
      <c r="Q1774" s="578"/>
      <c r="R1774" s="578"/>
      <c r="S1774" s="578"/>
      <c r="T1774" s="578"/>
      <c r="U1774" s="578"/>
      <c r="V1774" s="578"/>
      <c r="W1774" s="578"/>
      <c r="X1774" s="578"/>
      <c r="Y1774" s="578"/>
      <c r="Z1774" s="578"/>
    </row>
    <row r="1775" spans="1:26" ht="18.75">
      <c r="A1775" s="682"/>
      <c r="B1775" s="682"/>
      <c r="C1775" s="682"/>
      <c r="D1775" s="914"/>
      <c r="E1775" s="682"/>
      <c r="F1775" s="682"/>
      <c r="G1775" s="682"/>
      <c r="H1775" s="915"/>
      <c r="I1775" s="916"/>
      <c r="J1775" s="916"/>
      <c r="K1775" s="917"/>
      <c r="L1775" s="917"/>
      <c r="M1775" s="917"/>
      <c r="N1775" s="917"/>
      <c r="O1775" s="917"/>
      <c r="P1775" s="917"/>
      <c r="Q1775" s="578"/>
      <c r="R1775" s="578"/>
      <c r="S1775" s="578"/>
      <c r="T1775" s="578"/>
      <c r="U1775" s="578"/>
      <c r="V1775" s="578"/>
      <c r="W1775" s="578"/>
      <c r="X1775" s="578"/>
      <c r="Y1775" s="578"/>
      <c r="Z1775" s="578"/>
    </row>
    <row r="1776" spans="1:26" ht="18.75">
      <c r="A1776" s="682"/>
      <c r="B1776" s="682"/>
      <c r="C1776" s="682"/>
      <c r="D1776" s="914"/>
      <c r="E1776" s="682"/>
      <c r="F1776" s="682"/>
      <c r="G1776" s="682"/>
      <c r="H1776" s="915"/>
      <c r="I1776" s="916"/>
      <c r="J1776" s="916"/>
      <c r="K1776" s="917"/>
      <c r="L1776" s="917"/>
      <c r="M1776" s="917"/>
      <c r="N1776" s="917"/>
      <c r="O1776" s="917"/>
      <c r="P1776" s="917"/>
      <c r="Q1776" s="578"/>
      <c r="R1776" s="578"/>
      <c r="S1776" s="578"/>
      <c r="T1776" s="578"/>
      <c r="U1776" s="578"/>
      <c r="V1776" s="578"/>
      <c r="W1776" s="578"/>
      <c r="X1776" s="578"/>
      <c r="Y1776" s="578"/>
      <c r="Z1776" s="578"/>
    </row>
    <row r="1777" spans="1:26" ht="18.75">
      <c r="A1777" s="682"/>
      <c r="B1777" s="682"/>
      <c r="C1777" s="682"/>
      <c r="D1777" s="914"/>
      <c r="E1777" s="682"/>
      <c r="F1777" s="682"/>
      <c r="G1777" s="682"/>
      <c r="H1777" s="915"/>
      <c r="I1777" s="916"/>
      <c r="J1777" s="916"/>
      <c r="K1777" s="917"/>
      <c r="L1777" s="917"/>
      <c r="M1777" s="917"/>
      <c r="N1777" s="917"/>
      <c r="O1777" s="917"/>
      <c r="P1777" s="917"/>
      <c r="Q1777" s="578"/>
      <c r="R1777" s="578"/>
      <c r="S1777" s="578"/>
      <c r="T1777" s="578"/>
      <c r="U1777" s="578"/>
      <c r="V1777" s="578"/>
      <c r="W1777" s="578"/>
      <c r="X1777" s="578"/>
      <c r="Y1777" s="578"/>
      <c r="Z1777" s="578"/>
    </row>
    <row r="1778" spans="1:26" ht="18.75">
      <c r="A1778" s="682"/>
      <c r="B1778" s="682"/>
      <c r="C1778" s="682"/>
      <c r="D1778" s="914"/>
      <c r="E1778" s="682"/>
      <c r="F1778" s="682"/>
      <c r="G1778" s="682"/>
      <c r="H1778" s="915"/>
      <c r="I1778" s="916"/>
      <c r="J1778" s="916"/>
      <c r="K1778" s="917"/>
      <c r="L1778" s="917"/>
      <c r="M1778" s="917"/>
      <c r="N1778" s="917"/>
      <c r="O1778" s="917"/>
      <c r="P1778" s="917"/>
      <c r="Q1778" s="578"/>
      <c r="R1778" s="578"/>
      <c r="S1778" s="578"/>
      <c r="T1778" s="578"/>
      <c r="U1778" s="578"/>
      <c r="V1778" s="578"/>
      <c r="W1778" s="578"/>
      <c r="X1778" s="578"/>
      <c r="Y1778" s="578"/>
      <c r="Z1778" s="578"/>
    </row>
    <row r="1779" spans="1:26" ht="18.75">
      <c r="A1779" s="682"/>
      <c r="B1779" s="682"/>
      <c r="C1779" s="682"/>
      <c r="D1779" s="914"/>
      <c r="E1779" s="682"/>
      <c r="F1779" s="682"/>
      <c r="G1779" s="682"/>
      <c r="H1779" s="915"/>
      <c r="I1779" s="916"/>
      <c r="J1779" s="916"/>
      <c r="K1779" s="917"/>
      <c r="L1779" s="917"/>
      <c r="M1779" s="917"/>
      <c r="N1779" s="917"/>
      <c r="O1779" s="917"/>
      <c r="P1779" s="917"/>
      <c r="Q1779" s="578"/>
      <c r="R1779" s="578"/>
      <c r="S1779" s="578"/>
      <c r="T1779" s="578"/>
      <c r="U1779" s="578"/>
      <c r="V1779" s="578"/>
      <c r="W1779" s="578"/>
      <c r="X1779" s="578"/>
      <c r="Y1779" s="578"/>
      <c r="Z1779" s="578"/>
    </row>
    <row r="1780" spans="1:26" ht="18.75">
      <c r="A1780" s="682"/>
      <c r="B1780" s="682"/>
      <c r="C1780" s="682"/>
      <c r="D1780" s="914"/>
      <c r="E1780" s="682"/>
      <c r="F1780" s="682"/>
      <c r="G1780" s="682"/>
      <c r="H1780" s="915"/>
      <c r="I1780" s="916"/>
      <c r="J1780" s="916"/>
      <c r="K1780" s="917"/>
      <c r="L1780" s="917"/>
      <c r="M1780" s="917"/>
      <c r="N1780" s="917"/>
      <c r="O1780" s="917"/>
      <c r="P1780" s="917"/>
      <c r="Q1780" s="578"/>
      <c r="R1780" s="578"/>
      <c r="S1780" s="578"/>
      <c r="T1780" s="578"/>
      <c r="U1780" s="578"/>
      <c r="V1780" s="578"/>
      <c r="W1780" s="578"/>
      <c r="X1780" s="578"/>
      <c r="Y1780" s="578"/>
      <c r="Z1780" s="578"/>
    </row>
    <row r="1781" spans="1:26" ht="18.75">
      <c r="A1781" s="682"/>
      <c r="B1781" s="682"/>
      <c r="C1781" s="682"/>
      <c r="D1781" s="914"/>
      <c r="E1781" s="682"/>
      <c r="F1781" s="682"/>
      <c r="G1781" s="682"/>
      <c r="H1781" s="915"/>
      <c r="I1781" s="916"/>
      <c r="J1781" s="916"/>
      <c r="K1781" s="917"/>
      <c r="L1781" s="917"/>
      <c r="M1781" s="917"/>
      <c r="N1781" s="917"/>
      <c r="O1781" s="917"/>
      <c r="P1781" s="917"/>
      <c r="Q1781" s="578"/>
      <c r="R1781" s="578"/>
      <c r="S1781" s="578"/>
      <c r="T1781" s="578"/>
      <c r="U1781" s="578"/>
      <c r="V1781" s="578"/>
      <c r="W1781" s="578"/>
      <c r="X1781" s="578"/>
      <c r="Y1781" s="578"/>
      <c r="Z1781" s="578"/>
    </row>
    <row r="1782" spans="1:26" ht="18.75">
      <c r="A1782" s="682"/>
      <c r="B1782" s="682"/>
      <c r="C1782" s="682"/>
      <c r="D1782" s="914"/>
      <c r="E1782" s="682"/>
      <c r="F1782" s="682"/>
      <c r="G1782" s="682"/>
      <c r="H1782" s="915"/>
      <c r="I1782" s="916"/>
      <c r="J1782" s="916"/>
      <c r="K1782" s="917"/>
      <c r="L1782" s="917"/>
      <c r="M1782" s="917"/>
      <c r="N1782" s="917"/>
      <c r="O1782" s="917"/>
      <c r="P1782" s="917"/>
      <c r="Q1782" s="578"/>
      <c r="R1782" s="578"/>
      <c r="S1782" s="578"/>
      <c r="T1782" s="578"/>
      <c r="U1782" s="578"/>
      <c r="V1782" s="578"/>
      <c r="W1782" s="578"/>
      <c r="X1782" s="578"/>
      <c r="Y1782" s="578"/>
      <c r="Z1782" s="578"/>
    </row>
    <row r="1783" spans="1:26" ht="18.75">
      <c r="A1783" s="682"/>
      <c r="B1783" s="682"/>
      <c r="C1783" s="682"/>
      <c r="D1783" s="914"/>
      <c r="E1783" s="682"/>
      <c r="F1783" s="682"/>
      <c r="G1783" s="682"/>
      <c r="H1783" s="915"/>
      <c r="I1783" s="916"/>
      <c r="J1783" s="916"/>
      <c r="K1783" s="917"/>
      <c r="L1783" s="917"/>
      <c r="M1783" s="917"/>
      <c r="N1783" s="917"/>
      <c r="O1783" s="917"/>
      <c r="P1783" s="917"/>
      <c r="Q1783" s="578"/>
      <c r="R1783" s="578"/>
      <c r="S1783" s="578"/>
      <c r="T1783" s="578"/>
      <c r="U1783" s="578"/>
      <c r="V1783" s="578"/>
      <c r="W1783" s="578"/>
      <c r="X1783" s="578"/>
      <c r="Y1783" s="578"/>
      <c r="Z1783" s="578"/>
    </row>
    <row r="1784" spans="1:26" ht="18.75">
      <c r="A1784" s="682"/>
      <c r="B1784" s="682"/>
      <c r="C1784" s="682"/>
      <c r="D1784" s="914"/>
      <c r="E1784" s="682"/>
      <c r="F1784" s="682"/>
      <c r="G1784" s="682"/>
      <c r="H1784" s="915"/>
      <c r="I1784" s="916"/>
      <c r="J1784" s="916"/>
      <c r="K1784" s="917"/>
      <c r="L1784" s="917"/>
      <c r="M1784" s="917"/>
      <c r="N1784" s="917"/>
      <c r="O1784" s="917"/>
      <c r="P1784" s="917"/>
      <c r="Q1784" s="578"/>
      <c r="R1784" s="578"/>
      <c r="S1784" s="578"/>
      <c r="T1784" s="578"/>
      <c r="U1784" s="578"/>
      <c r="V1784" s="578"/>
      <c r="W1784" s="578"/>
      <c r="X1784" s="578"/>
      <c r="Y1784" s="578"/>
      <c r="Z1784" s="578"/>
    </row>
    <row r="1785" spans="1:26" ht="18.75">
      <c r="A1785" s="682"/>
      <c r="B1785" s="682"/>
      <c r="C1785" s="682"/>
      <c r="D1785" s="914"/>
      <c r="E1785" s="682"/>
      <c r="F1785" s="682"/>
      <c r="G1785" s="682"/>
      <c r="H1785" s="915"/>
      <c r="I1785" s="916"/>
      <c r="J1785" s="916"/>
      <c r="K1785" s="917"/>
      <c r="L1785" s="917"/>
      <c r="M1785" s="917"/>
      <c r="N1785" s="917"/>
      <c r="O1785" s="917"/>
      <c r="P1785" s="917"/>
      <c r="Q1785" s="578"/>
      <c r="R1785" s="578"/>
      <c r="S1785" s="578"/>
      <c r="T1785" s="578"/>
      <c r="U1785" s="578"/>
      <c r="V1785" s="578"/>
      <c r="W1785" s="578"/>
      <c r="X1785" s="578"/>
      <c r="Y1785" s="578"/>
      <c r="Z1785" s="578"/>
    </row>
    <row r="1786" spans="1:26" ht="18.75">
      <c r="A1786" s="682"/>
      <c r="B1786" s="682"/>
      <c r="C1786" s="682"/>
      <c r="D1786" s="914"/>
      <c r="E1786" s="682"/>
      <c r="F1786" s="682"/>
      <c r="G1786" s="682"/>
      <c r="H1786" s="915"/>
      <c r="I1786" s="916"/>
      <c r="J1786" s="916"/>
      <c r="K1786" s="917"/>
      <c r="L1786" s="917"/>
      <c r="M1786" s="917"/>
      <c r="N1786" s="917"/>
      <c r="O1786" s="917"/>
      <c r="P1786" s="917"/>
      <c r="Q1786" s="578"/>
      <c r="R1786" s="578"/>
      <c r="S1786" s="578"/>
      <c r="T1786" s="578"/>
      <c r="U1786" s="578"/>
      <c r="V1786" s="578"/>
      <c r="W1786" s="578"/>
      <c r="X1786" s="578"/>
      <c r="Y1786" s="578"/>
      <c r="Z1786" s="578"/>
    </row>
    <row r="1787" spans="1:26" ht="18.75">
      <c r="A1787" s="682"/>
      <c r="B1787" s="682"/>
      <c r="C1787" s="682"/>
      <c r="D1787" s="914"/>
      <c r="E1787" s="682"/>
      <c r="F1787" s="682"/>
      <c r="G1787" s="682"/>
      <c r="H1787" s="915"/>
      <c r="I1787" s="916"/>
      <c r="J1787" s="916"/>
      <c r="K1787" s="917"/>
      <c r="L1787" s="917"/>
      <c r="M1787" s="917"/>
      <c r="N1787" s="917"/>
      <c r="O1787" s="917"/>
      <c r="P1787" s="917"/>
      <c r="Q1787" s="578"/>
      <c r="R1787" s="578"/>
      <c r="S1787" s="578"/>
      <c r="T1787" s="578"/>
      <c r="U1787" s="578"/>
      <c r="V1787" s="578"/>
      <c r="W1787" s="578"/>
      <c r="X1787" s="578"/>
      <c r="Y1787" s="578"/>
      <c r="Z1787" s="578"/>
    </row>
    <row r="1788" spans="1:26" ht="18.75">
      <c r="A1788" s="682"/>
      <c r="B1788" s="682"/>
      <c r="C1788" s="682"/>
      <c r="D1788" s="914"/>
      <c r="E1788" s="682"/>
      <c r="F1788" s="682"/>
      <c r="G1788" s="682"/>
      <c r="H1788" s="915"/>
      <c r="I1788" s="916"/>
      <c r="J1788" s="916"/>
      <c r="K1788" s="917"/>
      <c r="L1788" s="917"/>
      <c r="M1788" s="917"/>
      <c r="N1788" s="917"/>
      <c r="O1788" s="917"/>
      <c r="P1788" s="917"/>
      <c r="Q1788" s="578"/>
      <c r="R1788" s="578"/>
      <c r="S1788" s="578"/>
      <c r="T1788" s="578"/>
      <c r="U1788" s="578"/>
      <c r="V1788" s="578"/>
      <c r="W1788" s="578"/>
      <c r="X1788" s="578"/>
      <c r="Y1788" s="578"/>
      <c r="Z1788" s="578"/>
    </row>
    <row r="1789" spans="1:26" ht="18.75">
      <c r="A1789" s="682"/>
      <c r="B1789" s="682"/>
      <c r="C1789" s="682"/>
      <c r="D1789" s="914"/>
      <c r="E1789" s="682"/>
      <c r="F1789" s="682"/>
      <c r="G1789" s="682"/>
      <c r="H1789" s="915"/>
      <c r="I1789" s="916"/>
      <c r="J1789" s="916"/>
      <c r="K1789" s="917"/>
      <c r="L1789" s="917"/>
      <c r="M1789" s="917"/>
      <c r="N1789" s="917"/>
      <c r="O1789" s="917"/>
      <c r="P1789" s="917"/>
      <c r="Q1789" s="578"/>
      <c r="R1789" s="578"/>
      <c r="S1789" s="578"/>
      <c r="T1789" s="578"/>
      <c r="U1789" s="578"/>
      <c r="V1789" s="578"/>
      <c r="W1789" s="578"/>
      <c r="X1789" s="578"/>
      <c r="Y1789" s="578"/>
      <c r="Z1789" s="578"/>
    </row>
    <row r="1790" spans="1:26" ht="18.75">
      <c r="A1790" s="682"/>
      <c r="B1790" s="682"/>
      <c r="C1790" s="682"/>
      <c r="D1790" s="914"/>
      <c r="E1790" s="682"/>
      <c r="F1790" s="682"/>
      <c r="G1790" s="682"/>
      <c r="H1790" s="915"/>
      <c r="I1790" s="916"/>
      <c r="J1790" s="916"/>
      <c r="K1790" s="917"/>
      <c r="L1790" s="917"/>
      <c r="M1790" s="917"/>
      <c r="N1790" s="917"/>
      <c r="O1790" s="917"/>
      <c r="P1790" s="917"/>
      <c r="Q1790" s="578"/>
      <c r="R1790" s="578"/>
      <c r="S1790" s="578"/>
      <c r="T1790" s="578"/>
      <c r="U1790" s="578"/>
      <c r="V1790" s="578"/>
      <c r="W1790" s="578"/>
      <c r="X1790" s="578"/>
      <c r="Y1790" s="578"/>
      <c r="Z1790" s="578"/>
    </row>
    <row r="1791" spans="1:26" ht="18.75">
      <c r="A1791" s="682"/>
      <c r="B1791" s="682"/>
      <c r="C1791" s="682"/>
      <c r="D1791" s="914"/>
      <c r="E1791" s="682"/>
      <c r="F1791" s="682"/>
      <c r="G1791" s="682"/>
      <c r="H1791" s="915"/>
      <c r="I1791" s="916"/>
      <c r="J1791" s="916"/>
      <c r="K1791" s="917"/>
      <c r="L1791" s="917"/>
      <c r="M1791" s="917"/>
      <c r="N1791" s="917"/>
      <c r="O1791" s="917"/>
      <c r="P1791" s="917"/>
      <c r="Q1791" s="578"/>
      <c r="R1791" s="578"/>
      <c r="S1791" s="578"/>
      <c r="T1791" s="578"/>
      <c r="U1791" s="578"/>
      <c r="V1791" s="578"/>
      <c r="W1791" s="578"/>
      <c r="X1791" s="578"/>
      <c r="Y1791" s="578"/>
      <c r="Z1791" s="578"/>
    </row>
    <row r="1792" spans="1:26" ht="18.75">
      <c r="A1792" s="682"/>
      <c r="B1792" s="682"/>
      <c r="C1792" s="682"/>
      <c r="D1792" s="914"/>
      <c r="E1792" s="682"/>
      <c r="F1792" s="682"/>
      <c r="G1792" s="682"/>
      <c r="H1792" s="915"/>
      <c r="I1792" s="916"/>
      <c r="J1792" s="916"/>
      <c r="K1792" s="917"/>
      <c r="L1792" s="917"/>
      <c r="M1792" s="917"/>
      <c r="N1792" s="917"/>
      <c r="O1792" s="917"/>
      <c r="P1792" s="917"/>
      <c r="Q1792" s="578"/>
      <c r="R1792" s="578"/>
      <c r="S1792" s="578"/>
      <c r="T1792" s="578"/>
      <c r="U1792" s="578"/>
      <c r="V1792" s="578"/>
      <c r="W1792" s="578"/>
      <c r="X1792" s="578"/>
      <c r="Y1792" s="578"/>
      <c r="Z1792" s="578"/>
    </row>
    <row r="1793" spans="1:26" ht="18.75">
      <c r="A1793" s="682"/>
      <c r="B1793" s="682"/>
      <c r="C1793" s="682"/>
      <c r="D1793" s="914"/>
      <c r="E1793" s="682"/>
      <c r="F1793" s="682"/>
      <c r="G1793" s="682"/>
      <c r="H1793" s="915"/>
      <c r="I1793" s="916"/>
      <c r="J1793" s="916"/>
      <c r="K1793" s="917"/>
      <c r="L1793" s="917"/>
      <c r="M1793" s="917"/>
      <c r="N1793" s="917"/>
      <c r="O1793" s="917"/>
      <c r="P1793" s="917"/>
      <c r="Q1793" s="578"/>
      <c r="R1793" s="578"/>
      <c r="S1793" s="578"/>
      <c r="T1793" s="578"/>
      <c r="U1793" s="578"/>
      <c r="V1793" s="578"/>
      <c r="W1793" s="578"/>
      <c r="X1793" s="578"/>
      <c r="Y1793" s="578"/>
      <c r="Z1793" s="578"/>
    </row>
    <row r="1794" spans="1:26" ht="18.75">
      <c r="A1794" s="682"/>
      <c r="B1794" s="682"/>
      <c r="C1794" s="682"/>
      <c r="D1794" s="914"/>
      <c r="E1794" s="682"/>
      <c r="F1794" s="682"/>
      <c r="G1794" s="682"/>
      <c r="H1794" s="915"/>
      <c r="I1794" s="916"/>
      <c r="J1794" s="916"/>
      <c r="K1794" s="917"/>
      <c r="L1794" s="917"/>
      <c r="M1794" s="917"/>
      <c r="N1794" s="917"/>
      <c r="O1794" s="917"/>
      <c r="P1794" s="917"/>
      <c r="Q1794" s="578"/>
      <c r="R1794" s="578"/>
      <c r="S1794" s="578"/>
      <c r="T1794" s="578"/>
      <c r="U1794" s="578"/>
      <c r="V1794" s="578"/>
      <c r="W1794" s="578"/>
      <c r="X1794" s="578"/>
      <c r="Y1794" s="578"/>
      <c r="Z1794" s="578"/>
    </row>
    <row r="1795" spans="1:26" ht="18.75">
      <c r="A1795" s="682"/>
      <c r="B1795" s="682"/>
      <c r="C1795" s="682"/>
      <c r="D1795" s="914"/>
      <c r="E1795" s="682"/>
      <c r="F1795" s="682"/>
      <c r="G1795" s="682"/>
      <c r="H1795" s="915"/>
      <c r="I1795" s="916"/>
      <c r="J1795" s="916"/>
      <c r="K1795" s="917"/>
      <c r="L1795" s="917"/>
      <c r="M1795" s="917"/>
      <c r="N1795" s="917"/>
      <c r="O1795" s="917"/>
      <c r="P1795" s="917"/>
      <c r="Q1795" s="578"/>
      <c r="R1795" s="578"/>
      <c r="S1795" s="578"/>
      <c r="T1795" s="578"/>
      <c r="U1795" s="578"/>
      <c r="V1795" s="578"/>
      <c r="W1795" s="578"/>
      <c r="X1795" s="578"/>
      <c r="Y1795" s="578"/>
      <c r="Z1795" s="578"/>
    </row>
    <row r="1796" spans="1:26" ht="18.75">
      <c r="A1796" s="682"/>
      <c r="B1796" s="682"/>
      <c r="C1796" s="682"/>
      <c r="D1796" s="914"/>
      <c r="E1796" s="682"/>
      <c r="F1796" s="682"/>
      <c r="G1796" s="682"/>
      <c r="H1796" s="915"/>
      <c r="I1796" s="916"/>
      <c r="J1796" s="916"/>
      <c r="K1796" s="917"/>
      <c r="L1796" s="917"/>
      <c r="M1796" s="917"/>
      <c r="N1796" s="917"/>
      <c r="O1796" s="917"/>
      <c r="P1796" s="917"/>
      <c r="Q1796" s="578"/>
      <c r="R1796" s="578"/>
      <c r="S1796" s="578"/>
      <c r="T1796" s="578"/>
      <c r="U1796" s="578"/>
      <c r="V1796" s="578"/>
      <c r="W1796" s="578"/>
      <c r="X1796" s="578"/>
      <c r="Y1796" s="578"/>
      <c r="Z1796" s="578"/>
    </row>
    <row r="1797" spans="1:26" ht="18.75">
      <c r="A1797" s="682"/>
      <c r="B1797" s="682"/>
      <c r="C1797" s="682"/>
      <c r="D1797" s="914"/>
      <c r="E1797" s="682"/>
      <c r="F1797" s="682"/>
      <c r="G1797" s="682"/>
      <c r="H1797" s="915"/>
      <c r="I1797" s="916"/>
      <c r="J1797" s="916"/>
      <c r="K1797" s="917"/>
      <c r="L1797" s="917"/>
      <c r="M1797" s="917"/>
      <c r="N1797" s="917"/>
      <c r="O1797" s="917"/>
      <c r="P1797" s="917"/>
      <c r="Q1797" s="578"/>
      <c r="R1797" s="578"/>
      <c r="S1797" s="578"/>
      <c r="T1797" s="578"/>
      <c r="U1797" s="578"/>
      <c r="V1797" s="578"/>
      <c r="W1797" s="578"/>
      <c r="X1797" s="578"/>
      <c r="Y1797" s="578"/>
      <c r="Z1797" s="578"/>
    </row>
    <row r="1798" spans="1:26" ht="18.75">
      <c r="A1798" s="682"/>
      <c r="B1798" s="682"/>
      <c r="C1798" s="682"/>
      <c r="D1798" s="914"/>
      <c r="E1798" s="682"/>
      <c r="F1798" s="682"/>
      <c r="G1798" s="682"/>
      <c r="H1798" s="915"/>
      <c r="I1798" s="916"/>
      <c r="J1798" s="916"/>
      <c r="K1798" s="917"/>
      <c r="L1798" s="917"/>
      <c r="M1798" s="917"/>
      <c r="N1798" s="917"/>
      <c r="O1798" s="917"/>
      <c r="P1798" s="917"/>
      <c r="Q1798" s="578"/>
      <c r="R1798" s="578"/>
      <c r="S1798" s="578"/>
      <c r="T1798" s="578"/>
      <c r="U1798" s="578"/>
      <c r="V1798" s="578"/>
      <c r="W1798" s="578"/>
      <c r="X1798" s="578"/>
      <c r="Y1798" s="578"/>
      <c r="Z1798" s="578"/>
    </row>
    <row r="1799" spans="1:26" ht="18.75">
      <c r="A1799" s="682"/>
      <c r="B1799" s="682"/>
      <c r="C1799" s="682"/>
      <c r="D1799" s="914"/>
      <c r="E1799" s="682"/>
      <c r="F1799" s="682"/>
      <c r="G1799" s="682"/>
      <c r="H1799" s="915"/>
      <c r="I1799" s="916"/>
      <c r="J1799" s="916"/>
      <c r="K1799" s="917"/>
      <c r="L1799" s="917"/>
      <c r="M1799" s="917"/>
      <c r="N1799" s="917"/>
      <c r="O1799" s="917"/>
      <c r="P1799" s="917"/>
      <c r="Q1799" s="578"/>
      <c r="R1799" s="578"/>
      <c r="S1799" s="578"/>
      <c r="T1799" s="578"/>
      <c r="U1799" s="578"/>
      <c r="V1799" s="578"/>
      <c r="W1799" s="578"/>
      <c r="X1799" s="578"/>
      <c r="Y1799" s="578"/>
      <c r="Z1799" s="578"/>
    </row>
    <row r="1800" spans="1:26" ht="18.75">
      <c r="A1800" s="682"/>
      <c r="B1800" s="682"/>
      <c r="C1800" s="682"/>
      <c r="D1800" s="914"/>
      <c r="E1800" s="682"/>
      <c r="F1800" s="682"/>
      <c r="G1800" s="682"/>
      <c r="H1800" s="915"/>
      <c r="I1800" s="916"/>
      <c r="J1800" s="916"/>
      <c r="K1800" s="917"/>
      <c r="L1800" s="917"/>
      <c r="M1800" s="917"/>
      <c r="N1800" s="917"/>
      <c r="O1800" s="917"/>
      <c r="P1800" s="917"/>
      <c r="Q1800" s="578"/>
      <c r="R1800" s="578"/>
      <c r="S1800" s="578"/>
      <c r="T1800" s="578"/>
      <c r="U1800" s="578"/>
      <c r="V1800" s="578"/>
      <c r="W1800" s="578"/>
      <c r="X1800" s="578"/>
      <c r="Y1800" s="578"/>
      <c r="Z1800" s="578"/>
    </row>
    <row r="1801" spans="1:26" ht="18.75">
      <c r="A1801" s="682"/>
      <c r="B1801" s="682"/>
      <c r="C1801" s="682"/>
      <c r="D1801" s="914"/>
      <c r="E1801" s="682"/>
      <c r="F1801" s="682"/>
      <c r="G1801" s="682"/>
      <c r="H1801" s="915"/>
      <c r="I1801" s="916"/>
      <c r="J1801" s="916"/>
      <c r="K1801" s="917"/>
      <c r="L1801" s="917"/>
      <c r="M1801" s="917"/>
      <c r="N1801" s="917"/>
      <c r="O1801" s="917"/>
      <c r="P1801" s="917"/>
      <c r="Q1801" s="578"/>
      <c r="R1801" s="578"/>
      <c r="S1801" s="578"/>
      <c r="T1801" s="578"/>
      <c r="U1801" s="578"/>
      <c r="V1801" s="578"/>
      <c r="W1801" s="578"/>
      <c r="X1801" s="578"/>
      <c r="Y1801" s="578"/>
      <c r="Z1801" s="578"/>
    </row>
    <row r="1802" spans="1:26" ht="18.75">
      <c r="A1802" s="682"/>
      <c r="B1802" s="682"/>
      <c r="C1802" s="682"/>
      <c r="D1802" s="914"/>
      <c r="E1802" s="682"/>
      <c r="F1802" s="682"/>
      <c r="G1802" s="682"/>
      <c r="H1802" s="915"/>
      <c r="I1802" s="916"/>
      <c r="J1802" s="916"/>
      <c r="K1802" s="917"/>
      <c r="L1802" s="917"/>
      <c r="M1802" s="917"/>
      <c r="N1802" s="917"/>
      <c r="O1802" s="917"/>
      <c r="P1802" s="917"/>
      <c r="Q1802" s="578"/>
      <c r="R1802" s="578"/>
      <c r="S1802" s="578"/>
      <c r="T1802" s="578"/>
      <c r="U1802" s="578"/>
      <c r="V1802" s="578"/>
      <c r="W1802" s="578"/>
      <c r="X1802" s="578"/>
      <c r="Y1802" s="578"/>
      <c r="Z1802" s="578"/>
    </row>
    <row r="1803" spans="1:26" ht="18.75">
      <c r="A1803" s="682"/>
      <c r="B1803" s="682"/>
      <c r="C1803" s="682"/>
      <c r="D1803" s="914"/>
      <c r="E1803" s="682"/>
      <c r="F1803" s="682"/>
      <c r="G1803" s="682"/>
      <c r="H1803" s="915"/>
      <c r="I1803" s="916"/>
      <c r="J1803" s="916"/>
      <c r="K1803" s="917"/>
      <c r="L1803" s="917"/>
      <c r="M1803" s="917"/>
      <c r="N1803" s="917"/>
      <c r="O1803" s="917"/>
      <c r="P1803" s="917"/>
      <c r="Q1803" s="578"/>
      <c r="R1803" s="578"/>
      <c r="S1803" s="578"/>
      <c r="T1803" s="578"/>
      <c r="U1803" s="578"/>
      <c r="V1803" s="578"/>
      <c r="W1803" s="578"/>
      <c r="X1803" s="578"/>
      <c r="Y1803" s="578"/>
      <c r="Z1803" s="578"/>
    </row>
    <row r="1804" spans="1:26" ht="18.75">
      <c r="A1804" s="682"/>
      <c r="B1804" s="682"/>
      <c r="C1804" s="682"/>
      <c r="D1804" s="914"/>
      <c r="E1804" s="682"/>
      <c r="F1804" s="682"/>
      <c r="G1804" s="682"/>
      <c r="H1804" s="915"/>
      <c r="I1804" s="916"/>
      <c r="J1804" s="916"/>
      <c r="K1804" s="917"/>
      <c r="L1804" s="917"/>
      <c r="M1804" s="917"/>
      <c r="N1804" s="917"/>
      <c r="O1804" s="917"/>
      <c r="P1804" s="917"/>
      <c r="Q1804" s="578"/>
      <c r="R1804" s="578"/>
      <c r="S1804" s="578"/>
      <c r="T1804" s="578"/>
      <c r="U1804" s="578"/>
      <c r="V1804" s="578"/>
      <c r="W1804" s="578"/>
      <c r="X1804" s="578"/>
      <c r="Y1804" s="578"/>
      <c r="Z1804" s="578"/>
    </row>
    <row r="1805" spans="1:26" ht="18.75">
      <c r="A1805" s="682"/>
      <c r="B1805" s="682"/>
      <c r="C1805" s="682"/>
      <c r="D1805" s="914"/>
      <c r="E1805" s="682"/>
      <c r="F1805" s="682"/>
      <c r="G1805" s="682"/>
      <c r="H1805" s="915"/>
      <c r="I1805" s="916"/>
      <c r="J1805" s="916"/>
      <c r="K1805" s="917"/>
      <c r="L1805" s="917"/>
      <c r="M1805" s="917"/>
      <c r="N1805" s="917"/>
      <c r="O1805" s="917"/>
      <c r="P1805" s="917"/>
      <c r="Q1805" s="578"/>
      <c r="R1805" s="578"/>
      <c r="S1805" s="578"/>
      <c r="T1805" s="578"/>
      <c r="U1805" s="578"/>
      <c r="V1805" s="578"/>
      <c r="W1805" s="578"/>
      <c r="X1805" s="578"/>
      <c r="Y1805" s="578"/>
      <c r="Z1805" s="578"/>
    </row>
    <row r="1806" spans="1:26" ht="18.75">
      <c r="A1806" s="682"/>
      <c r="B1806" s="682"/>
      <c r="C1806" s="682"/>
      <c r="D1806" s="914"/>
      <c r="E1806" s="682"/>
      <c r="F1806" s="682"/>
      <c r="G1806" s="682"/>
      <c r="H1806" s="915"/>
      <c r="I1806" s="916"/>
      <c r="J1806" s="916"/>
      <c r="K1806" s="917"/>
      <c r="L1806" s="917"/>
      <c r="M1806" s="917"/>
      <c r="N1806" s="917"/>
      <c r="O1806" s="917"/>
      <c r="P1806" s="917"/>
      <c r="Q1806" s="578"/>
      <c r="R1806" s="578"/>
      <c r="S1806" s="578"/>
      <c r="T1806" s="578"/>
      <c r="U1806" s="578"/>
      <c r="V1806" s="578"/>
      <c r="W1806" s="578"/>
      <c r="X1806" s="578"/>
      <c r="Y1806" s="578"/>
      <c r="Z1806" s="578"/>
    </row>
    <row r="1807" spans="1:26" ht="18.75">
      <c r="A1807" s="682"/>
      <c r="B1807" s="682"/>
      <c r="C1807" s="682"/>
      <c r="D1807" s="914"/>
      <c r="E1807" s="682"/>
      <c r="F1807" s="682"/>
      <c r="G1807" s="682"/>
      <c r="H1807" s="915"/>
      <c r="I1807" s="916"/>
      <c r="J1807" s="916"/>
      <c r="K1807" s="917"/>
      <c r="L1807" s="917"/>
      <c r="M1807" s="917"/>
      <c r="N1807" s="917"/>
      <c r="O1807" s="917"/>
      <c r="P1807" s="917"/>
      <c r="Q1807" s="578"/>
      <c r="R1807" s="578"/>
      <c r="S1807" s="578"/>
      <c r="T1807" s="578"/>
      <c r="U1807" s="578"/>
      <c r="V1807" s="578"/>
      <c r="W1807" s="578"/>
      <c r="X1807" s="578"/>
      <c r="Y1807" s="578"/>
      <c r="Z1807" s="578"/>
    </row>
    <row r="1808" spans="1:26" ht="18.75">
      <c r="A1808" s="682"/>
      <c r="B1808" s="682"/>
      <c r="C1808" s="682"/>
      <c r="D1808" s="914"/>
      <c r="E1808" s="682"/>
      <c r="F1808" s="682"/>
      <c r="G1808" s="682"/>
      <c r="H1808" s="915"/>
      <c r="I1808" s="916"/>
      <c r="J1808" s="916"/>
      <c r="K1808" s="917"/>
      <c r="L1808" s="917"/>
      <c r="M1808" s="917"/>
      <c r="N1808" s="917"/>
      <c r="O1808" s="917"/>
      <c r="P1808" s="917"/>
      <c r="Q1808" s="578"/>
      <c r="R1808" s="578"/>
      <c r="S1808" s="578"/>
      <c r="T1808" s="578"/>
      <c r="U1808" s="578"/>
      <c r="V1808" s="578"/>
      <c r="W1808" s="578"/>
      <c r="X1808" s="578"/>
      <c r="Y1808" s="578"/>
      <c r="Z1808" s="578"/>
    </row>
    <row r="1809" spans="1:26" ht="18.75">
      <c r="A1809" s="682"/>
      <c r="B1809" s="682"/>
      <c r="C1809" s="682"/>
      <c r="D1809" s="914"/>
      <c r="E1809" s="682"/>
      <c r="F1809" s="682"/>
      <c r="G1809" s="682"/>
      <c r="H1809" s="915"/>
      <c r="I1809" s="916"/>
      <c r="J1809" s="916"/>
      <c r="K1809" s="917"/>
      <c r="L1809" s="917"/>
      <c r="M1809" s="917"/>
      <c r="N1809" s="917"/>
      <c r="O1809" s="917"/>
      <c r="P1809" s="917"/>
      <c r="Q1809" s="578"/>
      <c r="R1809" s="578"/>
      <c r="S1809" s="578"/>
      <c r="T1809" s="578"/>
      <c r="U1809" s="578"/>
      <c r="V1809" s="578"/>
      <c r="W1809" s="578"/>
      <c r="X1809" s="578"/>
      <c r="Y1809" s="578"/>
      <c r="Z1809" s="578"/>
    </row>
    <row r="1810" spans="1:26" ht="18.75">
      <c r="A1810" s="682"/>
      <c r="B1810" s="682"/>
      <c r="C1810" s="682"/>
      <c r="D1810" s="914"/>
      <c r="E1810" s="682"/>
      <c r="F1810" s="682"/>
      <c r="G1810" s="682"/>
      <c r="H1810" s="915"/>
      <c r="I1810" s="916"/>
      <c r="J1810" s="916"/>
      <c r="K1810" s="917"/>
      <c r="L1810" s="917"/>
      <c r="M1810" s="917"/>
      <c r="N1810" s="917"/>
      <c r="O1810" s="917"/>
      <c r="P1810" s="917"/>
      <c r="Q1810" s="578"/>
      <c r="R1810" s="578"/>
      <c r="S1810" s="578"/>
      <c r="T1810" s="578"/>
      <c r="U1810" s="578"/>
      <c r="V1810" s="578"/>
      <c r="W1810" s="578"/>
      <c r="X1810" s="578"/>
      <c r="Y1810" s="578"/>
      <c r="Z1810" s="578"/>
    </row>
    <row r="1811" spans="1:26" ht="18.75">
      <c r="A1811" s="682"/>
      <c r="B1811" s="682"/>
      <c r="C1811" s="682"/>
      <c r="D1811" s="914"/>
      <c r="E1811" s="682"/>
      <c r="F1811" s="682"/>
      <c r="G1811" s="682"/>
      <c r="H1811" s="915"/>
      <c r="I1811" s="916"/>
      <c r="J1811" s="916"/>
      <c r="K1811" s="917"/>
      <c r="L1811" s="917"/>
      <c r="M1811" s="917"/>
      <c r="N1811" s="917"/>
      <c r="O1811" s="917"/>
      <c r="P1811" s="917"/>
      <c r="Q1811" s="578"/>
      <c r="R1811" s="578"/>
      <c r="S1811" s="578"/>
      <c r="T1811" s="578"/>
      <c r="U1811" s="578"/>
      <c r="V1811" s="578"/>
      <c r="W1811" s="578"/>
      <c r="X1811" s="578"/>
      <c r="Y1811" s="578"/>
      <c r="Z1811" s="578"/>
    </row>
    <row r="1812" spans="1:26" ht="18.75">
      <c r="A1812" s="682"/>
      <c r="B1812" s="682"/>
      <c r="C1812" s="682"/>
      <c r="D1812" s="914"/>
      <c r="E1812" s="682"/>
      <c r="F1812" s="682"/>
      <c r="G1812" s="682"/>
      <c r="H1812" s="915"/>
      <c r="I1812" s="916"/>
      <c r="J1812" s="916"/>
      <c r="K1812" s="917"/>
      <c r="L1812" s="917"/>
      <c r="M1812" s="917"/>
      <c r="N1812" s="917"/>
      <c r="O1812" s="917"/>
      <c r="P1812" s="917"/>
      <c r="Q1812" s="578"/>
      <c r="R1812" s="578"/>
      <c r="S1812" s="578"/>
      <c r="T1812" s="578"/>
      <c r="U1812" s="578"/>
      <c r="V1812" s="578"/>
      <c r="W1812" s="578"/>
      <c r="X1812" s="578"/>
      <c r="Y1812" s="578"/>
      <c r="Z1812" s="578"/>
    </row>
    <row r="1813" spans="1:26" ht="18.75">
      <c r="A1813" s="682"/>
      <c r="B1813" s="682"/>
      <c r="C1813" s="682"/>
      <c r="D1813" s="914"/>
      <c r="E1813" s="682"/>
      <c r="F1813" s="682"/>
      <c r="G1813" s="682"/>
      <c r="H1813" s="915"/>
      <c r="I1813" s="916"/>
      <c r="J1813" s="916"/>
      <c r="K1813" s="917"/>
      <c r="L1813" s="917"/>
      <c r="M1813" s="917"/>
      <c r="N1813" s="917"/>
      <c r="O1813" s="917"/>
      <c r="P1813" s="917"/>
      <c r="Q1813" s="578"/>
      <c r="R1813" s="578"/>
      <c r="S1813" s="578"/>
      <c r="T1813" s="578"/>
      <c r="U1813" s="578"/>
      <c r="V1813" s="578"/>
      <c r="W1813" s="578"/>
      <c r="X1813" s="578"/>
      <c r="Y1813" s="578"/>
      <c r="Z1813" s="578"/>
    </row>
    <row r="1814" spans="1:26" ht="18.75">
      <c r="A1814" s="682"/>
      <c r="B1814" s="682"/>
      <c r="C1814" s="682"/>
      <c r="D1814" s="914"/>
      <c r="E1814" s="682"/>
      <c r="F1814" s="682"/>
      <c r="G1814" s="682"/>
      <c r="H1814" s="915"/>
      <c r="I1814" s="916"/>
      <c r="J1814" s="916"/>
      <c r="K1814" s="917"/>
      <c r="L1814" s="917"/>
      <c r="M1814" s="917"/>
      <c r="N1814" s="917"/>
      <c r="O1814" s="917"/>
      <c r="P1814" s="917"/>
      <c r="Q1814" s="578"/>
      <c r="R1814" s="578"/>
      <c r="S1814" s="578"/>
      <c r="T1814" s="578"/>
      <c r="U1814" s="578"/>
      <c r="V1814" s="578"/>
      <c r="W1814" s="578"/>
      <c r="X1814" s="578"/>
      <c r="Y1814" s="578"/>
      <c r="Z1814" s="578"/>
    </row>
    <row r="1815" spans="1:26" ht="18.75">
      <c r="A1815" s="682"/>
      <c r="B1815" s="682"/>
      <c r="C1815" s="682"/>
      <c r="D1815" s="914"/>
      <c r="E1815" s="682"/>
      <c r="F1815" s="682"/>
      <c r="G1815" s="682"/>
      <c r="H1815" s="915"/>
      <c r="I1815" s="916"/>
      <c r="J1815" s="916"/>
      <c r="K1815" s="917"/>
      <c r="L1815" s="917"/>
      <c r="M1815" s="917"/>
      <c r="N1815" s="917"/>
      <c r="O1815" s="917"/>
      <c r="P1815" s="917"/>
      <c r="Q1815" s="578"/>
      <c r="R1815" s="578"/>
      <c r="S1815" s="578"/>
      <c r="T1815" s="578"/>
      <c r="U1815" s="578"/>
      <c r="V1815" s="578"/>
      <c r="W1815" s="578"/>
      <c r="X1815" s="578"/>
      <c r="Y1815" s="578"/>
      <c r="Z1815" s="578"/>
    </row>
    <row r="1816" spans="1:26" ht="18.75">
      <c r="A1816" s="682"/>
      <c r="B1816" s="682"/>
      <c r="C1816" s="682"/>
      <c r="D1816" s="914"/>
      <c r="E1816" s="682"/>
      <c r="F1816" s="682"/>
      <c r="G1816" s="682"/>
      <c r="H1816" s="915"/>
      <c r="I1816" s="916"/>
      <c r="J1816" s="916"/>
      <c r="K1816" s="917"/>
      <c r="L1816" s="917"/>
      <c r="M1816" s="917"/>
      <c r="N1816" s="917"/>
      <c r="O1816" s="917"/>
      <c r="P1816" s="917"/>
      <c r="Q1816" s="578"/>
      <c r="R1816" s="578"/>
      <c r="S1816" s="578"/>
      <c r="T1816" s="578"/>
      <c r="U1816" s="578"/>
      <c r="V1816" s="578"/>
      <c r="W1816" s="578"/>
      <c r="X1816" s="578"/>
      <c r="Y1816" s="578"/>
      <c r="Z1816" s="578"/>
    </row>
    <row r="1817" spans="1:26" ht="18.75">
      <c r="A1817" s="682"/>
      <c r="B1817" s="682"/>
      <c r="C1817" s="682"/>
      <c r="D1817" s="914"/>
      <c r="E1817" s="682"/>
      <c r="F1817" s="682"/>
      <c r="G1817" s="682"/>
      <c r="H1817" s="915"/>
      <c r="I1817" s="916"/>
      <c r="J1817" s="916"/>
      <c r="K1817" s="917"/>
      <c r="L1817" s="917"/>
      <c r="M1817" s="917"/>
      <c r="N1817" s="917"/>
      <c r="O1817" s="917"/>
      <c r="P1817" s="917"/>
      <c r="Q1817" s="578"/>
      <c r="R1817" s="578"/>
      <c r="S1817" s="578"/>
      <c r="T1817" s="578"/>
      <c r="U1817" s="578"/>
      <c r="V1817" s="578"/>
      <c r="W1817" s="578"/>
      <c r="X1817" s="578"/>
      <c r="Y1817" s="578"/>
      <c r="Z1817" s="578"/>
    </row>
    <row r="1818" spans="1:26" ht="18.75">
      <c r="A1818" s="682"/>
      <c r="B1818" s="682"/>
      <c r="C1818" s="682"/>
      <c r="D1818" s="914"/>
      <c r="E1818" s="682"/>
      <c r="F1818" s="682"/>
      <c r="G1818" s="682"/>
      <c r="H1818" s="915"/>
      <c r="I1818" s="916"/>
      <c r="J1818" s="916"/>
      <c r="K1818" s="917"/>
      <c r="L1818" s="917"/>
      <c r="M1818" s="917"/>
      <c r="N1818" s="917"/>
      <c r="O1818" s="917"/>
      <c r="P1818" s="917"/>
      <c r="Q1818" s="578"/>
      <c r="R1818" s="578"/>
      <c r="S1818" s="578"/>
      <c r="T1818" s="578"/>
      <c r="U1818" s="578"/>
      <c r="V1818" s="578"/>
      <c r="W1818" s="578"/>
      <c r="X1818" s="578"/>
      <c r="Y1818" s="578"/>
      <c r="Z1818" s="578"/>
    </row>
    <row r="1819" spans="1:26" ht="18.75">
      <c r="A1819" s="682"/>
      <c r="B1819" s="682"/>
      <c r="C1819" s="682"/>
      <c r="D1819" s="914"/>
      <c r="E1819" s="682"/>
      <c r="F1819" s="682"/>
      <c r="G1819" s="682"/>
      <c r="H1819" s="915"/>
      <c r="I1819" s="916"/>
      <c r="J1819" s="916"/>
      <c r="K1819" s="917"/>
      <c r="L1819" s="917"/>
      <c r="M1819" s="917"/>
      <c r="N1819" s="917"/>
      <c r="O1819" s="917"/>
      <c r="P1819" s="917"/>
      <c r="Q1819" s="578"/>
      <c r="R1819" s="578"/>
      <c r="S1819" s="578"/>
      <c r="T1819" s="578"/>
      <c r="U1819" s="578"/>
      <c r="V1819" s="578"/>
      <c r="W1819" s="578"/>
      <c r="X1819" s="578"/>
      <c r="Y1819" s="578"/>
      <c r="Z1819" s="578"/>
    </row>
    <row r="1820" spans="1:26" ht="18.75">
      <c r="A1820" s="682"/>
      <c r="B1820" s="682"/>
      <c r="C1820" s="682"/>
      <c r="D1820" s="914"/>
      <c r="E1820" s="682"/>
      <c r="F1820" s="682"/>
      <c r="G1820" s="682"/>
      <c r="H1820" s="915"/>
      <c r="I1820" s="916"/>
      <c r="J1820" s="916"/>
      <c r="K1820" s="917"/>
      <c r="L1820" s="917"/>
      <c r="M1820" s="917"/>
      <c r="N1820" s="917"/>
      <c r="O1820" s="917"/>
      <c r="P1820" s="917"/>
      <c r="Q1820" s="578"/>
      <c r="R1820" s="578"/>
      <c r="S1820" s="578"/>
      <c r="T1820" s="578"/>
      <c r="U1820" s="578"/>
      <c r="V1820" s="578"/>
      <c r="W1820" s="578"/>
      <c r="X1820" s="578"/>
      <c r="Y1820" s="578"/>
      <c r="Z1820" s="578"/>
    </row>
    <row r="1821" spans="1:26" ht="18.75">
      <c r="A1821" s="682"/>
      <c r="B1821" s="682"/>
      <c r="C1821" s="682"/>
      <c r="D1821" s="914"/>
      <c r="E1821" s="682"/>
      <c r="F1821" s="682"/>
      <c r="G1821" s="682"/>
      <c r="H1821" s="915"/>
      <c r="I1821" s="916"/>
      <c r="J1821" s="916"/>
      <c r="K1821" s="917"/>
      <c r="L1821" s="917"/>
      <c r="M1821" s="917"/>
      <c r="N1821" s="917"/>
      <c r="O1821" s="917"/>
      <c r="P1821" s="917"/>
      <c r="Q1821" s="578"/>
      <c r="R1821" s="578"/>
      <c r="S1821" s="578"/>
      <c r="T1821" s="578"/>
      <c r="U1821" s="578"/>
      <c r="V1821" s="578"/>
      <c r="W1821" s="578"/>
      <c r="X1821" s="578"/>
      <c r="Y1821" s="578"/>
      <c r="Z1821" s="578"/>
    </row>
    <row r="1822" spans="1:26" ht="18.75">
      <c r="A1822" s="682"/>
      <c r="B1822" s="682"/>
      <c r="C1822" s="682"/>
      <c r="D1822" s="914"/>
      <c r="E1822" s="682"/>
      <c r="F1822" s="682"/>
      <c r="G1822" s="682"/>
      <c r="H1822" s="915"/>
      <c r="I1822" s="916"/>
      <c r="J1822" s="916"/>
      <c r="K1822" s="917"/>
      <c r="L1822" s="917"/>
      <c r="M1822" s="917"/>
      <c r="N1822" s="917"/>
      <c r="O1822" s="917"/>
      <c r="P1822" s="917"/>
      <c r="Q1822" s="578"/>
      <c r="R1822" s="578"/>
      <c r="S1822" s="578"/>
      <c r="T1822" s="578"/>
      <c r="U1822" s="578"/>
      <c r="V1822" s="578"/>
      <c r="W1822" s="578"/>
      <c r="X1822" s="578"/>
      <c r="Y1822" s="578"/>
      <c r="Z1822" s="57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F196A-FFBB-45C6-A049-5BD9045ED5A3}">
  <sheetPr>
    <outlinePr summaryBelow="0" summaryRight="0"/>
    <pageSetUpPr fitToPage="1"/>
  </sheetPr>
  <dimension ref="A1:Z828"/>
  <sheetViews>
    <sheetView view="pageBreakPreview" topLeftCell="C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2" width="21.28515625" bestFit="1" customWidth="1"/>
    <col min="13" max="14" width="23" bestFit="1" customWidth="1"/>
    <col min="15" max="15" width="20.140625" bestFit="1" customWidth="1"/>
    <col min="16" max="16" width="22" bestFit="1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360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364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9944032</v>
      </c>
      <c r="M8" s="22">
        <f t="shared" ca="1" si="0"/>
        <v>10846824.950000001</v>
      </c>
      <c r="N8" s="22">
        <f t="shared" ca="1" si="0"/>
        <v>10846824.949999999</v>
      </c>
      <c r="O8" s="22">
        <f t="shared" ref="O8:O16" ca="1" si="1">IF(L8&gt;0,N8*100/L8,0)</f>
        <v>109.07874139986677</v>
      </c>
      <c r="P8" s="22">
        <f t="shared" ref="P8:P16" ca="1" si="2">IF(M8&gt;0,N8*100/M8,0)</f>
        <v>99.999999999999986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9944032</v>
      </c>
      <c r="M10" s="30">
        <f t="shared" ca="1" si="3"/>
        <v>10846824.950000001</v>
      </c>
      <c r="N10" s="30">
        <f t="shared" ca="1" si="3"/>
        <v>10846824.949999999</v>
      </c>
      <c r="O10" s="30">
        <f t="shared" ca="1" si="1"/>
        <v>109.07874139986677</v>
      </c>
      <c r="P10" s="30">
        <f t="shared" ca="1" si="2"/>
        <v>99.999999999999986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3" t="s">
        <v>12</v>
      </c>
      <c r="I11" s="270"/>
      <c r="J11" s="270"/>
      <c r="K11" s="498"/>
      <c r="L11" s="498">
        <f t="shared" ref="L11:N11" ca="1" si="4">L12+L13</f>
        <v>9770632</v>
      </c>
      <c r="M11" s="498">
        <f t="shared" ca="1" si="4"/>
        <v>10657634.950000001</v>
      </c>
      <c r="N11" s="498">
        <f t="shared" ca="1" si="4"/>
        <v>10657634.949999999</v>
      </c>
      <c r="O11" s="498">
        <f t="shared" ca="1" si="1"/>
        <v>109.07825563382183</v>
      </c>
      <c r="P11" s="498">
        <f t="shared" ca="1" si="2"/>
        <v>99.999999999999972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7"/>
      <c r="J12" s="617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7"/>
      <c r="J13" s="617"/>
      <c r="K13" s="93"/>
      <c r="L13" s="93">
        <f t="shared" ca="1" si="5"/>
        <v>9770632</v>
      </c>
      <c r="M13" s="93">
        <f t="shared" ca="1" si="5"/>
        <v>10657634.950000001</v>
      </c>
      <c r="N13" s="93">
        <f t="shared" ca="1" si="5"/>
        <v>10657634.949999999</v>
      </c>
      <c r="O13" s="93">
        <f t="shared" ca="1" si="1"/>
        <v>109.07825563382183</v>
      </c>
      <c r="P13" s="93">
        <f t="shared" ca="1" si="2"/>
        <v>99.999999999999972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3" t="s">
        <v>12</v>
      </c>
      <c r="I14" s="270"/>
      <c r="J14" s="270"/>
      <c r="K14" s="498"/>
      <c r="L14" s="498">
        <f t="shared" ref="L14:N14" ca="1" si="6">L15+L16</f>
        <v>173400</v>
      </c>
      <c r="M14" s="498">
        <f t="shared" ca="1" si="6"/>
        <v>189190</v>
      </c>
      <c r="N14" s="498">
        <f t="shared" ca="1" si="6"/>
        <v>189190</v>
      </c>
      <c r="O14" s="498">
        <f t="shared" ca="1" si="1"/>
        <v>109.10611303344868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7"/>
      <c r="J15" s="617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173400</v>
      </c>
      <c r="M16" s="52">
        <f t="shared" ca="1" si="7"/>
        <v>189190</v>
      </c>
      <c r="N16" s="52">
        <f t="shared" ca="1" si="7"/>
        <v>189190</v>
      </c>
      <c r="O16" s="52">
        <f t="shared" ca="1" si="1"/>
        <v>109.10611303344868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5968467</v>
      </c>
      <c r="M18" s="22">
        <f t="shared" ca="1" si="8"/>
        <v>6675995.4500000002</v>
      </c>
      <c r="N18" s="22">
        <f t="shared" ca="1" si="8"/>
        <v>6675995.4500000002</v>
      </c>
      <c r="O18" s="22">
        <f t="shared" ref="O18:O26" ca="1" si="9">IF(L18&gt;0,N18*100/L18,0)</f>
        <v>111.85444185248909</v>
      </c>
      <c r="P18" s="22">
        <f t="shared" ref="P18:P26" ca="1" si="10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5968467</v>
      </c>
      <c r="M20" s="30">
        <f t="shared" ca="1" si="11"/>
        <v>6675995.4500000002</v>
      </c>
      <c r="N20" s="30">
        <f t="shared" ca="1" si="11"/>
        <v>6675995.4500000002</v>
      </c>
      <c r="O20" s="30">
        <f t="shared" ca="1" si="9"/>
        <v>111.85444185248909</v>
      </c>
      <c r="P20" s="30">
        <f t="shared" ca="1" si="10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3" t="s">
        <v>12</v>
      </c>
      <c r="I21" s="270"/>
      <c r="J21" s="270"/>
      <c r="K21" s="498"/>
      <c r="L21" s="498">
        <f t="shared" ref="L21:N21" ca="1" si="12">L22+L23</f>
        <v>5795067</v>
      </c>
      <c r="M21" s="498">
        <f t="shared" ca="1" si="12"/>
        <v>6486805.4500000002</v>
      </c>
      <c r="N21" s="498">
        <f t="shared" ca="1" si="12"/>
        <v>6486805.4500000002</v>
      </c>
      <c r="O21" s="498">
        <f t="shared" ca="1" si="9"/>
        <v>111.93667734989086</v>
      </c>
      <c r="P21" s="498">
        <f t="shared" ca="1" si="10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7"/>
      <c r="J22" s="617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7"/>
      <c r="J23" s="617"/>
      <c r="K23" s="93"/>
      <c r="L23" s="93">
        <f t="shared" ca="1" si="13"/>
        <v>5795067</v>
      </c>
      <c r="M23" s="93">
        <f t="shared" ca="1" si="13"/>
        <v>6486805.4500000002</v>
      </c>
      <c r="N23" s="93">
        <f t="shared" ca="1" si="13"/>
        <v>6486805.4500000002</v>
      </c>
      <c r="O23" s="93">
        <f t="shared" ca="1" si="9"/>
        <v>111.93667734989086</v>
      </c>
      <c r="P23" s="93">
        <f t="shared" ca="1" si="10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3" t="s">
        <v>12</v>
      </c>
      <c r="I24" s="270"/>
      <c r="J24" s="270"/>
      <c r="K24" s="498"/>
      <c r="L24" s="498">
        <f t="shared" ref="L24:N24" ca="1" si="14">L25+L26</f>
        <v>173400</v>
      </c>
      <c r="M24" s="498">
        <f t="shared" ca="1" si="14"/>
        <v>189190</v>
      </c>
      <c r="N24" s="498">
        <f t="shared" ca="1" si="14"/>
        <v>189190</v>
      </c>
      <c r="O24" s="498">
        <f t="shared" ca="1" si="9"/>
        <v>109.10611303344868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7"/>
      <c r="J25" s="617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173400</v>
      </c>
      <c r="M26" s="52">
        <f t="shared" ca="1" si="15"/>
        <v>189190</v>
      </c>
      <c r="N26" s="52">
        <f t="shared" ca="1" si="15"/>
        <v>189190</v>
      </c>
      <c r="O26" s="52">
        <f t="shared" ca="1" si="9"/>
        <v>109.10611303344868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3975565</v>
      </c>
      <c r="M28" s="22">
        <f t="shared" ca="1" si="16"/>
        <v>4170829.5000000005</v>
      </c>
      <c r="N28" s="22">
        <f t="shared" si="16"/>
        <v>4170829.5</v>
      </c>
      <c r="O28" s="22">
        <f t="shared" ref="O28:O37" ca="1" si="17">IF(L28&gt;0,N28*100/L28,0)</f>
        <v>104.91161633629434</v>
      </c>
      <c r="P28" s="22">
        <f t="shared" ref="P28:P37" ca="1" si="18">IF(M28&gt;0,N28*100/M28,0)</f>
        <v>99.999999999999986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3975565</v>
      </c>
      <c r="M30" s="30">
        <f t="shared" ca="1" si="19"/>
        <v>4170829.5000000005</v>
      </c>
      <c r="N30" s="30">
        <f t="shared" si="19"/>
        <v>4170829.5</v>
      </c>
      <c r="O30" s="30">
        <f t="shared" ca="1" si="17"/>
        <v>104.91161633629434</v>
      </c>
      <c r="P30" s="30">
        <f t="shared" ca="1" si="18"/>
        <v>99.999999999999986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3" t="s">
        <v>12</v>
      </c>
      <c r="I31" s="270"/>
      <c r="J31" s="270"/>
      <c r="K31" s="498"/>
      <c r="L31" s="498">
        <f t="shared" ref="L31:N31" ca="1" si="20">L32+L33</f>
        <v>3975565</v>
      </c>
      <c r="M31" s="498">
        <f t="shared" ca="1" si="20"/>
        <v>4170829.5000000005</v>
      </c>
      <c r="N31" s="498">
        <f t="shared" si="20"/>
        <v>4170829.5</v>
      </c>
      <c r="O31" s="498">
        <f t="shared" ca="1" si="17"/>
        <v>104.91161633629434</v>
      </c>
      <c r="P31" s="498">
        <f t="shared" ca="1" si="18"/>
        <v>99.999999999999986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7"/>
      <c r="J32" s="617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7"/>
      <c r="J33" s="617"/>
      <c r="K33" s="93"/>
      <c r="L33" s="93">
        <f t="shared" ca="1" si="21"/>
        <v>3975565</v>
      </c>
      <c r="M33" s="93">
        <f t="shared" ca="1" si="21"/>
        <v>4170829.5000000005</v>
      </c>
      <c r="N33" s="93">
        <f t="shared" si="21"/>
        <v>4170829.5</v>
      </c>
      <c r="O33" s="93">
        <f t="shared" ca="1" si="17"/>
        <v>104.91161633629434</v>
      </c>
      <c r="P33" s="93">
        <f t="shared" ca="1" si="18"/>
        <v>99.999999999999986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3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7"/>
      <c r="J35" s="617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7" t="s">
        <v>24</v>
      </c>
      <c r="B37" s="868"/>
      <c r="C37" s="868"/>
      <c r="D37" s="868"/>
      <c r="E37" s="868"/>
      <c r="F37" s="868"/>
      <c r="G37" s="869"/>
      <c r="H37" s="870"/>
      <c r="I37" s="871"/>
      <c r="J37" s="871"/>
      <c r="K37" s="872"/>
      <c r="L37" s="873">
        <f t="shared" ref="L37:N37" ca="1" si="24">L41+L53+L66+L88+L119+L132+L149+L165+L181+L261+L277+L298+L315+L328+L345+L389+L402</f>
        <v>5968467</v>
      </c>
      <c r="M37" s="873">
        <f t="shared" ca="1" si="24"/>
        <v>6675995.4500000002</v>
      </c>
      <c r="N37" s="873">
        <f t="shared" ca="1" si="24"/>
        <v>6675995.4500000002</v>
      </c>
      <c r="O37" s="873">
        <f t="shared" ca="1" si="17"/>
        <v>111.85444185248909</v>
      </c>
      <c r="P37" s="873">
        <f t="shared" ca="1" si="18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690742</v>
      </c>
      <c r="M41" s="85">
        <f t="shared" ca="1" si="25"/>
        <v>827512</v>
      </c>
      <c r="N41" s="85">
        <f t="shared" ca="1" si="25"/>
        <v>827512</v>
      </c>
      <c r="O41" s="85">
        <f t="shared" ref="O41:O49" ca="1" si="26">IF(L41&gt;0,N41*100/L41,0)</f>
        <v>119.80044647639784</v>
      </c>
      <c r="P41" s="85">
        <f t="shared" ref="P41:P49" ca="1" si="27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690742</v>
      </c>
      <c r="M43" s="92">
        <f t="shared" ca="1" si="28"/>
        <v>827512</v>
      </c>
      <c r="N43" s="92">
        <f t="shared" ca="1" si="28"/>
        <v>827512</v>
      </c>
      <c r="O43" s="92">
        <f t="shared" ca="1" si="26"/>
        <v>119.80044647639784</v>
      </c>
      <c r="P43" s="92">
        <f t="shared" ca="1" si="27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3" t="s">
        <v>12</v>
      </c>
      <c r="I44" s="270"/>
      <c r="J44" s="270"/>
      <c r="K44" s="498"/>
      <c r="L44" s="498">
        <f t="shared" ref="L44:N44" ca="1" si="29">L45+L46</f>
        <v>690742</v>
      </c>
      <c r="M44" s="498">
        <f t="shared" ca="1" si="29"/>
        <v>827512</v>
      </c>
      <c r="N44" s="498">
        <f t="shared" ca="1" si="29"/>
        <v>827512</v>
      </c>
      <c r="O44" s="498">
        <f t="shared" ca="1" si="26"/>
        <v>119.80044647639784</v>
      </c>
      <c r="P44" s="498">
        <f t="shared" ca="1" si="27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7"/>
      <c r="J45" s="617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7"/>
      <c r="J46" s="617"/>
      <c r="K46" s="93"/>
      <c r="L46" s="93">
        <f ca="1">IFERROR(__xludf.DUMMYFUNCTION("IMPORTRANGE(""https://docs.google.com/spreadsheets/d/1MeEWN-I1oV_STSDYn1IFDPWt_1FKiwhDph83XaGc0o0/edit?usp=sharing"",""งบพรบ!M50"")"),690742)</f>
        <v>690742</v>
      </c>
      <c r="M46" s="93">
        <f ca="1">IFERROR(__xludf.DUMMYFUNCTION("IMPORTRANGE(""https://docs.google.com/spreadsheets/d/1MeEWN-I1oV_STSDYn1IFDPWt_1FKiwhDph83XaGc0o0/edit?usp=sharing"",""งบพรบ!R50"")"),827512)</f>
        <v>827512</v>
      </c>
      <c r="N46" s="93">
        <f ca="1">IFERROR(__xludf.DUMMYFUNCTION("IMPORTRANGE(""https://docs.google.com/spreadsheets/d/1MeEWN-I1oV_STSDYn1IFDPWt_1FKiwhDph83XaGc0o0/edit?usp=sharing"",""งบพรบ!T50"")"),827512)</f>
        <v>827512</v>
      </c>
      <c r="O46" s="93">
        <f t="shared" ca="1" si="26"/>
        <v>119.80044647639784</v>
      </c>
      <c r="P46" s="93">
        <f t="shared" ca="1" si="27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3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7"/>
      <c r="J48" s="617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IFERROR(__xludf.DUMMYFUNCTION("IMPORTRANGE(""https://docs.google.com/spreadsheets/d/1MeEWN-I1oV_STSDYn1IFDPWt_1FKiwhDph83XaGc0o0/edit?usp=sharing"",""งบพรบ!P50"")"),0)</f>
        <v>0</v>
      </c>
      <c r="M49" s="52">
        <f ca="1">IFERROR(__xludf.DUMMYFUNCTION("IMPORTRANGE(""https://docs.google.com/spreadsheets/d/1MeEWN-I1oV_STSDYn1IFDPWt_1FKiwhDph83XaGc0o0/edit?usp=sharing"",""งบพรบ!S50"")"),0)</f>
        <v>0</v>
      </c>
      <c r="N49" s="52">
        <f ca="1">IFERROR(__xludf.DUMMYFUNCTION("IMPORTRANGE(""https://docs.google.com/spreadsheets/d/1MeEWN-I1oV_STSDYn1IFDPWt_1FKiwhDph83XaGc0o0/edit?usp=sharing"",""งบพรบ!U50"")"),0)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850300</v>
      </c>
      <c r="M53" s="116">
        <f t="shared" ca="1" si="31"/>
        <v>1049716.45</v>
      </c>
      <c r="N53" s="116">
        <f t="shared" ca="1" si="31"/>
        <v>1049716.45</v>
      </c>
      <c r="O53" s="116">
        <f t="shared" ref="O53:O61" ca="1" si="32">IF(L53&gt;0,N53*100/L53,0)</f>
        <v>123.45248147712572</v>
      </c>
      <c r="P53" s="116">
        <f t="shared" ref="P53:P61" ca="1" si="33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850300</v>
      </c>
      <c r="M55" s="123">
        <f t="shared" ca="1" si="34"/>
        <v>1049716.45</v>
      </c>
      <c r="N55" s="123">
        <f t="shared" ca="1" si="34"/>
        <v>1049716.45</v>
      </c>
      <c r="O55" s="123">
        <f t="shared" ca="1" si="32"/>
        <v>123.45248147712572</v>
      </c>
      <c r="P55" s="123">
        <f t="shared" ca="1" si="33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3" t="s">
        <v>12</v>
      </c>
      <c r="I56" s="270"/>
      <c r="J56" s="270"/>
      <c r="K56" s="498"/>
      <c r="L56" s="498">
        <f t="shared" ref="L56:N56" ca="1" si="35">L57+L58</f>
        <v>850300</v>
      </c>
      <c r="M56" s="498">
        <f t="shared" ca="1" si="35"/>
        <v>1033926.45</v>
      </c>
      <c r="N56" s="498">
        <f t="shared" ca="1" si="35"/>
        <v>1033926.45</v>
      </c>
      <c r="O56" s="498">
        <f t="shared" ca="1" si="32"/>
        <v>121.59548982711983</v>
      </c>
      <c r="P56" s="498">
        <f t="shared" ca="1" si="33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7"/>
      <c r="J57" s="617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7"/>
      <c r="J58" s="617"/>
      <c r="K58" s="93"/>
      <c r="L58" s="93">
        <f ca="1">IFERROR(__xludf.DUMMYFUNCTION("IMPORTRANGE(""https://docs.google.com/spreadsheets/d/1MeEWN-I1oV_STSDYn1IFDPWt_1FKiwhDph83XaGc0o0/edit?usp=sharing"",""งบพรบ!W50"")"),850300)</f>
        <v>850300</v>
      </c>
      <c r="M58" s="93">
        <f ca="1">IFERROR(__xludf.DUMMYFUNCTION("IMPORTRANGE(""https://docs.google.com/spreadsheets/d/1MeEWN-I1oV_STSDYn1IFDPWt_1FKiwhDph83XaGc0o0/edit?usp=sharing"",""งบพรบ!AB50"")"),1033926.45)</f>
        <v>1033926.45</v>
      </c>
      <c r="N58" s="93">
        <f ca="1">IFERROR(__xludf.DUMMYFUNCTION("IMPORTRANGE(""https://docs.google.com/spreadsheets/d/1MeEWN-I1oV_STSDYn1IFDPWt_1FKiwhDph83XaGc0o0/edit?usp=sharing"",""งบพรบ!AD50"")"),1033926.45)</f>
        <v>1033926.45</v>
      </c>
      <c r="O58" s="93">
        <f t="shared" ca="1" si="32"/>
        <v>121.59548982711983</v>
      </c>
      <c r="P58" s="93">
        <f t="shared" ca="1" si="33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3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15790</v>
      </c>
      <c r="N59" s="498">
        <f t="shared" ca="1" si="36"/>
        <v>15790</v>
      </c>
      <c r="O59" s="498">
        <f t="shared" ca="1" si="32"/>
        <v>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7"/>
      <c r="J60" s="617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IFERROR(__xludf.DUMMYFUNCTION("IMPORTRANGE(""https://docs.google.com/spreadsheets/d/1MeEWN-I1oV_STSDYn1IFDPWt_1FKiwhDph83XaGc0o0/edit?usp=sharing"",""งบพรบ!Z50"")"),0)</f>
        <v>0</v>
      </c>
      <c r="M61" s="52">
        <f ca="1">IFERROR(__xludf.DUMMYFUNCTION("IMPORTRANGE(""https://docs.google.com/spreadsheets/d/1MeEWN-I1oV_STSDYn1IFDPWt_1FKiwhDph83XaGc0o0/edit?usp=sharing"",""งบพรบ!AC50"")"),15790)</f>
        <v>15790</v>
      </c>
      <c r="N61" s="52">
        <f ca="1">IFERROR(__xludf.DUMMYFUNCTION("IMPORTRANGE(""https://docs.google.com/spreadsheets/d/1MeEWN-I1oV_STSDYn1IFDPWt_1FKiwhDph83XaGc0o0/edit?usp=sharing"",""งบพรบ!AE50"")"),15790)</f>
        <v>15790</v>
      </c>
      <c r="O61" s="52">
        <f t="shared" ca="1" si="32"/>
        <v>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70</v>
      </c>
      <c r="J65" s="144">
        <f t="shared" si="37"/>
        <v>70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1079500</v>
      </c>
      <c r="M66" s="155">
        <f t="shared" ca="1" si="39"/>
        <v>1099030</v>
      </c>
      <c r="N66" s="155">
        <f t="shared" ca="1" si="39"/>
        <v>1099030</v>
      </c>
      <c r="O66" s="155">
        <f t="shared" ref="O66:O74" ca="1" si="40">IF(L66&gt;0,N66*100/L66,0)</f>
        <v>101.80917091245948</v>
      </c>
      <c r="P66" s="155">
        <f t="shared" ref="P66:P74" ca="1" si="41">IF(M66&gt;0,N66*100/M66,0)</f>
        <v>100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7"/>
      <c r="J67" s="617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7"/>
      <c r="J68" s="617"/>
      <c r="K68" s="93"/>
      <c r="L68" s="93">
        <f t="shared" ca="1" si="42"/>
        <v>1079500</v>
      </c>
      <c r="M68" s="93">
        <f t="shared" ca="1" si="42"/>
        <v>1099030</v>
      </c>
      <c r="N68" s="93">
        <f t="shared" ca="1" si="42"/>
        <v>1099030</v>
      </c>
      <c r="O68" s="93">
        <f t="shared" ca="1" si="40"/>
        <v>101.80917091245948</v>
      </c>
      <c r="P68" s="93">
        <f t="shared" ca="1" si="41"/>
        <v>100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1079500</v>
      </c>
      <c r="M69" s="498">
        <f t="shared" ca="1" si="43"/>
        <v>1099030</v>
      </c>
      <c r="N69" s="498">
        <f t="shared" ca="1" si="43"/>
        <v>1099030</v>
      </c>
      <c r="O69" s="498">
        <f t="shared" ca="1" si="40"/>
        <v>101.80917091245948</v>
      </c>
      <c r="P69" s="498">
        <f t="shared" ca="1" si="41"/>
        <v>100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IFERROR(__xludf.DUMMYFUNCTION("IMPORTRANGE(""https://docs.google.com/spreadsheets/d/1MeEWN-I1oV_STSDYn1IFDPWt_1FKiwhDph83XaGc0o0/edit?usp=sharing"",""งบพรบ!AG50"")"),1079500)</f>
        <v>1079500</v>
      </c>
      <c r="M71" s="93">
        <f ca="1">IFERROR(__xludf.DUMMYFUNCTION("IMPORTRANGE(""https://docs.google.com/spreadsheets/d/1MeEWN-I1oV_STSDYn1IFDPWt_1FKiwhDph83XaGc0o0/edit?usp=sharing"",""งบพรบ!AL50"")"),1099030)</f>
        <v>1099030</v>
      </c>
      <c r="N71" s="93">
        <f ca="1">IFERROR(__xludf.DUMMYFUNCTION("IMPORTRANGE(""https://docs.google.com/spreadsheets/d/1MeEWN-I1oV_STSDYn1IFDPWt_1FKiwhDph83XaGc0o0/edit?usp=sharing"",""งบพรบ!AN50"")"),1099030)</f>
        <v>1099030</v>
      </c>
      <c r="O71" s="93">
        <f t="shared" ca="1" si="40"/>
        <v>101.80917091245948</v>
      </c>
      <c r="P71" s="93">
        <f t="shared" ca="1" si="41"/>
        <v>100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IFERROR(__xludf.DUMMYFUNCTION("IMPORTRANGE(""https://docs.google.com/spreadsheets/d/1MeEWN-I1oV_STSDYn1IFDPWt_1FKiwhDph83XaGc0o0/edit?usp=sharing"",""งบพรบ!AJ50"")"),0)</f>
        <v>0</v>
      </c>
      <c r="M74" s="93">
        <f ca="1">IFERROR(__xludf.DUMMYFUNCTION("IMPORTRANGE(""https://docs.google.com/spreadsheets/d/1MeEWN-I1oV_STSDYn1IFDPWt_1FKiwhDph83XaGc0o0/edit?usp=sharing"",""งบพรบ!AM50"")"),0)</f>
        <v>0</v>
      </c>
      <c r="N74" s="93">
        <f ca="1">IFERROR(__xludf.DUMMYFUNCTION("IMPORTRANGE(""https://docs.google.com/spreadsheets/d/1MeEWN-I1oV_STSDYn1IFDPWt_1FKiwhDph83XaGc0o0/edit?usp=sharing"",""งบพรบ!AO50"")"),0)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7" t="s">
        <v>38</v>
      </c>
      <c r="E75" s="173"/>
      <c r="F75" s="173"/>
      <c r="G75" s="174"/>
      <c r="H75" s="76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70</v>
      </c>
      <c r="J77" s="270">
        <f t="shared" si="45"/>
        <v>70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4" t="s">
        <v>34</v>
      </c>
      <c r="I78" s="184">
        <f ca="1">IFERROR(__xludf.DUMMYFUNCTION("IMPORTRANGE(""https://docs.google.com/spreadsheets/d/1QqKyyYR6Q21VydFLVH3TRQUabQu_ym0Zz7PgGX0-kHA/edit?usp=sharing"",""แผน!H50"")"),0)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4" t="s">
        <v>35</v>
      </c>
      <c r="I79" s="184">
        <f ca="1">IFERROR(__xludf.DUMMYFUNCTION("IMPORTRANGE(""https://docs.google.com/spreadsheets/d/1QqKyyYR6Q21VydFLVH3TRQUabQu_ym0Zz7PgGX0-kHA/edit?usp=sharing"",""แผน!I50"")"),0)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4" t="s">
        <v>34</v>
      </c>
      <c r="I80" s="184">
        <f ca="1">IFERROR(__xludf.DUMMYFUNCTION("IMPORTRANGE(""https://docs.google.com/spreadsheets/d/1QqKyyYR6Q21VydFLVH3TRQUabQu_ym0Zz7PgGX0-kHA/edit?usp=sharing"",""แผน!F50"")"),1)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4" t="s">
        <v>35</v>
      </c>
      <c r="I81" s="184">
        <f ca="1">IFERROR(__xludf.DUMMYFUNCTION("IMPORTRANGE(""https://docs.google.com/spreadsheets/d/1QqKyyYR6Q21VydFLVH3TRQUabQu_ym0Zz7PgGX0-kHA/edit?usp=sharing"",""แผน!G50"")"),70)</f>
        <v>70</v>
      </c>
      <c r="J81" s="215">
        <v>70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4" t="s">
        <v>34</v>
      </c>
      <c r="I82" s="184">
        <f ca="1">IFERROR(__xludf.DUMMYFUNCTION("IMPORTRANGE(""https://docs.google.com/spreadsheets/d/1QqKyyYR6Q21VydFLVH3TRQUabQu_ym0Zz7PgGX0-kHA/edit?usp=sharing"",""แผน!D50"")"),0)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4" t="s">
        <v>35</v>
      </c>
      <c r="I83" s="184">
        <f ca="1">IFERROR(__xludf.DUMMYFUNCTION("IMPORTRANGE(""https://docs.google.com/spreadsheets/d/1QqKyyYR6Q21VydFLVH3TRQUabQu_ym0Zz7PgGX0-kHA/edit?usp=sharing"",""แผน!E50"")"),0)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IFERROR(__xludf.DUMMYFUNCTION("IMPORTRANGE(""https://docs.google.com/spreadsheets/d/1QqKyyYR6Q21VydFLVH3TRQUabQu_ym0Zz7PgGX0-kHA/edit?usp=sharing"",""แผน!J50"")"),1)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85840</v>
      </c>
      <c r="N88" s="155">
        <f t="shared" ca="1" si="49"/>
        <v>85840</v>
      </c>
      <c r="O88" s="155">
        <f t="shared" ref="O88:O96" ca="1" si="50">IF(L88&gt;0,N88*100/L88,0)</f>
        <v>100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7"/>
      <c r="J89" s="617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7"/>
      <c r="J90" s="617"/>
      <c r="K90" s="93"/>
      <c r="L90" s="93">
        <f t="shared" ca="1" si="52"/>
        <v>85840</v>
      </c>
      <c r="M90" s="93">
        <f t="shared" ca="1" si="52"/>
        <v>85840</v>
      </c>
      <c r="N90" s="93">
        <f t="shared" ca="1" si="52"/>
        <v>85840</v>
      </c>
      <c r="O90" s="93">
        <f t="shared" ca="1" si="50"/>
        <v>100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85840</v>
      </c>
      <c r="M91" s="498">
        <f t="shared" ca="1" si="53"/>
        <v>85840</v>
      </c>
      <c r="N91" s="498">
        <f t="shared" ca="1" si="53"/>
        <v>85840</v>
      </c>
      <c r="O91" s="498">
        <f t="shared" ca="1" si="50"/>
        <v>100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IFERROR(__xludf.DUMMYFUNCTION("IMPORTRANGE(""https://docs.google.com/spreadsheets/d/1MeEWN-I1oV_STSDYn1IFDPWt_1FKiwhDph83XaGc0o0/edit?usp=sharing"",""งบพรบ!AQ50"")"),85840)</f>
        <v>85840</v>
      </c>
      <c r="M93" s="93">
        <f ca="1">IFERROR(__xludf.DUMMYFUNCTION("IMPORTRANGE(""https://docs.google.com/spreadsheets/d/1MeEWN-I1oV_STSDYn1IFDPWt_1FKiwhDph83XaGc0o0/edit?usp=sharing"",""งบพรบ!AV50"")"),85840)</f>
        <v>85840</v>
      </c>
      <c r="N93" s="93">
        <f ca="1">IFERROR(__xludf.DUMMYFUNCTION("IMPORTRANGE(""https://docs.google.com/spreadsheets/d/1MeEWN-I1oV_STSDYn1IFDPWt_1FKiwhDph83XaGc0o0/edit?usp=sharing"",""งบพรบ!AX50"")"),85840)</f>
        <v>85840</v>
      </c>
      <c r="O93" s="93">
        <f t="shared" ca="1" si="50"/>
        <v>100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IFERROR(__xludf.DUMMYFUNCTION("IMPORTRANGE(""https://docs.google.com/spreadsheets/d/1MeEWN-I1oV_STSDYn1IFDPWt_1FKiwhDph83XaGc0o0/edit?usp=sharing"",""งบพรบ!AT50"")"),0)</f>
        <v>0</v>
      </c>
      <c r="M96" s="93">
        <f ca="1">IFERROR(__xludf.DUMMYFUNCTION("IMPORTRANGE(""https://docs.google.com/spreadsheets/d/1MeEWN-I1oV_STSDYn1IFDPWt_1FKiwhDph83XaGc0o0/edit?usp=sharing"",""งบพรบ!AW50"")"),0)</f>
        <v>0</v>
      </c>
      <c r="N96" s="93">
        <f ca="1">IFERROR(__xludf.DUMMYFUNCTION("IMPORTRANGE(""https://docs.google.com/spreadsheets/d/1MeEWN-I1oV_STSDYn1IFDPWt_1FKiwhDph83XaGc0o0/edit?usp=sharing"",""งบพรบ!AY50"")"),0)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7" t="s">
        <v>38</v>
      </c>
      <c r="E97" s="173"/>
      <c r="F97" s="173"/>
      <c r="G97" s="174"/>
      <c r="H97" s="762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3" t="s">
        <v>46</v>
      </c>
      <c r="I98" s="270">
        <f ca="1">IFERROR(__xludf.DUMMYFUNCTION("IMPORTRANGE(""https://docs.google.com/spreadsheets/d/1QqKyyYR6Q21VydFLVH3TRQUabQu_ym0Zz7PgGX0-kHA/edit?usp=sharing"",""แผน!K50"")"),30)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3" t="s">
        <v>35</v>
      </c>
      <c r="I99" s="270">
        <f ca="1">IFERROR(__xludf.DUMMYFUNCTION("IMPORTRANGE(""https://docs.google.com/spreadsheets/d/1QqKyyYR6Q21VydFLVH3TRQUabQu_ym0Zz7PgGX0-kHA/edit?usp=sharing"",""แผน!L50"")"),10)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3" t="s">
        <v>49</v>
      </c>
      <c r="I100" s="270">
        <f ca="1">IFERROR(__xludf.DUMMYFUNCTION("IMPORTRANGE(""https://docs.google.com/spreadsheets/d/1QqKyyYR6Q21VydFLVH3TRQUabQu_ym0Zz7PgGX0-kHA/edit?usp=sharing"",""แผน!M50"")"),2)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3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6" t="s">
        <v>47</v>
      </c>
      <c r="F102" s="178"/>
      <c r="G102" s="179"/>
      <c r="H102" s="623" t="s">
        <v>46</v>
      </c>
      <c r="I102" s="270">
        <f ca="1">IFERROR(__xludf.DUMMYFUNCTION("IMPORTRANGE(""https://docs.google.com/spreadsheets/d/1QqKyyYR6Q21VydFLVH3TRQUabQu_ym0Zz7PgGX0-kHA/edit?usp=sharing"",""แผน!N50"")"),30)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3" t="s">
        <v>35</v>
      </c>
      <c r="I103" s="270">
        <f ca="1">IFERROR(__xludf.DUMMYFUNCTION("IMPORTRANGE(""https://docs.google.com/spreadsheets/d/1QqKyyYR6Q21VydFLVH3TRQUabQu_ym0Zz7PgGX0-kHA/edit?usp=sharing"",""แผน!O50"")"),10)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3" t="s">
        <v>35</v>
      </c>
      <c r="I104" s="270">
        <f ca="1">IFERROR(__xludf.DUMMYFUNCTION("IMPORTRANGE(""https://docs.google.com/spreadsheets/d/1QqKyyYR6Q21VydFLVH3TRQUabQu_ym0Zz7PgGX0-kHA/edit?usp=sharing"",""แผน!O50"")"),10)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3" t="s">
        <v>49</v>
      </c>
      <c r="I106" s="270">
        <f ca="1">IFERROR(__xludf.DUMMYFUNCTION("IMPORTRANGE(""https://docs.google.com/spreadsheets/d/1QqKyyYR6Q21VydFLVH3TRQUabQu_ym0Zz7PgGX0-kHA/edit?usp=sharing"",""แผน!P50"")"),1)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3" t="s">
        <v>49</v>
      </c>
      <c r="I107" s="270">
        <f ca="1">IFERROR(__xludf.DUMMYFUNCTION("IMPORTRANGE(""https://docs.google.com/spreadsheets/d/1QqKyyYR6Q21VydFLVH3TRQUabQu_ym0Zz7PgGX0-kHA/edit?usp=sharing"",""แผน!P50"")"),1)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3" t="s">
        <v>49</v>
      </c>
      <c r="I109" s="270">
        <f ca="1">IFERROR(__xludf.DUMMYFUNCTION("IMPORTRANGE(""https://docs.google.com/spreadsheets/d/1QqKyyYR6Q21VydFLVH3TRQUabQu_ym0Zz7PgGX0-kHA/edit?usp=sharing"",""แผน!Q50"")"),1)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3" t="s">
        <v>49</v>
      </c>
      <c r="I110" s="270">
        <f ca="1">IFERROR(__xludf.DUMMYFUNCTION("IMPORTRANGE(""https://docs.google.com/spreadsheets/d/1QqKyyYR6Q21VydFLVH3TRQUabQu_ym0Zz7PgGX0-kHA/edit?usp=sharing"",""แผน!Q50"")"),1)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7" t="s">
        <v>35</v>
      </c>
      <c r="I111" s="193">
        <f ca="1">IFERROR(__xludf.DUMMYFUNCTION("IMPORTRANGE(""https://docs.google.com/spreadsheets/d/1QqKyyYR6Q21VydFLVH3TRQUabQu_ym0Zz7PgGX0-kHA/edit?usp=sharing"",""แผน!R50"")"),10)</f>
        <v>10</v>
      </c>
      <c r="J111" s="681">
        <f>J114</f>
        <v>10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1">
        <f t="shared" si="59"/>
        <v>2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2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IFERROR(__xludf.DUMMYFUNCTION("IMPORTRANGE(""https://docs.google.com/spreadsheets/d/1QqKyyYR6Q21VydFLVH3TRQUabQu_ym0Zz7PgGX0-kHA/edit?usp=sharing"",""แผน!R50"")"),10)</f>
        <v>10</v>
      </c>
      <c r="J113" s="215">
        <v>10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IFERROR(__xludf.DUMMYFUNCTION("IMPORTRANGE(""https://docs.google.com/spreadsheets/d/1QqKyyYR6Q21VydFLVH3TRQUabQu_ym0Zz7PgGX0-kHA/edit?usp=sharing"",""แผน!R50"")"),10)</f>
        <v>10</v>
      </c>
      <c r="J114" s="215">
        <v>10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IFERROR(__xludf.DUMMYFUNCTION("IMPORTRANGE(""https://docs.google.com/spreadsheets/d/1QqKyyYR6Q21VydFLVH3TRQUabQu_ym0Zz7PgGX0-kHA/edit?usp=sharing"",""แผน!S50"")"),1)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IFERROR(__xludf.DUMMYFUNCTION("IMPORTRANGE(""https://docs.google.com/spreadsheets/d/1QqKyyYR6Q21VydFLVH3TRQUabQu_ym0Zz7PgGX0-kHA/edit?usp=sharing"",""แผน!T50"")"),1)</f>
        <v>1</v>
      </c>
      <c r="J116" s="215">
        <v>1</v>
      </c>
      <c r="K116" s="498">
        <f t="shared" ca="1" si="5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7"/>
      <c r="J120" s="617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7"/>
      <c r="J121" s="617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IFERROR(__xludf.DUMMYFUNCTION("IMPORTRANGE(""https://docs.google.com/spreadsheets/d/1MeEWN-I1oV_STSDYn1IFDPWt_1FKiwhDph83XaGc0o0/edit?usp=sharing"",""งบพรบ!BA50"")"),0)</f>
        <v>0</v>
      </c>
      <c r="M124" s="93">
        <f ca="1">IFERROR(__xludf.DUMMYFUNCTION("IMPORTRANGE(""https://docs.google.com/spreadsheets/d/1MeEWN-I1oV_STSDYn1IFDPWt_1FKiwhDph83XaGc0o0/edit?usp=sharing"",""งบพรบ!BF50"")"),0)</f>
        <v>0</v>
      </c>
      <c r="N124" s="93">
        <f ca="1">IFERROR(__xludf.DUMMYFUNCTION("IMPORTRANGE(""https://docs.google.com/spreadsheets/d/1MeEWN-I1oV_STSDYn1IFDPWt_1FKiwhDph83XaGc0o0/edit?usp=sharing"",""งบพรบ!BH50"")"),0)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IFERROR(__xludf.DUMMYFUNCTION("IMPORTRANGE(""https://docs.google.com/spreadsheets/d/1MeEWN-I1oV_STSDYn1IFDPWt_1FKiwhDph83XaGc0o0/edit?usp=sharing"",""งบพรบ!BD50"")"),0)</f>
        <v>0</v>
      </c>
      <c r="M127" s="93">
        <f ca="1">IFERROR(__xludf.DUMMYFUNCTION("IMPORTRANGE(""https://docs.google.com/spreadsheets/d/1MeEWN-I1oV_STSDYn1IFDPWt_1FKiwhDph83XaGc0o0/edit?usp=sharing"",""งบพรบ!BG50"")"),0)</f>
        <v>0</v>
      </c>
      <c r="N127" s="93">
        <f ca="1">IFERROR(__xludf.DUMMYFUNCTION("IMPORTRANGE(""https://docs.google.com/spreadsheets/d/1MeEWN-I1oV_STSDYn1IFDPWt_1FKiwhDph83XaGc0o0/edit?usp=sharing"",""งบพรบ!BI50"")"),0)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7"/>
      <c r="J133" s="617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7"/>
      <c r="J134" s="617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IFERROR(__xludf.DUMMYFUNCTION("IMPORTRANGE(""https://docs.google.com/spreadsheets/d/1MeEWN-I1oV_STSDYn1IFDPWt_1FKiwhDph83XaGc0o0/edit?usp=sharing"",""งบพรบ!BK50"")"),0)</f>
        <v>0</v>
      </c>
      <c r="M137" s="93">
        <f ca="1">IFERROR(__xludf.DUMMYFUNCTION("IMPORTRANGE(""https://docs.google.com/spreadsheets/d/1MeEWN-I1oV_STSDYn1IFDPWt_1FKiwhDph83XaGc0o0/edit?usp=sharing"",""งบพรบ!BP50"")"),0)</f>
        <v>0</v>
      </c>
      <c r="N137" s="93">
        <f ca="1">IFERROR(__xludf.DUMMYFUNCTION("IMPORTRANGE(""https://docs.google.com/spreadsheets/d/1MeEWN-I1oV_STSDYn1IFDPWt_1FKiwhDph83XaGc0o0/edit?usp=sharing"",""งบพรบ!BR50"")"),0)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IFERROR(__xludf.DUMMYFUNCTION("IMPORTRANGE(""https://docs.google.com/spreadsheets/d/1MeEWN-I1oV_STSDYn1IFDPWt_1FKiwhDph83XaGc0o0/edit?usp=sharing"",""งบพรบ!BN50"")"),0)</f>
        <v>0</v>
      </c>
      <c r="M140" s="93">
        <f ca="1">IFERROR(__xludf.DUMMYFUNCTION("IMPORTRANGE(""https://docs.google.com/spreadsheets/d/1MeEWN-I1oV_STSDYn1IFDPWt_1FKiwhDph83XaGc0o0/edit?usp=sharing"",""งบพรบ!BQ50"")"),0)</f>
        <v>0</v>
      </c>
      <c r="N140" s="93">
        <f ca="1">IFERROR(__xludf.DUMMYFUNCTION("IMPORTRANGE(""https://docs.google.com/spreadsheets/d/1MeEWN-I1oV_STSDYn1IFDPWt_1FKiwhDph83XaGc0o0/edit?usp=sharing"",""งบพรบ!BS50"")"),0)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IFERROR(__xludf.DUMMYFUNCTION("IMPORTRANGE(""https://docs.google.com/spreadsheets/d/1QqKyyYR6Q21VydFLVH3TRQUabQu_ym0Zz7PgGX0-kHA/edit?usp=sharing"",""แผน!U50"")"),0)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IFERROR(__xludf.DUMMYFUNCTION("IMPORTRANGE(""https://docs.google.com/spreadsheets/d/1QqKyyYR6Q21VydFLVH3TRQUabQu_ym0Zz7PgGX0-kHA/edit?usp=sharing"",""แผน!V50"")"),0)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IFERROR(__xludf.DUMMYFUNCTION("IMPORTRANGE(""https://docs.google.com/spreadsheets/d/1QqKyyYR6Q21VydFLVH3TRQUabQu_ym0Zz7PgGX0-kHA/edit?usp=sharing"",""แผน!W50"")"),0)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8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23460</v>
      </c>
      <c r="N149" s="155">
        <f t="shared" ca="1" si="77"/>
        <v>23460</v>
      </c>
      <c r="O149" s="155">
        <f t="shared" ref="O149:O157" ca="1" si="78">IF(L149&gt;0,N149*100/L149,0)</f>
        <v>234.6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7"/>
      <c r="J150" s="617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7"/>
      <c r="J151" s="617"/>
      <c r="K151" s="93"/>
      <c r="L151" s="93">
        <f t="shared" ca="1" si="80"/>
        <v>10000</v>
      </c>
      <c r="M151" s="93">
        <f t="shared" ca="1" si="80"/>
        <v>23460</v>
      </c>
      <c r="N151" s="93">
        <f t="shared" ca="1" si="80"/>
        <v>23460</v>
      </c>
      <c r="O151" s="93">
        <f t="shared" ca="1" si="78"/>
        <v>234.6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23460</v>
      </c>
      <c r="N152" s="498">
        <f t="shared" ca="1" si="81"/>
        <v>23460</v>
      </c>
      <c r="O152" s="498">
        <f t="shared" ca="1" si="78"/>
        <v>234.6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IFERROR(__xludf.DUMMYFUNCTION("IMPORTRANGE(""https://docs.google.com/spreadsheets/d/1MeEWN-I1oV_STSDYn1IFDPWt_1FKiwhDph83XaGc0o0/edit?usp=sharing"",""งบพรบ!BU50"")"),10000)</f>
        <v>10000</v>
      </c>
      <c r="M154" s="93">
        <f ca="1">IFERROR(__xludf.DUMMYFUNCTION("IMPORTRANGE(""https://docs.google.com/spreadsheets/d/1MeEWN-I1oV_STSDYn1IFDPWt_1FKiwhDph83XaGc0o0/edit?usp=sharing"",""งบพรบ!BZ50"")"),23460)</f>
        <v>23460</v>
      </c>
      <c r="N154" s="93">
        <f ca="1">IFERROR(__xludf.DUMMYFUNCTION("IMPORTRANGE(""https://docs.google.com/spreadsheets/d/1MeEWN-I1oV_STSDYn1IFDPWt_1FKiwhDph83XaGc0o0/edit?usp=sharing"",""งบพรบ!CB50"")"),23460)</f>
        <v>23460</v>
      </c>
      <c r="O154" s="93">
        <f t="shared" ca="1" si="78"/>
        <v>234.6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IFERROR(__xludf.DUMMYFUNCTION("IMPORTRANGE(""https://docs.google.com/spreadsheets/d/1MeEWN-I1oV_STSDYn1IFDPWt_1FKiwhDph83XaGc0o0/edit?usp=sharing"",""งบพรบ!BX50"")"),0)</f>
        <v>0</v>
      </c>
      <c r="M157" s="93">
        <f ca="1">IFERROR(__xludf.DUMMYFUNCTION("IMPORTRANGE(""https://docs.google.com/spreadsheets/d/1MeEWN-I1oV_STSDYn1IFDPWt_1FKiwhDph83XaGc0o0/edit?usp=sharing"",""งบพรบ!CA50"")"),0)</f>
        <v>0</v>
      </c>
      <c r="N157" s="93">
        <f ca="1">IFERROR(__xludf.DUMMYFUNCTION("IMPORTRANGE(""https://docs.google.com/spreadsheets/d/1MeEWN-I1oV_STSDYn1IFDPWt_1FKiwhDph83XaGc0o0/edit?usp=sharing"",""งบพรบ!CC50"")"),0)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IFERROR(__xludf.DUMMYFUNCTION("IMPORTRANGE(""https://docs.google.com/spreadsheets/d/1QqKyyYR6Q21VydFLVH3TRQUabQu_ym0Zz7PgGX0-kHA/edit?usp=sharing"",""แผน!X50"")"),20)</f>
        <v>20</v>
      </c>
      <c r="J159" s="215">
        <v>20</v>
      </c>
      <c r="K159" s="498">
        <f ca="1">IF(I159&gt;0,J159*100/I159,0)</f>
        <v>100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7"/>
      <c r="J160" s="617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35455</v>
      </c>
      <c r="N165" s="155">
        <f t="shared" ca="1" si="84"/>
        <v>35455</v>
      </c>
      <c r="O165" s="155">
        <f t="shared" ref="O165:O173" ca="1" si="85">IF(L165&gt;0,N165*100/L165,0)</f>
        <v>160.75719791430515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7"/>
      <c r="J166" s="617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7"/>
      <c r="J167" s="617"/>
      <c r="K167" s="93"/>
      <c r="L167" s="93">
        <f t="shared" ca="1" si="87"/>
        <v>22055</v>
      </c>
      <c r="M167" s="93">
        <f t="shared" ca="1" si="87"/>
        <v>35455</v>
      </c>
      <c r="N167" s="93">
        <f t="shared" ca="1" si="87"/>
        <v>35455</v>
      </c>
      <c r="O167" s="93">
        <f t="shared" ca="1" si="85"/>
        <v>160.75719791430515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35455</v>
      </c>
      <c r="N168" s="498">
        <f t="shared" ca="1" si="88"/>
        <v>35455</v>
      </c>
      <c r="O168" s="498">
        <f t="shared" ca="1" si="85"/>
        <v>160.75719791430515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IFERROR(__xludf.DUMMYFUNCTION("IMPORTRANGE(""https://docs.google.com/spreadsheets/d/1MeEWN-I1oV_STSDYn1IFDPWt_1FKiwhDph83XaGc0o0/edit?usp=sharing"",""งบพรบ!CE50"")"),22055)</f>
        <v>22055</v>
      </c>
      <c r="M170" s="93">
        <f ca="1">IFERROR(__xludf.DUMMYFUNCTION("IMPORTRANGE(""https://docs.google.com/spreadsheets/d/1MeEWN-I1oV_STSDYn1IFDPWt_1FKiwhDph83XaGc0o0/edit?usp=sharing"",""งบพรบ!CJ50"")"),35455)</f>
        <v>35455</v>
      </c>
      <c r="N170" s="93">
        <f ca="1">IFERROR(__xludf.DUMMYFUNCTION("IMPORTRANGE(""https://docs.google.com/spreadsheets/d/1MeEWN-I1oV_STSDYn1IFDPWt_1FKiwhDph83XaGc0o0/edit?usp=sharing"",""งบพรบ!CL50"")"),35455)</f>
        <v>35455</v>
      </c>
      <c r="O170" s="93">
        <f t="shared" ca="1" si="85"/>
        <v>160.75719791430515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IFERROR(__xludf.DUMMYFUNCTION("IMPORTRANGE(""https://docs.google.com/spreadsheets/d/1MeEWN-I1oV_STSDYn1IFDPWt_1FKiwhDph83XaGc0o0/edit?usp=sharing"",""งบพรบ!CH50"")"),0)</f>
        <v>0</v>
      </c>
      <c r="M173" s="93">
        <f ca="1">IFERROR(__xludf.DUMMYFUNCTION("IMPORTRANGE(""https://docs.google.com/spreadsheets/d/1MeEWN-I1oV_STSDYn1IFDPWt_1FKiwhDph83XaGc0o0/edit?usp=sharing"",""งบพรบ!CK50"")"),0)</f>
        <v>0</v>
      </c>
      <c r="N173" s="93">
        <f ca="1">IFERROR(__xludf.DUMMYFUNCTION("IMPORTRANGE(""https://docs.google.com/spreadsheets/d/1MeEWN-I1oV_STSDYn1IFDPWt_1FKiwhDph83XaGc0o0/edit?usp=sharing"",""งบพรบ!CM50"")"),0)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7" t="s">
        <v>38</v>
      </c>
      <c r="E175" s="173"/>
      <c r="F175" s="173"/>
      <c r="G175" s="174"/>
      <c r="H175" s="76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6" t="s">
        <v>85</v>
      </c>
      <c r="E176" s="178"/>
      <c r="F176" s="178"/>
      <c r="G176" s="179"/>
      <c r="H176" s="623" t="s">
        <v>35</v>
      </c>
      <c r="I176" s="270">
        <f ca="1">IFERROR(__xludf.DUMMYFUNCTION("IMPORTRANGE(""https://docs.google.com/spreadsheets/d/1QqKyyYR6Q21VydFLVH3TRQUabQu_ym0Zz7PgGX0-kHA/edit?usp=sharing"",""แผน!Y50"")"),11)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93500</v>
      </c>
      <c r="M181" s="155">
        <f t="shared" ca="1" si="92"/>
        <v>108940</v>
      </c>
      <c r="N181" s="155">
        <f t="shared" ca="1" si="92"/>
        <v>108940</v>
      </c>
      <c r="O181" s="155">
        <f t="shared" ref="O181:O189" ca="1" si="93">IF(L181&gt;0,N181*100/L181,0)</f>
        <v>116.51336898395722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7"/>
      <c r="J182" s="617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7"/>
      <c r="J183" s="617"/>
      <c r="K183" s="93"/>
      <c r="L183" s="93">
        <f t="shared" ca="1" si="95"/>
        <v>93500</v>
      </c>
      <c r="M183" s="93">
        <f t="shared" ca="1" si="95"/>
        <v>108940</v>
      </c>
      <c r="N183" s="93">
        <f t="shared" ca="1" si="95"/>
        <v>108940</v>
      </c>
      <c r="O183" s="93">
        <f t="shared" ca="1" si="93"/>
        <v>116.51336898395722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93500</v>
      </c>
      <c r="M184" s="498">
        <f t="shared" ca="1" si="96"/>
        <v>108940</v>
      </c>
      <c r="N184" s="498">
        <f t="shared" ca="1" si="96"/>
        <v>108940</v>
      </c>
      <c r="O184" s="498">
        <f t="shared" ca="1" si="93"/>
        <v>116.51336898395722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IFERROR(__xludf.DUMMYFUNCTION("IMPORTRANGE(""https://docs.google.com/spreadsheets/d/1MeEWN-I1oV_STSDYn1IFDPWt_1FKiwhDph83XaGc0o0/edit?usp=sharing"",""งบพรบ!CO50"")"),93500)</f>
        <v>93500</v>
      </c>
      <c r="M186" s="93">
        <f ca="1">IFERROR(__xludf.DUMMYFUNCTION("IMPORTRANGE(""https://docs.google.com/spreadsheets/d/1MeEWN-I1oV_STSDYn1IFDPWt_1FKiwhDph83XaGc0o0/edit?usp=sharing"",""งบพรบ!CT50"")"),108940)</f>
        <v>108940</v>
      </c>
      <c r="N186" s="93">
        <f ca="1">IFERROR(__xludf.DUMMYFUNCTION("IMPORTRANGE(""https://docs.google.com/spreadsheets/d/1MeEWN-I1oV_STSDYn1IFDPWt_1FKiwhDph83XaGc0o0/edit?usp=sharing"",""งบพรบ!CV50"")"),108940)</f>
        <v>108940</v>
      </c>
      <c r="O186" s="93">
        <f t="shared" ca="1" si="93"/>
        <v>116.51336898395722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IFERROR(__xludf.DUMMYFUNCTION("IMPORTRANGE(""https://docs.google.com/spreadsheets/d/1MeEWN-I1oV_STSDYn1IFDPWt_1FKiwhDph83XaGc0o0/edit?usp=sharing"",""งบพรบ!CR50"")"),0)</f>
        <v>0</v>
      </c>
      <c r="M189" s="93">
        <f ca="1">IFERROR(__xludf.DUMMYFUNCTION("IMPORTRANGE(""https://docs.google.com/spreadsheets/d/1MeEWN-I1oV_STSDYn1IFDPWt_1FKiwhDph83XaGc0o0/edit?usp=sharing"",""งบพรบ!CU50"")"),0)</f>
        <v>0</v>
      </c>
      <c r="N189" s="93">
        <f ca="1">IFERROR(__xludf.DUMMYFUNCTION("IMPORTRANGE(""https://docs.google.com/spreadsheets/d/1MeEWN-I1oV_STSDYn1IFDPWt_1FKiwhDph83XaGc0o0/edit?usp=sharing"",""งบพรบ!CW50"")"),0)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8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IFERROR(__xludf.DUMMYFUNCTION("IMPORTRANGE(""https://docs.google.com/spreadsheets/d/1QqKyyYR6Q21VydFLVH3TRQUabQu_ym0Zz7PgGX0-kHA/edit?usp=sharing"",""แผน!Z50"")"),6000)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7" t="s">
        <v>38</v>
      </c>
      <c r="E192" s="173"/>
      <c r="F192" s="173"/>
      <c r="G192" s="174"/>
      <c r="H192" s="762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4" t="s">
        <v>90</v>
      </c>
      <c r="I193" s="270">
        <f ca="1">IFERROR(__xludf.DUMMYFUNCTION("IMPORTRANGE(""https://docs.google.com/spreadsheets/d/1QqKyyYR6Q21VydFLVH3TRQUabQu_ym0Zz7PgGX0-kHA/edit?usp=sharing"",""แผน!AC50"")"),4)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194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f>154+17+8</f>
        <v>179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15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8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IFERROR(__xludf.DUMMYFUNCTION("IMPORTRANGE(""https://docs.google.com/spreadsheets/d/1QqKyyYR6Q21VydFLVH3TRQUabQu_ym0Zz7PgGX0-kHA/edit?usp=sharing"",""แผน!AE50"")"),3000)</f>
        <v>3000</v>
      </c>
      <c r="M199" s="498"/>
      <c r="N199" s="840">
        <v>3000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3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IFERROR(__xludf.DUMMYFUNCTION("IMPORTRANGE(""https://docs.google.com/spreadsheets/d/1QqKyyYR6Q21VydFLVH3TRQUabQu_ym0Zz7PgGX0-kHA/edit?usp=sharing"",""แผน!AF50"")"),24000)</f>
        <v>24000</v>
      </c>
      <c r="M200" s="498"/>
      <c r="N200" s="840">
        <v>24000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3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IFERROR(__xludf.DUMMYFUNCTION("IMPORTRANGE(""https://docs.google.com/spreadsheets/d/1QqKyyYR6Q21VydFLVH3TRQUabQu_ym0Zz7PgGX0-kHA/edit?usp=sharing"",""แผน!AG50"")"),12000)</f>
        <v>12000</v>
      </c>
      <c r="M201" s="498"/>
      <c r="N201" s="840">
        <v>12000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3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IFERROR(__xludf.DUMMYFUNCTION("IMPORTRANGE(""https://docs.google.com/spreadsheets/d/1QqKyyYR6Q21VydFLVH3TRQUabQu_ym0Zz7PgGX0-kHA/edit?usp=sharing"",""แผน!AH50"")"),0)</f>
        <v>0</v>
      </c>
      <c r="M202" s="498"/>
      <c r="N202" s="840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7" t="s">
        <v>38</v>
      </c>
      <c r="E203" s="173"/>
      <c r="F203" s="173"/>
      <c r="G203" s="174"/>
      <c r="H203" s="76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2" t="s">
        <v>96</v>
      </c>
      <c r="I204" s="270">
        <f ca="1">IFERROR(__xludf.DUMMYFUNCTION("IMPORTRANGE(""https://docs.google.com/spreadsheets/d/1QqKyyYR6Q21VydFLVH3TRQUabQu_ym0Zz7PgGX0-kHA/edit?usp=sharing"",""แผน!AI50"")"),3)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2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2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8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42000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IFERROR(__xludf.DUMMYFUNCTION("IMPORTRANGE(""https://docs.google.com/spreadsheets/d/1QqKyyYR6Q21VydFLVH3TRQUabQu_ym0Zz7PgGX0-kHA/edit?usp=sharing"",""แผน!AK50"")"),3000)</f>
        <v>3000</v>
      </c>
      <c r="M210" s="498"/>
      <c r="N210" s="840">
        <v>3000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IFERROR(__xludf.DUMMYFUNCTION("IMPORTRANGE(""https://docs.google.com/spreadsheets/d/1QqKyyYR6Q21VydFLVH3TRQUabQu_ym0Zz7PgGX0-kHA/edit?usp=sharing"",""แผน!AL50"")"),15000)</f>
        <v>15000</v>
      </c>
      <c r="M211" s="498"/>
      <c r="N211" s="840">
        <v>15000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IFERROR(__xludf.DUMMYFUNCTION("IMPORTRANGE(""https://docs.google.com/spreadsheets/d/1QqKyyYR6Q21VydFLVH3TRQUabQu_ym0Zz7PgGX0-kHA/edit?usp=sharing"",""แผน!AM50"")"),24000)</f>
        <v>24000</v>
      </c>
      <c r="M212" s="498"/>
      <c r="N212" s="840">
        <v>24000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7" t="s">
        <v>38</v>
      </c>
      <c r="E213" s="173"/>
      <c r="F213" s="173"/>
      <c r="G213" s="174"/>
      <c r="H213" s="762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2" t="s">
        <v>96</v>
      </c>
      <c r="I214" s="270">
        <f ca="1">IFERROR(__xludf.DUMMYFUNCTION("IMPORTRANGE(""https://docs.google.com/spreadsheets/d/1QqKyyYR6Q21VydFLVH3TRQUabQu_ym0Zz7PgGX0-kHA/edit?usp=sharing"",""แผน!AN50"")"),3)</f>
        <v>3</v>
      </c>
      <c r="J214" s="215">
        <v>3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2" t="s">
        <v>96</v>
      </c>
      <c r="I215" s="270">
        <f ca="1">IFERROR(__xludf.DUMMYFUNCTION("IMPORTRANGE(""https://docs.google.com/spreadsheets/d/1QqKyyYR6Q21VydFLVH3TRQUabQu_ym0Zz7PgGX0-kHA/edit?usp=sharing"",""แผน!AN50"")"),3)</f>
        <v>3</v>
      </c>
      <c r="J215" s="215">
        <v>3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10000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8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6500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IFERROR(__xludf.DUMMYFUNCTION("IMPORTRANGE(""https://docs.google.com/spreadsheets/d/1QqKyyYR6Q21VydFLVH3TRQUabQu_ym0Zz7PgGX0-kHA/edit?usp=sharing"",""แผน!AP50"")"),3000)</f>
        <v>3000</v>
      </c>
      <c r="M218" s="498"/>
      <c r="N218" s="840">
        <v>3000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IFERROR(__xludf.DUMMYFUNCTION("IMPORTRANGE(""https://docs.google.com/spreadsheets/d/1QqKyyYR6Q21VydFLVH3TRQUabQu_ym0Zz7PgGX0-kHA/edit?usp=sharing"",""แผน!AQ50"")"),3500)</f>
        <v>3500</v>
      </c>
      <c r="M219" s="498"/>
      <c r="N219" s="840">
        <v>3500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IFERROR(__xludf.DUMMYFUNCTION("IMPORTRANGE(""https://docs.google.com/spreadsheets/d/1QqKyyYR6Q21VydFLVH3TRQUabQu_ym0Zz7PgGX0-kHA/edit?usp=sharing"",""แผน!AR50"")"),0)</f>
        <v>0</v>
      </c>
      <c r="M220" s="498"/>
      <c r="N220" s="840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7" t="s">
        <v>38</v>
      </c>
      <c r="E221" s="173"/>
      <c r="F221" s="173"/>
      <c r="G221" s="174"/>
      <c r="H221" s="76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4" t="s">
        <v>109</v>
      </c>
      <c r="I223" s="270">
        <f ca="1">IFERROR(__xludf.DUMMYFUNCTION("IMPORTRANGE(""https://docs.google.com/spreadsheets/d/1QqKyyYR6Q21VydFLVH3TRQUabQu_ym0Zz7PgGX0-kHA/edit?usp=sharing"",""แผน!AT50"")"),10000)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4" t="s">
        <v>109</v>
      </c>
      <c r="I224" s="270">
        <f ca="1">IFERROR(__xludf.DUMMYFUNCTION("IMPORTRANGE(""https://docs.google.com/spreadsheets/d/1QqKyyYR6Q21VydFLVH3TRQUabQu_ym0Zz7PgGX0-kHA/edit?usp=sharing"",""แผน!AT50"")"),10000)</f>
        <v>10000</v>
      </c>
      <c r="J224" s="215">
        <v>10000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4" t="s">
        <v>35</v>
      </c>
      <c r="I225" s="270">
        <f ca="1">IFERROR(__xludf.DUMMYFUNCTION("IMPORTRANGE(""https://docs.google.com/spreadsheets/d/1QqKyyYR6Q21VydFLVH3TRQUabQu_ym0Zz7PgGX0-kHA/edit?usp=sharing"",""แผน!AS50"")"),0)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8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2"/>
      <c r="P227" s="8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7"/>
      <c r="J229" s="617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7"/>
      <c r="J230" s="617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7"/>
      <c r="J231" s="617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7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7">
        <f t="shared" ref="I233:J233" ca="1" si="108">I244+I255</f>
        <v>0</v>
      </c>
      <c r="J233" s="617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7"/>
      <c r="J234" s="617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7">
        <f t="shared" ref="I235:J236" si="109">I246+I257</f>
        <v>0</v>
      </c>
      <c r="J235" s="617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7">
        <f t="shared" si="109"/>
        <v>0</v>
      </c>
      <c r="J236" s="617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IFERROR(__xludf.DUMMYFUNCTION("IMPORTRANGE(""https://docs.google.com/spreadsheets/d/1QqKyyYR6Q21VydFLVH3TRQUabQu_ym0Zz7PgGX0-kHA/edit?usp=sharing"",""แผน!AV50"")"),0)</f>
        <v>0</v>
      </c>
      <c r="M239" s="322"/>
      <c r="N239" s="88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IFERROR(__xludf.DUMMYFUNCTION("IMPORTRANGE(""https://docs.google.com/spreadsheets/d/1QqKyyYR6Q21VydFLVH3TRQUabQu_ym0Zz7PgGX0-kHA/edit?usp=sharing"",""แผน!AW50"")"),0)</f>
        <v>0</v>
      </c>
      <c r="M240" s="322"/>
      <c r="N240" s="88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IFERROR(__xludf.DUMMYFUNCTION("IMPORTRANGE(""https://docs.google.com/spreadsheets/d/1QqKyyYR6Q21VydFLVH3TRQUabQu_ym0Zz7PgGX0-kHA/edit?usp=sharing"",""แผน!AX50"")"),0)</f>
        <v>0</v>
      </c>
      <c r="M241" s="322"/>
      <c r="N241" s="88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IFERROR(__xludf.DUMMYFUNCTION("IMPORTRANGE(""https://docs.google.com/spreadsheets/d/1QqKyyYR6Q21VydFLVH3TRQUabQu_ym0Zz7PgGX0-kHA/edit?usp=sharing"",""แผน!AY50"")"),0)</f>
        <v>0</v>
      </c>
      <c r="M242" s="322"/>
      <c r="N242" s="88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7" t="s">
        <v>38</v>
      </c>
      <c r="E243" s="173"/>
      <c r="F243" s="173"/>
      <c r="G243" s="174"/>
      <c r="H243" s="762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4" t="s">
        <v>35</v>
      </c>
      <c r="I244" s="270">
        <f ca="1">IFERROR(__xludf.DUMMYFUNCTION("IMPORTRANGE(""https://docs.google.com/spreadsheets/d/1QqKyyYR6Q21VydFLVH3TRQUabQu_ym0Zz7PgGX0-kHA/edit?usp=sharing"",""แผน!BE50"")"),0)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4" t="s">
        <v>43</v>
      </c>
      <c r="E245" s="178"/>
      <c r="F245" s="178"/>
      <c r="G245" s="179"/>
      <c r="H245" s="764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4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4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8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IFERROR(__xludf.DUMMYFUNCTION("IMPORTRANGE(""https://docs.google.com/spreadsheets/d/1QqKyyYR6Q21VydFLVH3TRQUabQu_ym0Zz7PgGX0-kHA/edit?usp=sharing"",""แผน!AZ50"")"),0)</f>
        <v>0</v>
      </c>
      <c r="M250" s="322"/>
      <c r="N250" s="88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IFERROR(__xludf.DUMMYFUNCTION("IMPORTRANGE(""https://docs.google.com/spreadsheets/d/1QqKyyYR6Q21VydFLVH3TRQUabQu_ym0Zz7PgGX0-kHA/edit?usp=sharing"",""แผน!BA50"")"),0)</f>
        <v>0</v>
      </c>
      <c r="M251" s="322"/>
      <c r="N251" s="88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IFERROR(__xludf.DUMMYFUNCTION("IMPORTRANGE(""https://docs.google.com/spreadsheets/d/1QqKyyYR6Q21VydFLVH3TRQUabQu_ym0Zz7PgGX0-kHA/edit?usp=sharing"",""แผน!BB50"")"),0)</f>
        <v>0</v>
      </c>
      <c r="M252" s="322"/>
      <c r="N252" s="88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IFERROR(__xludf.DUMMYFUNCTION("IMPORTRANGE(""https://docs.google.com/spreadsheets/d/1QqKyyYR6Q21VydFLVH3TRQUabQu_ym0Zz7PgGX0-kHA/edit?usp=sharing"",""แผน!BC50"")"),0)</f>
        <v>0</v>
      </c>
      <c r="M253" s="322"/>
      <c r="N253" s="88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7" t="s">
        <v>38</v>
      </c>
      <c r="E254" s="173"/>
      <c r="F254" s="173"/>
      <c r="G254" s="174"/>
      <c r="H254" s="762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4" t="s">
        <v>35</v>
      </c>
      <c r="I255" s="270">
        <f ca="1">IFERROR(__xludf.DUMMYFUNCTION("IMPORTRANGE(""https://docs.google.com/spreadsheets/d/1QqKyyYR6Q21VydFLVH3TRQUabQu_ym0Zz7PgGX0-kHA/edit?usp=sharing"",""แผน!BF50"")"),0)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4" t="s">
        <v>43</v>
      </c>
      <c r="E256" s="178"/>
      <c r="F256" s="178"/>
      <c r="G256" s="179"/>
      <c r="H256" s="764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4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4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25000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7"/>
      <c r="J262" s="617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7"/>
      <c r="J263" s="617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25000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25000</v>
      </c>
      <c r="N264" s="498">
        <f t="shared" ca="1" si="120"/>
        <v>25000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IFERROR(__xludf.DUMMYFUNCTION("IMPORTRANGE(""https://docs.google.com/spreadsheets/d/1MeEWN-I1oV_STSDYn1IFDPWt_1FKiwhDph83XaGc0o0/edit?usp=sharing"",""งบพรบ!CY50"")"),25000)</f>
        <v>25000</v>
      </c>
      <c r="M266" s="93">
        <f ca="1">IFERROR(__xludf.DUMMYFUNCTION("IMPORTRANGE(""https://docs.google.com/spreadsheets/d/1MeEWN-I1oV_STSDYn1IFDPWt_1FKiwhDph83XaGc0o0/edit?usp=sharing"",""งบพรบ!DD50"")"),25000)</f>
        <v>25000</v>
      </c>
      <c r="N266" s="93">
        <f ca="1">IFERROR(__xludf.DUMMYFUNCTION("IMPORTRANGE(""https://docs.google.com/spreadsheets/d/1MeEWN-I1oV_STSDYn1IFDPWt_1FKiwhDph83XaGc0o0/edit?usp=sharing"",""งบพรบ!DF50"")"),25000)</f>
        <v>25000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IFERROR(__xludf.DUMMYFUNCTION("IMPORTRANGE(""https://docs.google.com/spreadsheets/d/1MeEWN-I1oV_STSDYn1IFDPWt_1FKiwhDph83XaGc0o0/edit?usp=sharing"",""งบพรบ!DB50"")"),0)</f>
        <v>0</v>
      </c>
      <c r="M269" s="93">
        <f ca="1">IFERROR(__xludf.DUMMYFUNCTION("IMPORTRANGE(""https://docs.google.com/spreadsheets/d/1MeEWN-I1oV_STSDYn1IFDPWt_1FKiwhDph83XaGc0o0/edit?usp=sharing"",""งบพรบ!DE50"")"),0)</f>
        <v>0</v>
      </c>
      <c r="N269" s="93">
        <f ca="1">IFERROR(__xludf.DUMMYFUNCTION("IMPORTRANGE(""https://docs.google.com/spreadsheets/d/1MeEWN-I1oV_STSDYn1IFDPWt_1FKiwhDph83XaGc0o0/edit?usp=sharing"",""งบพรบ!DG50"")"),0)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7" t="s">
        <v>38</v>
      </c>
      <c r="E270" s="173"/>
      <c r="F270" s="173"/>
      <c r="G270" s="174"/>
      <c r="H270" s="76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IFERROR(__xludf.DUMMYFUNCTION("IMPORTRANGE(""https://docs.google.com/spreadsheets/d/1QqKyyYR6Q21VydFLVH3TRQUabQu_ym0Zz7PgGX0-kHA/edit?usp=sharing"",""แผน!EA50"")"),20)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6">
        <v>0</v>
      </c>
      <c r="J272" s="506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50</v>
      </c>
      <c r="J275" s="406">
        <f t="shared" ca="1" si="122"/>
        <v>50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5">
        <f t="shared" ref="I276:J276" ca="1" si="124">I287</f>
        <v>500</v>
      </c>
      <c r="J276" s="885">
        <f t="shared" si="124"/>
        <v>500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181410</v>
      </c>
      <c r="M277" s="155">
        <f t="shared" ca="1" si="125"/>
        <v>181410</v>
      </c>
      <c r="N277" s="155">
        <f t="shared" ca="1" si="125"/>
        <v>181410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7"/>
      <c r="J278" s="617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7"/>
      <c r="J279" s="617"/>
      <c r="K279" s="93"/>
      <c r="L279" s="93">
        <f t="shared" ca="1" si="128"/>
        <v>181410</v>
      </c>
      <c r="M279" s="93">
        <f t="shared" ca="1" si="128"/>
        <v>181410</v>
      </c>
      <c r="N279" s="93">
        <f t="shared" ca="1" si="128"/>
        <v>181410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181410</v>
      </c>
      <c r="M280" s="498">
        <f t="shared" ca="1" si="129"/>
        <v>181410</v>
      </c>
      <c r="N280" s="498">
        <f t="shared" ca="1" si="129"/>
        <v>181410</v>
      </c>
      <c r="O280" s="498">
        <f t="shared" ca="1" si="126"/>
        <v>100</v>
      </c>
      <c r="P280" s="49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IFERROR(__xludf.DUMMYFUNCTION("IMPORTRANGE(""https://docs.google.com/spreadsheets/d/1MeEWN-I1oV_STSDYn1IFDPWt_1FKiwhDph83XaGc0o0/edit?usp=sharing"",""งบพรบ!DI50"")"),181410)</f>
        <v>181410</v>
      </c>
      <c r="M282" s="93">
        <f ca="1">IFERROR(__xludf.DUMMYFUNCTION("IMPORTRANGE(""https://docs.google.com/spreadsheets/d/1MeEWN-I1oV_STSDYn1IFDPWt_1FKiwhDph83XaGc0o0/edit?usp=sharing"",""งบพรบ!DN50"")"),181410)</f>
        <v>181410</v>
      </c>
      <c r="N282" s="93">
        <f ca="1">IFERROR(__xludf.DUMMYFUNCTION("IMPORTRANGE(""https://docs.google.com/spreadsheets/d/1MeEWN-I1oV_STSDYn1IFDPWt_1FKiwhDph83XaGc0o0/edit?usp=sharing"",""งบพรบ!DP50"")"),181410)</f>
        <v>181410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IFERROR(__xludf.DUMMYFUNCTION("IMPORTRANGE(""https://docs.google.com/spreadsheets/d/1MeEWN-I1oV_STSDYn1IFDPWt_1FKiwhDph83XaGc0o0/edit?usp=sharing"",""งบพรบ!DL50"")"),0)</f>
        <v>0</v>
      </c>
      <c r="M285" s="93">
        <f ca="1">IFERROR(__xludf.DUMMYFUNCTION("IMPORTRANGE(""https://docs.google.com/spreadsheets/d/1MeEWN-I1oV_STSDYn1IFDPWt_1FKiwhDph83XaGc0o0/edit?usp=sharing"",""งบพรบ!DO50"")"),0)</f>
        <v>0</v>
      </c>
      <c r="N285" s="93">
        <f ca="1">IFERROR(__xludf.DUMMYFUNCTION("IMPORTRANGE(""https://docs.google.com/spreadsheets/d/1MeEWN-I1oV_STSDYn1IFDPWt_1FKiwhDph83XaGc0o0/edit?usp=sharing"",""งบพรบ!DQ50"")"),0)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7" t="s">
        <v>38</v>
      </c>
      <c r="E286" s="173"/>
      <c r="F286" s="173"/>
      <c r="G286" s="174"/>
      <c r="H286" s="76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6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IFERROR(__xludf.DUMMYFUNCTION("IMPORTRANGE(""https://docs.google.com/spreadsheets/d/1QqKyyYR6Q21VydFLVH3TRQUabQu_ym0Zz7PgGX0-kHA/edit?usp=sharing"",""แผน!EC50"")"),500)</f>
        <v>500</v>
      </c>
      <c r="J287" s="215">
        <v>500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6" t="s">
        <v>130</v>
      </c>
      <c r="E288" s="171"/>
      <c r="F288" s="178"/>
      <c r="G288" s="179"/>
      <c r="H288" s="180" t="s">
        <v>35</v>
      </c>
      <c r="I288" s="681">
        <f ca="1">IFERROR(__xludf.DUMMYFUNCTION("IMPORTRANGE(""https://docs.google.com/spreadsheets/d/1QqKyyYR6Q21VydFLVH3TRQUabQu_ym0Zz7PgGX0-kHA/edit?usp=sharing"",""แผน!EB50"")"),50)</f>
        <v>50</v>
      </c>
      <c r="J288" s="681">
        <f ca="1">IF(AND(J291&gt;=I288,J294&gt;=I288),J294,0)</f>
        <v>50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6" t="s">
        <v>132</v>
      </c>
      <c r="F290" s="178"/>
      <c r="G290" s="179"/>
      <c r="H290" s="764" t="s">
        <v>35</v>
      </c>
      <c r="I290" s="184">
        <f ca="1">IFERROR(__xludf.DUMMYFUNCTION("IMPORTRANGE(""https://docs.google.com/spreadsheets/d/1QqKyyYR6Q21VydFLVH3TRQUabQu_ym0Zz7PgGX0-kHA/edit?usp=sharing"",""แผน!EB50"")"),50)</f>
        <v>50</v>
      </c>
      <c r="J290" s="215">
        <v>50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6" t="s">
        <v>133</v>
      </c>
      <c r="F291" s="178"/>
      <c r="G291" s="179"/>
      <c r="H291" s="764" t="s">
        <v>35</v>
      </c>
      <c r="I291" s="184">
        <f ca="1">IFERROR(__xludf.DUMMYFUNCTION("IMPORTRANGE(""https://docs.google.com/spreadsheets/d/1QqKyyYR6Q21VydFLVH3TRQUabQu_ym0Zz7PgGX0-kHA/edit?usp=sharing"",""แผน!EB50"")"),50)</f>
        <v>50</v>
      </c>
      <c r="J291" s="215">
        <v>50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6" t="s">
        <v>132</v>
      </c>
      <c r="F293" s="178"/>
      <c r="G293" s="179"/>
      <c r="H293" s="764" t="s">
        <v>35</v>
      </c>
      <c r="I293" s="184">
        <f ca="1">IFERROR(__xludf.DUMMYFUNCTION("IMPORTRANGE(""https://docs.google.com/spreadsheets/d/1QqKyyYR6Q21VydFLVH3TRQUabQu_ym0Zz7PgGX0-kHA/edit?usp=sharing"",""แผน!EB50"")"),50)</f>
        <v>50</v>
      </c>
      <c r="J293" s="215">
        <v>50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4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IFERROR(__xludf.DUMMYFUNCTION("IMPORTRANGE(""https://docs.google.com/spreadsheets/d/1QqKyyYR6Q21VydFLVH3TRQUabQu_ym0Zz7PgGX0-kHA/edit?usp=sharing"",""แผน!EB50"")"),50)</f>
        <v>50</v>
      </c>
      <c r="J294" s="424">
        <v>50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7"/>
      <c r="J299" s="617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7"/>
      <c r="J300" s="617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82400</v>
      </c>
      <c r="O301" s="498">
        <f t="shared" ca="1" si="136"/>
        <v>100</v>
      </c>
      <c r="P301" s="49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IFERROR(__xludf.DUMMYFUNCTION("IMPORTRANGE(""https://docs.google.com/spreadsheets/d/1MeEWN-I1oV_STSDYn1IFDPWt_1FKiwhDph83XaGc0o0/edit?usp=sharing"",""งบพรบ!DS50"")"),82400)</f>
        <v>82400</v>
      </c>
      <c r="M303" s="93">
        <f ca="1">IFERROR(__xludf.DUMMYFUNCTION("IMPORTRANGE(""https://docs.google.com/spreadsheets/d/1MeEWN-I1oV_STSDYn1IFDPWt_1FKiwhDph83XaGc0o0/edit?usp=sharing"",""งบพรบ!DX50"")"),82400)</f>
        <v>82400</v>
      </c>
      <c r="N303" s="93">
        <f ca="1">IFERROR(__xludf.DUMMYFUNCTION("IMPORTRANGE(""https://docs.google.com/spreadsheets/d/1MeEWN-I1oV_STSDYn1IFDPWt_1FKiwhDph83XaGc0o0/edit?usp=sharing"",""งบพรบ!DZ50"")"),82400)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IFERROR(__xludf.DUMMYFUNCTION("IMPORTRANGE(""https://docs.google.com/spreadsheets/d/1MeEWN-I1oV_STSDYn1IFDPWt_1FKiwhDph83XaGc0o0/edit?usp=sharing"",""งบพรบ!DV50"")"),0)</f>
        <v>0</v>
      </c>
      <c r="M306" s="93">
        <f ca="1">IFERROR(__xludf.DUMMYFUNCTION("IMPORTRANGE(""https://docs.google.com/spreadsheets/d/1MeEWN-I1oV_STSDYn1IFDPWt_1FKiwhDph83XaGc0o0/edit?usp=sharing"",""งบพรบ!DY50"")"),0)</f>
        <v>0</v>
      </c>
      <c r="N306" s="93">
        <f ca="1">IFERROR(__xludf.DUMMYFUNCTION("IMPORTRANGE(""https://docs.google.com/spreadsheets/d/1MeEWN-I1oV_STSDYn1IFDPWt_1FKiwhDph83XaGc0o0/edit?usp=sharing"",""งบพรบ!EA50"")"),0)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7" t="s">
        <v>38</v>
      </c>
      <c r="E307" s="173"/>
      <c r="F307" s="173"/>
      <c r="G307" s="174"/>
      <c r="H307" s="762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4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4" t="s">
        <v>35</v>
      </c>
      <c r="I309" s="270">
        <f ca="1">IFERROR(__xludf.DUMMYFUNCTION("IMPORTRANGE(""https://docs.google.com/spreadsheets/d/1QqKyyYR6Q21VydFLVH3TRQUabQu_ym0Zz7PgGX0-kHA/edit?usp=sharing"",""แผน!ED50"")"),20)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4" t="s">
        <v>35</v>
      </c>
      <c r="I310" s="270">
        <f ca="1">IFERROR(__xludf.DUMMYFUNCTION("IMPORTRANGE(""https://docs.google.com/spreadsheets/d/1QqKyyYR6Q21VydFLVH3TRQUabQu_ym0Zz7PgGX0-kHA/edit?usp=sharing"",""แผน!ED50"")"),20)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4" t="s">
        <v>35</v>
      </c>
      <c r="I311" s="270">
        <f ca="1">IFERROR(__xludf.DUMMYFUNCTION("IMPORTRANGE(""https://docs.google.com/spreadsheets/d/1QqKyyYR6Q21VydFLVH3TRQUabQu_ym0Zz7PgGX0-kHA/edit?usp=sharing"",""แผน!ED50"")"),20)</f>
        <v>20</v>
      </c>
      <c r="J311" s="215">
        <v>20</v>
      </c>
      <c r="K311" s="498">
        <f t="shared" ca="1" si="141"/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4" t="s">
        <v>35</v>
      </c>
      <c r="I312" s="270">
        <f ca="1">IFERROR(__xludf.DUMMYFUNCTION("IMPORTRANGE(""https://docs.google.com/spreadsheets/d/1QqKyyYR6Q21VydFLVH3TRQUabQu_ym0Zz7PgGX0-kHA/edit?usp=sharing"",""แผน!EE50"")"),4)</f>
        <v>4</v>
      </c>
      <c r="J312" s="215">
        <v>4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7"/>
      <c r="J316" s="617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7"/>
      <c r="J317" s="617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IFERROR(__xludf.DUMMYFUNCTION("IMPORTRANGE(""https://docs.google.com/spreadsheets/d/1MeEWN-I1oV_STSDYn1IFDPWt_1FKiwhDph83XaGc0o0/edit?usp=sharing"",""งบพรบ!EC50"")"),0)</f>
        <v>0</v>
      </c>
      <c r="M320" s="93">
        <f ca="1">IFERROR(__xludf.DUMMYFUNCTION("IMPORTRANGE(""https://docs.google.com/spreadsheets/d/1MeEWN-I1oV_STSDYn1IFDPWt_1FKiwhDph83XaGc0o0/edit?usp=sharing"",""งบพรบ!EH50"")"),0)</f>
        <v>0</v>
      </c>
      <c r="N320" s="93">
        <f ca="1">IFERROR(__xludf.DUMMYFUNCTION("IMPORTRANGE(""https://docs.google.com/spreadsheets/d/1MeEWN-I1oV_STSDYn1IFDPWt_1FKiwhDph83XaGc0o0/edit?usp=sharing"",""งบพรบ!EJ50"")"),0)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IFERROR(__xludf.DUMMYFUNCTION("IMPORTRANGE(""https://docs.google.com/spreadsheets/d/1MeEWN-I1oV_STSDYn1IFDPWt_1FKiwhDph83XaGc0o0/edit?usp=sharing"",""งบพรบ!EF50"")"),0)</f>
        <v>0</v>
      </c>
      <c r="M323" s="93">
        <f ca="1">IFERROR(__xludf.DUMMYFUNCTION("IMPORTRANGE(""https://docs.google.com/spreadsheets/d/1MeEWN-I1oV_STSDYn1IFDPWt_1FKiwhDph83XaGc0o0/edit?usp=sharing"",""งบพรบ!EI50"")"),0)</f>
        <v>0</v>
      </c>
      <c r="N323" s="93">
        <f ca="1">IFERROR(__xludf.DUMMYFUNCTION("IMPORTRANGE(""https://docs.google.com/spreadsheets/d/1MeEWN-I1oV_STSDYn1IFDPWt_1FKiwhDph83XaGc0o0/edit?usp=sharing"",""งบพรบ!EK50"")"),0)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7" t="s">
        <v>38</v>
      </c>
      <c r="E324" s="173"/>
      <c r="F324" s="173"/>
      <c r="G324" s="174"/>
      <c r="H324" s="762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3" t="s">
        <v>146</v>
      </c>
      <c r="I325" s="270">
        <f ca="1">IFERROR(__xludf.DUMMYFUNCTION("IMPORTRANGE(""https://docs.google.com/spreadsheets/d/1QqKyyYR6Q21VydFLVH3TRQUabQu_ym0Zz7PgGX0-kHA/edit?usp=sharing"",""แผน!EF50"")"),0)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IFERROR(__xludf.DUMMYFUNCTION("IMPORTRANGE(""https://docs.google.com/spreadsheets/d/1QqKyyYR6Q21VydFLVH3TRQUabQu_ym0Zz7PgGX0-kHA/edit?usp=sharing"",""แผน!EG50"")"),8800)</f>
        <v>8800</v>
      </c>
      <c r="J327" s="444">
        <f ca="1">J338+J341+J342+J343</f>
        <v>34365</v>
      </c>
      <c r="K327" s="445">
        <f ca="1">IF(I327&gt;0,J327*100/I327,0)</f>
        <v>390.51136363636363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192000</v>
      </c>
      <c r="M328" s="155">
        <f t="shared" ca="1" si="149"/>
        <v>194500</v>
      </c>
      <c r="N328" s="155">
        <f t="shared" ca="1" si="149"/>
        <v>194500</v>
      </c>
      <c r="O328" s="155">
        <f t="shared" ref="O328:O336" ca="1" si="150">IF(L328&gt;0,N328*100/L328,0)</f>
        <v>101.30208333333333</v>
      </c>
      <c r="P328" s="155">
        <f t="shared" ref="P328:P336" ca="1" si="151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7"/>
      <c r="J329" s="617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7"/>
      <c r="J330" s="617"/>
      <c r="K330" s="93"/>
      <c r="L330" s="93">
        <f t="shared" ca="1" si="152"/>
        <v>192000</v>
      </c>
      <c r="M330" s="93">
        <f t="shared" ca="1" si="152"/>
        <v>194500</v>
      </c>
      <c r="N330" s="93">
        <f t="shared" ca="1" si="152"/>
        <v>194500</v>
      </c>
      <c r="O330" s="93">
        <f t="shared" ca="1" si="150"/>
        <v>101.30208333333333</v>
      </c>
      <c r="P330" s="93">
        <f t="shared" ca="1" si="151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192000</v>
      </c>
      <c r="M331" s="498">
        <f t="shared" ca="1" si="153"/>
        <v>194500</v>
      </c>
      <c r="N331" s="498">
        <f t="shared" ca="1" si="153"/>
        <v>194500</v>
      </c>
      <c r="O331" s="498">
        <f t="shared" ca="1" si="150"/>
        <v>101.30208333333333</v>
      </c>
      <c r="P331" s="498">
        <f t="shared" ca="1" si="151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IFERROR(__xludf.DUMMYFUNCTION("IMPORTRANGE(""https://docs.google.com/spreadsheets/d/1MeEWN-I1oV_STSDYn1IFDPWt_1FKiwhDph83XaGc0o0/edit?usp=sharing"",""งบพรบ!EM50"")"),192000)</f>
        <v>192000</v>
      </c>
      <c r="M333" s="93">
        <f ca="1">IFERROR(__xludf.DUMMYFUNCTION("IMPORTRANGE(""https://docs.google.com/spreadsheets/d/1MeEWN-I1oV_STSDYn1IFDPWt_1FKiwhDph83XaGc0o0/edit?usp=sharing"",""งบพรบ!ER50"")"),194500)</f>
        <v>194500</v>
      </c>
      <c r="N333" s="93">
        <f ca="1">IFERROR(__xludf.DUMMYFUNCTION("IMPORTRANGE(""https://docs.google.com/spreadsheets/d/1MeEWN-I1oV_STSDYn1IFDPWt_1FKiwhDph83XaGc0o0/edit?usp=sharing"",""งบพรบ!ET50"")"),194500)</f>
        <v>194500</v>
      </c>
      <c r="O333" s="93">
        <f t="shared" ca="1" si="150"/>
        <v>101.30208333333333</v>
      </c>
      <c r="P333" s="93">
        <f t="shared" ca="1" si="151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IFERROR(__xludf.DUMMYFUNCTION("IMPORTRANGE(""https://docs.google.com/spreadsheets/d/1MeEWN-I1oV_STSDYn1IFDPWt_1FKiwhDph83XaGc0o0/edit?usp=sharing"",""งบพรบ!EP50"")"),0)</f>
        <v>0</v>
      </c>
      <c r="M336" s="93">
        <f ca="1">IFERROR(__xludf.DUMMYFUNCTION("IMPORTRANGE(""https://docs.google.com/spreadsheets/d/1MeEWN-I1oV_STSDYn1IFDPWt_1FKiwhDph83XaGc0o0/edit?usp=sharing"",""งบพรบ!ES50"")"),0)</f>
        <v>0</v>
      </c>
      <c r="N336" s="93">
        <f ca="1">IFERROR(__xludf.DUMMYFUNCTION("IMPORTRANGE(""https://docs.google.com/spreadsheets/d/1MeEWN-I1oV_STSDYn1IFDPWt_1FKiwhDph83XaGc0o0/edit?usp=sharing"",""งบพรบ!EU50"")"),0)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86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62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IFERROR(__xludf.DUMMYFUNCTION("IMPORTRANGE(""https://docs.google.com/spreadsheets/d/1QqKyyYR6Q21VydFLVH3TRQUabQu_ym0Zz7PgGX0-kHA/edit?usp=sharing"",""แผน!EG50"")"),8800)</f>
        <v>8800</v>
      </c>
      <c r="J338" s="270">
        <f ca="1">IFERROR(__xludf.DUMMYFUNCTION("IMPORTRANGE(""https://docs.google.com/spreadsheets/d/1kVcqe37tkHyjCSG3S0O1AXqVkqjo8mSIZil3BcpIysc/edit?usp=sharing"",""ศูนย์!D50"")"),33513)</f>
        <v>33513</v>
      </c>
      <c r="K338" s="498">
        <f ca="1">IF(I338&gt;0,J338*100/I338,0)</f>
        <v>380.82954545454544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IFERROR(__xludf.DUMMYFUNCTION("IMPORTRANGE(""https://docs.google.com/spreadsheets/d/1QqKyyYR6Q21VydFLVH3TRQUabQu_ym0Zz7PgGX0-kHA/edit?usp=sharing"",""แผน!EH50"")"),12)</f>
        <v>12</v>
      </c>
      <c r="J340" s="270">
        <f ca="1">IFERROR(__xludf.DUMMYFUNCTION("IMPORTRANGE(""https://docs.google.com/spreadsheets/d/1kVcqe37tkHyjCSG3S0O1AXqVkqjo8mSIZil3BcpIysc/edit?usp=sharing"",""ศูนย์!E50"")"),12)</f>
        <v>12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IFERROR(__xludf.DUMMYFUNCTION("IMPORTRANGE(""https://docs.google.com/spreadsheets/d/1kVcqe37tkHyjCSG3S0O1AXqVkqjo8mSIZil3BcpIysc/edit?usp=sharing"",""ศูนย์!F50"")"),494)</f>
        <v>494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IFERROR(__xludf.DUMMYFUNCTION("IMPORTRANGE(""https://docs.google.com/spreadsheets/d/1kVcqe37tkHyjCSG3S0O1AXqVkqjo8mSIZil3BcpIysc/edit?usp=sharing"",""ศูนย์!G50"")"),358)</f>
        <v>358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IFERROR(__xludf.DUMMYFUNCTION("IMPORTRANGE(""https://docs.google.com/spreadsheets/d/1kVcqe37tkHyjCSG3S0O1AXqVkqjo8mSIZil3BcpIysc/edit?usp=sharing"",""ศูนย์!H50"")"),0)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2655720</v>
      </c>
      <c r="M345" s="155">
        <f t="shared" ca="1" si="155"/>
        <v>2962732</v>
      </c>
      <c r="N345" s="155">
        <f t="shared" ca="1" si="155"/>
        <v>2962732</v>
      </c>
      <c r="O345" s="155">
        <f t="shared" ref="O345:O353" ca="1" si="156">IF(L345&gt;0,N345*100/L345,0)</f>
        <v>111.5604054644315</v>
      </c>
      <c r="P345" s="155">
        <f t="shared" ref="P345:P353" ca="1" si="157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7"/>
      <c r="J346" s="617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7"/>
      <c r="J347" s="617"/>
      <c r="K347" s="93"/>
      <c r="L347" s="93">
        <f t="shared" ca="1" si="158"/>
        <v>2655720</v>
      </c>
      <c r="M347" s="93">
        <f t="shared" ca="1" si="158"/>
        <v>2962732</v>
      </c>
      <c r="N347" s="93">
        <f t="shared" ca="1" si="158"/>
        <v>2962732</v>
      </c>
      <c r="O347" s="93">
        <f t="shared" ca="1" si="156"/>
        <v>111.5604054644315</v>
      </c>
      <c r="P347" s="93">
        <f t="shared" ca="1" si="157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2482320</v>
      </c>
      <c r="M348" s="498">
        <f t="shared" ca="1" si="159"/>
        <v>2789332</v>
      </c>
      <c r="N348" s="498">
        <f t="shared" ca="1" si="159"/>
        <v>2789332</v>
      </c>
      <c r="O348" s="498">
        <f t="shared" ca="1" si="156"/>
        <v>112.36794611492475</v>
      </c>
      <c r="P348" s="498">
        <f t="shared" ca="1" si="157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IFERROR(__xludf.DUMMYFUNCTION("IMPORTRANGE(""https://docs.google.com/spreadsheets/d/1MeEWN-I1oV_STSDYn1IFDPWt_1FKiwhDph83XaGc0o0/edit?usp=sharing"",""งบพรบ!EW50"")"),2482320)</f>
        <v>2482320</v>
      </c>
      <c r="M350" s="93">
        <f ca="1">IFERROR(__xludf.DUMMYFUNCTION("IMPORTRANGE(""https://docs.google.com/spreadsheets/d/1MeEWN-I1oV_STSDYn1IFDPWt_1FKiwhDph83XaGc0o0/edit?usp=sharing"",""งบพรบ!FB50"")"),2789332)</f>
        <v>2789332</v>
      </c>
      <c r="N350" s="93">
        <f ca="1">IFERROR(__xludf.DUMMYFUNCTION("IMPORTRANGE(""https://docs.google.com/spreadsheets/d/1MeEWN-I1oV_STSDYn1IFDPWt_1FKiwhDph83XaGc0o0/edit?usp=sharing"",""งบพรบ!FD50"")"),2789332)</f>
        <v>2789332</v>
      </c>
      <c r="O350" s="93">
        <f t="shared" ca="1" si="156"/>
        <v>112.36794611492475</v>
      </c>
      <c r="P350" s="93">
        <f t="shared" ca="1" si="157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173400</v>
      </c>
      <c r="M351" s="498">
        <f t="shared" ca="1" si="160"/>
        <v>173400</v>
      </c>
      <c r="N351" s="498">
        <f t="shared" ca="1" si="160"/>
        <v>173400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IFERROR(__xludf.DUMMYFUNCTION("IMPORTRANGE(""https://docs.google.com/spreadsheets/d/1MeEWN-I1oV_STSDYn1IFDPWt_1FKiwhDph83XaGc0o0/edit?usp=sharing"",""งบพรบ!EZ50"")"),173400)</f>
        <v>173400</v>
      </c>
      <c r="M353" s="93">
        <f ca="1">IFERROR(__xludf.DUMMYFUNCTION("IMPORTRANGE(""https://docs.google.com/spreadsheets/d/1MeEWN-I1oV_STSDYn1IFDPWt_1FKiwhDph83XaGc0o0/edit?usp=sharing"",""งบพรบ!FC50"")"),173400)</f>
        <v>173400</v>
      </c>
      <c r="N353" s="93">
        <f ca="1">IFERROR(__xludf.DUMMYFUNCTION("IMPORTRANGE(""https://docs.google.com/spreadsheets/d/1MeEWN-I1oV_STSDYn1IFDPWt_1FKiwhDph83XaGc0o0/edit?usp=sharing"",""งบพรบ!FE50"")"),173400)</f>
        <v>173400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8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IFERROR(__xludf.DUMMYFUNCTION("IMPORTRANGE(""https://docs.google.com/spreadsheets/d/1QqKyyYR6Q21VydFLVH3TRQUabQu_ym0Zz7PgGX0-kHA/edit?usp=sharing"",""แผน!EP50"")"),1650)</f>
        <v>1650</v>
      </c>
      <c r="J355" s="465">
        <f ca="1">J362</f>
        <v>1659</v>
      </c>
      <c r="K355" s="466">
        <f ca="1">IF(I355&gt;0,J355*100/I355,0)</f>
        <v>100.54545454545455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77" t="s">
        <v>38</v>
      </c>
      <c r="E357" s="173"/>
      <c r="F357" s="173"/>
      <c r="G357" s="174"/>
      <c r="H357" s="762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IFERROR(__xludf.DUMMYFUNCTION("IMPORTRANGE(""https://docs.google.com/spreadsheets/d/1XWAQStnk-4SwqDmLtmXYiTMKHgktTP8We1SCoS47DrQ/edit?usp=sharing"",""จัดที่ดิน!W50"")"),1998)</f>
        <v>1998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IFERROR(__xludf.DUMMYFUNCTION("IMPORTRANGE(""https://docs.google.com/spreadsheets/d/1QqKyyYR6Q21VydFLVH3TRQUabQu_ym0Zz7PgGX0-kHA/edit?usp=sharing"",""แผน!EO50"")"),21000)</f>
        <v>21000</v>
      </c>
      <c r="J359" s="270">
        <f ca="1">IFERROR(__xludf.DUMMYFUNCTION("IMPORTRANGE(""https://docs.google.com/spreadsheets/d/1XWAQStnk-4SwqDmLtmXYiTMKHgktTP8We1SCoS47DrQ/edit?usp=sharing"",""จัดที่ดิน!X50"")"),20074.32)</f>
        <v>20074.32</v>
      </c>
      <c r="K359" s="498">
        <f t="shared" ca="1" si="161"/>
        <v>95.591999999999999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4" t="s">
        <v>35</v>
      </c>
      <c r="I360" s="270">
        <f ca="1">IFERROR(__xludf.DUMMYFUNCTION("IMPORTRANGE(""https://docs.google.com/spreadsheets/d/1QqKyyYR6Q21VydFLVH3TRQUabQu_ym0Zz7PgGX0-kHA/edit?usp=sharing"",""แผน!EP50"")"),1650)</f>
        <v>1650</v>
      </c>
      <c r="J360" s="270">
        <f ca="1">IFERROR(__xludf.DUMMYFUNCTION("IMPORTRANGE(""https://docs.google.com/spreadsheets/d/1XWAQStnk-4SwqDmLtmXYiTMKHgktTP8We1SCoS47DrQ/edit?usp=sharing"",""จัดที่ดิน!Y50"")"),2099)</f>
        <v>2099</v>
      </c>
      <c r="K360" s="498">
        <f t="shared" ca="1" si="161"/>
        <v>127.21212121212122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IFERROR(__xludf.DUMMYFUNCTION("IMPORTRANGE(""https://docs.google.com/spreadsheets/d/1XWAQStnk-4SwqDmLtmXYiTMKHgktTP8We1SCoS47DrQ/edit?usp=sharing"",""จัดที่ดิน!Z50"")"),23412.14)</f>
        <v>23412.14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4" t="s">
        <v>35</v>
      </c>
      <c r="I362" s="270">
        <f ca="1">IFERROR(__xludf.DUMMYFUNCTION("IMPORTRANGE(""https://docs.google.com/spreadsheets/d/1QqKyyYR6Q21VydFLVH3TRQUabQu_ym0Zz7PgGX0-kHA/edit?usp=sharing"",""แผน!EP50"")"),1650)</f>
        <v>1650</v>
      </c>
      <c r="J362" s="270">
        <f ca="1">IFERROR(__xludf.DUMMYFUNCTION("IMPORTRANGE(""https://docs.google.com/spreadsheets/d/1XWAQStnk-4SwqDmLtmXYiTMKHgktTP8We1SCoS47DrQ/edit?usp=sharing"",""จัดที่ดิน!AA50"")"),1659)</f>
        <v>1659</v>
      </c>
      <c r="K362" s="498">
        <f t="shared" ca="1" si="161"/>
        <v>100.54545454545455</v>
      </c>
      <c r="L362" s="163"/>
      <c r="M362" s="163"/>
      <c r="N362" s="163"/>
      <c r="O362" s="163"/>
      <c r="P362" s="163"/>
    </row>
    <row r="363" spans="1:26" ht="18.75" hidden="1">
      <c r="A363" s="499" t="s">
        <v>169</v>
      </c>
      <c r="B363" s="178"/>
      <c r="C363" s="171"/>
      <c r="D363" s="178"/>
      <c r="E363" s="447"/>
      <c r="F363" s="178"/>
      <c r="G363" s="179"/>
      <c r="H363" s="76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IFERROR(__xludf.DUMMYFUNCTION("IMPORTRANGE(""https://docs.google.com/spreadsheets/d/1XWAQStnk-4SwqDmLtmXYiTMKHgktTP8We1SCoS47DrQ/edit?usp=sharing"",""จัดที่ดิน!AB50"")"),16235.47)</f>
        <v>16235.47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t="shared" ref="I364:J364" ca="1" si="162">I365+I374</f>
        <v>2150</v>
      </c>
      <c r="J364" s="479">
        <f t="shared" ca="1" si="162"/>
        <v>2170</v>
      </c>
      <c r="K364" s="480">
        <f t="shared" ca="1" si="161"/>
        <v>100.93023255813954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IFERROR(__xludf.DUMMYFUNCTION("IMPORTRANGE(""https://docs.google.com/spreadsheets/d/1QqKyyYR6Q21VydFLVH3TRQUabQu_ym0Zz7PgGX0-kHA/edit?usp=sharing"",""แผน!EJ50"")"),400)</f>
        <v>400</v>
      </c>
      <c r="J365" s="491">
        <f ca="1">J372</f>
        <v>429</v>
      </c>
      <c r="K365" s="492">
        <f t="shared" ca="1" si="161"/>
        <v>107.25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77" t="s">
        <v>38</v>
      </c>
      <c r="E367" s="173"/>
      <c r="F367" s="173"/>
      <c r="G367" s="174"/>
      <c r="H367" s="762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IFERROR(__xludf.DUMMYFUNCTION("IMPORTRANGE(""https://docs.google.com/spreadsheets/d/1XWAQStnk-4SwqDmLtmXYiTMKHgktTP8We1SCoS47DrQ/edit?usp=sharing"",""จัดที่ดิน!E50"")"),482)</f>
        <v>482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IFERROR(__xludf.DUMMYFUNCTION("IMPORTRANGE(""https://docs.google.com/spreadsheets/d/1QqKyyYR6Q21VydFLVH3TRQUabQu_ym0Zz7PgGX0-kHA/edit?usp=sharing"",""แผน!EI50"")"),6000)</f>
        <v>6000</v>
      </c>
      <c r="J369" s="270">
        <f ca="1">IFERROR(__xludf.DUMMYFUNCTION("IMPORTRANGE(""https://docs.google.com/spreadsheets/d/1XWAQStnk-4SwqDmLtmXYiTMKHgktTP8We1SCoS47DrQ/edit?usp=sharing"",""จัดที่ดิน!F50"")"),5616.51)</f>
        <v>5616.51</v>
      </c>
      <c r="K369" s="498">
        <f t="shared" ca="1" si="163"/>
        <v>93.608500000000006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4" t="s">
        <v>35</v>
      </c>
      <c r="I370" s="270">
        <f ca="1">IFERROR(__xludf.DUMMYFUNCTION("IMPORTRANGE(""https://docs.google.com/spreadsheets/d/1QqKyyYR6Q21VydFLVH3TRQUabQu_ym0Zz7PgGX0-kHA/edit?usp=sharing"",""แผน!EJ50"")"),400)</f>
        <v>400</v>
      </c>
      <c r="J370" s="270">
        <f ca="1">IFERROR(__xludf.DUMMYFUNCTION("IMPORTRANGE(""https://docs.google.com/spreadsheets/d/1XWAQStnk-4SwqDmLtmXYiTMKHgktTP8We1SCoS47DrQ/edit?usp=sharing"",""จัดที่ดิน!G50"")"),448)</f>
        <v>448</v>
      </c>
      <c r="K370" s="498">
        <f t="shared" ca="1" si="163"/>
        <v>112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IFERROR(__xludf.DUMMYFUNCTION("IMPORTRANGE(""https://docs.google.com/spreadsheets/d/1XWAQStnk-4SwqDmLtmXYiTMKHgktTP8We1SCoS47DrQ/edit?usp=sharing"",""จัดที่ดิน!H50"")"),5178.1)</f>
        <v>5178.1000000000004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4" t="s">
        <v>35</v>
      </c>
      <c r="I372" s="270">
        <f ca="1">IFERROR(__xludf.DUMMYFUNCTION("IMPORTRANGE(""https://docs.google.com/spreadsheets/d/1QqKyyYR6Q21VydFLVH3TRQUabQu_ym0Zz7PgGX0-kHA/edit?usp=sharing"",""แผน!EJ50"")"),400)</f>
        <v>400</v>
      </c>
      <c r="J372" s="270">
        <f ca="1">IFERROR(__xludf.DUMMYFUNCTION("IMPORTRANGE(""https://docs.google.com/spreadsheets/d/1XWAQStnk-4SwqDmLtmXYiTMKHgktTP8We1SCoS47DrQ/edit?usp=sharing"",""จัดที่ดิน!I50"")"),429)</f>
        <v>429</v>
      </c>
      <c r="K372" s="498">
        <f t="shared" ca="1" si="163"/>
        <v>107.25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8"/>
      <c r="C373" s="171"/>
      <c r="D373" s="178"/>
      <c r="E373" s="447"/>
      <c r="F373" s="178"/>
      <c r="G373" s="179"/>
      <c r="H373" s="76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IFERROR(__xludf.DUMMYFUNCTION("IMPORTRANGE(""https://docs.google.com/spreadsheets/d/1XWAQStnk-4SwqDmLtmXYiTMKHgktTP8We1SCoS47DrQ/edit?usp=sharing"",""จัดที่ดิน!J50"")"),4784.04)</f>
        <v>4784.04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IFERROR(__xludf.DUMMYFUNCTION("IMPORTRANGE(""https://docs.google.com/spreadsheets/d/1QqKyyYR6Q21VydFLVH3TRQUabQu_ym0Zz7PgGX0-kHA/edit?usp=sharing"",""แผน!EU50"")"),1750)</f>
        <v>1750</v>
      </c>
      <c r="J374" s="491">
        <f ca="1">J381</f>
        <v>1741</v>
      </c>
      <c r="K374" s="492">
        <f t="shared" ca="1" si="163"/>
        <v>99.48571428571428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77" t="s">
        <v>38</v>
      </c>
      <c r="E376" s="173"/>
      <c r="F376" s="173"/>
      <c r="G376" s="174"/>
      <c r="H376" s="762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IFERROR(__xludf.DUMMYFUNCTION("IMPORTRANGE(""https://docs.google.com/spreadsheets/d/1XWAQStnk-4SwqDmLtmXYiTMKHgktTP8We1SCoS47DrQ/edit?usp=sharing"",""จัดที่ดิน!AH50"")"),1516)</f>
        <v>1516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IFERROR(__xludf.DUMMYFUNCTION("IMPORTRANGE(""https://docs.google.com/spreadsheets/d/1QqKyyYR6Q21VydFLVH3TRQUabQu_ym0Zz7PgGX0-kHA/edit?usp=sharing"",""แผน!ET50"")"),15000)</f>
        <v>15000</v>
      </c>
      <c r="J378" s="270">
        <f ca="1">IFERROR(__xludf.DUMMYFUNCTION("IMPORTRANGE(""https://docs.google.com/spreadsheets/d/1XWAQStnk-4SwqDmLtmXYiTMKHgktTP8We1SCoS47DrQ/edit?usp=sharing"",""จัดที่ดิน!AI50"")"),14457.81)</f>
        <v>14457.81</v>
      </c>
      <c r="K378" s="498">
        <f t="shared" ca="1" si="164"/>
        <v>96.385400000000004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4" t="s">
        <v>35</v>
      </c>
      <c r="I379" s="270">
        <f ca="1">IFERROR(__xludf.DUMMYFUNCTION("IMPORTRANGE(""https://docs.google.com/spreadsheets/d/1QqKyyYR6Q21VydFLVH3TRQUabQu_ym0Zz7PgGX0-kHA/edit?usp=sharing"",""แผน!EU50"")"),1750)</f>
        <v>1750</v>
      </c>
      <c r="J379" s="270">
        <f ca="1">IFERROR(__xludf.DUMMYFUNCTION("IMPORTRANGE(""https://docs.google.com/spreadsheets/d/1XWAQStnk-4SwqDmLtmXYiTMKHgktTP8We1SCoS47DrQ/edit?usp=sharing"",""จัดที่ดิน!AJ50"")"),2166)</f>
        <v>2166</v>
      </c>
      <c r="K379" s="498">
        <f t="shared" ca="1" si="164"/>
        <v>123.77142857142857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IFERROR(__xludf.DUMMYFUNCTION("IMPORTRANGE(""https://docs.google.com/spreadsheets/d/1XWAQStnk-4SwqDmLtmXYiTMKHgktTP8We1SCoS47DrQ/edit?usp=sharing"",""จัดที่ดิน!AK50"")"),25981.06)</f>
        <v>25981.06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4" t="s">
        <v>35</v>
      </c>
      <c r="I381" s="270">
        <f ca="1">IFERROR(__xludf.DUMMYFUNCTION("IMPORTRANGE(""https://docs.google.com/spreadsheets/d/1QqKyyYR6Q21VydFLVH3TRQUabQu_ym0Zz7PgGX0-kHA/edit?usp=sharing"",""แผน!EU50"")"),1750)</f>
        <v>1750</v>
      </c>
      <c r="J381" s="270">
        <f ca="1">IFERROR(__xludf.DUMMYFUNCTION("IMPORTRANGE(""https://docs.google.com/spreadsheets/d/1XWAQStnk-4SwqDmLtmXYiTMKHgktTP8We1SCoS47DrQ/edit?usp=sharing"",""จัดที่ดิน!AL50"")"),1741)</f>
        <v>1741</v>
      </c>
      <c r="K381" s="498">
        <f t="shared" ca="1" si="164"/>
        <v>99.48571428571428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8"/>
      <c r="C382" s="171"/>
      <c r="D382" s="178"/>
      <c r="E382" s="447"/>
      <c r="F382" s="178"/>
      <c r="G382" s="179"/>
      <c r="H382" s="76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IFERROR(__xludf.DUMMYFUNCTION("IMPORTRANGE(""https://docs.google.com/spreadsheets/d/1XWAQStnk-4SwqDmLtmXYiTMKHgktTP8We1SCoS47DrQ/edit?usp=sharing"",""จัดที่ดิน!AM50"")"),19128.48)</f>
        <v>19128.48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500"/>
      <c r="B383" s="501"/>
      <c r="C383" s="291"/>
      <c r="D383" s="889" t="s">
        <v>170</v>
      </c>
      <c r="E383" s="291"/>
      <c r="F383" s="291"/>
      <c r="G383" s="503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86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62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4" t="s">
        <v>171</v>
      </c>
      <c r="F385" s="381"/>
      <c r="G385" s="382"/>
      <c r="H385" s="505" t="s">
        <v>35</v>
      </c>
      <c r="I385" s="506">
        <f ca="1">IFERROR(__xludf.DUMMYFUNCTION("IMPORTRANGE(""https://docs.google.com/spreadsheets/d/1QqKyyYR6Q21VydFLVH3TRQUabQu_ym0Zz7PgGX0-kHA/edit?usp=sharing"",""แผน!EW50"")"),100)</f>
        <v>100</v>
      </c>
      <c r="J385" s="506">
        <f ca="1">IFERROR(__xludf.DUMMYFUNCTION("IMPORTRANGE(""https://docs.google.com/spreadsheets/d/1XWAQStnk-4SwqDmLtmXYiTMKHgktTP8We1SCoS47DrQ/edit?usp=sharing"",""จัดที่ดิน!AP50"")"),25)</f>
        <v>25</v>
      </c>
      <c r="K385" s="507">
        <f ca="1">IF(I385&gt;0,J385*100/I385,0)</f>
        <v>25</v>
      </c>
      <c r="L385" s="385"/>
      <c r="M385" s="385"/>
      <c r="N385" s="385"/>
      <c r="O385" s="385"/>
      <c r="P385" s="385"/>
    </row>
    <row r="386" spans="1:26" ht="19.5" hidden="1">
      <c r="A386" s="508" t="s">
        <v>172</v>
      </c>
      <c r="B386" s="509"/>
      <c r="C386" s="509"/>
      <c r="D386" s="509"/>
      <c r="E386" s="510"/>
      <c r="F386" s="510"/>
      <c r="G386" s="511"/>
      <c r="H386" s="512"/>
      <c r="I386" s="513"/>
      <c r="J386" s="513"/>
      <c r="K386" s="514"/>
      <c r="L386" s="514"/>
      <c r="M386" s="514"/>
      <c r="N386" s="514"/>
      <c r="O386" s="514"/>
      <c r="P386" s="514"/>
    </row>
    <row r="387" spans="1:26" ht="19.5" hidden="1">
      <c r="A387" s="515" t="s">
        <v>173</v>
      </c>
      <c r="B387" s="516"/>
      <c r="C387" s="516"/>
      <c r="D387" s="517"/>
      <c r="E387" s="516"/>
      <c r="F387" s="516"/>
      <c r="G387" s="516"/>
      <c r="H387" s="518"/>
      <c r="I387" s="519"/>
      <c r="J387" s="519"/>
      <c r="K387" s="520"/>
      <c r="L387" s="520"/>
      <c r="M387" s="520"/>
      <c r="N387" s="520"/>
      <c r="O387" s="520"/>
      <c r="P387" s="520"/>
    </row>
    <row r="388" spans="1:26" ht="19.5" hidden="1">
      <c r="A388" s="521"/>
      <c r="B388" s="522" t="s">
        <v>174</v>
      </c>
      <c r="C388" s="523"/>
      <c r="D388" s="524"/>
      <c r="E388" s="524"/>
      <c r="F388" s="524"/>
      <c r="G388" s="525"/>
      <c r="H388" s="526" t="s">
        <v>66</v>
      </c>
      <c r="I388" s="527">
        <f t="shared" ref="I388:J388" si="165">I400</f>
        <v>0</v>
      </c>
      <c r="J388" s="527">
        <f t="shared" si="165"/>
        <v>0</v>
      </c>
      <c r="K388" s="528">
        <f>IF(I388&gt;0,J388*100/I388,0)</f>
        <v>0</v>
      </c>
      <c r="L388" s="529"/>
      <c r="M388" s="529"/>
      <c r="N388" s="529"/>
      <c r="O388" s="529"/>
      <c r="P388" s="529"/>
    </row>
    <row r="389" spans="1:26" ht="19.5" hidden="1">
      <c r="A389" s="147"/>
      <c r="B389" s="148"/>
      <c r="C389" s="149" t="s">
        <v>16</v>
      </c>
      <c r="D389" s="87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7"/>
      <c r="J390" s="617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7"/>
      <c r="J391" s="617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IFERROR(__xludf.DUMMYFUNCTION("IMPORTRANGE(""https://docs.google.com/spreadsheets/d/1MeEWN-I1oV_STSDYn1IFDPWt_1FKiwhDph83XaGc0o0/edit?usp=sharing"",""งบพรบ!FG50"")"),0)</f>
        <v>0</v>
      </c>
      <c r="M394" s="93">
        <f ca="1">IFERROR(__xludf.DUMMYFUNCTION("IMPORTRANGE(""https://docs.google.com/spreadsheets/d/1MeEWN-I1oV_STSDYn1IFDPWt_1FKiwhDph83XaGc0o0/edit?usp=sharing"",""งบพรบ!FL50"")"),0)</f>
        <v>0</v>
      </c>
      <c r="N394" s="93">
        <f ca="1">IFERROR(__xludf.DUMMYFUNCTION("IMPORTRANGE(""https://docs.google.com/spreadsheets/d/1MeEWN-I1oV_STSDYn1IFDPWt_1FKiwhDph83XaGc0o0/edit?usp=sharing"",""งบพรบ!FN50"")"),0)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IFERROR(__xludf.DUMMYFUNCTION("IMPORTRANGE(""https://docs.google.com/spreadsheets/d/1MeEWN-I1oV_STSDYn1IFDPWt_1FKiwhDph83XaGc0o0/edit?usp=sharing"",""งบพรบ!FJ50"")"),0)</f>
        <v>0</v>
      </c>
      <c r="M397" s="93">
        <f ca="1">IFERROR(__xludf.DUMMYFUNCTION("IMPORTRANGE(""https://docs.google.com/spreadsheets/d/1MeEWN-I1oV_STSDYn1IFDPWt_1FKiwhDph83XaGc0o0/edit?usp=sharing"",""งบพรบ!FM50"")"),0)</f>
        <v>0</v>
      </c>
      <c r="N397" s="93">
        <f ca="1">IFERROR(__xludf.DUMMYFUNCTION("IMPORTRANGE(""https://docs.google.com/spreadsheets/d/1MeEWN-I1oV_STSDYn1IFDPWt_1FKiwhDph83XaGc0o0/edit?usp=sharing"",""งบพรบ!FO50"")"),0)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7" t="s">
        <v>38</v>
      </c>
      <c r="E398" s="173"/>
      <c r="F398" s="173"/>
      <c r="G398" s="174"/>
      <c r="H398" s="762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30"/>
      <c r="B399" s="148"/>
      <c r="C399" s="531"/>
      <c r="D399" s="532" t="s">
        <v>175</v>
      </c>
      <c r="E399" s="415"/>
      <c r="F399" s="148"/>
      <c r="G399" s="151"/>
      <c r="H399" s="533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4"/>
      <c r="M399" s="534"/>
      <c r="N399" s="534"/>
      <c r="O399" s="534"/>
      <c r="P399" s="534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1"/>
      <c r="B401" s="522" t="s">
        <v>177</v>
      </c>
      <c r="C401" s="523"/>
      <c r="D401" s="524"/>
      <c r="E401" s="524"/>
      <c r="F401" s="524"/>
      <c r="G401" s="525"/>
      <c r="H401" s="526" t="s">
        <v>66</v>
      </c>
      <c r="I401" s="527">
        <f t="shared" ref="I401:J401" si="173">I412</f>
        <v>0</v>
      </c>
      <c r="J401" s="527">
        <f t="shared" si="173"/>
        <v>0</v>
      </c>
      <c r="K401" s="528">
        <f t="shared" si="172"/>
        <v>0</v>
      </c>
      <c r="L401" s="529"/>
      <c r="M401" s="529"/>
      <c r="N401" s="529"/>
      <c r="O401" s="529"/>
      <c r="P401" s="529"/>
    </row>
    <row r="402" spans="1:26" ht="19.5" hidden="1">
      <c r="A402" s="147"/>
      <c r="B402" s="148"/>
      <c r="C402" s="149" t="s">
        <v>16</v>
      </c>
      <c r="D402" s="87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7"/>
      <c r="J403" s="617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7"/>
      <c r="J404" s="617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IFERROR(__xludf.DUMMYFUNCTION("IMPORTRANGE(""https://docs.google.com/spreadsheets/d/1MeEWN-I1oV_STSDYn1IFDPWt_1FKiwhDph83XaGc0o0/edit?usp=sharing"",""งบพรบ!FQ50"")"),0)</f>
        <v>0</v>
      </c>
      <c r="M407" s="93">
        <f ca="1">IFERROR(__xludf.DUMMYFUNCTION("IMPORTRANGE(""https://docs.google.com/spreadsheets/d/1MeEWN-I1oV_STSDYn1IFDPWt_1FKiwhDph83XaGc0o0/edit?usp=sharing"",""งบพรบ!FV50"")"),0)</f>
        <v>0</v>
      </c>
      <c r="N407" s="93">
        <f ca="1">IFERROR(__xludf.DUMMYFUNCTION("IMPORTRANGE(""https://docs.google.com/spreadsheets/d/1MeEWN-I1oV_STSDYn1IFDPWt_1FKiwhDph83XaGc0o0/edit?usp=sharing"",""งบพรบ!FX50"")"),0)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IFERROR(__xludf.DUMMYFUNCTION("IMPORTRANGE(""https://docs.google.com/spreadsheets/d/1MeEWN-I1oV_STSDYn1IFDPWt_1FKiwhDph83XaGc0o0/edit?usp=sharing"",""งบพรบ!FT50"")"),0)</f>
        <v>0</v>
      </c>
      <c r="M410" s="93">
        <f ca="1">IFERROR(__xludf.DUMMYFUNCTION("IMPORTRANGE(""https://docs.google.com/spreadsheets/d/1MeEWN-I1oV_STSDYn1IFDPWt_1FKiwhDph83XaGc0o0/edit?usp=sharing"",""งบพรบ!FW50"")"),0)</f>
        <v>0</v>
      </c>
      <c r="N410" s="93">
        <f ca="1">IFERROR(__xludf.DUMMYFUNCTION("IMPORTRANGE(""https://docs.google.com/spreadsheets/d/1MeEWN-I1oV_STSDYn1IFDPWt_1FKiwhDph83XaGc0o0/edit?usp=sharing"",""งบพรบ!FY50"")"),0)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90" t="s">
        <v>38</v>
      </c>
      <c r="E411" s="536"/>
      <c r="F411" s="536"/>
      <c r="G411" s="537"/>
      <c r="H411" s="762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8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9"/>
      <c r="B413" s="540"/>
      <c r="C413" s="540"/>
      <c r="D413" s="541" t="s">
        <v>179</v>
      </c>
      <c r="E413" s="540"/>
      <c r="F413" s="540"/>
      <c r="G413" s="542"/>
      <c r="H413" s="543" t="s">
        <v>180</v>
      </c>
      <c r="I413" s="544">
        <v>0</v>
      </c>
      <c r="J413" s="545">
        <v>0</v>
      </c>
      <c r="K413" s="546">
        <f t="shared" si="180"/>
        <v>0</v>
      </c>
      <c r="L413" s="547"/>
      <c r="M413" s="547"/>
      <c r="N413" s="547"/>
      <c r="O413" s="547"/>
      <c r="P413" s="547"/>
    </row>
    <row r="414" spans="1:26" ht="19.5">
      <c r="A414" s="548" t="s">
        <v>181</v>
      </c>
      <c r="B414" s="549"/>
      <c r="C414" s="549"/>
      <c r="D414" s="549"/>
      <c r="E414" s="549"/>
      <c r="F414" s="549"/>
      <c r="G414" s="550"/>
      <c r="H414" s="551"/>
      <c r="I414" s="552"/>
      <c r="J414" s="552"/>
      <c r="K414" s="553"/>
      <c r="L414" s="554">
        <f t="shared" ref="L414:N414" ca="1" si="181">L419+L444+L467+L502+L523+L544+L629+L655+L685+L737+L754+L770+L786+L805</f>
        <v>3975565</v>
      </c>
      <c r="M414" s="554">
        <f t="shared" ca="1" si="181"/>
        <v>4170829.5000000005</v>
      </c>
      <c r="N414" s="554">
        <f t="shared" si="181"/>
        <v>4170829.5</v>
      </c>
      <c r="O414" s="554">
        <f ca="1">IF(L414&gt;0,N414*100/L414,0)</f>
        <v>104.91161633629434</v>
      </c>
      <c r="P414" s="554">
        <f ca="1">IF(M414&gt;0,N414*100/M414,0)</f>
        <v>99.999999999999986</v>
      </c>
    </row>
    <row r="415" spans="1:26" ht="19.5">
      <c r="A415" s="555" t="s">
        <v>182</v>
      </c>
      <c r="B415" s="556"/>
      <c r="C415" s="556"/>
      <c r="D415" s="556"/>
      <c r="E415" s="556"/>
      <c r="F415" s="556"/>
      <c r="G415" s="556"/>
      <c r="H415" s="557"/>
      <c r="I415" s="558"/>
      <c r="J415" s="558"/>
      <c r="K415" s="559"/>
      <c r="L415" s="560"/>
      <c r="M415" s="560"/>
      <c r="N415" s="560"/>
      <c r="O415" s="560"/>
      <c r="P415" s="560"/>
    </row>
    <row r="416" spans="1:26" ht="19.5">
      <c r="A416" s="555" t="s">
        <v>183</v>
      </c>
      <c r="B416" s="556"/>
      <c r="C416" s="556"/>
      <c r="D416" s="556"/>
      <c r="E416" s="556"/>
      <c r="F416" s="556"/>
      <c r="G416" s="561"/>
      <c r="H416" s="562"/>
      <c r="I416" s="563"/>
      <c r="J416" s="563"/>
      <c r="K416" s="560"/>
      <c r="L416" s="560"/>
      <c r="M416" s="560"/>
      <c r="N416" s="560"/>
      <c r="O416" s="560"/>
      <c r="P416" s="560"/>
    </row>
    <row r="417" spans="1:26" ht="39">
      <c r="A417" s="564">
        <v>1</v>
      </c>
      <c r="B417" s="566" t="s">
        <v>184</v>
      </c>
      <c r="C417" s="566"/>
      <c r="D417" s="567"/>
      <c r="E417" s="567"/>
      <c r="F417" s="567"/>
      <c r="G417" s="568"/>
      <c r="H417" s="569" t="s">
        <v>35</v>
      </c>
      <c r="I417" s="570">
        <f t="shared" ref="I417:J418" ca="1" si="182">I433</f>
        <v>15</v>
      </c>
      <c r="J417" s="570">
        <f t="shared" ca="1" si="182"/>
        <v>15</v>
      </c>
      <c r="K417" s="571">
        <f t="shared" ref="K417:K418" ca="1" si="183">IF(I417&gt;0,J417*100/I417,0)</f>
        <v>100</v>
      </c>
      <c r="L417" s="572"/>
      <c r="M417" s="572"/>
      <c r="N417" s="572"/>
      <c r="O417" s="572"/>
      <c r="P417" s="572"/>
    </row>
    <row r="418" spans="1:26" ht="19.5">
      <c r="A418" s="573"/>
      <c r="B418" s="564"/>
      <c r="C418" s="566"/>
      <c r="D418" s="567"/>
      <c r="E418" s="567"/>
      <c r="F418" s="567"/>
      <c r="G418" s="568"/>
      <c r="H418" s="569" t="s">
        <v>49</v>
      </c>
      <c r="I418" s="570">
        <f t="shared" ca="1" si="182"/>
        <v>1</v>
      </c>
      <c r="J418" s="570">
        <f t="shared" si="182"/>
        <v>1</v>
      </c>
      <c r="K418" s="571">
        <f t="shared" ca="1" si="183"/>
        <v>100</v>
      </c>
      <c r="L418" s="572"/>
      <c r="M418" s="572"/>
      <c r="N418" s="572"/>
      <c r="O418" s="572"/>
      <c r="P418" s="572"/>
    </row>
    <row r="419" spans="1:26" ht="19.5">
      <c r="A419" s="147"/>
      <c r="B419" s="148"/>
      <c r="C419" s="148" t="s">
        <v>16</v>
      </c>
      <c r="D419" s="891" t="s">
        <v>17</v>
      </c>
      <c r="E419" s="862"/>
      <c r="F419" s="86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67560</v>
      </c>
      <c r="M419" s="155">
        <f t="shared" ca="1" si="184"/>
        <v>67560</v>
      </c>
      <c r="N419" s="155">
        <f t="shared" si="184"/>
        <v>67560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7"/>
      <c r="J420" s="617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7"/>
      <c r="J421" s="617"/>
      <c r="K421" s="93"/>
      <c r="L421" s="93">
        <f t="shared" ca="1" si="187"/>
        <v>67560</v>
      </c>
      <c r="M421" s="93">
        <f t="shared" ca="1" si="187"/>
        <v>67560</v>
      </c>
      <c r="N421" s="93">
        <f t="shared" si="187"/>
        <v>67560</v>
      </c>
      <c r="O421" s="93">
        <f t="shared" ca="1" si="185"/>
        <v>100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67560</v>
      </c>
      <c r="M422" s="498">
        <f t="shared" ca="1" si="188"/>
        <v>67560</v>
      </c>
      <c r="N422" s="498">
        <f t="shared" si="188"/>
        <v>67560</v>
      </c>
      <c r="O422" s="498">
        <f t="shared" ca="1" si="185"/>
        <v>100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7"/>
      <c r="J423" s="617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7"/>
      <c r="J424" s="617"/>
      <c r="K424" s="93"/>
      <c r="L424" s="93">
        <f ca="1">IFERROR(__xludf.DUMMYFUNCTION("IMPORTRANGE(""https://docs.google.com/spreadsheets/d/1QqKyyYR6Q21VydFLVH3TRQUabQu_ym0Zz7PgGX0-kHA/edit?usp=sharing"",""แผน!EY50"")"),67560)</f>
        <v>67560</v>
      </c>
      <c r="M424" s="93">
        <f ca="1">L424</f>
        <v>67560</v>
      </c>
      <c r="N424" s="93">
        <f>N425+N426+N427+N428</f>
        <v>67560</v>
      </c>
      <c r="O424" s="93">
        <f t="shared" ca="1" si="185"/>
        <v>100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4"/>
      <c r="B425" s="575"/>
      <c r="C425" s="763"/>
      <c r="D425" s="763"/>
      <c r="E425" s="763"/>
      <c r="F425" s="763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40">
        <v>37300</v>
      </c>
      <c r="O425" s="498"/>
      <c r="P425" s="49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</row>
    <row r="426" spans="1:26" ht="18.75">
      <c r="A426" s="574"/>
      <c r="B426" s="575"/>
      <c r="C426" s="763"/>
      <c r="D426" s="763"/>
      <c r="E426" s="763"/>
      <c r="F426" s="763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40">
        <v>0</v>
      </c>
      <c r="O426" s="498"/>
      <c r="P426" s="49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</row>
    <row r="427" spans="1:26" ht="18.75">
      <c r="A427" s="574"/>
      <c r="B427" s="575"/>
      <c r="C427" s="763"/>
      <c r="D427" s="763"/>
      <c r="E427" s="763"/>
      <c r="F427" s="763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40">
        <v>0</v>
      </c>
      <c r="O427" s="498"/>
      <c r="P427" s="49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40">
        <f>8276+4774+6250+10960</f>
        <v>30260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92" t="s">
        <v>38</v>
      </c>
      <c r="E432" s="580"/>
      <c r="F432" s="580"/>
      <c r="G432" s="581"/>
      <c r="H432" s="582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1">
        <f ca="1">I435</f>
        <v>15</v>
      </c>
      <c r="J433" s="681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1">
        <f t="shared" ref="I434:J434" ca="1" si="193">I438+I440</f>
        <v>1</v>
      </c>
      <c r="J434" s="681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3" t="s">
        <v>35</v>
      </c>
      <c r="I435" s="583">
        <f ca="1">IFERROR(__xludf.DUMMYFUNCTION("IMPORTRANGE(""https://docs.google.com/spreadsheets/d/1QqKyyYR6Q21VydFLVH3TRQUabQu_ym0Zz7PgGX0-kHA/edit?usp=sharing"",""แผน!FC50"")"),15)</f>
        <v>15</v>
      </c>
      <c r="J435" s="584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3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3" t="s">
        <v>35</v>
      </c>
      <c r="I437" s="583">
        <f ca="1">IFERROR(__xludf.DUMMYFUNCTION("IMPORTRANGE(""https://docs.google.com/spreadsheets/d/1QqKyyYR6Q21VydFLVH3TRQUabQu_ym0Zz7PgGX0-kHA/edit?usp=sharing"",""แผน!FD50"")"),0)</f>
        <v>0</v>
      </c>
      <c r="J437" s="584">
        <v>15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3" t="s">
        <v>49</v>
      </c>
      <c r="I438" s="270">
        <f ca="1">IFERROR(__xludf.DUMMYFUNCTION("IMPORTRANGE(""https://docs.google.com/spreadsheets/d/1QqKyyYR6Q21VydFLVH3TRQUabQu_ym0Zz7PgGX0-kHA/edit?usp=sharing"",""แผน!FE50"")"),0)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3" t="s">
        <v>35</v>
      </c>
      <c r="I439" s="583">
        <f ca="1">IFERROR(__xludf.DUMMYFUNCTION("IMPORTRANGE(""https://docs.google.com/spreadsheets/d/1QqKyyYR6Q21VydFLVH3TRQUabQu_ym0Zz7PgGX0-kHA/edit?usp=sharing"",""แผน!FF50"")"),15)</f>
        <v>15</v>
      </c>
      <c r="J439" s="584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3" t="s">
        <v>49</v>
      </c>
      <c r="I440" s="270">
        <f ca="1">IFERROR(__xludf.DUMMYFUNCTION("IMPORTRANGE(""https://docs.google.com/spreadsheets/d/1QqKyyYR6Q21VydFLVH3TRQUabQu_ym0Zz7PgGX0-kHA/edit?usp=sharing"",""แผน!FG50"")"),1)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3" t="s">
        <v>35</v>
      </c>
      <c r="I441" s="270">
        <f ca="1">IFERROR(__xludf.DUMMYFUNCTION("IMPORTRANGE(""https://docs.google.com/spreadsheets/d/1QqKyyYR6Q21VydFLVH3TRQUabQu_ym0Zz7PgGX0-kHA/edit?usp=sharing"",""แผน!FH50"")"),0)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5">
        <v>2</v>
      </c>
      <c r="B442" s="586" t="s">
        <v>200</v>
      </c>
      <c r="C442" s="587"/>
      <c r="D442" s="587"/>
      <c r="E442" s="587"/>
      <c r="F442" s="587"/>
      <c r="G442" s="588"/>
      <c r="H442" s="589" t="s">
        <v>35</v>
      </c>
      <c r="I442" s="590">
        <f t="shared" ref="I442:J442" ca="1" si="195">I460</f>
        <v>140</v>
      </c>
      <c r="J442" s="590">
        <f t="shared" si="195"/>
        <v>140</v>
      </c>
      <c r="K442" s="591">
        <f t="shared" ca="1" si="194"/>
        <v>100</v>
      </c>
      <c r="L442" s="592"/>
      <c r="M442" s="592"/>
      <c r="N442" s="592"/>
      <c r="O442" s="592"/>
      <c r="P442" s="592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</row>
    <row r="443" spans="1:26" ht="19.5">
      <c r="A443" s="593"/>
      <c r="B443" s="594"/>
      <c r="C443" s="595"/>
      <c r="D443" s="595"/>
      <c r="E443" s="595"/>
      <c r="F443" s="595"/>
      <c r="G443" s="596"/>
      <c r="H443" s="569" t="s">
        <v>46</v>
      </c>
      <c r="I443" s="570">
        <f t="shared" ref="I443:J443" ca="1" si="196">I462</f>
        <v>660</v>
      </c>
      <c r="J443" s="570">
        <f t="shared" si="196"/>
        <v>660</v>
      </c>
      <c r="K443" s="571">
        <f t="shared" ca="1" si="194"/>
        <v>100</v>
      </c>
      <c r="L443" s="572"/>
      <c r="M443" s="572"/>
      <c r="N443" s="572"/>
      <c r="O443" s="572"/>
      <c r="P443" s="572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</row>
    <row r="444" spans="1:26" ht="19.5">
      <c r="A444" s="597"/>
      <c r="B444" s="763"/>
      <c r="C444" s="763" t="s">
        <v>16</v>
      </c>
      <c r="D444" s="863" t="s">
        <v>17</v>
      </c>
      <c r="E444" s="857"/>
      <c r="F444" s="857"/>
      <c r="G444" s="189"/>
      <c r="H444" s="598" t="s">
        <v>12</v>
      </c>
      <c r="I444" s="270"/>
      <c r="J444" s="270"/>
      <c r="K444" s="498"/>
      <c r="L444" s="195">
        <f t="shared" ref="L444:N444" ca="1" si="197">L445+L446</f>
        <v>1043880</v>
      </c>
      <c r="M444" s="195">
        <f t="shared" ca="1" si="197"/>
        <v>1043880</v>
      </c>
      <c r="N444" s="195">
        <f t="shared" si="197"/>
        <v>1043880</v>
      </c>
      <c r="O444" s="195">
        <f t="shared" ref="O444:O449" ca="1" si="198">IF(L444&gt;0,N444*100/L444,0)</f>
        <v>100</v>
      </c>
      <c r="P444" s="195">
        <f t="shared" ref="P444:P449" ca="1" si="199">IF(M444&gt;0,N444*100/M444,0)</f>
        <v>100</v>
      </c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</row>
    <row r="445" spans="1:26" ht="18.75" hidden="1">
      <c r="A445" s="599"/>
      <c r="B445" s="759"/>
      <c r="C445" s="759"/>
      <c r="D445" s="720"/>
      <c r="E445" s="759" t="s">
        <v>185</v>
      </c>
      <c r="F445" s="759"/>
      <c r="G445" s="603"/>
      <c r="H445" s="165" t="s">
        <v>12</v>
      </c>
      <c r="I445" s="617"/>
      <c r="J445" s="617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4"/>
      <c r="R445" s="604"/>
      <c r="S445" s="604"/>
      <c r="T445" s="604"/>
      <c r="U445" s="604"/>
      <c r="V445" s="604"/>
      <c r="W445" s="604"/>
      <c r="X445" s="604"/>
      <c r="Y445" s="604"/>
      <c r="Z445" s="604"/>
    </row>
    <row r="446" spans="1:26" ht="18.75" hidden="1">
      <c r="A446" s="599"/>
      <c r="B446" s="607"/>
      <c r="C446" s="759"/>
      <c r="D446" s="720"/>
      <c r="E446" s="759" t="s">
        <v>186</v>
      </c>
      <c r="F446" s="759"/>
      <c r="G446" s="603"/>
      <c r="H446" s="165" t="s">
        <v>12</v>
      </c>
      <c r="I446" s="617"/>
      <c r="J446" s="617"/>
      <c r="K446" s="93"/>
      <c r="L446" s="93">
        <f t="shared" ca="1" si="200"/>
        <v>1043880</v>
      </c>
      <c r="M446" s="93">
        <f t="shared" ca="1" si="200"/>
        <v>1043880</v>
      </c>
      <c r="N446" s="93">
        <f t="shared" si="200"/>
        <v>1043880</v>
      </c>
      <c r="O446" s="93">
        <f t="shared" ca="1" si="198"/>
        <v>100</v>
      </c>
      <c r="P446" s="93">
        <f t="shared" ca="1" si="199"/>
        <v>100</v>
      </c>
      <c r="Q446" s="604"/>
      <c r="R446" s="604"/>
      <c r="S446" s="604"/>
      <c r="T446" s="604"/>
      <c r="U446" s="604"/>
      <c r="V446" s="604"/>
      <c r="W446" s="604"/>
      <c r="X446" s="604"/>
      <c r="Y446" s="604"/>
      <c r="Z446" s="604"/>
    </row>
    <row r="447" spans="1:26" ht="18.75">
      <c r="A447" s="597"/>
      <c r="B447" s="575"/>
      <c r="C447" s="763"/>
      <c r="D447" s="606" t="s">
        <v>20</v>
      </c>
      <c r="E447" s="763"/>
      <c r="F447" s="763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1043880</v>
      </c>
      <c r="M447" s="498">
        <f t="shared" ca="1" si="201"/>
        <v>1043880</v>
      </c>
      <c r="N447" s="498">
        <f t="shared" si="201"/>
        <v>1043880</v>
      </c>
      <c r="O447" s="498">
        <f t="shared" ca="1" si="198"/>
        <v>100</v>
      </c>
      <c r="P447" s="498">
        <f t="shared" ca="1" si="199"/>
        <v>100</v>
      </c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</row>
    <row r="448" spans="1:26" ht="18.75" hidden="1">
      <c r="A448" s="599"/>
      <c r="B448" s="607"/>
      <c r="C448" s="759"/>
      <c r="D448" s="720"/>
      <c r="E448" s="759" t="s">
        <v>185</v>
      </c>
      <c r="F448" s="759"/>
      <c r="G448" s="603"/>
      <c r="H448" s="165" t="s">
        <v>12</v>
      </c>
      <c r="I448" s="617"/>
      <c r="J448" s="617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</row>
    <row r="449" spans="1:26" ht="18.75" hidden="1">
      <c r="A449" s="599"/>
      <c r="B449" s="607"/>
      <c r="C449" s="759"/>
      <c r="D449" s="720"/>
      <c r="E449" s="759" t="s">
        <v>186</v>
      </c>
      <c r="F449" s="759"/>
      <c r="G449" s="603"/>
      <c r="H449" s="165" t="s">
        <v>12</v>
      </c>
      <c r="I449" s="617"/>
      <c r="J449" s="617"/>
      <c r="K449" s="93"/>
      <c r="L449" s="93">
        <f ca="1">IFERROR(__xludf.DUMMYFUNCTION("IMPORTRANGE(""https://docs.google.com/spreadsheets/d/1QqKyyYR6Q21VydFLVH3TRQUabQu_ym0Zz7PgGX0-kHA/edit?usp=sharing"",""แผน!FJ50"")"),1043880)</f>
        <v>1043880</v>
      </c>
      <c r="M449" s="93">
        <f ca="1">L449</f>
        <v>1043880</v>
      </c>
      <c r="N449" s="93">
        <f>N450+N451+N452+N453</f>
        <v>1043880</v>
      </c>
      <c r="O449" s="93">
        <f t="shared" ca="1" si="198"/>
        <v>100</v>
      </c>
      <c r="P449" s="93">
        <f t="shared" ca="1" si="199"/>
        <v>100</v>
      </c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</row>
    <row r="450" spans="1:26" ht="18.75">
      <c r="A450" s="574"/>
      <c r="B450" s="575"/>
      <c r="C450" s="763"/>
      <c r="D450" s="763"/>
      <c r="E450" s="763"/>
      <c r="F450" s="763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40">
        <v>178400</v>
      </c>
      <c r="O450" s="498"/>
      <c r="P450" s="49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</row>
    <row r="451" spans="1:26" ht="18.75">
      <c r="A451" s="574"/>
      <c r="B451" s="575"/>
      <c r="C451" s="763"/>
      <c r="D451" s="763"/>
      <c r="E451" s="763"/>
      <c r="F451" s="763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40">
        <v>479968</v>
      </c>
      <c r="O451" s="498"/>
      <c r="P451" s="49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</row>
    <row r="452" spans="1:26" ht="18.75">
      <c r="A452" s="574"/>
      <c r="B452" s="575"/>
      <c r="C452" s="575"/>
      <c r="D452" s="575"/>
      <c r="E452" s="575"/>
      <c r="F452" s="763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40">
        <v>143000</v>
      </c>
      <c r="O452" s="498"/>
      <c r="P452" s="49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</row>
    <row r="453" spans="1:26" ht="18.75">
      <c r="A453" s="574"/>
      <c r="B453" s="575"/>
      <c r="C453" s="575"/>
      <c r="D453" s="575"/>
      <c r="E453" s="575"/>
      <c r="F453" s="763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40">
        <v>242512</v>
      </c>
      <c r="O453" s="498"/>
      <c r="P453" s="49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</row>
    <row r="454" spans="1:26" ht="18.75">
      <c r="A454" s="597"/>
      <c r="B454" s="575"/>
      <c r="C454" s="575"/>
      <c r="D454" s="606" t="s">
        <v>21</v>
      </c>
      <c r="E454" s="575"/>
      <c r="F454" s="763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</row>
    <row r="455" spans="1:26" ht="18.75" hidden="1">
      <c r="A455" s="599"/>
      <c r="B455" s="607"/>
      <c r="C455" s="607"/>
      <c r="D455" s="607"/>
      <c r="E455" s="607" t="s">
        <v>18</v>
      </c>
      <c r="F455" s="759"/>
      <c r="G455" s="603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4"/>
      <c r="R455" s="604"/>
      <c r="S455" s="604"/>
      <c r="T455" s="604"/>
      <c r="U455" s="604"/>
      <c r="V455" s="604"/>
      <c r="W455" s="604"/>
      <c r="X455" s="604"/>
      <c r="Y455" s="604"/>
      <c r="Z455" s="604"/>
    </row>
    <row r="456" spans="1:26" ht="18.75" hidden="1">
      <c r="A456" s="599"/>
      <c r="B456" s="607"/>
      <c r="C456" s="607"/>
      <c r="D456" s="607"/>
      <c r="E456" s="607" t="s">
        <v>19</v>
      </c>
      <c r="F456" s="759"/>
      <c r="G456" s="603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4"/>
      <c r="R456" s="604"/>
      <c r="S456" s="604"/>
      <c r="T456" s="604"/>
      <c r="U456" s="604"/>
      <c r="V456" s="604"/>
      <c r="W456" s="604"/>
      <c r="X456" s="604"/>
      <c r="Y456" s="604"/>
      <c r="Z456" s="604"/>
    </row>
    <row r="457" spans="1:26" ht="19.5">
      <c r="A457" s="608"/>
      <c r="B457" s="618"/>
      <c r="C457" s="575" t="s">
        <v>16</v>
      </c>
      <c r="D457" s="893" t="s">
        <v>38</v>
      </c>
      <c r="E457" s="611"/>
      <c r="F457" s="761"/>
      <c r="G457" s="613"/>
      <c r="H457" s="762"/>
      <c r="I457" s="270"/>
      <c r="J457" s="270"/>
      <c r="K457" s="498"/>
      <c r="L457" s="498"/>
      <c r="M457" s="498"/>
      <c r="N457" s="498"/>
      <c r="O457" s="498"/>
      <c r="P457" s="49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</row>
    <row r="458" spans="1:26" ht="18.75" hidden="1">
      <c r="A458" s="614"/>
      <c r="B458" s="616"/>
      <c r="C458" s="616"/>
      <c r="D458" s="616" t="s">
        <v>201</v>
      </c>
      <c r="E458" s="616"/>
      <c r="F458" s="720"/>
      <c r="G458" s="366"/>
      <c r="H458" s="370" t="s">
        <v>35</v>
      </c>
      <c r="I458" s="617">
        <v>0</v>
      </c>
      <c r="J458" s="617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4"/>
      <c r="R458" s="604"/>
      <c r="S458" s="604"/>
      <c r="T458" s="604"/>
      <c r="U458" s="604"/>
      <c r="V458" s="604"/>
      <c r="W458" s="604"/>
      <c r="X458" s="604"/>
      <c r="Y458" s="604"/>
      <c r="Z458" s="604"/>
    </row>
    <row r="459" spans="1:26" ht="18.75" hidden="1">
      <c r="A459" s="614"/>
      <c r="B459" s="616"/>
      <c r="C459" s="616"/>
      <c r="D459" s="616" t="s">
        <v>202</v>
      </c>
      <c r="E459" s="616"/>
      <c r="F459" s="720"/>
      <c r="G459" s="366"/>
      <c r="H459" s="370"/>
      <c r="I459" s="617"/>
      <c r="J459" s="617"/>
      <c r="K459" s="93"/>
      <c r="L459" s="93"/>
      <c r="M459" s="93"/>
      <c r="N459" s="93"/>
      <c r="O459" s="93"/>
      <c r="P459" s="93"/>
      <c r="Q459" s="604"/>
      <c r="R459" s="604"/>
      <c r="S459" s="604"/>
      <c r="T459" s="604"/>
      <c r="U459" s="604"/>
      <c r="V459" s="604"/>
      <c r="W459" s="604"/>
      <c r="X459" s="604"/>
      <c r="Y459" s="604"/>
      <c r="Z459" s="604"/>
    </row>
    <row r="460" spans="1:26" ht="18.75">
      <c r="A460" s="608"/>
      <c r="B460" s="618"/>
      <c r="C460" s="618"/>
      <c r="D460" s="618" t="s">
        <v>203</v>
      </c>
      <c r="E460" s="618"/>
      <c r="F460" s="626"/>
      <c r="G460" s="762"/>
      <c r="H460" s="764" t="s">
        <v>35</v>
      </c>
      <c r="I460" s="270">
        <f ca="1">IFERROR(__xludf.DUMMYFUNCTION("IMPORTRANGE(""https://docs.google.com/spreadsheets/d/1QqKyyYR6Q21VydFLVH3TRQUabQu_ym0Zz7PgGX0-kHA/edit?usp=sharing"",""แผน!FN50"")"),140)</f>
        <v>140</v>
      </c>
      <c r="J460" s="215">
        <v>140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</row>
    <row r="461" spans="1:26" ht="18.75">
      <c r="A461" s="608"/>
      <c r="B461" s="618"/>
      <c r="C461" s="618"/>
      <c r="D461" s="618" t="s">
        <v>204</v>
      </c>
      <c r="E461" s="626"/>
      <c r="F461" s="626"/>
      <c r="G461" s="762"/>
      <c r="H461" s="764"/>
      <c r="I461" s="270"/>
      <c r="J461" s="270"/>
      <c r="K461" s="498"/>
      <c r="L461" s="498"/>
      <c r="M461" s="498"/>
      <c r="N461" s="498"/>
      <c r="O461" s="498"/>
      <c r="P461" s="49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</row>
    <row r="462" spans="1:26" ht="18.75">
      <c r="A462" s="608"/>
      <c r="B462" s="618"/>
      <c r="C462" s="618"/>
      <c r="D462" s="618" t="s">
        <v>205</v>
      </c>
      <c r="E462" s="626"/>
      <c r="F462" s="626"/>
      <c r="G462" s="762"/>
      <c r="H462" s="764" t="s">
        <v>46</v>
      </c>
      <c r="I462" s="270">
        <f ca="1">IFERROR(__xludf.DUMMYFUNCTION("IMPORTRANGE(""https://docs.google.com/spreadsheets/d/1QqKyyYR6Q21VydFLVH3TRQUabQu_ym0Zz7PgGX0-kHA/edit?usp=sharing"",""แผน!FO50"")"),660)</f>
        <v>660</v>
      </c>
      <c r="J462" s="215">
        <v>660</v>
      </c>
      <c r="K462" s="498">
        <f t="shared" ref="K462:K466" ca="1" si="205">IF(I462&gt;0,J462*100/I462,0)</f>
        <v>100</v>
      </c>
      <c r="L462" s="498"/>
      <c r="M462" s="498"/>
      <c r="N462" s="498"/>
      <c r="O462" s="498"/>
      <c r="P462" s="49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</row>
    <row r="463" spans="1:26" ht="18.75">
      <c r="A463" s="608"/>
      <c r="B463" s="618"/>
      <c r="C463" s="618"/>
      <c r="D463" s="618" t="s">
        <v>59</v>
      </c>
      <c r="E463" s="626"/>
      <c r="F463" s="763"/>
      <c r="G463" s="189"/>
      <c r="H463" s="764" t="s">
        <v>46</v>
      </c>
      <c r="I463" s="270">
        <f ca="1">IFERROR(__xludf.DUMMYFUNCTION("IMPORTRANGE(""https://docs.google.com/spreadsheets/d/1QqKyyYR6Q21VydFLVH3TRQUabQu_ym0Zz7PgGX0-kHA/edit?usp=sharing"",""แผน!FO50"")"),660)</f>
        <v>660</v>
      </c>
      <c r="J463" s="215">
        <v>660</v>
      </c>
      <c r="K463" s="498">
        <f t="shared" ca="1" si="205"/>
        <v>100</v>
      </c>
      <c r="L463" s="498"/>
      <c r="M463" s="498"/>
      <c r="N463" s="498"/>
      <c r="O463" s="498"/>
      <c r="P463" s="49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</row>
    <row r="464" spans="1:26" ht="19.5">
      <c r="A464" s="608"/>
      <c r="B464" s="618"/>
      <c r="C464" s="618"/>
      <c r="D464" s="618"/>
      <c r="E464" s="626"/>
      <c r="F464" s="626"/>
      <c r="G464" s="620"/>
      <c r="H464" s="764" t="s">
        <v>35</v>
      </c>
      <c r="I464" s="270">
        <f ca="1">IFERROR(__xludf.DUMMYFUNCTION("IMPORTRANGE(""https://docs.google.com/spreadsheets/d/1QqKyyYR6Q21VydFLVH3TRQUabQu_ym0Zz7PgGX0-kHA/edit?usp=sharing"",""แผน!FN50"")"),140)</f>
        <v>140</v>
      </c>
      <c r="J464" s="215">
        <v>140</v>
      </c>
      <c r="K464" s="498">
        <f t="shared" ca="1" si="205"/>
        <v>100</v>
      </c>
      <c r="L464" s="498"/>
      <c r="M464" s="498"/>
      <c r="N464" s="498"/>
      <c r="O464" s="498"/>
      <c r="P464" s="49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</row>
    <row r="465" spans="1:26" ht="19.5">
      <c r="A465" s="585">
        <v>3</v>
      </c>
      <c r="B465" s="586" t="s">
        <v>206</v>
      </c>
      <c r="C465" s="587"/>
      <c r="D465" s="587"/>
      <c r="E465" s="587"/>
      <c r="F465" s="587"/>
      <c r="G465" s="588"/>
      <c r="H465" s="589" t="s">
        <v>35</v>
      </c>
      <c r="I465" s="590">
        <f ca="1">IFERROR(__xludf.DUMMYFUNCTION("IMPORTRANGE(""https://docs.google.com/spreadsheets/d/1QqKyyYR6Q21VydFLVH3TRQUabQu_ym0Zz7PgGX0-kHA/edit?usp=sharing"",""แผน!FX50"")"),131)</f>
        <v>131</v>
      </c>
      <c r="J465" s="590">
        <f>J485+J489+J492</f>
        <v>138</v>
      </c>
      <c r="K465" s="591">
        <f t="shared" ca="1" si="205"/>
        <v>105.34351145038168</v>
      </c>
      <c r="L465" s="592"/>
      <c r="M465" s="592"/>
      <c r="N465" s="592"/>
      <c r="O465" s="592"/>
      <c r="P465" s="592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</row>
    <row r="466" spans="1:26" ht="19.5">
      <c r="A466" s="593"/>
      <c r="B466" s="594"/>
      <c r="C466" s="595"/>
      <c r="D466" s="595"/>
      <c r="E466" s="595"/>
      <c r="F466" s="595"/>
      <c r="G466" s="596"/>
      <c r="H466" s="569" t="s">
        <v>46</v>
      </c>
      <c r="I466" s="570">
        <f ca="1">IFERROR(__xludf.DUMMYFUNCTION("IMPORTRANGE(""https://docs.google.com/spreadsheets/d/1QqKyyYR6Q21VydFLVH3TRQUabQu_ym0Zz7PgGX0-kHA/edit?usp=sharing"",""แผน!FW50"")"),1300)</f>
        <v>1300</v>
      </c>
      <c r="J466" s="570">
        <f>J495+J498</f>
        <v>1300</v>
      </c>
      <c r="K466" s="571">
        <f t="shared" ca="1" si="205"/>
        <v>100</v>
      </c>
      <c r="L466" s="572"/>
      <c r="M466" s="572"/>
      <c r="N466" s="572"/>
      <c r="O466" s="572"/>
      <c r="P466" s="572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</row>
    <row r="467" spans="1:26" ht="19.5">
      <c r="A467" s="597"/>
      <c r="B467" s="763"/>
      <c r="C467" s="763" t="s">
        <v>16</v>
      </c>
      <c r="D467" s="863" t="s">
        <v>17</v>
      </c>
      <c r="E467" s="857"/>
      <c r="F467" s="857"/>
      <c r="G467" s="189"/>
      <c r="H467" s="598" t="s">
        <v>12</v>
      </c>
      <c r="I467" s="270"/>
      <c r="J467" s="270"/>
      <c r="K467" s="498"/>
      <c r="L467" s="195">
        <f t="shared" ref="L467:N467" ca="1" si="206">L468+L469</f>
        <v>1161548</v>
      </c>
      <c r="M467" s="195">
        <f t="shared" ca="1" si="206"/>
        <v>1170069.29</v>
      </c>
      <c r="N467" s="195">
        <f t="shared" si="206"/>
        <v>1170069.29</v>
      </c>
      <c r="O467" s="195">
        <f t="shared" ref="O467:O472" ca="1" si="207">IF(L467&gt;0,N467*100/L467,0)</f>
        <v>100.73361496898966</v>
      </c>
      <c r="P467" s="195">
        <f t="shared" ref="P467:P472" ca="1" si="208">IF(M467&gt;0,N467*100/M467,0)</f>
        <v>100</v>
      </c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</row>
    <row r="468" spans="1:26" ht="18.75" hidden="1">
      <c r="A468" s="599"/>
      <c r="B468" s="759"/>
      <c r="C468" s="759"/>
      <c r="D468" s="720"/>
      <c r="E468" s="759" t="s">
        <v>185</v>
      </c>
      <c r="F468" s="759"/>
      <c r="G468" s="603"/>
      <c r="H468" s="165" t="s">
        <v>12</v>
      </c>
      <c r="I468" s="617"/>
      <c r="J468" s="617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4"/>
      <c r="R468" s="604"/>
      <c r="S468" s="604"/>
      <c r="T468" s="604"/>
      <c r="U468" s="604"/>
      <c r="V468" s="604"/>
      <c r="W468" s="604"/>
      <c r="X468" s="604"/>
      <c r="Y468" s="604"/>
      <c r="Z468" s="604"/>
    </row>
    <row r="469" spans="1:26" ht="18.75" hidden="1">
      <c r="A469" s="599"/>
      <c r="B469" s="607"/>
      <c r="C469" s="759"/>
      <c r="D469" s="720"/>
      <c r="E469" s="759" t="s">
        <v>186</v>
      </c>
      <c r="F469" s="759"/>
      <c r="G469" s="603"/>
      <c r="H469" s="165" t="s">
        <v>12</v>
      </c>
      <c r="I469" s="617"/>
      <c r="J469" s="617"/>
      <c r="K469" s="93"/>
      <c r="L469" s="93">
        <f t="shared" ca="1" si="209"/>
        <v>1161548</v>
      </c>
      <c r="M469" s="93">
        <f t="shared" ca="1" si="209"/>
        <v>1170069.29</v>
      </c>
      <c r="N469" s="93">
        <f t="shared" si="209"/>
        <v>1170069.29</v>
      </c>
      <c r="O469" s="93">
        <f t="shared" ca="1" si="207"/>
        <v>100.73361496898966</v>
      </c>
      <c r="P469" s="93">
        <f t="shared" ca="1" si="208"/>
        <v>100</v>
      </c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</row>
    <row r="470" spans="1:26" ht="18.75">
      <c r="A470" s="597"/>
      <c r="B470" s="575"/>
      <c r="C470" s="763"/>
      <c r="D470" s="606" t="s">
        <v>20</v>
      </c>
      <c r="E470" s="763"/>
      <c r="F470" s="763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1161548</v>
      </c>
      <c r="M470" s="498">
        <f t="shared" ca="1" si="210"/>
        <v>1170069.29</v>
      </c>
      <c r="N470" s="498">
        <f t="shared" si="210"/>
        <v>1170069.29</v>
      </c>
      <c r="O470" s="498">
        <f t="shared" ca="1" si="207"/>
        <v>100.73361496898966</v>
      </c>
      <c r="P470" s="498">
        <f t="shared" ca="1" si="208"/>
        <v>100</v>
      </c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</row>
    <row r="471" spans="1:26" ht="18.75" hidden="1">
      <c r="A471" s="599"/>
      <c r="B471" s="607"/>
      <c r="C471" s="759"/>
      <c r="D471" s="720"/>
      <c r="E471" s="759" t="s">
        <v>185</v>
      </c>
      <c r="F471" s="759"/>
      <c r="G471" s="603"/>
      <c r="H471" s="165" t="s">
        <v>12</v>
      </c>
      <c r="I471" s="617"/>
      <c r="J471" s="617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4"/>
      <c r="R471" s="604"/>
      <c r="S471" s="604"/>
      <c r="T471" s="604"/>
      <c r="U471" s="604"/>
      <c r="V471" s="604"/>
      <c r="W471" s="604"/>
      <c r="X471" s="604"/>
      <c r="Y471" s="604"/>
      <c r="Z471" s="604"/>
    </row>
    <row r="472" spans="1:26" ht="18.75" hidden="1">
      <c r="A472" s="599"/>
      <c r="B472" s="607"/>
      <c r="C472" s="759"/>
      <c r="D472" s="720"/>
      <c r="E472" s="759" t="s">
        <v>186</v>
      </c>
      <c r="F472" s="759"/>
      <c r="G472" s="603"/>
      <c r="H472" s="165" t="s">
        <v>12</v>
      </c>
      <c r="I472" s="617"/>
      <c r="J472" s="617"/>
      <c r="K472" s="93"/>
      <c r="L472" s="93">
        <f ca="1">IFERROR(__xludf.DUMMYFUNCTION("IMPORTRANGE(""https://docs.google.com/spreadsheets/d/1QqKyyYR6Q21VydFLVH3TRQUabQu_ym0Zz7PgGX0-kHA/edit?usp=sharing"",""แผน!FS50"")"),1161548)</f>
        <v>1161548</v>
      </c>
      <c r="M472" s="93">
        <f ca="1">L472+10660-2138.71</f>
        <v>1170069.29</v>
      </c>
      <c r="N472" s="93">
        <f>N473+N474+N475+N476</f>
        <v>1170069.29</v>
      </c>
      <c r="O472" s="93">
        <f t="shared" ca="1" si="207"/>
        <v>100.73361496898966</v>
      </c>
      <c r="P472" s="93">
        <f t="shared" ca="1" si="208"/>
        <v>100</v>
      </c>
      <c r="Q472" s="604"/>
      <c r="R472" s="604"/>
      <c r="S472" s="604"/>
      <c r="T472" s="604"/>
      <c r="U472" s="604"/>
      <c r="V472" s="604"/>
      <c r="W472" s="604"/>
      <c r="X472" s="604"/>
      <c r="Y472" s="604"/>
      <c r="Z472" s="604"/>
    </row>
    <row r="473" spans="1:26" ht="18.75">
      <c r="A473" s="574"/>
      <c r="B473" s="575"/>
      <c r="C473" s="763"/>
      <c r="D473" s="763"/>
      <c r="E473" s="763"/>
      <c r="F473" s="763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40">
        <v>155253</v>
      </c>
      <c r="O473" s="498"/>
      <c r="P473" s="49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</row>
    <row r="474" spans="1:26" ht="18.75">
      <c r="A474" s="574"/>
      <c r="B474" s="575"/>
      <c r="C474" s="763"/>
      <c r="D474" s="763"/>
      <c r="E474" s="763"/>
      <c r="F474" s="763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40">
        <v>807013.5</v>
      </c>
      <c r="O474" s="498"/>
      <c r="P474" s="49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</row>
    <row r="475" spans="1:26" ht="18.75">
      <c r="A475" s="574"/>
      <c r="B475" s="575"/>
      <c r="C475" s="575"/>
      <c r="D475" s="575"/>
      <c r="E475" s="575"/>
      <c r="F475" s="763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40">
        <v>143000</v>
      </c>
      <c r="O475" s="498"/>
      <c r="P475" s="49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</row>
    <row r="476" spans="1:26" ht="18.75">
      <c r="A476" s="574"/>
      <c r="B476" s="575"/>
      <c r="C476" s="575"/>
      <c r="D476" s="575"/>
      <c r="E476" s="575"/>
      <c r="F476" s="763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40">
        <f>66941.5-2138.71</f>
        <v>64802.79</v>
      </c>
      <c r="O476" s="498"/>
      <c r="P476" s="49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</row>
    <row r="477" spans="1:26" ht="18.75">
      <c r="A477" s="597"/>
      <c r="B477" s="575"/>
      <c r="C477" s="575"/>
      <c r="D477" s="606" t="s">
        <v>21</v>
      </c>
      <c r="E477" s="575"/>
      <c r="F477" s="575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</row>
    <row r="478" spans="1:26" ht="18.75" hidden="1">
      <c r="A478" s="599"/>
      <c r="B478" s="607"/>
      <c r="C478" s="607"/>
      <c r="D478" s="607"/>
      <c r="E478" s="607" t="s">
        <v>18</v>
      </c>
      <c r="F478" s="607"/>
      <c r="G478" s="603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4"/>
      <c r="R478" s="604"/>
      <c r="S478" s="604"/>
      <c r="T478" s="604"/>
      <c r="U478" s="604"/>
      <c r="V478" s="604"/>
      <c r="W478" s="604"/>
      <c r="X478" s="604"/>
      <c r="Y478" s="604"/>
      <c r="Z478" s="604"/>
    </row>
    <row r="479" spans="1:26" ht="18.75" hidden="1">
      <c r="A479" s="599"/>
      <c r="B479" s="607"/>
      <c r="C479" s="607"/>
      <c r="D479" s="607"/>
      <c r="E479" s="607" t="s">
        <v>19</v>
      </c>
      <c r="F479" s="607"/>
      <c r="G479" s="603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4"/>
      <c r="R479" s="604"/>
      <c r="S479" s="604"/>
      <c r="T479" s="604"/>
      <c r="U479" s="604"/>
      <c r="V479" s="604"/>
      <c r="W479" s="604"/>
      <c r="X479" s="604"/>
      <c r="Y479" s="604"/>
      <c r="Z479" s="604"/>
    </row>
    <row r="480" spans="1:26" ht="19.5">
      <c r="A480" s="608"/>
      <c r="B480" s="618"/>
      <c r="C480" s="575" t="s">
        <v>16</v>
      </c>
      <c r="D480" s="894" t="s">
        <v>38</v>
      </c>
      <c r="E480" s="611"/>
      <c r="F480" s="761"/>
      <c r="G480" s="613"/>
      <c r="H480" s="762"/>
      <c r="I480" s="270"/>
      <c r="J480" s="270"/>
      <c r="K480" s="498"/>
      <c r="L480" s="498"/>
      <c r="M480" s="498"/>
      <c r="N480" s="498"/>
      <c r="O480" s="498"/>
      <c r="P480" s="49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</row>
    <row r="481" spans="1:26" ht="19.5">
      <c r="A481" s="608"/>
      <c r="B481" s="618"/>
      <c r="C481" s="618"/>
      <c r="D481" s="625" t="s">
        <v>207</v>
      </c>
      <c r="E481" s="618"/>
      <c r="F481" s="618"/>
      <c r="G481" s="762"/>
      <c r="H481" s="189"/>
      <c r="I481" s="270"/>
      <c r="J481" s="270"/>
      <c r="K481" s="498"/>
      <c r="L481" s="498"/>
      <c r="M481" s="498"/>
      <c r="N481" s="498"/>
      <c r="O481" s="498"/>
      <c r="P481" s="49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</row>
    <row r="482" spans="1:26" ht="18.75">
      <c r="A482" s="608"/>
      <c r="B482" s="618"/>
      <c r="C482" s="618"/>
      <c r="D482" s="618"/>
      <c r="E482" s="618" t="s">
        <v>208</v>
      </c>
      <c r="F482" s="618"/>
      <c r="G482" s="762"/>
      <c r="H482" s="189"/>
      <c r="I482" s="270"/>
      <c r="J482" s="270"/>
      <c r="K482" s="498"/>
      <c r="L482" s="498"/>
      <c r="M482" s="498"/>
      <c r="N482" s="498"/>
      <c r="O482" s="498"/>
      <c r="P482" s="49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</row>
    <row r="483" spans="1:26" ht="18.75">
      <c r="A483" s="608"/>
      <c r="B483" s="618"/>
      <c r="C483" s="618"/>
      <c r="D483" s="618"/>
      <c r="E483" s="618"/>
      <c r="F483" s="618" t="s">
        <v>209</v>
      </c>
      <c r="G483" s="762"/>
      <c r="H483" s="623" t="s">
        <v>46</v>
      </c>
      <c r="I483" s="270">
        <f ca="1">IFERROR(__xludf.DUMMYFUNCTION("IMPORTRANGE(""https://docs.google.com/spreadsheets/d/1QqKyyYR6Q21VydFLVH3TRQUabQu_ym0Zz7PgGX0-kHA/edit?usp=sharing"",""แผน!FY50"")"),1170)</f>
        <v>1170</v>
      </c>
      <c r="J483" s="215">
        <v>1100</v>
      </c>
      <c r="K483" s="498">
        <f ca="1">IF(I483&gt;0,J483*100/I483,0)</f>
        <v>94.017094017094024</v>
      </c>
      <c r="L483" s="498"/>
      <c r="M483" s="498"/>
      <c r="N483" s="498"/>
      <c r="O483" s="498"/>
      <c r="P483" s="49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</row>
    <row r="484" spans="1:26" ht="18.75">
      <c r="A484" s="608"/>
      <c r="B484" s="618"/>
      <c r="C484" s="618"/>
      <c r="D484" s="618"/>
      <c r="E484" s="618"/>
      <c r="F484" s="618" t="s">
        <v>210</v>
      </c>
      <c r="G484" s="762"/>
      <c r="H484" s="623" t="s">
        <v>35</v>
      </c>
      <c r="I484" s="270"/>
      <c r="J484" s="215">
        <v>326</v>
      </c>
      <c r="K484" s="498"/>
      <c r="L484" s="498"/>
      <c r="M484" s="498"/>
      <c r="N484" s="498"/>
      <c r="O484" s="498"/>
      <c r="P484" s="49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</row>
    <row r="485" spans="1:26" ht="18.75">
      <c r="A485" s="608"/>
      <c r="B485" s="618"/>
      <c r="C485" s="618"/>
      <c r="D485" s="618"/>
      <c r="E485" s="618"/>
      <c r="F485" s="618" t="s">
        <v>211</v>
      </c>
      <c r="G485" s="762"/>
      <c r="H485" s="623" t="s">
        <v>35</v>
      </c>
      <c r="I485" s="270">
        <f ca="1">IFERROR(__xludf.DUMMYFUNCTION("IMPORTRANGE(""https://docs.google.com/spreadsheets/d/1QqKyyYR6Q21VydFLVH3TRQUabQu_ym0Zz7PgGX0-kHA/edit?usp=sharing"",""แผน!FZ50"")"),117)</f>
        <v>117</v>
      </c>
      <c r="J485" s="215">
        <v>117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</row>
    <row r="486" spans="1:26" ht="18.75">
      <c r="A486" s="608"/>
      <c r="B486" s="618"/>
      <c r="C486" s="618"/>
      <c r="D486" s="618"/>
      <c r="E486" s="618" t="s">
        <v>62</v>
      </c>
      <c r="F486" s="618"/>
      <c r="G486" s="762"/>
      <c r="H486" s="623"/>
      <c r="I486" s="270"/>
      <c r="J486" s="270"/>
      <c r="K486" s="498"/>
      <c r="L486" s="498"/>
      <c r="M486" s="498"/>
      <c r="N486" s="498"/>
      <c r="O486" s="498"/>
      <c r="P486" s="49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</row>
    <row r="487" spans="1:26" ht="18.75">
      <c r="A487" s="608"/>
      <c r="B487" s="618"/>
      <c r="C487" s="618"/>
      <c r="D487" s="618"/>
      <c r="E487" s="618"/>
      <c r="F487" s="618" t="s">
        <v>209</v>
      </c>
      <c r="G487" s="762"/>
      <c r="H487" s="623" t="s">
        <v>46</v>
      </c>
      <c r="I487" s="270">
        <f ca="1">IFERROR(__xludf.DUMMYFUNCTION("IMPORTRANGE(""https://docs.google.com/spreadsheets/d/1QqKyyYR6Q21VydFLVH3TRQUabQu_ym0Zz7PgGX0-kHA/edit?usp=sharing"",""แผน!GA50"")"),130)</f>
        <v>130</v>
      </c>
      <c r="J487" s="215">
        <v>200</v>
      </c>
      <c r="K487" s="498">
        <f ca="1">IF(I487&gt;0,J487*100/I487,0)</f>
        <v>153.84615384615384</v>
      </c>
      <c r="L487" s="498"/>
      <c r="M487" s="498"/>
      <c r="N487" s="498"/>
      <c r="O487" s="498"/>
      <c r="P487" s="49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</row>
    <row r="488" spans="1:26" ht="18.75">
      <c r="A488" s="608"/>
      <c r="B488" s="618"/>
      <c r="C488" s="618"/>
      <c r="D488" s="618"/>
      <c r="E488" s="618"/>
      <c r="F488" s="618" t="s">
        <v>212</v>
      </c>
      <c r="G488" s="762"/>
      <c r="H488" s="623" t="s">
        <v>35</v>
      </c>
      <c r="I488" s="270"/>
      <c r="J488" s="215">
        <v>20</v>
      </c>
      <c r="K488" s="498"/>
      <c r="L488" s="498"/>
      <c r="M488" s="498"/>
      <c r="N488" s="498"/>
      <c r="O488" s="498"/>
      <c r="P488" s="49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</row>
    <row r="489" spans="1:26" ht="18.75">
      <c r="A489" s="608"/>
      <c r="B489" s="618"/>
      <c r="C489" s="618"/>
      <c r="D489" s="618"/>
      <c r="E489" s="618"/>
      <c r="F489" s="618" t="s">
        <v>213</v>
      </c>
      <c r="G489" s="762"/>
      <c r="H489" s="623" t="s">
        <v>35</v>
      </c>
      <c r="I489" s="270">
        <f ca="1">IFERROR(__xludf.DUMMYFUNCTION("IMPORTRANGE(""https://docs.google.com/spreadsheets/d/1QqKyyYR6Q21VydFLVH3TRQUabQu_ym0Zz7PgGX0-kHA/edit?usp=sharing"",""แผน!GB50"")"),13)</f>
        <v>13</v>
      </c>
      <c r="J489" s="215">
        <v>20</v>
      </c>
      <c r="K489" s="498">
        <f ca="1">IF(I489&gt;0,J489*100/I489,0)</f>
        <v>153.84615384615384</v>
      </c>
      <c r="L489" s="498"/>
      <c r="M489" s="498"/>
      <c r="N489" s="498"/>
      <c r="O489" s="498"/>
      <c r="P489" s="49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</row>
    <row r="490" spans="1:26" ht="18.75">
      <c r="A490" s="608"/>
      <c r="B490" s="618"/>
      <c r="C490" s="618"/>
      <c r="D490" s="618"/>
      <c r="E490" s="618" t="s">
        <v>63</v>
      </c>
      <c r="F490" s="626"/>
      <c r="G490" s="762"/>
      <c r="H490" s="623"/>
      <c r="I490" s="270"/>
      <c r="J490" s="270"/>
      <c r="K490" s="498"/>
      <c r="L490" s="498"/>
      <c r="M490" s="498"/>
      <c r="N490" s="498"/>
      <c r="O490" s="498"/>
      <c r="P490" s="49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</row>
    <row r="491" spans="1:26" ht="18.75">
      <c r="A491" s="608"/>
      <c r="B491" s="618"/>
      <c r="C491" s="618"/>
      <c r="D491" s="618"/>
      <c r="E491" s="618"/>
      <c r="F491" s="618" t="s">
        <v>214</v>
      </c>
      <c r="G491" s="762"/>
      <c r="H491" s="623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</row>
    <row r="492" spans="1:26" ht="18.75">
      <c r="A492" s="608"/>
      <c r="B492" s="618"/>
      <c r="C492" s="618"/>
      <c r="D492" s="618"/>
      <c r="E492" s="618"/>
      <c r="F492" s="618" t="s">
        <v>215</v>
      </c>
      <c r="G492" s="762"/>
      <c r="H492" s="623" t="s">
        <v>35</v>
      </c>
      <c r="I492" s="270">
        <f ca="1">IFERROR(__xludf.DUMMYFUNCTION("IMPORTRANGE(""https://docs.google.com/spreadsheets/d/1QqKyyYR6Q21VydFLVH3TRQUabQu_ym0Zz7PgGX0-kHA/edit?usp=sharing"",""แผน!GC50"")"),1)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</row>
    <row r="493" spans="1:26" ht="19.5">
      <c r="A493" s="608"/>
      <c r="B493" s="618"/>
      <c r="C493" s="618"/>
      <c r="D493" s="625" t="s">
        <v>59</v>
      </c>
      <c r="E493" s="618"/>
      <c r="F493" s="626"/>
      <c r="G493" s="762"/>
      <c r="H493" s="189"/>
      <c r="I493" s="270"/>
      <c r="J493" s="270"/>
      <c r="K493" s="498"/>
      <c r="L493" s="498"/>
      <c r="M493" s="498"/>
      <c r="N493" s="498"/>
      <c r="O493" s="498"/>
      <c r="P493" s="49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</row>
    <row r="494" spans="1:26" ht="18.75">
      <c r="A494" s="608"/>
      <c r="B494" s="618"/>
      <c r="C494" s="618"/>
      <c r="D494" s="618"/>
      <c r="E494" s="618" t="s">
        <v>208</v>
      </c>
      <c r="F494" s="626"/>
      <c r="G494" s="762"/>
      <c r="H494" s="189"/>
      <c r="I494" s="270"/>
      <c r="J494" s="270"/>
      <c r="K494" s="498"/>
      <c r="L494" s="498"/>
      <c r="M494" s="498"/>
      <c r="N494" s="498"/>
      <c r="O494" s="498"/>
      <c r="P494" s="49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</row>
    <row r="495" spans="1:26" ht="18.75">
      <c r="A495" s="608"/>
      <c r="B495" s="618"/>
      <c r="C495" s="618"/>
      <c r="D495" s="618"/>
      <c r="E495" s="618"/>
      <c r="F495" s="626" t="s">
        <v>216</v>
      </c>
      <c r="G495" s="762"/>
      <c r="H495" s="623" t="s">
        <v>46</v>
      </c>
      <c r="I495" s="270">
        <f ca="1">IFERROR(__xludf.DUMMYFUNCTION("IMPORTRANGE(""https://docs.google.com/spreadsheets/d/1QqKyyYR6Q21VydFLVH3TRQUabQu_ym0Zz7PgGX0-kHA/edit?usp=sharing"",""แผน!FY50"")"),1170)</f>
        <v>1170</v>
      </c>
      <c r="J495" s="215">
        <v>1100</v>
      </c>
      <c r="K495" s="498">
        <f ca="1">IF(I495&gt;0,J495*100/I495,0)</f>
        <v>94.017094017094024</v>
      </c>
      <c r="L495" s="498"/>
      <c r="M495" s="498"/>
      <c r="N495" s="498"/>
      <c r="O495" s="498"/>
      <c r="P495" s="49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</row>
    <row r="496" spans="1:26" ht="18.75">
      <c r="A496" s="608"/>
      <c r="B496" s="618"/>
      <c r="C496" s="618"/>
      <c r="D496" s="618"/>
      <c r="E496" s="618"/>
      <c r="F496" s="626" t="s">
        <v>217</v>
      </c>
      <c r="G496" s="762"/>
      <c r="H496" s="623" t="s">
        <v>46</v>
      </c>
      <c r="I496" s="270"/>
      <c r="J496" s="215">
        <v>1100</v>
      </c>
      <c r="K496" s="498"/>
      <c r="L496" s="498"/>
      <c r="M496" s="498"/>
      <c r="N496" s="498"/>
      <c r="O496" s="498"/>
      <c r="P496" s="49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</row>
    <row r="497" spans="1:26" ht="18.75">
      <c r="A497" s="608"/>
      <c r="B497" s="618"/>
      <c r="C497" s="618"/>
      <c r="D497" s="618"/>
      <c r="E497" s="618" t="s">
        <v>62</v>
      </c>
      <c r="F497" s="626"/>
      <c r="G497" s="762"/>
      <c r="H497" s="189"/>
      <c r="I497" s="270"/>
      <c r="J497" s="270"/>
      <c r="K497" s="498"/>
      <c r="L497" s="498"/>
      <c r="M497" s="498"/>
      <c r="N497" s="498"/>
      <c r="O497" s="498"/>
      <c r="P497" s="49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</row>
    <row r="498" spans="1:26" ht="18.75">
      <c r="A498" s="608"/>
      <c r="B498" s="618"/>
      <c r="C498" s="618"/>
      <c r="D498" s="618"/>
      <c r="E498" s="626"/>
      <c r="F498" s="626" t="s">
        <v>218</v>
      </c>
      <c r="G498" s="762"/>
      <c r="H498" s="623" t="s">
        <v>46</v>
      </c>
      <c r="I498" s="270">
        <f ca="1">IFERROR(__xludf.DUMMYFUNCTION("IMPORTRANGE(""https://docs.google.com/spreadsheets/d/1QqKyyYR6Q21VydFLVH3TRQUabQu_ym0Zz7PgGX0-kHA/edit?usp=sharing"",""แผน!GA50"")"),130)</f>
        <v>130</v>
      </c>
      <c r="J498" s="215">
        <v>200</v>
      </c>
      <c r="K498" s="498">
        <f ca="1">IF(I498&gt;0,J498*100/I498,0)</f>
        <v>153.84615384615384</v>
      </c>
      <c r="L498" s="498"/>
      <c r="M498" s="498"/>
      <c r="N498" s="498"/>
      <c r="O498" s="498"/>
      <c r="P498" s="49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</row>
    <row r="499" spans="1:26" ht="18.75">
      <c r="A499" s="608"/>
      <c r="B499" s="618"/>
      <c r="C499" s="618"/>
      <c r="D499" s="618"/>
      <c r="E499" s="626"/>
      <c r="F499" s="626" t="s">
        <v>219</v>
      </c>
      <c r="G499" s="762"/>
      <c r="H499" s="623" t="s">
        <v>46</v>
      </c>
      <c r="I499" s="270"/>
      <c r="J499" s="215">
        <v>21</v>
      </c>
      <c r="K499" s="498"/>
      <c r="L499" s="498"/>
      <c r="M499" s="498"/>
      <c r="N499" s="498"/>
      <c r="O499" s="498"/>
      <c r="P499" s="49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</row>
    <row r="500" spans="1:26" ht="19.5" hidden="1">
      <c r="A500" s="627">
        <v>4</v>
      </c>
      <c r="B500" s="628" t="s">
        <v>220</v>
      </c>
      <c r="C500" s="629"/>
      <c r="D500" s="630"/>
      <c r="E500" s="630"/>
      <c r="F500" s="630"/>
      <c r="G500" s="631"/>
      <c r="H500" s="632" t="s">
        <v>109</v>
      </c>
      <c r="I500" s="633"/>
      <c r="J500" s="633">
        <f t="shared" ref="J500:J501" si="214">J516</f>
        <v>0</v>
      </c>
      <c r="K500" s="634">
        <f t="shared" ref="K500:K501" si="215">IF(I500&gt;0,J500*100/I500,0)</f>
        <v>0</v>
      </c>
      <c r="L500" s="635"/>
      <c r="M500" s="635"/>
      <c r="N500" s="635"/>
      <c r="O500" s="635"/>
      <c r="P500" s="635"/>
      <c r="Q500" s="604"/>
      <c r="R500" s="604"/>
      <c r="S500" s="604"/>
      <c r="T500" s="604"/>
      <c r="U500" s="604"/>
      <c r="V500" s="604"/>
      <c r="W500" s="604"/>
      <c r="X500" s="604"/>
      <c r="Y500" s="604"/>
      <c r="Z500" s="604"/>
    </row>
    <row r="501" spans="1:26" ht="19.5" hidden="1">
      <c r="A501" s="636"/>
      <c r="B501" s="638" t="s">
        <v>221</v>
      </c>
      <c r="C501" s="638"/>
      <c r="D501" s="639"/>
      <c r="E501" s="639"/>
      <c r="F501" s="639"/>
      <c r="G501" s="640"/>
      <c r="H501" s="641" t="s">
        <v>35</v>
      </c>
      <c r="I501" s="642"/>
      <c r="J501" s="642">
        <f t="shared" si="214"/>
        <v>0</v>
      </c>
      <c r="K501" s="643">
        <f t="shared" si="215"/>
        <v>0</v>
      </c>
      <c r="L501" s="644"/>
      <c r="M501" s="644"/>
      <c r="N501" s="644"/>
      <c r="O501" s="644"/>
      <c r="P501" s="64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</row>
    <row r="502" spans="1:26" ht="19.5" hidden="1">
      <c r="A502" s="599"/>
      <c r="B502" s="759"/>
      <c r="C502" s="759" t="s">
        <v>16</v>
      </c>
      <c r="D502" s="864" t="s">
        <v>17</v>
      </c>
      <c r="E502" s="857"/>
      <c r="F502" s="857"/>
      <c r="G502" s="603"/>
      <c r="H502" s="646" t="s">
        <v>12</v>
      </c>
      <c r="I502" s="617"/>
      <c r="J502" s="617"/>
      <c r="K502" s="93"/>
      <c r="L502" s="647">
        <f t="shared" ref="L502:N502" si="216">L503+L504</f>
        <v>0</v>
      </c>
      <c r="M502" s="647">
        <f t="shared" si="216"/>
        <v>0</v>
      </c>
      <c r="N502" s="647">
        <f t="shared" si="216"/>
        <v>0</v>
      </c>
      <c r="O502" s="647">
        <f t="shared" ref="O502:O507" si="217">IF(L502&gt;0,N502*100/L502,0)</f>
        <v>0</v>
      </c>
      <c r="P502" s="647">
        <f t="shared" ref="P502:P507" si="218">IF(M502&gt;0,N502*100/M502,0)</f>
        <v>0</v>
      </c>
      <c r="Q502" s="604"/>
      <c r="R502" s="604"/>
      <c r="S502" s="604"/>
      <c r="T502" s="604"/>
      <c r="U502" s="604"/>
      <c r="V502" s="604"/>
      <c r="W502" s="604"/>
      <c r="X502" s="604"/>
      <c r="Y502" s="604"/>
      <c r="Z502" s="604"/>
    </row>
    <row r="503" spans="1:26" ht="18.75" hidden="1">
      <c r="A503" s="599"/>
      <c r="B503" s="759"/>
      <c r="C503" s="759"/>
      <c r="D503" s="720"/>
      <c r="E503" s="759" t="s">
        <v>185</v>
      </c>
      <c r="F503" s="759"/>
      <c r="G503" s="603"/>
      <c r="H503" s="165" t="s">
        <v>12</v>
      </c>
      <c r="I503" s="617"/>
      <c r="J503" s="617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4"/>
      <c r="R503" s="604"/>
      <c r="S503" s="604"/>
      <c r="T503" s="604"/>
      <c r="U503" s="604"/>
      <c r="V503" s="604"/>
      <c r="W503" s="604"/>
      <c r="X503" s="604"/>
      <c r="Y503" s="604"/>
      <c r="Z503" s="604"/>
    </row>
    <row r="504" spans="1:26" ht="18.75" hidden="1">
      <c r="A504" s="599"/>
      <c r="B504" s="607"/>
      <c r="C504" s="759"/>
      <c r="D504" s="720"/>
      <c r="E504" s="759" t="s">
        <v>186</v>
      </c>
      <c r="F504" s="759"/>
      <c r="G504" s="603"/>
      <c r="H504" s="165" t="s">
        <v>12</v>
      </c>
      <c r="I504" s="617"/>
      <c r="J504" s="617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4"/>
      <c r="R504" s="604"/>
      <c r="S504" s="604"/>
      <c r="T504" s="604"/>
      <c r="U504" s="604"/>
      <c r="V504" s="604"/>
      <c r="W504" s="604"/>
      <c r="X504" s="604"/>
      <c r="Y504" s="604"/>
      <c r="Z504" s="604"/>
    </row>
    <row r="505" spans="1:26" ht="18.75" hidden="1">
      <c r="A505" s="599"/>
      <c r="B505" s="607"/>
      <c r="C505" s="759"/>
      <c r="D505" s="648" t="s">
        <v>20</v>
      </c>
      <c r="E505" s="759"/>
      <c r="F505" s="759"/>
      <c r="G505" s="603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4"/>
      <c r="R505" s="604"/>
      <c r="S505" s="604"/>
      <c r="T505" s="604"/>
      <c r="U505" s="604"/>
      <c r="V505" s="604"/>
      <c r="W505" s="604"/>
      <c r="X505" s="604"/>
      <c r="Y505" s="604"/>
      <c r="Z505" s="604"/>
    </row>
    <row r="506" spans="1:26" ht="18.75" hidden="1">
      <c r="A506" s="599"/>
      <c r="B506" s="607"/>
      <c r="C506" s="759"/>
      <c r="D506" s="720"/>
      <c r="E506" s="759" t="s">
        <v>185</v>
      </c>
      <c r="F506" s="759"/>
      <c r="G506" s="603"/>
      <c r="H506" s="165" t="s">
        <v>12</v>
      </c>
      <c r="I506" s="617"/>
      <c r="J506" s="617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4"/>
      <c r="R506" s="604"/>
      <c r="S506" s="604"/>
      <c r="T506" s="604"/>
      <c r="U506" s="604"/>
      <c r="V506" s="604"/>
      <c r="W506" s="604"/>
      <c r="X506" s="604"/>
      <c r="Y506" s="604"/>
      <c r="Z506" s="604"/>
    </row>
    <row r="507" spans="1:26" ht="18.75" hidden="1">
      <c r="A507" s="599"/>
      <c r="B507" s="607"/>
      <c r="C507" s="759"/>
      <c r="D507" s="720"/>
      <c r="E507" s="759" t="s">
        <v>186</v>
      </c>
      <c r="F507" s="759"/>
      <c r="G507" s="603"/>
      <c r="H507" s="165" t="s">
        <v>12</v>
      </c>
      <c r="I507" s="617"/>
      <c r="J507" s="617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4"/>
      <c r="R507" s="604"/>
      <c r="S507" s="604"/>
      <c r="T507" s="604"/>
      <c r="U507" s="604"/>
      <c r="V507" s="604"/>
      <c r="W507" s="604"/>
      <c r="X507" s="604"/>
      <c r="Y507" s="604"/>
      <c r="Z507" s="604"/>
    </row>
    <row r="508" spans="1:26" ht="18.75" hidden="1">
      <c r="A508" s="649"/>
      <c r="B508" s="607"/>
      <c r="C508" s="759"/>
      <c r="D508" s="759"/>
      <c r="E508" s="759"/>
      <c r="F508" s="759" t="s">
        <v>187</v>
      </c>
      <c r="G508" s="603"/>
      <c r="H508" s="165" t="s">
        <v>12</v>
      </c>
      <c r="I508" s="617"/>
      <c r="J508" s="617"/>
      <c r="K508" s="93"/>
      <c r="L508" s="93"/>
      <c r="M508" s="93"/>
      <c r="N508" s="93">
        <v>0</v>
      </c>
      <c r="O508" s="93"/>
      <c r="P508" s="93"/>
      <c r="Q508" s="604"/>
      <c r="R508" s="604"/>
      <c r="S508" s="604"/>
      <c r="T508" s="604"/>
      <c r="U508" s="604"/>
      <c r="V508" s="604"/>
      <c r="W508" s="604"/>
      <c r="X508" s="604"/>
      <c r="Y508" s="604"/>
      <c r="Z508" s="604"/>
    </row>
    <row r="509" spans="1:26" ht="18.75" hidden="1">
      <c r="A509" s="649"/>
      <c r="B509" s="607"/>
      <c r="C509" s="759"/>
      <c r="D509" s="759"/>
      <c r="E509" s="759"/>
      <c r="F509" s="759" t="s">
        <v>188</v>
      </c>
      <c r="G509" s="603"/>
      <c r="H509" s="165" t="s">
        <v>12</v>
      </c>
      <c r="I509" s="617"/>
      <c r="J509" s="617"/>
      <c r="K509" s="93"/>
      <c r="L509" s="93"/>
      <c r="M509" s="93"/>
      <c r="N509" s="93">
        <v>0</v>
      </c>
      <c r="O509" s="93"/>
      <c r="P509" s="93"/>
      <c r="Q509" s="604"/>
      <c r="R509" s="604"/>
      <c r="S509" s="604"/>
      <c r="T509" s="604"/>
      <c r="U509" s="604"/>
      <c r="V509" s="604"/>
      <c r="W509" s="604"/>
      <c r="X509" s="604"/>
      <c r="Y509" s="604"/>
      <c r="Z509" s="604"/>
    </row>
    <row r="510" spans="1:26" ht="18.75" hidden="1">
      <c r="A510" s="649"/>
      <c r="B510" s="607"/>
      <c r="C510" s="607"/>
      <c r="D510" s="607"/>
      <c r="E510" s="759"/>
      <c r="F510" s="759" t="s">
        <v>189</v>
      </c>
      <c r="G510" s="603"/>
      <c r="H510" s="165" t="s">
        <v>12</v>
      </c>
      <c r="I510" s="617"/>
      <c r="J510" s="617"/>
      <c r="K510" s="93"/>
      <c r="L510" s="93"/>
      <c r="M510" s="93"/>
      <c r="N510" s="93">
        <v>0</v>
      </c>
      <c r="O510" s="93"/>
      <c r="P510" s="93"/>
      <c r="Q510" s="604"/>
      <c r="R510" s="604"/>
      <c r="S510" s="604"/>
      <c r="T510" s="604"/>
      <c r="U510" s="604"/>
      <c r="V510" s="604"/>
      <c r="W510" s="604"/>
      <c r="X510" s="604"/>
      <c r="Y510" s="604"/>
      <c r="Z510" s="604"/>
    </row>
    <row r="511" spans="1:26" ht="18.75" hidden="1">
      <c r="A511" s="649"/>
      <c r="B511" s="607"/>
      <c r="C511" s="607"/>
      <c r="D511" s="607"/>
      <c r="E511" s="759"/>
      <c r="F511" s="759" t="s">
        <v>190</v>
      </c>
      <c r="G511" s="603"/>
      <c r="H511" s="165" t="s">
        <v>12</v>
      </c>
      <c r="I511" s="617"/>
      <c r="J511" s="617"/>
      <c r="K511" s="93"/>
      <c r="L511" s="93"/>
      <c r="M511" s="93"/>
      <c r="N511" s="93">
        <v>0</v>
      </c>
      <c r="O511" s="93"/>
      <c r="P511" s="93"/>
      <c r="Q511" s="604"/>
      <c r="R511" s="604"/>
      <c r="S511" s="604"/>
      <c r="T511" s="604"/>
      <c r="U511" s="604"/>
      <c r="V511" s="604"/>
      <c r="W511" s="604"/>
      <c r="X511" s="604"/>
      <c r="Y511" s="604"/>
      <c r="Z511" s="604"/>
    </row>
    <row r="512" spans="1:26" ht="18.75" hidden="1">
      <c r="A512" s="599"/>
      <c r="B512" s="607"/>
      <c r="C512" s="607"/>
      <c r="D512" s="648" t="s">
        <v>21</v>
      </c>
      <c r="E512" s="607"/>
      <c r="F512" s="759"/>
      <c r="G512" s="603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4"/>
      <c r="R512" s="604"/>
      <c r="S512" s="604"/>
      <c r="T512" s="604"/>
      <c r="U512" s="604"/>
      <c r="V512" s="604"/>
      <c r="W512" s="604"/>
      <c r="X512" s="604"/>
      <c r="Y512" s="604"/>
      <c r="Z512" s="604"/>
    </row>
    <row r="513" spans="1:26" ht="18.75" hidden="1">
      <c r="A513" s="599"/>
      <c r="B513" s="607"/>
      <c r="C513" s="607"/>
      <c r="D513" s="607"/>
      <c r="E513" s="607" t="s">
        <v>18</v>
      </c>
      <c r="F513" s="759"/>
      <c r="G513" s="603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4"/>
      <c r="R513" s="604"/>
      <c r="S513" s="604"/>
      <c r="T513" s="604"/>
      <c r="U513" s="604"/>
      <c r="V513" s="604"/>
      <c r="W513" s="604"/>
      <c r="X513" s="604"/>
      <c r="Y513" s="604"/>
      <c r="Z513" s="604"/>
    </row>
    <row r="514" spans="1:26" ht="18.75" hidden="1">
      <c r="A514" s="599"/>
      <c r="B514" s="607"/>
      <c r="C514" s="607"/>
      <c r="D514" s="759"/>
      <c r="E514" s="607" t="s">
        <v>19</v>
      </c>
      <c r="F514" s="759"/>
      <c r="G514" s="603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4"/>
      <c r="R514" s="604"/>
      <c r="S514" s="604"/>
      <c r="T514" s="604"/>
      <c r="U514" s="604"/>
      <c r="V514" s="604"/>
      <c r="W514" s="604"/>
      <c r="X514" s="604"/>
      <c r="Y514" s="604"/>
      <c r="Z514" s="604"/>
    </row>
    <row r="515" spans="1:26" ht="19.5" hidden="1">
      <c r="A515" s="614"/>
      <c r="B515" s="616"/>
      <c r="C515" s="607" t="s">
        <v>16</v>
      </c>
      <c r="D515" s="895" t="s">
        <v>38</v>
      </c>
      <c r="E515" s="651"/>
      <c r="F515" s="651"/>
      <c r="G515" s="652"/>
      <c r="H515" s="366"/>
      <c r="I515" s="166"/>
      <c r="J515" s="166"/>
      <c r="K515" s="167"/>
      <c r="L515" s="167"/>
      <c r="M515" s="167"/>
      <c r="N515" s="167"/>
      <c r="O515" s="167"/>
      <c r="P515" s="167"/>
      <c r="Q515" s="604"/>
      <c r="R515" s="604"/>
      <c r="S515" s="604"/>
      <c r="T515" s="604"/>
      <c r="U515" s="604"/>
      <c r="V515" s="604"/>
      <c r="W515" s="604"/>
      <c r="X515" s="604"/>
      <c r="Y515" s="604"/>
      <c r="Z515" s="604"/>
    </row>
    <row r="516" spans="1:26" ht="18.75" hidden="1">
      <c r="A516" s="614"/>
      <c r="B516" s="616"/>
      <c r="C516" s="616"/>
      <c r="D516" s="616" t="s">
        <v>222</v>
      </c>
      <c r="E516" s="720"/>
      <c r="F516" s="720"/>
      <c r="G516" s="366"/>
      <c r="H516" s="653" t="s">
        <v>109</v>
      </c>
      <c r="I516" s="617"/>
      <c r="J516" s="617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4"/>
      <c r="R516" s="604"/>
      <c r="S516" s="604"/>
      <c r="T516" s="604"/>
      <c r="U516" s="604"/>
      <c r="V516" s="604"/>
      <c r="W516" s="604"/>
      <c r="X516" s="604"/>
      <c r="Y516" s="604"/>
      <c r="Z516" s="604"/>
    </row>
    <row r="517" spans="1:26" ht="19.5" hidden="1">
      <c r="A517" s="614"/>
      <c r="B517" s="616"/>
      <c r="C517" s="616"/>
      <c r="D517" s="616" t="s">
        <v>223</v>
      </c>
      <c r="E517" s="720"/>
      <c r="F517" s="720"/>
      <c r="G517" s="366"/>
      <c r="H517" s="654" t="s">
        <v>35</v>
      </c>
      <c r="I517" s="655"/>
      <c r="J517" s="655">
        <f>J518+J519</f>
        <v>0</v>
      </c>
      <c r="K517" s="656">
        <f t="shared" si="224"/>
        <v>0</v>
      </c>
      <c r="L517" s="167"/>
      <c r="M517" s="167"/>
      <c r="N517" s="167"/>
      <c r="O517" s="167"/>
      <c r="P517" s="167"/>
      <c r="Q517" s="604"/>
      <c r="R517" s="604"/>
      <c r="S517" s="604"/>
      <c r="T517" s="604"/>
      <c r="U517" s="604"/>
      <c r="V517" s="604"/>
      <c r="W517" s="604"/>
      <c r="X517" s="604"/>
      <c r="Y517" s="604"/>
      <c r="Z517" s="604"/>
    </row>
    <row r="518" spans="1:26" ht="18.75" hidden="1">
      <c r="A518" s="614"/>
      <c r="B518" s="616"/>
      <c r="C518" s="616"/>
      <c r="D518" s="616"/>
      <c r="E518" s="616" t="s">
        <v>224</v>
      </c>
      <c r="F518" s="720"/>
      <c r="G518" s="366"/>
      <c r="H518" s="370" t="s">
        <v>35</v>
      </c>
      <c r="I518" s="617"/>
      <c r="J518" s="617"/>
      <c r="K518" s="167"/>
      <c r="L518" s="167"/>
      <c r="M518" s="167"/>
      <c r="N518" s="167"/>
      <c r="O518" s="167"/>
      <c r="P518" s="167"/>
      <c r="Q518" s="604"/>
      <c r="R518" s="604"/>
      <c r="S518" s="604"/>
      <c r="T518" s="604"/>
      <c r="U518" s="604"/>
      <c r="V518" s="604"/>
      <c r="W518" s="604"/>
      <c r="X518" s="604"/>
      <c r="Y518" s="604"/>
      <c r="Z518" s="604"/>
    </row>
    <row r="519" spans="1:26" ht="18.75" hidden="1">
      <c r="A519" s="614"/>
      <c r="B519" s="616"/>
      <c r="C519" s="616"/>
      <c r="D519" s="616"/>
      <c r="E519" s="616" t="s">
        <v>225</v>
      </c>
      <c r="F519" s="720"/>
      <c r="G519" s="366"/>
      <c r="H519" s="653" t="s">
        <v>35</v>
      </c>
      <c r="I519" s="617"/>
      <c r="J519" s="617"/>
      <c r="K519" s="167"/>
      <c r="L519" s="167"/>
      <c r="M519" s="167"/>
      <c r="N519" s="167"/>
      <c r="O519" s="167"/>
      <c r="P519" s="167"/>
      <c r="Q519" s="604"/>
      <c r="R519" s="604"/>
      <c r="S519" s="604"/>
      <c r="T519" s="604"/>
      <c r="U519" s="604"/>
      <c r="V519" s="604"/>
      <c r="W519" s="604"/>
      <c r="X519" s="604"/>
      <c r="Y519" s="604"/>
      <c r="Z519" s="604"/>
    </row>
    <row r="520" spans="1:26" ht="19.5">
      <c r="A520" s="657" t="s">
        <v>137</v>
      </c>
      <c r="B520" s="658"/>
      <c r="C520" s="658"/>
      <c r="D520" s="659"/>
      <c r="E520" s="659"/>
      <c r="F520" s="659"/>
      <c r="G520" s="660"/>
      <c r="H520" s="661"/>
      <c r="I520" s="662"/>
      <c r="J520" s="662"/>
      <c r="K520" s="663"/>
      <c r="L520" s="663"/>
      <c r="M520" s="663"/>
      <c r="N520" s="663"/>
      <c r="O520" s="663"/>
      <c r="P520" s="663"/>
    </row>
    <row r="521" spans="1:26" ht="19.5" hidden="1">
      <c r="A521" s="664">
        <v>5</v>
      </c>
      <c r="B521" s="665" t="s">
        <v>226</v>
      </c>
      <c r="C521" s="666"/>
      <c r="D521" s="667"/>
      <c r="E521" s="667"/>
      <c r="F521" s="667"/>
      <c r="G521" s="667"/>
      <c r="H521" s="668"/>
      <c r="I521" s="669"/>
      <c r="J521" s="669"/>
      <c r="K521" s="670"/>
      <c r="L521" s="670"/>
      <c r="M521" s="670"/>
      <c r="N521" s="670"/>
      <c r="O521" s="670"/>
      <c r="P521" s="670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</row>
    <row r="522" spans="1:26" ht="19.5" hidden="1">
      <c r="A522" s="671"/>
      <c r="B522" s="672" t="s">
        <v>227</v>
      </c>
      <c r="C522" s="673"/>
      <c r="D522" s="673"/>
      <c r="E522" s="673"/>
      <c r="F522" s="673"/>
      <c r="G522" s="674"/>
      <c r="H522" s="675" t="s">
        <v>35</v>
      </c>
      <c r="I522" s="708">
        <f t="shared" ref="I522:J522" ca="1" si="225">I537</f>
        <v>0</v>
      </c>
      <c r="J522" s="708">
        <f t="shared" ca="1" si="225"/>
        <v>0</v>
      </c>
      <c r="K522" s="677">
        <f ca="1">IF(I522&gt;0,J522*100/I522,0)</f>
        <v>0</v>
      </c>
      <c r="L522" s="678"/>
      <c r="M522" s="678"/>
      <c r="N522" s="678"/>
      <c r="O522" s="678"/>
      <c r="P522" s="6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</row>
    <row r="523" spans="1:26" ht="19.5" hidden="1">
      <c r="A523" s="597"/>
      <c r="B523" s="763"/>
      <c r="C523" s="763" t="s">
        <v>16</v>
      </c>
      <c r="D523" s="863" t="s">
        <v>17</v>
      </c>
      <c r="E523" s="857"/>
      <c r="F523" s="857"/>
      <c r="G523" s="189"/>
      <c r="H523" s="598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</row>
    <row r="524" spans="1:26" ht="18.75" hidden="1">
      <c r="A524" s="599"/>
      <c r="B524" s="759"/>
      <c r="C524" s="759"/>
      <c r="D524" s="720"/>
      <c r="E524" s="759" t="s">
        <v>185</v>
      </c>
      <c r="F524" s="759"/>
      <c r="G524" s="603"/>
      <c r="H524" s="165" t="s">
        <v>12</v>
      </c>
      <c r="I524" s="617"/>
      <c r="J524" s="617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4"/>
      <c r="R524" s="604"/>
      <c r="S524" s="604"/>
      <c r="T524" s="604"/>
      <c r="U524" s="604"/>
      <c r="V524" s="604"/>
      <c r="W524" s="604"/>
      <c r="X524" s="604"/>
      <c r="Y524" s="604"/>
      <c r="Z524" s="604"/>
    </row>
    <row r="525" spans="1:26" ht="18.75" hidden="1">
      <c r="A525" s="599"/>
      <c r="B525" s="607"/>
      <c r="C525" s="759"/>
      <c r="D525" s="720"/>
      <c r="E525" s="759" t="s">
        <v>186</v>
      </c>
      <c r="F525" s="759"/>
      <c r="G525" s="603"/>
      <c r="H525" s="165" t="s">
        <v>12</v>
      </c>
      <c r="I525" s="617"/>
      <c r="J525" s="617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4"/>
      <c r="R525" s="604"/>
      <c r="S525" s="604"/>
      <c r="T525" s="604"/>
      <c r="U525" s="604"/>
      <c r="V525" s="604"/>
      <c r="W525" s="604"/>
      <c r="X525" s="604"/>
      <c r="Y525" s="604"/>
      <c r="Z525" s="604"/>
    </row>
    <row r="526" spans="1:26" ht="18.75" hidden="1">
      <c r="A526" s="597"/>
      <c r="B526" s="575"/>
      <c r="C526" s="763"/>
      <c r="D526" s="606" t="s">
        <v>20</v>
      </c>
      <c r="E526" s="763"/>
      <c r="F526" s="763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</row>
    <row r="527" spans="1:26" ht="18.75" hidden="1">
      <c r="A527" s="599"/>
      <c r="B527" s="607"/>
      <c r="C527" s="759"/>
      <c r="D527" s="720"/>
      <c r="E527" s="759" t="s">
        <v>185</v>
      </c>
      <c r="F527" s="759"/>
      <c r="G527" s="603"/>
      <c r="H527" s="165" t="s">
        <v>12</v>
      </c>
      <c r="I527" s="617"/>
      <c r="J527" s="617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4"/>
      <c r="R527" s="604"/>
      <c r="S527" s="604"/>
      <c r="T527" s="604"/>
      <c r="U527" s="604"/>
      <c r="V527" s="604"/>
      <c r="W527" s="604"/>
      <c r="X527" s="604"/>
      <c r="Y527" s="604"/>
      <c r="Z527" s="604"/>
    </row>
    <row r="528" spans="1:26" ht="18.75" hidden="1">
      <c r="A528" s="599"/>
      <c r="B528" s="607"/>
      <c r="C528" s="759"/>
      <c r="D528" s="720"/>
      <c r="E528" s="759" t="s">
        <v>186</v>
      </c>
      <c r="F528" s="759"/>
      <c r="G528" s="603"/>
      <c r="H528" s="165" t="s">
        <v>12</v>
      </c>
      <c r="I528" s="617"/>
      <c r="J528" s="617"/>
      <c r="K528" s="93"/>
      <c r="L528" s="93">
        <f ca="1">IFERROR(__xludf.DUMMYFUNCTION("IMPORTRANGE(""https://docs.google.com/spreadsheets/d/1QqKyyYR6Q21VydFLVH3TRQUabQu_ym0Zz7PgGX0-kHA/edit?usp=sharing"",""แผน!GQ50"")"),0)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4"/>
      <c r="R528" s="604"/>
      <c r="S528" s="604"/>
      <c r="T528" s="604"/>
      <c r="U528" s="604"/>
      <c r="V528" s="604"/>
      <c r="W528" s="604"/>
      <c r="X528" s="604"/>
      <c r="Y528" s="604"/>
      <c r="Z528" s="604"/>
    </row>
    <row r="529" spans="1:26" ht="18.75" hidden="1">
      <c r="A529" s="574"/>
      <c r="B529" s="575"/>
      <c r="C529" s="763"/>
      <c r="D529" s="763"/>
      <c r="E529" s="763"/>
      <c r="F529" s="763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40">
        <v>0</v>
      </c>
      <c r="O529" s="498"/>
      <c r="P529" s="49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</row>
    <row r="530" spans="1:26" ht="18.75" hidden="1">
      <c r="A530" s="574"/>
      <c r="B530" s="575"/>
      <c r="C530" s="763"/>
      <c r="D530" s="763"/>
      <c r="E530" s="763"/>
      <c r="F530" s="763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40">
        <v>0</v>
      </c>
      <c r="O530" s="498"/>
      <c r="P530" s="49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</row>
    <row r="531" spans="1:26" ht="18.75" hidden="1">
      <c r="A531" s="574"/>
      <c r="B531" s="575"/>
      <c r="C531" s="763"/>
      <c r="D531" s="763"/>
      <c r="E531" s="763"/>
      <c r="F531" s="763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40">
        <v>0</v>
      </c>
      <c r="O531" s="498"/>
      <c r="P531" s="49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</row>
    <row r="532" spans="1:26" ht="18.75" hidden="1">
      <c r="A532" s="574"/>
      <c r="B532" s="575"/>
      <c r="C532" s="763"/>
      <c r="D532" s="763"/>
      <c r="E532" s="763"/>
      <c r="F532" s="763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40">
        <v>0</v>
      </c>
      <c r="O532" s="498"/>
      <c r="P532" s="49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</row>
    <row r="533" spans="1:26" ht="18.75" hidden="1">
      <c r="A533" s="597"/>
      <c r="B533" s="575"/>
      <c r="C533" s="763"/>
      <c r="D533" s="606" t="s">
        <v>21</v>
      </c>
      <c r="E533" s="763"/>
      <c r="F533" s="763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</row>
    <row r="534" spans="1:26" ht="18.75" hidden="1">
      <c r="A534" s="599"/>
      <c r="B534" s="607"/>
      <c r="C534" s="759"/>
      <c r="D534" s="759"/>
      <c r="E534" s="759" t="s">
        <v>18</v>
      </c>
      <c r="F534" s="759"/>
      <c r="G534" s="603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4"/>
      <c r="R534" s="604"/>
      <c r="S534" s="604"/>
      <c r="T534" s="604"/>
      <c r="U534" s="604"/>
      <c r="V534" s="604"/>
      <c r="W534" s="604"/>
      <c r="X534" s="604"/>
      <c r="Y534" s="604"/>
      <c r="Z534" s="604"/>
    </row>
    <row r="535" spans="1:26" ht="18.75" hidden="1">
      <c r="A535" s="599"/>
      <c r="B535" s="607"/>
      <c r="C535" s="759"/>
      <c r="D535" s="759"/>
      <c r="E535" s="759" t="s">
        <v>19</v>
      </c>
      <c r="F535" s="759"/>
      <c r="G535" s="603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4"/>
      <c r="R535" s="604"/>
      <c r="S535" s="604"/>
      <c r="T535" s="604"/>
      <c r="U535" s="604"/>
      <c r="V535" s="604"/>
      <c r="W535" s="604"/>
      <c r="X535" s="604"/>
      <c r="Y535" s="604"/>
      <c r="Z535" s="604"/>
    </row>
    <row r="536" spans="1:26" ht="19.5" hidden="1">
      <c r="A536" s="608"/>
      <c r="B536" s="618"/>
      <c r="C536" s="763" t="s">
        <v>16</v>
      </c>
      <c r="D536" s="896" t="s">
        <v>38</v>
      </c>
      <c r="E536" s="761"/>
      <c r="F536" s="761"/>
      <c r="G536" s="613"/>
      <c r="H536" s="762"/>
      <c r="I536" s="184"/>
      <c r="J536" s="184"/>
      <c r="K536" s="163"/>
      <c r="L536" s="163"/>
      <c r="M536" s="163"/>
      <c r="N536" s="163"/>
      <c r="O536" s="163"/>
      <c r="P536" s="163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</row>
    <row r="537" spans="1:26" ht="19.5" hidden="1">
      <c r="A537" s="574"/>
      <c r="B537" s="575"/>
      <c r="C537" s="763"/>
      <c r="D537" s="763" t="s">
        <v>228</v>
      </c>
      <c r="E537" s="763"/>
      <c r="F537" s="763"/>
      <c r="G537" s="189"/>
      <c r="H537" s="623" t="s">
        <v>35</v>
      </c>
      <c r="I537" s="681">
        <f ca="1">IFERROR(__xludf.DUMMYFUNCTION("IMPORTRANGE(""https://docs.google.com/spreadsheets/d/1QqKyyYR6Q21VydFLVH3TRQUabQu_ym0Zz7PgGX0-kHA/edit?usp=sharing"",""แผน!GU50"")"),0)</f>
        <v>0</v>
      </c>
      <c r="J537" s="681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2"/>
      <c r="R537" s="682"/>
      <c r="S537" s="682"/>
      <c r="T537" s="682"/>
      <c r="U537" s="682"/>
      <c r="V537" s="682"/>
      <c r="W537" s="682"/>
      <c r="X537" s="682"/>
      <c r="Y537" s="682"/>
      <c r="Z537" s="682"/>
    </row>
    <row r="538" spans="1:26" ht="18.75" hidden="1">
      <c r="A538" s="574"/>
      <c r="B538" s="575"/>
      <c r="C538" s="763"/>
      <c r="D538" s="763"/>
      <c r="E538" s="763" t="s">
        <v>229</v>
      </c>
      <c r="F538" s="763"/>
      <c r="G538" s="189"/>
      <c r="H538" s="623" t="s">
        <v>35</v>
      </c>
      <c r="I538" s="270">
        <f ca="1">IFERROR(__xludf.DUMMYFUNCTION("IMPORTRANGE(""https://docs.google.com/spreadsheets/d/1QqKyyYR6Q21VydFLVH3TRQUabQu_ym0Zz7PgGX0-kHA/edit?usp=sharing"",""แผน!GV50"")"),0)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2"/>
      <c r="R538" s="682"/>
      <c r="S538" s="682"/>
      <c r="T538" s="682"/>
      <c r="U538" s="682"/>
      <c r="V538" s="682"/>
      <c r="W538" s="682"/>
      <c r="X538" s="682"/>
      <c r="Y538" s="682"/>
      <c r="Z538" s="682"/>
    </row>
    <row r="539" spans="1:26" ht="18.75" hidden="1">
      <c r="A539" s="574"/>
      <c r="B539" s="575"/>
      <c r="C539" s="763"/>
      <c r="D539" s="763"/>
      <c r="E539" s="763" t="s">
        <v>230</v>
      </c>
      <c r="F539" s="763"/>
      <c r="G539" s="189"/>
      <c r="H539" s="623" t="s">
        <v>35</v>
      </c>
      <c r="I539" s="270">
        <f ca="1">IFERROR(__xludf.DUMMYFUNCTION("IMPORTRANGE(""https://docs.google.com/spreadsheets/d/1QqKyyYR6Q21VydFLVH3TRQUabQu_ym0Zz7PgGX0-kHA/edit?usp=sharing"",""แผน!GW50"")"),0)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2"/>
      <c r="R539" s="682"/>
      <c r="S539" s="682"/>
      <c r="T539" s="682"/>
      <c r="U539" s="682"/>
      <c r="V539" s="682"/>
      <c r="W539" s="682"/>
      <c r="X539" s="682"/>
      <c r="Y539" s="682"/>
      <c r="Z539" s="682"/>
    </row>
    <row r="540" spans="1:26" ht="18.75" hidden="1">
      <c r="A540" s="574"/>
      <c r="B540" s="575"/>
      <c r="C540" s="763"/>
      <c r="D540" s="763"/>
      <c r="E540" s="763" t="s">
        <v>231</v>
      </c>
      <c r="F540" s="763"/>
      <c r="G540" s="189"/>
      <c r="H540" s="623" t="s">
        <v>35</v>
      </c>
      <c r="I540" s="270">
        <f ca="1">IFERROR(__xludf.DUMMYFUNCTION("IMPORTRANGE(""https://docs.google.com/spreadsheets/d/1QqKyyYR6Q21VydFLVH3TRQUabQu_ym0Zz7PgGX0-kHA/edit?usp=sharing"",""แผน!GX50"")"),0)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2"/>
      <c r="R540" s="682"/>
      <c r="S540" s="682"/>
      <c r="T540" s="682"/>
      <c r="U540" s="682"/>
      <c r="V540" s="682"/>
      <c r="W540" s="682"/>
      <c r="X540" s="682"/>
      <c r="Y540" s="682"/>
      <c r="Z540" s="682"/>
    </row>
    <row r="541" spans="1:26" ht="18.75" hidden="1">
      <c r="A541" s="574"/>
      <c r="B541" s="575"/>
      <c r="C541" s="763"/>
      <c r="D541" s="763"/>
      <c r="E541" s="769" t="s">
        <v>232</v>
      </c>
      <c r="F541" s="763"/>
      <c r="G541" s="189"/>
      <c r="H541" s="623" t="s">
        <v>35</v>
      </c>
      <c r="I541" s="270">
        <f ca="1">IFERROR(__xludf.DUMMYFUNCTION("IMPORTRANGE(""https://docs.google.com/spreadsheets/d/1QqKyyYR6Q21VydFLVH3TRQUabQu_ym0Zz7PgGX0-kHA/edit?usp=sharing"",""แผน!GY50"")"),0)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2"/>
      <c r="R541" s="682"/>
      <c r="S541" s="682"/>
      <c r="T541" s="682"/>
      <c r="U541" s="682"/>
      <c r="V541" s="682"/>
      <c r="W541" s="682"/>
      <c r="X541" s="682"/>
      <c r="Y541" s="682"/>
      <c r="Z541" s="682"/>
    </row>
    <row r="542" spans="1:26" ht="18.75" hidden="1">
      <c r="A542" s="574"/>
      <c r="B542" s="575"/>
      <c r="C542" s="763"/>
      <c r="D542" s="763" t="s">
        <v>59</v>
      </c>
      <c r="E542" s="763"/>
      <c r="F542" s="763"/>
      <c r="G542" s="189"/>
      <c r="H542" s="623" t="s">
        <v>35</v>
      </c>
      <c r="I542" s="270">
        <f ca="1">IFERROR(__xludf.DUMMYFUNCTION("IMPORTRANGE(""https://docs.google.com/spreadsheets/d/1QqKyyYR6Q21VydFLVH3TRQUabQu_ym0Zz7PgGX0-kHA/edit?usp=sharing"",""แผน!GZ50"")"),0)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2"/>
      <c r="R542" s="682"/>
      <c r="S542" s="682"/>
      <c r="T542" s="682"/>
      <c r="U542" s="682"/>
      <c r="V542" s="682"/>
      <c r="W542" s="682"/>
      <c r="X542" s="682"/>
      <c r="Y542" s="682"/>
      <c r="Z542" s="682"/>
    </row>
    <row r="543" spans="1:26" ht="19.5">
      <c r="A543" s="664">
        <v>6</v>
      </c>
      <c r="B543" s="685" t="s">
        <v>233</v>
      </c>
      <c r="C543" s="667"/>
      <c r="D543" s="667"/>
      <c r="E543" s="667"/>
      <c r="F543" s="667"/>
      <c r="G543" s="668"/>
      <c r="H543" s="686" t="s">
        <v>46</v>
      </c>
      <c r="I543" s="687">
        <f t="shared" ref="I543:J543" ca="1" si="235">I559</f>
        <v>80104.595000000001</v>
      </c>
      <c r="J543" s="687">
        <f t="shared" si="235"/>
        <v>80104.555000000008</v>
      </c>
      <c r="K543" s="688">
        <f t="shared" ca="1" si="234"/>
        <v>99.999950065286527</v>
      </c>
      <c r="L543" s="670"/>
      <c r="M543" s="670"/>
      <c r="N543" s="670"/>
      <c r="O543" s="670"/>
      <c r="P543" s="670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</row>
    <row r="544" spans="1:26" ht="19.5">
      <c r="A544" s="689"/>
      <c r="B544" s="690"/>
      <c r="C544" s="690" t="s">
        <v>16</v>
      </c>
      <c r="D544" s="897" t="s">
        <v>17</v>
      </c>
      <c r="E544" s="862"/>
      <c r="F544" s="862"/>
      <c r="G544" s="691"/>
      <c r="H544" s="275" t="s">
        <v>12</v>
      </c>
      <c r="I544" s="420"/>
      <c r="J544" s="420"/>
      <c r="K544" s="154"/>
      <c r="L544" s="155">
        <f t="shared" ref="L544:N544" ca="1" si="236">L545+L546</f>
        <v>522987</v>
      </c>
      <c r="M544" s="155">
        <f t="shared" ca="1" si="236"/>
        <v>725009.57000000007</v>
      </c>
      <c r="N544" s="155">
        <f t="shared" si="236"/>
        <v>725009.57</v>
      </c>
      <c r="O544" s="155">
        <f t="shared" ref="O544:O549" ca="1" si="237">IF(L544&gt;0,N544*100/L544,0)</f>
        <v>138.62860262300975</v>
      </c>
      <c r="P544" s="155">
        <f t="shared" ref="P544:P549" ca="1" si="238">IF(M544&gt;0,N544*100/M544,0)</f>
        <v>99.999999999999986</v>
      </c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</row>
    <row r="545" spans="1:26" ht="18.75" hidden="1">
      <c r="A545" s="599"/>
      <c r="B545" s="759"/>
      <c r="C545" s="759"/>
      <c r="D545" s="759"/>
      <c r="E545" s="759" t="s">
        <v>185</v>
      </c>
      <c r="F545" s="759"/>
      <c r="G545" s="603"/>
      <c r="H545" s="165" t="s">
        <v>12</v>
      </c>
      <c r="I545" s="617"/>
      <c r="J545" s="617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4"/>
      <c r="R545" s="604"/>
      <c r="S545" s="604"/>
      <c r="T545" s="604"/>
      <c r="U545" s="604"/>
      <c r="V545" s="604"/>
      <c r="W545" s="604"/>
      <c r="X545" s="604"/>
      <c r="Y545" s="604"/>
      <c r="Z545" s="604"/>
    </row>
    <row r="546" spans="1:26" ht="18.75" hidden="1">
      <c r="A546" s="599"/>
      <c r="B546" s="607"/>
      <c r="C546" s="759"/>
      <c r="D546" s="759"/>
      <c r="E546" s="759" t="s">
        <v>186</v>
      </c>
      <c r="F546" s="759"/>
      <c r="G546" s="603"/>
      <c r="H546" s="165" t="s">
        <v>12</v>
      </c>
      <c r="I546" s="617"/>
      <c r="J546" s="617"/>
      <c r="K546" s="93"/>
      <c r="L546" s="93">
        <f t="shared" ca="1" si="239"/>
        <v>522987</v>
      </c>
      <c r="M546" s="93">
        <f t="shared" ca="1" si="240"/>
        <v>725009.57000000007</v>
      </c>
      <c r="N546" s="93">
        <f t="shared" si="240"/>
        <v>725009.57</v>
      </c>
      <c r="O546" s="93">
        <f t="shared" ca="1" si="237"/>
        <v>138.62860262300975</v>
      </c>
      <c r="P546" s="93">
        <f t="shared" ca="1" si="238"/>
        <v>99.999999999999986</v>
      </c>
      <c r="Q546" s="604"/>
      <c r="R546" s="604"/>
      <c r="S546" s="604"/>
      <c r="T546" s="604"/>
      <c r="U546" s="604"/>
      <c r="V546" s="604"/>
      <c r="W546" s="604"/>
      <c r="X546" s="604"/>
      <c r="Y546" s="604"/>
      <c r="Z546" s="604"/>
    </row>
    <row r="547" spans="1:26" ht="18.75">
      <c r="A547" s="597"/>
      <c r="B547" s="575"/>
      <c r="C547" s="763"/>
      <c r="D547" s="606" t="s">
        <v>20</v>
      </c>
      <c r="E547" s="763"/>
      <c r="F547" s="763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522987</v>
      </c>
      <c r="M547" s="498">
        <f t="shared" ca="1" si="241"/>
        <v>725009.57000000007</v>
      </c>
      <c r="N547" s="498">
        <f t="shared" si="241"/>
        <v>725009.57</v>
      </c>
      <c r="O547" s="498">
        <f t="shared" ca="1" si="237"/>
        <v>138.62860262300975</v>
      </c>
      <c r="P547" s="498">
        <f t="shared" ca="1" si="238"/>
        <v>99.999999999999986</v>
      </c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</row>
    <row r="548" spans="1:26" ht="18.75" hidden="1">
      <c r="A548" s="599"/>
      <c r="B548" s="607"/>
      <c r="C548" s="759"/>
      <c r="D548" s="720"/>
      <c r="E548" s="759" t="s">
        <v>185</v>
      </c>
      <c r="F548" s="759"/>
      <c r="G548" s="603"/>
      <c r="H548" s="165" t="s">
        <v>12</v>
      </c>
      <c r="I548" s="617"/>
      <c r="J548" s="617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4"/>
      <c r="R548" s="604"/>
      <c r="S548" s="604"/>
      <c r="T548" s="604"/>
      <c r="U548" s="604"/>
      <c r="V548" s="604"/>
      <c r="W548" s="604"/>
      <c r="X548" s="604"/>
      <c r="Y548" s="604"/>
      <c r="Z548" s="604"/>
    </row>
    <row r="549" spans="1:26" ht="18.75" hidden="1">
      <c r="A549" s="599"/>
      <c r="B549" s="607"/>
      <c r="C549" s="759"/>
      <c r="D549" s="720"/>
      <c r="E549" s="759" t="s">
        <v>186</v>
      </c>
      <c r="F549" s="759"/>
      <c r="G549" s="603"/>
      <c r="H549" s="165" t="s">
        <v>12</v>
      </c>
      <c r="I549" s="617"/>
      <c r="J549" s="617"/>
      <c r="K549" s="93"/>
      <c r="L549" s="93">
        <f ca="1">IFERROR(__xludf.DUMMYFUNCTION("IMPORTRANGE(""https://docs.google.com/spreadsheets/d/1QqKyyYR6Q21VydFLVH3TRQUabQu_ym0Zz7PgGX0-kHA/edit?usp=sharing"",""แผน!HB50"")"),522987)</f>
        <v>522987</v>
      </c>
      <c r="M549" s="93">
        <f ca="1">L549+205000-2544.09-433.34</f>
        <v>725009.57000000007</v>
      </c>
      <c r="N549" s="93">
        <f>N550+N551+N552+N553+N554</f>
        <v>725009.57</v>
      </c>
      <c r="O549" s="93">
        <f t="shared" ca="1" si="237"/>
        <v>138.62860262300975</v>
      </c>
      <c r="P549" s="93">
        <f t="shared" ca="1" si="238"/>
        <v>99.999999999999986</v>
      </c>
      <c r="Q549" s="604"/>
      <c r="R549" s="604"/>
      <c r="S549" s="604"/>
      <c r="T549" s="604"/>
      <c r="U549" s="604"/>
      <c r="V549" s="604"/>
      <c r="W549" s="604"/>
      <c r="X549" s="604"/>
      <c r="Y549" s="604"/>
      <c r="Z549" s="604"/>
    </row>
    <row r="550" spans="1:26" ht="18.75">
      <c r="A550" s="574"/>
      <c r="B550" s="575"/>
      <c r="C550" s="763"/>
      <c r="D550" s="763"/>
      <c r="E550" s="763"/>
      <c r="F550" s="763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40">
        <v>0</v>
      </c>
      <c r="O550" s="498"/>
      <c r="P550" s="49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</row>
    <row r="551" spans="1:26" ht="18.75">
      <c r="A551" s="574"/>
      <c r="B551" s="575"/>
      <c r="C551" s="575"/>
      <c r="D551" s="575"/>
      <c r="E551" s="763"/>
      <c r="F551" s="763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40">
        <v>0</v>
      </c>
      <c r="O551" s="498"/>
      <c r="P551" s="49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</row>
    <row r="552" spans="1:26" ht="18.75">
      <c r="A552" s="574"/>
      <c r="B552" s="575"/>
      <c r="C552" s="763"/>
      <c r="D552" s="763"/>
      <c r="E552" s="763"/>
      <c r="F552" s="763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40">
        <v>143000</v>
      </c>
      <c r="O552" s="498"/>
      <c r="P552" s="498"/>
      <c r="Q552" s="578"/>
      <c r="R552" s="578"/>
      <c r="S552" s="578"/>
      <c r="T552" s="578"/>
      <c r="U552" s="578"/>
      <c r="V552" s="578"/>
      <c r="W552" s="578"/>
      <c r="X552" s="578"/>
      <c r="Y552" s="578"/>
      <c r="Z552" s="578"/>
    </row>
    <row r="553" spans="1:26" ht="18.75">
      <c r="A553" s="574"/>
      <c r="B553" s="575"/>
      <c r="C553" s="575"/>
      <c r="D553" s="575"/>
      <c r="E553" s="763"/>
      <c r="F553" s="763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40">
        <f>584987-2977.43</f>
        <v>582009.56999999995</v>
      </c>
      <c r="O553" s="498"/>
      <c r="P553" s="49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</row>
    <row r="554" spans="1:26" ht="18.75">
      <c r="A554" s="574"/>
      <c r="B554" s="575"/>
      <c r="C554" s="575"/>
      <c r="D554" s="575"/>
      <c r="E554" s="763"/>
      <c r="F554" s="763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40">
        <v>0</v>
      </c>
      <c r="O554" s="498"/>
      <c r="P554" s="49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</row>
    <row r="555" spans="1:26" ht="18.75">
      <c r="A555" s="597"/>
      <c r="B555" s="575"/>
      <c r="C555" s="575"/>
      <c r="D555" s="606" t="s">
        <v>21</v>
      </c>
      <c r="E555" s="763"/>
      <c r="F555" s="763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</row>
    <row r="556" spans="1:26" ht="18.75" hidden="1">
      <c r="A556" s="599"/>
      <c r="B556" s="607"/>
      <c r="C556" s="607"/>
      <c r="D556" s="759"/>
      <c r="E556" s="759" t="s">
        <v>18</v>
      </c>
      <c r="F556" s="759"/>
      <c r="G556" s="603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4"/>
      <c r="R556" s="604"/>
      <c r="S556" s="604"/>
      <c r="T556" s="604"/>
      <c r="U556" s="604"/>
      <c r="V556" s="604"/>
      <c r="W556" s="604"/>
      <c r="X556" s="604"/>
      <c r="Y556" s="604"/>
      <c r="Z556" s="604"/>
    </row>
    <row r="557" spans="1:26" ht="18.75" hidden="1">
      <c r="A557" s="599"/>
      <c r="B557" s="607"/>
      <c r="C557" s="607"/>
      <c r="D557" s="759"/>
      <c r="E557" s="759" t="s">
        <v>19</v>
      </c>
      <c r="F557" s="759"/>
      <c r="G557" s="603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4"/>
      <c r="R557" s="604"/>
      <c r="S557" s="604"/>
      <c r="T557" s="604"/>
      <c r="U557" s="604"/>
      <c r="V557" s="604"/>
      <c r="W557" s="604"/>
      <c r="X557" s="604"/>
      <c r="Y557" s="604"/>
      <c r="Z557" s="604"/>
    </row>
    <row r="558" spans="1:26" ht="19.5">
      <c r="A558" s="608"/>
      <c r="B558" s="618"/>
      <c r="C558" s="575" t="s">
        <v>16</v>
      </c>
      <c r="D558" s="896" t="s">
        <v>38</v>
      </c>
      <c r="E558" s="761"/>
      <c r="F558" s="761"/>
      <c r="G558" s="613"/>
      <c r="H558" s="762"/>
      <c r="I558" s="184"/>
      <c r="J558" s="184"/>
      <c r="K558" s="163"/>
      <c r="L558" s="163"/>
      <c r="M558" s="163"/>
      <c r="N558" s="163"/>
      <c r="O558" s="163"/>
      <c r="P558" s="163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</row>
    <row r="559" spans="1:26" ht="19.5">
      <c r="A559" s="692"/>
      <c r="B559" s="693" t="s">
        <v>235</v>
      </c>
      <c r="C559" s="694"/>
      <c r="D559" s="694"/>
      <c r="E559" s="673"/>
      <c r="F559" s="673"/>
      <c r="G559" s="674"/>
      <c r="H559" s="695" t="s">
        <v>46</v>
      </c>
      <c r="I559" s="708">
        <f t="shared" ref="I559:J559" ca="1" si="245">I576</f>
        <v>80104.595000000001</v>
      </c>
      <c r="J559" s="708">
        <f t="shared" si="245"/>
        <v>80104.555000000008</v>
      </c>
      <c r="K559" s="677">
        <f t="shared" ref="K559:K561" ca="1" si="246">IF(I559&gt;0,J559*100/I559,0)</f>
        <v>99.999950065286527</v>
      </c>
      <c r="L559" s="678"/>
      <c r="M559" s="678"/>
      <c r="N559" s="678"/>
      <c r="O559" s="678"/>
      <c r="P559" s="6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</row>
    <row r="560" spans="1:26" ht="19.5">
      <c r="A560" s="608"/>
      <c r="B560" s="618"/>
      <c r="C560" s="625" t="s">
        <v>236</v>
      </c>
      <c r="D560" s="618"/>
      <c r="E560" s="626"/>
      <c r="F560" s="626"/>
      <c r="G560" s="762"/>
      <c r="H560" s="767" t="s">
        <v>46</v>
      </c>
      <c r="I560" s="193">
        <f ca="1">IFERROR(__xludf.DUMMYFUNCTION("IMPORTRANGE(""https://docs.google.com/spreadsheets/d/1QqKyyYR6Q21VydFLVH3TRQUabQu_ym0Zz7PgGX0-kHA/edit?usp=sharing"",""แผน!HH50"")"),80104.595)</f>
        <v>80104.595000000001</v>
      </c>
      <c r="J560" s="193">
        <f t="shared" ref="J560:J561" si="247">J562+J564+J566</f>
        <v>80104.92</v>
      </c>
      <c r="K560" s="411">
        <f t="shared" ca="1" si="246"/>
        <v>100.00040571954705</v>
      </c>
      <c r="L560" s="163"/>
      <c r="M560" s="163"/>
      <c r="N560" s="163"/>
      <c r="O560" s="163"/>
      <c r="P560" s="163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</row>
    <row r="561" spans="1:26" ht="19.5">
      <c r="A561" s="608"/>
      <c r="B561" s="618"/>
      <c r="C561" s="618"/>
      <c r="D561" s="626"/>
      <c r="E561" s="626"/>
      <c r="F561" s="626"/>
      <c r="G561" s="762"/>
      <c r="H561" s="767" t="s">
        <v>34</v>
      </c>
      <c r="I561" s="193">
        <f ca="1">IFERROR(__xludf.DUMMYFUNCTION("IMPORTRANGE(""https://docs.google.com/spreadsheets/d/1QqKyyYR6Q21VydFLVH3TRQUabQu_ym0Zz7PgGX0-kHA/edit?usp=sharing"",""แผน!HG50"")"),6736)</f>
        <v>6736</v>
      </c>
      <c r="J561" s="193">
        <f t="shared" si="247"/>
        <v>6736</v>
      </c>
      <c r="K561" s="411">
        <f t="shared" ca="1" si="246"/>
        <v>100</v>
      </c>
      <c r="L561" s="163"/>
      <c r="M561" s="163"/>
      <c r="N561" s="163"/>
      <c r="O561" s="163"/>
      <c r="P561" s="163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</row>
    <row r="562" spans="1:26" ht="18.75">
      <c r="A562" s="608"/>
      <c r="B562" s="618"/>
      <c r="C562" s="618"/>
      <c r="D562" s="626" t="s">
        <v>237</v>
      </c>
      <c r="E562" s="626"/>
      <c r="F562" s="626"/>
      <c r="G562" s="762"/>
      <c r="H562" s="764" t="s">
        <v>46</v>
      </c>
      <c r="I562" s="184"/>
      <c r="J562" s="215">
        <v>60622.07</v>
      </c>
      <c r="K562" s="163"/>
      <c r="L562" s="163"/>
      <c r="M562" s="163"/>
      <c r="N562" s="163"/>
      <c r="O562" s="163"/>
      <c r="P562" s="163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</row>
    <row r="563" spans="1:26" ht="18.75">
      <c r="A563" s="608"/>
      <c r="B563" s="618"/>
      <c r="C563" s="618"/>
      <c r="D563" s="618"/>
      <c r="E563" s="626"/>
      <c r="F563" s="626"/>
      <c r="G563" s="762"/>
      <c r="H563" s="764" t="s">
        <v>34</v>
      </c>
      <c r="I563" s="184"/>
      <c r="J563" s="215">
        <v>5276</v>
      </c>
      <c r="K563" s="163"/>
      <c r="L563" s="163"/>
      <c r="M563" s="163"/>
      <c r="N563" s="163"/>
      <c r="O563" s="163"/>
      <c r="P563" s="163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</row>
    <row r="564" spans="1:26" ht="18.75">
      <c r="A564" s="608"/>
      <c r="B564" s="618"/>
      <c r="C564" s="618"/>
      <c r="D564" s="626" t="s">
        <v>238</v>
      </c>
      <c r="E564" s="626"/>
      <c r="F564" s="626"/>
      <c r="G564" s="762"/>
      <c r="H564" s="764" t="s">
        <v>46</v>
      </c>
      <c r="I564" s="184"/>
      <c r="J564" s="215">
        <v>15846.72</v>
      </c>
      <c r="K564" s="163"/>
      <c r="L564" s="163"/>
      <c r="M564" s="163"/>
      <c r="N564" s="163"/>
      <c r="O564" s="163"/>
      <c r="P564" s="163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</row>
    <row r="565" spans="1:26" ht="18.75">
      <c r="A565" s="608"/>
      <c r="B565" s="618"/>
      <c r="C565" s="618"/>
      <c r="D565" s="626"/>
      <c r="E565" s="626"/>
      <c r="F565" s="626"/>
      <c r="G565" s="762"/>
      <c r="H565" s="764" t="s">
        <v>34</v>
      </c>
      <c r="I565" s="184"/>
      <c r="J565" s="215">
        <v>1176</v>
      </c>
      <c r="K565" s="163"/>
      <c r="L565" s="163"/>
      <c r="M565" s="163"/>
      <c r="N565" s="163"/>
      <c r="O565" s="163"/>
      <c r="P565" s="163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</row>
    <row r="566" spans="1:26" ht="18.75">
      <c r="A566" s="608"/>
      <c r="B566" s="618"/>
      <c r="C566" s="618"/>
      <c r="D566" s="626" t="s">
        <v>239</v>
      </c>
      <c r="E566" s="626"/>
      <c r="F566" s="626"/>
      <c r="G566" s="762"/>
      <c r="H566" s="764" t="s">
        <v>46</v>
      </c>
      <c r="I566" s="184"/>
      <c r="J566" s="215">
        <v>3636.13</v>
      </c>
      <c r="K566" s="163"/>
      <c r="L566" s="163"/>
      <c r="M566" s="163"/>
      <c r="N566" s="163"/>
      <c r="O566" s="163"/>
      <c r="P566" s="163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</row>
    <row r="567" spans="1:26" ht="18.75">
      <c r="A567" s="608"/>
      <c r="B567" s="618"/>
      <c r="C567" s="618"/>
      <c r="D567" s="626"/>
      <c r="E567" s="626"/>
      <c r="F567" s="626"/>
      <c r="G567" s="762"/>
      <c r="H567" s="764" t="s">
        <v>34</v>
      </c>
      <c r="I567" s="184"/>
      <c r="J567" s="215">
        <v>284</v>
      </c>
      <c r="K567" s="163"/>
      <c r="L567" s="163"/>
      <c r="M567" s="163"/>
      <c r="N567" s="163"/>
      <c r="O567" s="163"/>
      <c r="P567" s="163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</row>
    <row r="568" spans="1:26" ht="19.5">
      <c r="A568" s="608"/>
      <c r="B568" s="618"/>
      <c r="C568" s="625" t="s">
        <v>240</v>
      </c>
      <c r="D568" s="626"/>
      <c r="E568" s="626"/>
      <c r="F568" s="626"/>
      <c r="G568" s="762"/>
      <c r="H568" s="767" t="s">
        <v>46</v>
      </c>
      <c r="I568" s="193">
        <f ca="1">IFERROR(__xludf.DUMMYFUNCTION("IMPORTRANGE(""https://docs.google.com/spreadsheets/d/1QqKyyYR6Q21VydFLVH3TRQUabQu_ym0Zz7PgGX0-kHA/edit?usp=sharing"",""แผน!HH50"")"),80104.595)</f>
        <v>80104.595000000001</v>
      </c>
      <c r="J568" s="681">
        <f t="shared" ref="J568:J569" si="248">J570+J572+J574</f>
        <v>80104.92</v>
      </c>
      <c r="K568" s="411">
        <f t="shared" ref="K568:K569" ca="1" si="249">IF(I568&gt;0,J568*100/I568,0)</f>
        <v>100.00040571954705</v>
      </c>
      <c r="L568" s="163"/>
      <c r="M568" s="163"/>
      <c r="N568" s="163"/>
      <c r="O568" s="163"/>
      <c r="P568" s="163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</row>
    <row r="569" spans="1:26" ht="19.5">
      <c r="A569" s="608"/>
      <c r="B569" s="618"/>
      <c r="C569" s="618"/>
      <c r="D569" s="618"/>
      <c r="E569" s="626"/>
      <c r="F569" s="626"/>
      <c r="G569" s="762"/>
      <c r="H569" s="767" t="s">
        <v>34</v>
      </c>
      <c r="I569" s="193">
        <f ca="1">IFERROR(__xludf.DUMMYFUNCTION("IMPORTRANGE(""https://docs.google.com/spreadsheets/d/1QqKyyYR6Q21VydFLVH3TRQUabQu_ym0Zz7PgGX0-kHA/edit?usp=sharing"",""แผน!HG50"")"),6736)</f>
        <v>6736</v>
      </c>
      <c r="J569" s="681">
        <f t="shared" si="248"/>
        <v>6736</v>
      </c>
      <c r="K569" s="411">
        <f t="shared" ca="1" si="249"/>
        <v>100</v>
      </c>
      <c r="L569" s="163"/>
      <c r="M569" s="163"/>
      <c r="N569" s="163"/>
      <c r="O569" s="163"/>
      <c r="P569" s="163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</row>
    <row r="570" spans="1:26" ht="18.75">
      <c r="A570" s="608"/>
      <c r="B570" s="618"/>
      <c r="C570" s="618"/>
      <c r="D570" s="626" t="s">
        <v>241</v>
      </c>
      <c r="E570" s="618"/>
      <c r="F570" s="626"/>
      <c r="G570" s="762"/>
      <c r="H570" s="764" t="s">
        <v>46</v>
      </c>
      <c r="I570" s="184"/>
      <c r="J570" s="215">
        <v>60622.07</v>
      </c>
      <c r="K570" s="163"/>
      <c r="L570" s="163"/>
      <c r="M570" s="163"/>
      <c r="N570" s="163"/>
      <c r="O570" s="163"/>
      <c r="P570" s="163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</row>
    <row r="571" spans="1:26" ht="18.75">
      <c r="A571" s="608"/>
      <c r="B571" s="618"/>
      <c r="C571" s="618"/>
      <c r="D571" s="618"/>
      <c r="E571" s="626"/>
      <c r="F571" s="626"/>
      <c r="G571" s="762"/>
      <c r="H571" s="764" t="s">
        <v>34</v>
      </c>
      <c r="I571" s="184"/>
      <c r="J571" s="215">
        <v>5276</v>
      </c>
      <c r="K571" s="163"/>
      <c r="L571" s="163"/>
      <c r="M571" s="163"/>
      <c r="N571" s="163"/>
      <c r="O571" s="163"/>
      <c r="P571" s="163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</row>
    <row r="572" spans="1:26" ht="18.75">
      <c r="A572" s="608"/>
      <c r="B572" s="618"/>
      <c r="C572" s="618"/>
      <c r="D572" s="626" t="s">
        <v>242</v>
      </c>
      <c r="E572" s="626"/>
      <c r="F572" s="626"/>
      <c r="G572" s="762"/>
      <c r="H572" s="764" t="s">
        <v>46</v>
      </c>
      <c r="I572" s="184"/>
      <c r="J572" s="215">
        <v>15846.72</v>
      </c>
      <c r="K572" s="163"/>
      <c r="L572" s="163"/>
      <c r="M572" s="163"/>
      <c r="N572" s="163"/>
      <c r="O572" s="163"/>
      <c r="P572" s="163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</row>
    <row r="573" spans="1:26" ht="18.75">
      <c r="A573" s="608"/>
      <c r="B573" s="618"/>
      <c r="C573" s="618"/>
      <c r="D573" s="626"/>
      <c r="E573" s="626"/>
      <c r="F573" s="626"/>
      <c r="G573" s="762"/>
      <c r="H573" s="764" t="s">
        <v>34</v>
      </c>
      <c r="I573" s="184"/>
      <c r="J573" s="215">
        <v>1176</v>
      </c>
      <c r="K573" s="163"/>
      <c r="L573" s="163"/>
      <c r="M573" s="163"/>
      <c r="N573" s="163"/>
      <c r="O573" s="163"/>
      <c r="P573" s="163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</row>
    <row r="574" spans="1:26" ht="18.75">
      <c r="A574" s="608"/>
      <c r="B574" s="618"/>
      <c r="C574" s="618"/>
      <c r="D574" s="626" t="s">
        <v>243</v>
      </c>
      <c r="E574" s="626"/>
      <c r="F574" s="626"/>
      <c r="G574" s="762"/>
      <c r="H574" s="764" t="s">
        <v>46</v>
      </c>
      <c r="I574" s="184"/>
      <c r="J574" s="215">
        <v>3636.13</v>
      </c>
      <c r="K574" s="163"/>
      <c r="L574" s="163"/>
      <c r="M574" s="163"/>
      <c r="N574" s="163"/>
      <c r="O574" s="163"/>
      <c r="P574" s="163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</row>
    <row r="575" spans="1:26" ht="18.75">
      <c r="A575" s="608"/>
      <c r="B575" s="618"/>
      <c r="C575" s="618"/>
      <c r="D575" s="618"/>
      <c r="E575" s="626"/>
      <c r="F575" s="626"/>
      <c r="G575" s="762"/>
      <c r="H575" s="764" t="s">
        <v>34</v>
      </c>
      <c r="I575" s="184"/>
      <c r="J575" s="215">
        <v>284</v>
      </c>
      <c r="K575" s="163"/>
      <c r="L575" s="163"/>
      <c r="M575" s="163"/>
      <c r="N575" s="163"/>
      <c r="O575" s="163"/>
      <c r="P575" s="163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</row>
    <row r="576" spans="1:26" ht="19.5">
      <c r="A576" s="608"/>
      <c r="B576" s="618"/>
      <c r="C576" s="625" t="s">
        <v>244</v>
      </c>
      <c r="D576" s="618"/>
      <c r="E576" s="618"/>
      <c r="F576" s="626"/>
      <c r="G576" s="762"/>
      <c r="H576" s="767" t="s">
        <v>46</v>
      </c>
      <c r="I576" s="193">
        <f ca="1">IFERROR(__xludf.DUMMYFUNCTION("IMPORTRANGE(""https://docs.google.com/spreadsheets/d/1QqKyyYR6Q21VydFLVH3TRQUabQu_ym0Zz7PgGX0-kHA/edit?usp=sharing"",""แผน!HH50"")"),80104.595)</f>
        <v>80104.595000000001</v>
      </c>
      <c r="J576" s="681">
        <f t="shared" ref="J576:J577" si="250">J578+J580+J582+J588+J590</f>
        <v>80104.555000000008</v>
      </c>
      <c r="K576" s="411">
        <f t="shared" ref="K576:K577" ca="1" si="251">IF(I576&gt;0,J576*100/I576,0)</f>
        <v>99.999950065286527</v>
      </c>
      <c r="L576" s="163"/>
      <c r="M576" s="163"/>
      <c r="N576" s="163"/>
      <c r="O576" s="163"/>
      <c r="P576" s="163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</row>
    <row r="577" spans="1:26" ht="19.5">
      <c r="A577" s="608"/>
      <c r="B577" s="618"/>
      <c r="C577" s="618"/>
      <c r="D577" s="618"/>
      <c r="E577" s="626"/>
      <c r="F577" s="626"/>
      <c r="G577" s="762"/>
      <c r="H577" s="767" t="s">
        <v>34</v>
      </c>
      <c r="I577" s="193">
        <f ca="1">IFERROR(__xludf.DUMMYFUNCTION("IMPORTRANGE(""https://docs.google.com/spreadsheets/d/1QqKyyYR6Q21VydFLVH3TRQUabQu_ym0Zz7PgGX0-kHA/edit?usp=sharing"",""แผน!HG50"")"),6736)</f>
        <v>6736</v>
      </c>
      <c r="J577" s="681">
        <f t="shared" si="250"/>
        <v>6736</v>
      </c>
      <c r="K577" s="411">
        <f t="shared" ca="1" si="251"/>
        <v>100</v>
      </c>
      <c r="L577" s="163"/>
      <c r="M577" s="163"/>
      <c r="N577" s="163"/>
      <c r="O577" s="163"/>
      <c r="P577" s="163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</row>
    <row r="578" spans="1:26" ht="18.75">
      <c r="A578" s="608"/>
      <c r="B578" s="618"/>
      <c r="C578" s="618"/>
      <c r="D578" s="626" t="s">
        <v>245</v>
      </c>
      <c r="E578" s="626"/>
      <c r="F578" s="626"/>
      <c r="G578" s="762"/>
      <c r="H578" s="764" t="s">
        <v>46</v>
      </c>
      <c r="I578" s="184"/>
      <c r="J578" s="215">
        <v>68850.522500000006</v>
      </c>
      <c r="K578" s="163"/>
      <c r="L578" s="163"/>
      <c r="M578" s="163"/>
      <c r="N578" s="163"/>
      <c r="O578" s="163"/>
      <c r="P578" s="163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</row>
    <row r="579" spans="1:26" ht="18.75">
      <c r="A579" s="608"/>
      <c r="B579" s="618"/>
      <c r="C579" s="618"/>
      <c r="D579" s="618"/>
      <c r="E579" s="626"/>
      <c r="F579" s="626"/>
      <c r="G579" s="762"/>
      <c r="H579" s="764" t="s">
        <v>34</v>
      </c>
      <c r="I579" s="184"/>
      <c r="J579" s="215">
        <v>5917</v>
      </c>
      <c r="K579" s="163"/>
      <c r="L579" s="163"/>
      <c r="M579" s="163"/>
      <c r="N579" s="163"/>
      <c r="O579" s="163"/>
      <c r="P579" s="163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</row>
    <row r="580" spans="1:26" ht="18.75">
      <c r="A580" s="608"/>
      <c r="B580" s="618"/>
      <c r="C580" s="618"/>
      <c r="D580" s="626" t="s">
        <v>246</v>
      </c>
      <c r="E580" s="626"/>
      <c r="F580" s="626"/>
      <c r="G580" s="762"/>
      <c r="H580" s="764" t="s">
        <v>46</v>
      </c>
      <c r="I580" s="184"/>
      <c r="J580" s="215">
        <v>7.2074999999999996</v>
      </c>
      <c r="K580" s="163"/>
      <c r="L580" s="163"/>
      <c r="M580" s="163"/>
      <c r="N580" s="163"/>
      <c r="O580" s="163"/>
      <c r="P580" s="163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</row>
    <row r="581" spans="1:26" ht="18.75">
      <c r="A581" s="608"/>
      <c r="B581" s="618"/>
      <c r="C581" s="618"/>
      <c r="D581" s="618"/>
      <c r="E581" s="626"/>
      <c r="F581" s="626"/>
      <c r="G581" s="762"/>
      <c r="H581" s="764" t="s">
        <v>34</v>
      </c>
      <c r="I581" s="184"/>
      <c r="J581" s="215">
        <v>1</v>
      </c>
      <c r="K581" s="163"/>
      <c r="L581" s="163"/>
      <c r="M581" s="163"/>
      <c r="N581" s="163"/>
      <c r="O581" s="163"/>
      <c r="P581" s="163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</row>
    <row r="582" spans="1:26" ht="19.5">
      <c r="A582" s="608"/>
      <c r="B582" s="618"/>
      <c r="C582" s="618"/>
      <c r="D582" s="626" t="s">
        <v>247</v>
      </c>
      <c r="E582" s="626"/>
      <c r="F582" s="626"/>
      <c r="G582" s="762"/>
      <c r="H582" s="764" t="s">
        <v>46</v>
      </c>
      <c r="I582" s="184"/>
      <c r="J582" s="681">
        <f t="shared" ref="J582:J583" si="252">J584+J586</f>
        <v>3789.94</v>
      </c>
      <c r="K582" s="411"/>
      <c r="L582" s="163"/>
      <c r="M582" s="163"/>
      <c r="N582" s="163"/>
      <c r="O582" s="163"/>
      <c r="P582" s="163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</row>
    <row r="583" spans="1:26" ht="19.5">
      <c r="A583" s="608"/>
      <c r="B583" s="618"/>
      <c r="C583" s="618"/>
      <c r="D583" s="618"/>
      <c r="E583" s="626"/>
      <c r="F583" s="626"/>
      <c r="G583" s="762"/>
      <c r="H583" s="764" t="s">
        <v>34</v>
      </c>
      <c r="I583" s="184"/>
      <c r="J583" s="681">
        <f t="shared" si="252"/>
        <v>292</v>
      </c>
      <c r="K583" s="411"/>
      <c r="L583" s="163"/>
      <c r="M583" s="163"/>
      <c r="N583" s="163"/>
      <c r="O583" s="163"/>
      <c r="P583" s="163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</row>
    <row r="584" spans="1:26" ht="18.75">
      <c r="A584" s="608"/>
      <c r="B584" s="618"/>
      <c r="C584" s="618"/>
      <c r="D584" s="618"/>
      <c r="E584" s="626" t="s">
        <v>248</v>
      </c>
      <c r="F584" s="626"/>
      <c r="G584" s="762"/>
      <c r="H584" s="764" t="s">
        <v>46</v>
      </c>
      <c r="I584" s="184"/>
      <c r="J584" s="215">
        <v>3789.94</v>
      </c>
      <c r="K584" s="163"/>
      <c r="L584" s="163"/>
      <c r="M584" s="163"/>
      <c r="N584" s="163"/>
      <c r="O584" s="163"/>
      <c r="P584" s="163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</row>
    <row r="585" spans="1:26" ht="18.75">
      <c r="A585" s="608"/>
      <c r="B585" s="618"/>
      <c r="C585" s="618"/>
      <c r="D585" s="618"/>
      <c r="E585" s="626"/>
      <c r="F585" s="626"/>
      <c r="G585" s="762"/>
      <c r="H585" s="764" t="s">
        <v>34</v>
      </c>
      <c r="I585" s="184"/>
      <c r="J585" s="215">
        <v>292</v>
      </c>
      <c r="K585" s="163"/>
      <c r="L585" s="163"/>
      <c r="M585" s="163"/>
      <c r="N585" s="163"/>
      <c r="O585" s="163"/>
      <c r="P585" s="163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</row>
    <row r="586" spans="1:26" ht="18.75">
      <c r="A586" s="608"/>
      <c r="B586" s="618"/>
      <c r="C586" s="618"/>
      <c r="D586" s="618"/>
      <c r="E586" s="626" t="s">
        <v>249</v>
      </c>
      <c r="F586" s="626"/>
      <c r="G586" s="762"/>
      <c r="H586" s="764" t="s">
        <v>46</v>
      </c>
      <c r="I586" s="184"/>
      <c r="J586" s="919">
        <v>0</v>
      </c>
      <c r="K586" s="163"/>
      <c r="L586" s="163"/>
      <c r="M586" s="163"/>
      <c r="N586" s="163"/>
      <c r="O586" s="163"/>
      <c r="P586" s="163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</row>
    <row r="587" spans="1:26" ht="18.75">
      <c r="A587" s="608"/>
      <c r="B587" s="618"/>
      <c r="C587" s="618"/>
      <c r="D587" s="618"/>
      <c r="E587" s="618"/>
      <c r="F587" s="626"/>
      <c r="G587" s="762"/>
      <c r="H587" s="76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</row>
    <row r="588" spans="1:26" ht="18.75">
      <c r="A588" s="608"/>
      <c r="B588" s="618"/>
      <c r="C588" s="618"/>
      <c r="D588" s="626" t="s">
        <v>250</v>
      </c>
      <c r="E588" s="626"/>
      <c r="F588" s="626"/>
      <c r="G588" s="762"/>
      <c r="H588" s="764" t="s">
        <v>46</v>
      </c>
      <c r="I588" s="184"/>
      <c r="J588" s="215">
        <v>7456.8850000000002</v>
      </c>
      <c r="K588" s="163"/>
      <c r="L588" s="163"/>
      <c r="M588" s="163"/>
      <c r="N588" s="163"/>
      <c r="O588" s="163"/>
      <c r="P588" s="163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</row>
    <row r="589" spans="1:26" ht="18.75">
      <c r="A589" s="608"/>
      <c r="B589" s="618"/>
      <c r="C589" s="618"/>
      <c r="D589" s="618"/>
      <c r="E589" s="618"/>
      <c r="F589" s="626"/>
      <c r="G589" s="762"/>
      <c r="H589" s="764" t="s">
        <v>34</v>
      </c>
      <c r="I589" s="184"/>
      <c r="J589" s="215">
        <v>526</v>
      </c>
      <c r="K589" s="163"/>
      <c r="L589" s="163"/>
      <c r="M589" s="163"/>
      <c r="N589" s="163"/>
      <c r="O589" s="163"/>
      <c r="P589" s="163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</row>
    <row r="590" spans="1:26" ht="18.75">
      <c r="A590" s="608"/>
      <c r="B590" s="618"/>
      <c r="C590" s="618"/>
      <c r="D590" s="626" t="s">
        <v>251</v>
      </c>
      <c r="E590" s="626"/>
      <c r="F590" s="626"/>
      <c r="G590" s="762"/>
      <c r="H590" s="76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</row>
    <row r="591" spans="1:26" ht="18.75">
      <c r="A591" s="696"/>
      <c r="B591" s="697"/>
      <c r="C591" s="697"/>
      <c r="D591" s="697"/>
      <c r="E591" s="578"/>
      <c r="F591" s="578"/>
      <c r="G591" s="698"/>
      <c r="H591" s="699" t="s">
        <v>34</v>
      </c>
      <c r="I591" s="700"/>
      <c r="J591" s="701">
        <v>0</v>
      </c>
      <c r="K591" s="702"/>
      <c r="L591" s="702"/>
      <c r="M591" s="702"/>
      <c r="N591" s="702"/>
      <c r="O591" s="702"/>
      <c r="P591" s="702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</row>
    <row r="592" spans="1:26" ht="19.5">
      <c r="A592" s="692"/>
      <c r="B592" s="693" t="s">
        <v>252</v>
      </c>
      <c r="C592" s="694"/>
      <c r="D592" s="694"/>
      <c r="E592" s="673"/>
      <c r="F592" s="673"/>
      <c r="G592" s="674"/>
      <c r="H592" s="695" t="s">
        <v>46</v>
      </c>
      <c r="I592" s="703">
        <f t="shared" ref="I592:J592" ca="1" si="253">I593</f>
        <v>1116.18</v>
      </c>
      <c r="J592" s="708">
        <f t="shared" si="253"/>
        <v>1116.1775</v>
      </c>
      <c r="K592" s="677">
        <f t="shared" ref="K592:K594" ca="1" si="254">IF(I592&gt;0,J592*100/I592,0)</f>
        <v>99.999776021788591</v>
      </c>
      <c r="L592" s="678"/>
      <c r="M592" s="678"/>
      <c r="N592" s="678"/>
      <c r="O592" s="678"/>
      <c r="P592" s="6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</row>
    <row r="593" spans="1:26" ht="19.5">
      <c r="A593" s="608"/>
      <c r="B593" s="618"/>
      <c r="C593" s="625" t="s">
        <v>253</v>
      </c>
      <c r="D593" s="618"/>
      <c r="E593" s="618"/>
      <c r="F593" s="626"/>
      <c r="G593" s="762"/>
      <c r="H593" s="767" t="s">
        <v>46</v>
      </c>
      <c r="I593" s="704">
        <f ca="1">IFERROR(__xludf.DUMMYFUNCTION("IMPORTRANGE(""https://docs.google.com/spreadsheets/d/1QqKyyYR6Q21VydFLVH3TRQUabQu_ym0Zz7PgGX0-kHA/edit?usp=sharing"",""แผน!HJ50"")"),1116.18)</f>
        <v>1116.18</v>
      </c>
      <c r="J593" s="193">
        <f t="shared" ref="J593:J594" si="255">J595+J603+J609</f>
        <v>1116.1775</v>
      </c>
      <c r="K593" s="411">
        <f t="shared" ca="1" si="254"/>
        <v>99.999776021788591</v>
      </c>
      <c r="L593" s="163"/>
      <c r="M593" s="163"/>
      <c r="N593" s="163"/>
      <c r="O593" s="163"/>
      <c r="P593" s="163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</row>
    <row r="594" spans="1:26" ht="19.5">
      <c r="A594" s="608"/>
      <c r="B594" s="618"/>
      <c r="C594" s="618"/>
      <c r="D594" s="618"/>
      <c r="E594" s="626"/>
      <c r="F594" s="626"/>
      <c r="G594" s="762"/>
      <c r="H594" s="767" t="s">
        <v>34</v>
      </c>
      <c r="I594" s="193">
        <f ca="1">IFERROR(__xludf.DUMMYFUNCTION("IMPORTRANGE(""https://docs.google.com/spreadsheets/d/1QqKyyYR6Q21VydFLVH3TRQUabQu_ym0Zz7PgGX0-kHA/edit?usp=sharing"",""แผน!HI50"")"),66)</f>
        <v>66</v>
      </c>
      <c r="J594" s="193">
        <f t="shared" si="255"/>
        <v>66</v>
      </c>
      <c r="K594" s="411">
        <f t="shared" ca="1" si="254"/>
        <v>100</v>
      </c>
      <c r="L594" s="163"/>
      <c r="M594" s="163"/>
      <c r="N594" s="163"/>
      <c r="O594" s="163"/>
      <c r="P594" s="163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</row>
    <row r="595" spans="1:26" ht="18.75">
      <c r="A595" s="608"/>
      <c r="B595" s="618"/>
      <c r="C595" s="618" t="s">
        <v>254</v>
      </c>
      <c r="D595" s="618"/>
      <c r="E595" s="618"/>
      <c r="F595" s="626"/>
      <c r="G595" s="762"/>
      <c r="H595" s="764" t="s">
        <v>46</v>
      </c>
      <c r="I595" s="184"/>
      <c r="J595" s="184">
        <f t="shared" ref="J595:J596" si="256">J597+J599</f>
        <v>1071.53</v>
      </c>
      <c r="K595" s="163"/>
      <c r="L595" s="163"/>
      <c r="M595" s="163"/>
      <c r="N595" s="163"/>
      <c r="O595" s="163"/>
      <c r="P595" s="163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</row>
    <row r="596" spans="1:26" ht="18.75">
      <c r="A596" s="608"/>
      <c r="B596" s="618"/>
      <c r="C596" s="618"/>
      <c r="D596" s="618"/>
      <c r="E596" s="626"/>
      <c r="F596" s="626"/>
      <c r="G596" s="762"/>
      <c r="H596" s="764" t="s">
        <v>34</v>
      </c>
      <c r="I596" s="184"/>
      <c r="J596" s="184">
        <f t="shared" si="256"/>
        <v>63</v>
      </c>
      <c r="K596" s="163"/>
      <c r="L596" s="163"/>
      <c r="M596" s="163"/>
      <c r="N596" s="163"/>
      <c r="O596" s="163"/>
      <c r="P596" s="163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</row>
    <row r="597" spans="1:26" ht="18.75">
      <c r="A597" s="608"/>
      <c r="B597" s="618"/>
      <c r="C597" s="618"/>
      <c r="D597" s="746" t="s">
        <v>255</v>
      </c>
      <c r="E597" s="626"/>
      <c r="F597" s="626"/>
      <c r="G597" s="762"/>
      <c r="H597" s="764" t="s">
        <v>46</v>
      </c>
      <c r="I597" s="184"/>
      <c r="J597" s="215">
        <v>607.23749999999995</v>
      </c>
      <c r="K597" s="163"/>
      <c r="L597" s="163"/>
      <c r="M597" s="163"/>
      <c r="N597" s="163"/>
      <c r="O597" s="163"/>
      <c r="P597" s="163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</row>
    <row r="598" spans="1:26" ht="18.75">
      <c r="A598" s="608"/>
      <c r="B598" s="618"/>
      <c r="C598" s="618"/>
      <c r="D598" s="618"/>
      <c r="E598" s="626"/>
      <c r="F598" s="626"/>
      <c r="G598" s="762"/>
      <c r="H598" s="764" t="s">
        <v>34</v>
      </c>
      <c r="I598" s="270"/>
      <c r="J598" s="215">
        <v>39</v>
      </c>
      <c r="K598" s="163"/>
      <c r="L598" s="163"/>
      <c r="M598" s="163"/>
      <c r="N598" s="163"/>
      <c r="O598" s="163"/>
      <c r="P598" s="163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</row>
    <row r="599" spans="1:26" ht="18.75">
      <c r="A599" s="608"/>
      <c r="B599" s="618"/>
      <c r="C599" s="618"/>
      <c r="D599" s="746" t="s">
        <v>256</v>
      </c>
      <c r="E599" s="626"/>
      <c r="F599" s="626"/>
      <c r="G599" s="762"/>
      <c r="H599" s="764" t="s">
        <v>46</v>
      </c>
      <c r="I599" s="270"/>
      <c r="J599" s="215">
        <v>464.29250000000002</v>
      </c>
      <c r="K599" s="163"/>
      <c r="L599" s="163"/>
      <c r="M599" s="163"/>
      <c r="N599" s="163"/>
      <c r="O599" s="163"/>
      <c r="P599" s="163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</row>
    <row r="600" spans="1:26" ht="18.75">
      <c r="A600" s="608"/>
      <c r="B600" s="618"/>
      <c r="C600" s="618"/>
      <c r="D600" s="618"/>
      <c r="E600" s="626"/>
      <c r="F600" s="626"/>
      <c r="G600" s="762"/>
      <c r="H600" s="764" t="s">
        <v>34</v>
      </c>
      <c r="I600" s="270"/>
      <c r="J600" s="215">
        <v>24</v>
      </c>
      <c r="K600" s="163"/>
      <c r="L600" s="163"/>
      <c r="M600" s="163"/>
      <c r="N600" s="163"/>
      <c r="O600" s="163"/>
      <c r="P600" s="163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</row>
    <row r="601" spans="1:26" ht="18.75">
      <c r="A601" s="608"/>
      <c r="B601" s="618"/>
      <c r="C601" s="618"/>
      <c r="D601" s="746" t="s">
        <v>257</v>
      </c>
      <c r="E601" s="626"/>
      <c r="F601" s="626"/>
      <c r="G601" s="762"/>
      <c r="H601" s="76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</row>
    <row r="602" spans="1:26" ht="18.75">
      <c r="A602" s="608"/>
      <c r="B602" s="618"/>
      <c r="C602" s="618"/>
      <c r="D602" s="618"/>
      <c r="E602" s="626"/>
      <c r="F602" s="626"/>
      <c r="G602" s="762"/>
      <c r="H602" s="76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</row>
    <row r="603" spans="1:26" ht="18.75">
      <c r="A603" s="608"/>
      <c r="B603" s="618"/>
      <c r="C603" s="705" t="s">
        <v>258</v>
      </c>
      <c r="D603" s="618"/>
      <c r="E603" s="618"/>
      <c r="F603" s="626"/>
      <c r="G603" s="762"/>
      <c r="H603" s="764" t="s">
        <v>46</v>
      </c>
      <c r="I603" s="270"/>
      <c r="J603" s="270">
        <f t="shared" ref="J603:J604" si="257">J605+J607</f>
        <v>10</v>
      </c>
      <c r="K603" s="163"/>
      <c r="L603" s="163"/>
      <c r="M603" s="163"/>
      <c r="N603" s="163"/>
      <c r="O603" s="163"/>
      <c r="P603" s="163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</row>
    <row r="604" spans="1:26" ht="18.75">
      <c r="A604" s="608"/>
      <c r="B604" s="618"/>
      <c r="C604" s="618"/>
      <c r="D604" s="618"/>
      <c r="E604" s="626"/>
      <c r="F604" s="626"/>
      <c r="G604" s="762"/>
      <c r="H604" s="764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</row>
    <row r="605" spans="1:26" ht="18.75">
      <c r="A605" s="608"/>
      <c r="B605" s="618"/>
      <c r="C605" s="618"/>
      <c r="D605" s="705" t="s">
        <v>259</v>
      </c>
      <c r="E605" s="626"/>
      <c r="F605" s="626"/>
      <c r="G605" s="762"/>
      <c r="H605" s="764" t="s">
        <v>46</v>
      </c>
      <c r="I605" s="270"/>
      <c r="J605" s="215">
        <v>10</v>
      </c>
      <c r="K605" s="163"/>
      <c r="L605" s="163"/>
      <c r="M605" s="163"/>
      <c r="N605" s="163"/>
      <c r="O605" s="163"/>
      <c r="P605" s="163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</row>
    <row r="606" spans="1:26" ht="18.75">
      <c r="A606" s="608"/>
      <c r="B606" s="618"/>
      <c r="C606" s="618"/>
      <c r="D606" s="618"/>
      <c r="E606" s="618"/>
      <c r="F606" s="626"/>
      <c r="G606" s="762"/>
      <c r="H606" s="764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</row>
    <row r="607" spans="1:26" ht="18.75">
      <c r="A607" s="608"/>
      <c r="B607" s="618"/>
      <c r="C607" s="618"/>
      <c r="D607" s="705" t="s">
        <v>260</v>
      </c>
      <c r="E607" s="618"/>
      <c r="F607" s="626"/>
      <c r="G607" s="762"/>
      <c r="H607" s="764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</row>
    <row r="608" spans="1:26" ht="18.75">
      <c r="A608" s="608"/>
      <c r="B608" s="618"/>
      <c r="C608" s="618"/>
      <c r="D608" s="618"/>
      <c r="E608" s="626"/>
      <c r="F608" s="626"/>
      <c r="G608" s="762"/>
      <c r="H608" s="764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</row>
    <row r="609" spans="1:26" ht="18.75">
      <c r="A609" s="608"/>
      <c r="B609" s="618"/>
      <c r="C609" s="618" t="s">
        <v>261</v>
      </c>
      <c r="D609" s="618"/>
      <c r="E609" s="618"/>
      <c r="F609" s="626"/>
      <c r="G609" s="762"/>
      <c r="H609" s="764" t="s">
        <v>46</v>
      </c>
      <c r="I609" s="270"/>
      <c r="J609" s="215">
        <v>34.647500000000001</v>
      </c>
      <c r="K609" s="163"/>
      <c r="L609" s="163"/>
      <c r="M609" s="163"/>
      <c r="N609" s="163"/>
      <c r="O609" s="163"/>
      <c r="P609" s="163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</row>
    <row r="610" spans="1:26" ht="18.75">
      <c r="A610" s="608"/>
      <c r="B610" s="618"/>
      <c r="C610" s="618"/>
      <c r="D610" s="618"/>
      <c r="E610" s="626"/>
      <c r="F610" s="626"/>
      <c r="G610" s="762"/>
      <c r="H610" s="764" t="s">
        <v>34</v>
      </c>
      <c r="I610" s="270"/>
      <c r="J610" s="215">
        <v>2</v>
      </c>
      <c r="K610" s="163"/>
      <c r="L610" s="163"/>
      <c r="M610" s="163"/>
      <c r="N610" s="163"/>
      <c r="O610" s="163"/>
      <c r="P610" s="163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</row>
    <row r="611" spans="1:26" ht="19.5">
      <c r="A611" s="692"/>
      <c r="B611" s="706" t="s">
        <v>262</v>
      </c>
      <c r="C611" s="694"/>
      <c r="D611" s="694"/>
      <c r="E611" s="673"/>
      <c r="F611" s="673"/>
      <c r="G611" s="674"/>
      <c r="H611" s="707" t="s">
        <v>46</v>
      </c>
      <c r="I611" s="708">
        <v>0</v>
      </c>
      <c r="J611" s="708">
        <f>J614+J616</f>
        <v>0</v>
      </c>
      <c r="K611" s="677">
        <f t="shared" ref="K611:K613" si="258">IF(I611&gt;0,J611*100/I611,0)</f>
        <v>0</v>
      </c>
      <c r="L611" s="678"/>
      <c r="M611" s="678"/>
      <c r="N611" s="678"/>
      <c r="O611" s="678"/>
      <c r="P611" s="6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</row>
    <row r="612" spans="1:26" ht="19.5" hidden="1">
      <c r="A612" s="709"/>
      <c r="B612" s="719"/>
      <c r="C612" s="711" t="s">
        <v>263</v>
      </c>
      <c r="D612" s="719"/>
      <c r="E612" s="719"/>
      <c r="F612" s="712"/>
      <c r="G612" s="713"/>
      <c r="H612" s="714" t="s">
        <v>46</v>
      </c>
      <c r="I612" s="716">
        <v>0</v>
      </c>
      <c r="J612" s="716">
        <f t="shared" ref="J612:J613" si="259">J614+J616</f>
        <v>0</v>
      </c>
      <c r="K612" s="717">
        <f t="shared" si="258"/>
        <v>0</v>
      </c>
      <c r="L612" s="718"/>
      <c r="M612" s="718"/>
      <c r="N612" s="718"/>
      <c r="O612" s="718"/>
      <c r="P612" s="718"/>
      <c r="Q612" s="604"/>
      <c r="R612" s="604"/>
      <c r="S612" s="604"/>
      <c r="T612" s="604"/>
      <c r="U612" s="604"/>
      <c r="V612" s="604"/>
      <c r="W612" s="604"/>
      <c r="X612" s="604"/>
      <c r="Y612" s="604"/>
      <c r="Z612" s="604"/>
    </row>
    <row r="613" spans="1:26" ht="19.5" hidden="1">
      <c r="A613" s="709"/>
      <c r="B613" s="719"/>
      <c r="C613" s="719" t="s">
        <v>264</v>
      </c>
      <c r="D613" s="719"/>
      <c r="E613" s="719"/>
      <c r="F613" s="712"/>
      <c r="G613" s="713"/>
      <c r="H613" s="714" t="s">
        <v>34</v>
      </c>
      <c r="I613" s="716">
        <v>0</v>
      </c>
      <c r="J613" s="716">
        <f t="shared" si="259"/>
        <v>0</v>
      </c>
      <c r="K613" s="717">
        <f t="shared" si="258"/>
        <v>0</v>
      </c>
      <c r="L613" s="718"/>
      <c r="M613" s="718"/>
      <c r="N613" s="718"/>
      <c r="O613" s="718"/>
      <c r="P613" s="718"/>
      <c r="Q613" s="604"/>
      <c r="R613" s="604"/>
      <c r="S613" s="604"/>
      <c r="T613" s="604"/>
      <c r="U613" s="604"/>
      <c r="V613" s="604"/>
      <c r="W613" s="604"/>
      <c r="X613" s="604"/>
      <c r="Y613" s="604"/>
      <c r="Z613" s="604"/>
    </row>
    <row r="614" spans="1:26" ht="18.75" hidden="1">
      <c r="A614" s="614"/>
      <c r="B614" s="616"/>
      <c r="C614" s="616"/>
      <c r="D614" s="720" t="s">
        <v>265</v>
      </c>
      <c r="E614" s="616"/>
      <c r="F614" s="720"/>
      <c r="G614" s="366"/>
      <c r="H614" s="370" t="s">
        <v>46</v>
      </c>
      <c r="I614" s="617"/>
      <c r="J614" s="617">
        <v>0</v>
      </c>
      <c r="K614" s="167"/>
      <c r="L614" s="167"/>
      <c r="M614" s="167"/>
      <c r="N614" s="167"/>
      <c r="O614" s="167"/>
      <c r="P614" s="167"/>
      <c r="Q614" s="604"/>
      <c r="R614" s="604"/>
      <c r="S614" s="604"/>
      <c r="T614" s="604"/>
      <c r="U614" s="604"/>
      <c r="V614" s="604"/>
      <c r="W614" s="604"/>
      <c r="X614" s="604"/>
      <c r="Y614" s="604"/>
      <c r="Z614" s="604"/>
    </row>
    <row r="615" spans="1:26" ht="18.75" hidden="1">
      <c r="A615" s="614"/>
      <c r="B615" s="616"/>
      <c r="C615" s="616"/>
      <c r="D615" s="616"/>
      <c r="E615" s="616"/>
      <c r="F615" s="720"/>
      <c r="G615" s="366"/>
      <c r="H615" s="370" t="s">
        <v>34</v>
      </c>
      <c r="I615" s="617"/>
      <c r="J615" s="617">
        <v>0</v>
      </c>
      <c r="K615" s="167"/>
      <c r="L615" s="167"/>
      <c r="M615" s="167"/>
      <c r="N615" s="167"/>
      <c r="O615" s="167"/>
      <c r="P615" s="167"/>
      <c r="Q615" s="604"/>
      <c r="R615" s="604"/>
      <c r="S615" s="604"/>
      <c r="T615" s="604"/>
      <c r="U615" s="604"/>
      <c r="V615" s="604"/>
      <c r="W615" s="604"/>
      <c r="X615" s="604"/>
      <c r="Y615" s="604"/>
      <c r="Z615" s="604"/>
    </row>
    <row r="616" spans="1:26" ht="18.75" hidden="1">
      <c r="A616" s="614"/>
      <c r="B616" s="616"/>
      <c r="C616" s="616"/>
      <c r="D616" s="721" t="s">
        <v>265</v>
      </c>
      <c r="E616" s="720"/>
      <c r="F616" s="720"/>
      <c r="G616" s="366"/>
      <c r="H616" s="370" t="s">
        <v>46</v>
      </c>
      <c r="I616" s="617"/>
      <c r="J616" s="617">
        <v>0</v>
      </c>
      <c r="K616" s="167"/>
      <c r="L616" s="167"/>
      <c r="M616" s="167"/>
      <c r="N616" s="167"/>
      <c r="O616" s="167"/>
      <c r="P616" s="167"/>
      <c r="Q616" s="604"/>
      <c r="R616" s="604"/>
      <c r="S616" s="604"/>
      <c r="T616" s="604"/>
      <c r="U616" s="604"/>
      <c r="V616" s="604"/>
      <c r="W616" s="604"/>
      <c r="X616" s="604"/>
      <c r="Y616" s="604"/>
      <c r="Z616" s="604"/>
    </row>
    <row r="617" spans="1:26" ht="18.75" hidden="1">
      <c r="A617" s="614"/>
      <c r="B617" s="616"/>
      <c r="C617" s="616"/>
      <c r="D617" s="616"/>
      <c r="E617" s="720"/>
      <c r="F617" s="720"/>
      <c r="G617" s="366"/>
      <c r="H617" s="370" t="s">
        <v>34</v>
      </c>
      <c r="I617" s="617"/>
      <c r="J617" s="617">
        <v>0</v>
      </c>
      <c r="K617" s="167"/>
      <c r="L617" s="167"/>
      <c r="M617" s="167"/>
      <c r="N617" s="167"/>
      <c r="O617" s="167"/>
      <c r="P617" s="167"/>
      <c r="Q617" s="604"/>
      <c r="R617" s="604"/>
      <c r="S617" s="604"/>
      <c r="T617" s="604"/>
      <c r="U617" s="604"/>
      <c r="V617" s="604"/>
      <c r="W617" s="604"/>
      <c r="X617" s="604"/>
      <c r="Y617" s="604"/>
      <c r="Z617" s="604"/>
    </row>
    <row r="618" spans="1:26" ht="18.75" hidden="1">
      <c r="A618" s="614"/>
      <c r="B618" s="616"/>
      <c r="C618" s="616"/>
      <c r="D618" s="721" t="s">
        <v>266</v>
      </c>
      <c r="E618" s="720"/>
      <c r="F618" s="720"/>
      <c r="G618" s="366"/>
      <c r="H618" s="370" t="s">
        <v>46</v>
      </c>
      <c r="I618" s="617"/>
      <c r="J618" s="617">
        <v>0</v>
      </c>
      <c r="K618" s="167"/>
      <c r="L618" s="167"/>
      <c r="M618" s="167"/>
      <c r="N618" s="167"/>
      <c r="O618" s="167"/>
      <c r="P618" s="167"/>
      <c r="Q618" s="604"/>
      <c r="R618" s="604"/>
      <c r="S618" s="604"/>
      <c r="T618" s="604"/>
      <c r="U618" s="604"/>
      <c r="V618" s="604"/>
      <c r="W618" s="604"/>
      <c r="X618" s="604"/>
      <c r="Y618" s="604"/>
      <c r="Z618" s="604"/>
    </row>
    <row r="619" spans="1:26" ht="18.75" hidden="1">
      <c r="A619" s="614"/>
      <c r="B619" s="616"/>
      <c r="C619" s="616"/>
      <c r="D619" s="616"/>
      <c r="E619" s="720"/>
      <c r="F619" s="720"/>
      <c r="G619" s="366"/>
      <c r="H619" s="370" t="s">
        <v>34</v>
      </c>
      <c r="I619" s="617"/>
      <c r="J619" s="617">
        <v>0</v>
      </c>
      <c r="K619" s="167"/>
      <c r="L619" s="167"/>
      <c r="M619" s="167"/>
      <c r="N619" s="167"/>
      <c r="O619" s="167"/>
      <c r="P619" s="167"/>
      <c r="Q619" s="604"/>
      <c r="R619" s="604"/>
      <c r="S619" s="604"/>
      <c r="T619" s="604"/>
      <c r="U619" s="604"/>
      <c r="V619" s="604"/>
      <c r="W619" s="604"/>
      <c r="X619" s="604"/>
      <c r="Y619" s="604"/>
      <c r="Z619" s="604"/>
    </row>
    <row r="620" spans="1:26" ht="19.5">
      <c r="A620" s="722"/>
      <c r="B620" s="731"/>
      <c r="C620" s="724" t="s">
        <v>267</v>
      </c>
      <c r="D620" s="731"/>
      <c r="E620" s="731"/>
      <c r="F620" s="725"/>
      <c r="G620" s="726"/>
      <c r="H620" s="727" t="s">
        <v>46</v>
      </c>
      <c r="I620" s="728">
        <f ca="1">IFERROR(__xludf.DUMMYFUNCTION("IMPORTRANGE(""https://docs.google.com/spreadsheets/d/1QqKyyYR6Q21VydFLVH3TRQUabQu_ym0Zz7PgGX0-kHA/edit?usp=sharing"",""แผน!HL50"")"),22)</f>
        <v>22</v>
      </c>
      <c r="J620" s="728">
        <f t="shared" ref="J620:J621" si="260">J622+J624+J626</f>
        <v>22</v>
      </c>
      <c r="K620" s="729">
        <f t="shared" ref="K620:K621" ca="1" si="261">IF(I620&gt;0,J620*100/I620,0)</f>
        <v>100</v>
      </c>
      <c r="L620" s="730"/>
      <c r="M620" s="730"/>
      <c r="N620" s="730"/>
      <c r="O620" s="730"/>
      <c r="P620" s="730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</row>
    <row r="621" spans="1:26" ht="19.5">
      <c r="A621" s="722"/>
      <c r="B621" s="731"/>
      <c r="C621" s="731" t="s">
        <v>268</v>
      </c>
      <c r="D621" s="731"/>
      <c r="E621" s="731"/>
      <c r="F621" s="725"/>
      <c r="G621" s="726"/>
      <c r="H621" s="727" t="s">
        <v>34</v>
      </c>
      <c r="I621" s="728">
        <f ca="1">IFERROR(__xludf.DUMMYFUNCTION("IMPORTRANGE(""https://docs.google.com/spreadsheets/d/1QqKyyYR6Q21VydFLVH3TRQUabQu_ym0Zz7PgGX0-kHA/edit?usp=sharing"",""แผน!HK50"")"),1)</f>
        <v>1</v>
      </c>
      <c r="J621" s="728">
        <f t="shared" si="260"/>
        <v>1</v>
      </c>
      <c r="K621" s="729">
        <f t="shared" ca="1" si="261"/>
        <v>100</v>
      </c>
      <c r="L621" s="730"/>
      <c r="M621" s="730"/>
      <c r="N621" s="730"/>
      <c r="O621" s="730"/>
      <c r="P621" s="730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</row>
    <row r="622" spans="1:26" ht="18.75">
      <c r="A622" s="608"/>
      <c r="B622" s="618"/>
      <c r="C622" s="618"/>
      <c r="D622" s="746" t="s">
        <v>269</v>
      </c>
      <c r="E622" s="626"/>
      <c r="F622" s="626"/>
      <c r="G622" s="762"/>
      <c r="H622" s="764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</row>
    <row r="623" spans="1:26" ht="18.75">
      <c r="A623" s="608"/>
      <c r="B623" s="618"/>
      <c r="C623" s="618"/>
      <c r="D623" s="618"/>
      <c r="E623" s="626"/>
      <c r="F623" s="626"/>
      <c r="G623" s="762"/>
      <c r="H623" s="764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</row>
    <row r="624" spans="1:26" ht="18.75">
      <c r="A624" s="608"/>
      <c r="B624" s="618"/>
      <c r="C624" s="618"/>
      <c r="D624" s="746" t="s">
        <v>265</v>
      </c>
      <c r="E624" s="626"/>
      <c r="F624" s="626"/>
      <c r="G624" s="762"/>
      <c r="H624" s="764" t="s">
        <v>46</v>
      </c>
      <c r="I624" s="270"/>
      <c r="J624" s="215">
        <v>22</v>
      </c>
      <c r="K624" s="163"/>
      <c r="L624" s="163"/>
      <c r="M624" s="163"/>
      <c r="N624" s="163"/>
      <c r="O624" s="163"/>
      <c r="P624" s="163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</row>
    <row r="625" spans="1:26" ht="18.75">
      <c r="A625" s="608"/>
      <c r="B625" s="618"/>
      <c r="C625" s="618"/>
      <c r="D625" s="618"/>
      <c r="E625" s="626"/>
      <c r="F625" s="626"/>
      <c r="G625" s="762"/>
      <c r="H625" s="764" t="s">
        <v>34</v>
      </c>
      <c r="I625" s="270"/>
      <c r="J625" s="215">
        <v>1</v>
      </c>
      <c r="K625" s="163"/>
      <c r="L625" s="163"/>
      <c r="M625" s="163"/>
      <c r="N625" s="163"/>
      <c r="O625" s="163"/>
      <c r="P625" s="163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</row>
    <row r="626" spans="1:26" ht="18.75">
      <c r="A626" s="608"/>
      <c r="B626" s="618"/>
      <c r="C626" s="618"/>
      <c r="D626" s="746" t="s">
        <v>270</v>
      </c>
      <c r="E626" s="626"/>
      <c r="F626" s="626"/>
      <c r="G626" s="762"/>
      <c r="H626" s="76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</row>
    <row r="627" spans="1:26" ht="18.75">
      <c r="A627" s="732"/>
      <c r="B627" s="733"/>
      <c r="C627" s="733"/>
      <c r="D627" s="733"/>
      <c r="E627" s="734"/>
      <c r="F627" s="734"/>
      <c r="G627" s="735"/>
      <c r="H627" s="422" t="s">
        <v>34</v>
      </c>
      <c r="I627" s="506"/>
      <c r="J627" s="424">
        <v>0</v>
      </c>
      <c r="K627" s="385"/>
      <c r="L627" s="385"/>
      <c r="M627" s="385"/>
      <c r="N627" s="385"/>
      <c r="O627" s="385"/>
      <c r="P627" s="385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</row>
    <row r="628" spans="1:26" ht="19.5">
      <c r="A628" s="736">
        <v>7</v>
      </c>
      <c r="B628" s="737" t="s">
        <v>271</v>
      </c>
      <c r="C628" s="738"/>
      <c r="D628" s="738"/>
      <c r="E628" s="738"/>
      <c r="F628" s="738"/>
      <c r="G628" s="739"/>
      <c r="H628" s="740" t="s">
        <v>35</v>
      </c>
      <c r="I628" s="741">
        <f t="shared" ref="I628:J628" ca="1" si="262">I651</f>
        <v>812</v>
      </c>
      <c r="J628" s="741">
        <f t="shared" ca="1" si="262"/>
        <v>815</v>
      </c>
      <c r="K628" s="742">
        <f ca="1">IF(I628&gt;0,J628*100/I628,0)</f>
        <v>100.36945812807882</v>
      </c>
      <c r="L628" s="743"/>
      <c r="M628" s="743"/>
      <c r="N628" s="743"/>
      <c r="O628" s="743"/>
      <c r="P628" s="743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</row>
    <row r="629" spans="1:26" ht="19.5">
      <c r="A629" s="597"/>
      <c r="B629" s="763"/>
      <c r="C629" s="763" t="s">
        <v>16</v>
      </c>
      <c r="D629" s="863" t="s">
        <v>17</v>
      </c>
      <c r="E629" s="857"/>
      <c r="F629" s="857"/>
      <c r="G629" s="189"/>
      <c r="H629" s="598" t="s">
        <v>12</v>
      </c>
      <c r="I629" s="270"/>
      <c r="J629" s="270"/>
      <c r="K629" s="498"/>
      <c r="L629" s="195">
        <f t="shared" ref="L629:N629" ca="1" si="263">L630+L631</f>
        <v>1025710</v>
      </c>
      <c r="M629" s="195">
        <f t="shared" ca="1" si="263"/>
        <v>1023990.64</v>
      </c>
      <c r="N629" s="195">
        <f t="shared" si="263"/>
        <v>1023990.64</v>
      </c>
      <c r="O629" s="195">
        <f t="shared" ref="O629:O634" ca="1" si="264">IF(L629&gt;0,N629*100/L629,0)</f>
        <v>99.832373672870503</v>
      </c>
      <c r="P629" s="195">
        <f t="shared" ref="P629:P634" ca="1" si="265">IF(M629&gt;0,N629*100/M629,0)</f>
        <v>100</v>
      </c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</row>
    <row r="630" spans="1:26" ht="18.75" hidden="1">
      <c r="A630" s="599"/>
      <c r="B630" s="759"/>
      <c r="C630" s="759"/>
      <c r="D630" s="720"/>
      <c r="E630" s="759" t="s">
        <v>185</v>
      </c>
      <c r="F630" s="759"/>
      <c r="G630" s="603"/>
      <c r="H630" s="165" t="s">
        <v>12</v>
      </c>
      <c r="I630" s="617"/>
      <c r="J630" s="617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4"/>
      <c r="R630" s="604"/>
      <c r="S630" s="604"/>
      <c r="T630" s="604"/>
      <c r="U630" s="604"/>
      <c r="V630" s="604"/>
      <c r="W630" s="604"/>
      <c r="X630" s="604"/>
      <c r="Y630" s="604"/>
      <c r="Z630" s="604"/>
    </row>
    <row r="631" spans="1:26" ht="18.75" hidden="1">
      <c r="A631" s="599"/>
      <c r="B631" s="607"/>
      <c r="C631" s="759"/>
      <c r="D631" s="720"/>
      <c r="E631" s="759" t="s">
        <v>186</v>
      </c>
      <c r="F631" s="759"/>
      <c r="G631" s="603"/>
      <c r="H631" s="165" t="s">
        <v>12</v>
      </c>
      <c r="I631" s="617"/>
      <c r="J631" s="617"/>
      <c r="K631" s="93"/>
      <c r="L631" s="93">
        <f t="shared" ca="1" si="266"/>
        <v>1025710</v>
      </c>
      <c r="M631" s="93">
        <f t="shared" ca="1" si="266"/>
        <v>1023990.64</v>
      </c>
      <c r="N631" s="93">
        <f t="shared" si="266"/>
        <v>1023990.64</v>
      </c>
      <c r="O631" s="93">
        <f t="shared" ca="1" si="264"/>
        <v>99.832373672870503</v>
      </c>
      <c r="P631" s="93">
        <f t="shared" ca="1" si="265"/>
        <v>100</v>
      </c>
      <c r="Q631" s="604"/>
      <c r="R631" s="604"/>
      <c r="S631" s="604"/>
      <c r="T631" s="604"/>
      <c r="U631" s="604"/>
      <c r="V631" s="604"/>
      <c r="W631" s="604"/>
      <c r="X631" s="604"/>
      <c r="Y631" s="604"/>
      <c r="Z631" s="604"/>
    </row>
    <row r="632" spans="1:26" ht="18.75">
      <c r="A632" s="597"/>
      <c r="B632" s="575"/>
      <c r="C632" s="763"/>
      <c r="D632" s="606" t="s">
        <v>20</v>
      </c>
      <c r="E632" s="763"/>
      <c r="F632" s="763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1025710</v>
      </c>
      <c r="M632" s="498">
        <f t="shared" ca="1" si="267"/>
        <v>1023990.64</v>
      </c>
      <c r="N632" s="498">
        <f t="shared" si="267"/>
        <v>1023990.64</v>
      </c>
      <c r="O632" s="498">
        <f t="shared" ca="1" si="264"/>
        <v>99.832373672870503</v>
      </c>
      <c r="P632" s="498">
        <f t="shared" ca="1" si="265"/>
        <v>100</v>
      </c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</row>
    <row r="633" spans="1:26" ht="18.75" hidden="1">
      <c r="A633" s="599"/>
      <c r="B633" s="607"/>
      <c r="C633" s="759"/>
      <c r="D633" s="720"/>
      <c r="E633" s="759" t="s">
        <v>185</v>
      </c>
      <c r="F633" s="759"/>
      <c r="G633" s="603"/>
      <c r="H633" s="165" t="s">
        <v>12</v>
      </c>
      <c r="I633" s="617"/>
      <c r="J633" s="617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4"/>
      <c r="R633" s="604"/>
      <c r="S633" s="604"/>
      <c r="T633" s="604"/>
      <c r="U633" s="604"/>
      <c r="V633" s="604"/>
      <c r="W633" s="604"/>
      <c r="X633" s="604"/>
      <c r="Y633" s="604"/>
      <c r="Z633" s="604"/>
    </row>
    <row r="634" spans="1:26" ht="18.75" hidden="1">
      <c r="A634" s="599"/>
      <c r="B634" s="607"/>
      <c r="C634" s="759"/>
      <c r="D634" s="720"/>
      <c r="E634" s="759" t="s">
        <v>186</v>
      </c>
      <c r="F634" s="759"/>
      <c r="G634" s="603"/>
      <c r="H634" s="165" t="s">
        <v>12</v>
      </c>
      <c r="I634" s="617"/>
      <c r="J634" s="617"/>
      <c r="K634" s="93"/>
      <c r="L634" s="93">
        <f ca="1">IFERROR(__xludf.DUMMYFUNCTION("IMPORTRANGE(""https://docs.google.com/spreadsheets/d/1QqKyyYR6Q21VydFLVH3TRQUabQu_ym0Zz7PgGX0-kHA/edit?usp=sharing"",""แผน!HN50"")"),1025710)</f>
        <v>1025710</v>
      </c>
      <c r="M634" s="93">
        <f ca="1">L634-1300-419.36</f>
        <v>1023990.64</v>
      </c>
      <c r="N634" s="93">
        <f>N635+N636+N637+N638</f>
        <v>1023990.64</v>
      </c>
      <c r="O634" s="93">
        <f t="shared" ca="1" si="264"/>
        <v>99.832373672870503</v>
      </c>
      <c r="P634" s="93">
        <f t="shared" ca="1" si="265"/>
        <v>100</v>
      </c>
      <c r="Q634" s="604"/>
      <c r="R634" s="604"/>
      <c r="S634" s="604"/>
      <c r="T634" s="604"/>
      <c r="U634" s="604"/>
      <c r="V634" s="604"/>
      <c r="W634" s="604"/>
      <c r="X634" s="604"/>
      <c r="Y634" s="604"/>
      <c r="Z634" s="604"/>
    </row>
    <row r="635" spans="1:26" ht="18.75">
      <c r="A635" s="574"/>
      <c r="B635" s="575"/>
      <c r="C635" s="763"/>
      <c r="D635" s="763"/>
      <c r="E635" s="763"/>
      <c r="F635" s="763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40">
        <v>0</v>
      </c>
      <c r="O635" s="498"/>
      <c r="P635" s="49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</row>
    <row r="636" spans="1:26" ht="18.75">
      <c r="A636" s="574"/>
      <c r="B636" s="575"/>
      <c r="C636" s="763"/>
      <c r="D636" s="763"/>
      <c r="E636" s="763"/>
      <c r="F636" s="763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40">
        <v>0</v>
      </c>
      <c r="O636" s="498"/>
      <c r="P636" s="49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</row>
    <row r="637" spans="1:26" ht="18.75">
      <c r="A637" s="574"/>
      <c r="B637" s="575"/>
      <c r="C637" s="763"/>
      <c r="D637" s="763"/>
      <c r="E637" s="763"/>
      <c r="F637" s="763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40">
        <v>286000</v>
      </c>
      <c r="O637" s="498"/>
      <c r="P637" s="498"/>
      <c r="Q637" s="578"/>
      <c r="R637" s="578"/>
      <c r="S637" s="578"/>
      <c r="T637" s="578"/>
      <c r="U637" s="578"/>
      <c r="V637" s="578"/>
      <c r="W637" s="578"/>
      <c r="X637" s="578"/>
      <c r="Y637" s="578"/>
      <c r="Z637" s="578"/>
    </row>
    <row r="638" spans="1:26" ht="18.75">
      <c r="A638" s="574"/>
      <c r="B638" s="575"/>
      <c r="C638" s="763"/>
      <c r="D638" s="763"/>
      <c r="E638" s="763"/>
      <c r="F638" s="763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40">
        <f>32000+138507.5+16380+32000+311870+130049.24+54053.26+100+24750-1719.36</f>
        <v>737990.64</v>
      </c>
      <c r="O638" s="498"/>
      <c r="P638" s="49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</row>
    <row r="639" spans="1:26" ht="18.75">
      <c r="A639" s="597"/>
      <c r="B639" s="575"/>
      <c r="C639" s="763"/>
      <c r="D639" s="606" t="s">
        <v>21</v>
      </c>
      <c r="E639" s="763"/>
      <c r="F639" s="763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</row>
    <row r="640" spans="1:26" ht="18.75" hidden="1">
      <c r="A640" s="599"/>
      <c r="B640" s="607"/>
      <c r="C640" s="759"/>
      <c r="D640" s="759"/>
      <c r="E640" s="759" t="s">
        <v>18</v>
      </c>
      <c r="F640" s="759"/>
      <c r="G640" s="603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4"/>
      <c r="R640" s="604"/>
      <c r="S640" s="604"/>
      <c r="T640" s="604"/>
      <c r="U640" s="604"/>
      <c r="V640" s="604"/>
      <c r="W640" s="604"/>
      <c r="X640" s="604"/>
      <c r="Y640" s="604"/>
      <c r="Z640" s="604"/>
    </row>
    <row r="641" spans="1:26" ht="18.75" hidden="1">
      <c r="A641" s="599"/>
      <c r="B641" s="607"/>
      <c r="C641" s="759"/>
      <c r="D641" s="759"/>
      <c r="E641" s="759" t="s">
        <v>19</v>
      </c>
      <c r="F641" s="759"/>
      <c r="G641" s="603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4"/>
      <c r="R641" s="604"/>
      <c r="S641" s="604"/>
      <c r="T641" s="604"/>
      <c r="U641" s="604"/>
      <c r="V641" s="604"/>
      <c r="W641" s="604"/>
      <c r="X641" s="604"/>
      <c r="Y641" s="604"/>
      <c r="Z641" s="604"/>
    </row>
    <row r="642" spans="1:26" ht="19.5">
      <c r="A642" s="608"/>
      <c r="B642" s="618"/>
      <c r="C642" s="763" t="s">
        <v>16</v>
      </c>
      <c r="D642" s="896" t="s">
        <v>38</v>
      </c>
      <c r="E642" s="761"/>
      <c r="F642" s="761"/>
      <c r="G642" s="613"/>
      <c r="H642" s="762"/>
      <c r="I642" s="184"/>
      <c r="J642" s="184"/>
      <c r="K642" s="163"/>
      <c r="L642" s="163"/>
      <c r="M642" s="163"/>
      <c r="N642" s="163"/>
      <c r="O642" s="163"/>
      <c r="P642" s="163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</row>
    <row r="643" spans="1:26" ht="18.75">
      <c r="A643" s="744"/>
      <c r="B643" s="575"/>
      <c r="C643" s="763"/>
      <c r="D643" s="626"/>
      <c r="E643" s="746" t="s">
        <v>272</v>
      </c>
      <c r="F643" s="626"/>
      <c r="G643" s="762"/>
      <c r="H643" s="764" t="s">
        <v>273</v>
      </c>
      <c r="I643" s="270">
        <f ca="1">IFERROR(__xludf.DUMMYFUNCTION("IMPORTRANGE(""https://docs.google.com/spreadsheets/d/1QqKyyYR6Q21VydFLVH3TRQUabQu_ym0Zz7PgGX0-kHA/edit?usp=sharing"",""แผน!HR50"")"),5)</f>
        <v>5</v>
      </c>
      <c r="J643" s="215">
        <v>4</v>
      </c>
      <c r="K643" s="163">
        <f t="shared" ref="K643:K652" ca="1" si="271">IF(I643&gt;0,J643*100/I643,0)</f>
        <v>80</v>
      </c>
      <c r="L643" s="163"/>
      <c r="M643" s="163"/>
      <c r="N643" s="498"/>
      <c r="O643" s="163"/>
      <c r="P643" s="163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</row>
    <row r="644" spans="1:26" ht="18.75">
      <c r="A644" s="744"/>
      <c r="B644" s="575"/>
      <c r="C644" s="763"/>
      <c r="D644" s="626"/>
      <c r="E644" s="746" t="s">
        <v>274</v>
      </c>
      <c r="F644" s="626"/>
      <c r="G644" s="762"/>
      <c r="H644" s="764" t="s">
        <v>275</v>
      </c>
      <c r="I644" s="270">
        <f ca="1">IFERROR(__xludf.DUMMYFUNCTION("IMPORTRANGE(""https://docs.google.com/spreadsheets/d/1QqKyyYR6Q21VydFLVH3TRQUabQu_ym0Zz7PgGX0-kHA/edit?usp=sharing"",""แผน!HR50"")"),5)</f>
        <v>5</v>
      </c>
      <c r="J644" s="215">
        <v>4</v>
      </c>
      <c r="K644" s="163">
        <f t="shared" ca="1" si="271"/>
        <v>80</v>
      </c>
      <c r="L644" s="163"/>
      <c r="M644" s="163"/>
      <c r="N644" s="498"/>
      <c r="O644" s="163"/>
      <c r="P644" s="163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</row>
    <row r="645" spans="1:26" ht="18.75">
      <c r="A645" s="744"/>
      <c r="B645" s="575"/>
      <c r="C645" s="763"/>
      <c r="D645" s="626"/>
      <c r="E645" s="746" t="s">
        <v>276</v>
      </c>
      <c r="F645" s="626"/>
      <c r="G645" s="762"/>
      <c r="H645" s="76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IFERROR(__xludf.DUMMYFUNCTION("IMPORTRANGE(""https://docs.google.com/spreadsheets/d/1XWAQStnk-4SwqDmLtmXYiTMKHgktTP8We1SCoS47DrQ/edit?usp=sharing"",""จัดที่ดิน!AS50"")"),555)</f>
        <v>555</v>
      </c>
      <c r="K645" s="163">
        <f t="shared" si="271"/>
        <v>0</v>
      </c>
      <c r="L645" s="163"/>
      <c r="M645" s="163"/>
      <c r="N645" s="498"/>
      <c r="O645" s="163"/>
      <c r="P645" s="163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</row>
    <row r="646" spans="1:26" ht="18.75">
      <c r="A646" s="744"/>
      <c r="B646" s="575"/>
      <c r="C646" s="763"/>
      <c r="D646" s="626"/>
      <c r="E646" s="626"/>
      <c r="F646" s="626"/>
      <c r="G646" s="762"/>
      <c r="H646" s="76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IFERROR(__xludf.DUMMYFUNCTION("IMPORTRANGE(""https://docs.google.com/spreadsheets/d/1XWAQStnk-4SwqDmLtmXYiTMKHgktTP8We1SCoS47DrQ/edit?usp=sharing"",""จัดที่ดิน!AT50"")"),336.26)</f>
        <v>336.26</v>
      </c>
      <c r="K646" s="498">
        <f t="shared" si="271"/>
        <v>0</v>
      </c>
      <c r="L646" s="163"/>
      <c r="M646" s="163"/>
      <c r="N646" s="498"/>
      <c r="O646" s="163"/>
      <c r="P646" s="163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</row>
    <row r="647" spans="1:26" ht="18.75">
      <c r="A647" s="744"/>
      <c r="B647" s="575"/>
      <c r="C647" s="763"/>
      <c r="D647" s="626"/>
      <c r="E647" s="746" t="s">
        <v>162</v>
      </c>
      <c r="F647" s="626"/>
      <c r="G647" s="762"/>
      <c r="H647" s="764" t="s">
        <v>35</v>
      </c>
      <c r="I647" s="270">
        <f ca="1">IFERROR(__xludf.DUMMYFUNCTION("IMPORTRANGE(""https://docs.google.com/spreadsheets/d/1QqKyyYR6Q21VydFLVH3TRQUabQu_ym0Zz7PgGX0-kHA/edit?usp=sharing"",""แผน!HS50"")"),812)</f>
        <v>812</v>
      </c>
      <c r="J647" s="270">
        <f ca="1">IFERROR(__xludf.DUMMYFUNCTION("IMPORTRANGE(""https://docs.google.com/spreadsheets/d/1XWAQStnk-4SwqDmLtmXYiTMKHgktTP8We1SCoS47DrQ/edit?usp=sharing"",""จัดที่ดิน!AU50"")"),608)</f>
        <v>608</v>
      </c>
      <c r="K647" s="163">
        <f t="shared" ca="1" si="271"/>
        <v>74.876847290640399</v>
      </c>
      <c r="L647" s="163"/>
      <c r="M647" s="163"/>
      <c r="N647" s="163"/>
      <c r="O647" s="163"/>
      <c r="P647" s="163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</row>
    <row r="648" spans="1:26" ht="18.75">
      <c r="A648" s="744"/>
      <c r="B648" s="575"/>
      <c r="C648" s="763"/>
      <c r="D648" s="626"/>
      <c r="E648" s="626"/>
      <c r="F648" s="626"/>
      <c r="G648" s="762"/>
      <c r="H648" s="76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IFERROR(__xludf.DUMMYFUNCTION("IMPORTRANGE(""https://docs.google.com/spreadsheets/d/1XWAQStnk-4SwqDmLtmXYiTMKHgktTP8We1SCoS47DrQ/edit?usp=sharing"",""จัดที่ดิน!AV50"")"),304.12)</f>
        <v>304.12</v>
      </c>
      <c r="K648" s="498">
        <f t="shared" si="271"/>
        <v>0</v>
      </c>
      <c r="L648" s="163"/>
      <c r="M648" s="163"/>
      <c r="N648" s="163"/>
      <c r="O648" s="163"/>
      <c r="P648" s="163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</row>
    <row r="649" spans="1:26" ht="18.75">
      <c r="A649" s="744"/>
      <c r="B649" s="575"/>
      <c r="C649" s="763"/>
      <c r="D649" s="626"/>
      <c r="E649" s="746" t="s">
        <v>277</v>
      </c>
      <c r="F649" s="626"/>
      <c r="G649" s="762"/>
      <c r="H649" s="764" t="s">
        <v>35</v>
      </c>
      <c r="I649" s="270">
        <f ca="1">IFERROR(__xludf.DUMMYFUNCTION("IMPORTRANGE(""https://docs.google.com/spreadsheets/d/1QqKyyYR6Q21VydFLVH3TRQUabQu_ym0Zz7PgGX0-kHA/edit?usp=sharing"",""แผน!HS50"")"),812)</f>
        <v>812</v>
      </c>
      <c r="J649" s="270">
        <f ca="1">IFERROR(__xludf.DUMMYFUNCTION("IMPORTRANGE(""https://docs.google.com/spreadsheets/d/1XWAQStnk-4SwqDmLtmXYiTMKHgktTP8We1SCoS47DrQ/edit?usp=sharing"",""จัดที่ดิน!AW50"")"),815)</f>
        <v>815</v>
      </c>
      <c r="K649" s="163">
        <f t="shared" ca="1" si="271"/>
        <v>100.36945812807882</v>
      </c>
      <c r="L649" s="163"/>
      <c r="M649" s="163"/>
      <c r="N649" s="163"/>
      <c r="O649" s="163"/>
      <c r="P649" s="163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</row>
    <row r="650" spans="1:26" ht="18.75">
      <c r="A650" s="744"/>
      <c r="B650" s="575"/>
      <c r="C650" s="763"/>
      <c r="D650" s="626"/>
      <c r="E650" s="626"/>
      <c r="F650" s="626"/>
      <c r="G650" s="762"/>
      <c r="H650" s="76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IFERROR(__xludf.DUMMYFUNCTION("IMPORTRANGE(""https://docs.google.com/spreadsheets/d/1XWAQStnk-4SwqDmLtmXYiTMKHgktTP8We1SCoS47DrQ/edit?usp=sharing"",""จัดที่ดิน!AX50"")"),420.91)</f>
        <v>420.91</v>
      </c>
      <c r="K650" s="498">
        <f t="shared" si="271"/>
        <v>0</v>
      </c>
      <c r="L650" s="163"/>
      <c r="M650" s="163"/>
      <c r="N650" s="163"/>
      <c r="O650" s="163"/>
      <c r="P650" s="163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</row>
    <row r="651" spans="1:26" ht="18.75">
      <c r="A651" s="744"/>
      <c r="B651" s="575"/>
      <c r="C651" s="763"/>
      <c r="D651" s="626"/>
      <c r="E651" s="746" t="s">
        <v>278</v>
      </c>
      <c r="F651" s="626"/>
      <c r="G651" s="762"/>
      <c r="H651" s="764" t="s">
        <v>35</v>
      </c>
      <c r="I651" s="270">
        <f ca="1">IFERROR(__xludf.DUMMYFUNCTION("IMPORTRANGE(""https://docs.google.com/spreadsheets/d/1QqKyyYR6Q21VydFLVH3TRQUabQu_ym0Zz7PgGX0-kHA/edit?usp=sharing"",""แผน!HS50"")"),812)</f>
        <v>812</v>
      </c>
      <c r="J651" s="270">
        <f ca="1">IFERROR(__xludf.DUMMYFUNCTION("IMPORTRANGE(""https://docs.google.com/spreadsheets/d/1XWAQStnk-4SwqDmLtmXYiTMKHgktTP8We1SCoS47DrQ/edit?usp=sharing"",""จัดที่ดิน!AY50"")"),815)</f>
        <v>815</v>
      </c>
      <c r="K651" s="163">
        <f t="shared" ca="1" si="271"/>
        <v>100.36945812807882</v>
      </c>
      <c r="L651" s="163"/>
      <c r="M651" s="163"/>
      <c r="N651" s="163"/>
      <c r="O651" s="163"/>
      <c r="P651" s="163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</row>
    <row r="652" spans="1:26" ht="18.75">
      <c r="A652" s="74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8"/>
      <c r="C652" s="749"/>
      <c r="D652" s="734"/>
      <c r="E652" s="734"/>
      <c r="F652" s="734"/>
      <c r="G652" s="735"/>
      <c r="H652" s="505" t="s">
        <v>46</v>
      </c>
      <c r="I652" s="506">
        <v>0</v>
      </c>
      <c r="J652" s="506">
        <f ca="1">IFERROR(__xludf.DUMMYFUNCTION("IMPORTRANGE(""https://docs.google.com/spreadsheets/d/1XWAQStnk-4SwqDmLtmXYiTMKHgktTP8We1SCoS47DrQ/edit?usp=sharing"",""จัดที่ดิน!AZ50"")"),421.405)</f>
        <v>421.40499999999997</v>
      </c>
      <c r="K652" s="507">
        <f t="shared" si="271"/>
        <v>0</v>
      </c>
      <c r="L652" s="385"/>
      <c r="M652" s="385"/>
      <c r="N652" s="385"/>
      <c r="O652" s="385"/>
      <c r="P652" s="385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</row>
    <row r="653" spans="1:26" ht="19.5">
      <c r="A653" s="750">
        <v>8</v>
      </c>
      <c r="B653" s="737" t="s">
        <v>279</v>
      </c>
      <c r="C653" s="738"/>
      <c r="D653" s="738"/>
      <c r="E653" s="738"/>
      <c r="F653" s="738"/>
      <c r="G653" s="739"/>
      <c r="H653" s="739"/>
      <c r="I653" s="751"/>
      <c r="J653" s="751"/>
      <c r="K653" s="743"/>
      <c r="L653" s="743"/>
      <c r="M653" s="743"/>
      <c r="N653" s="743"/>
      <c r="O653" s="743"/>
      <c r="P653" s="743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</row>
    <row r="654" spans="1:26" ht="19.5" hidden="1">
      <c r="A654" s="673"/>
      <c r="B654" s="672" t="s">
        <v>280</v>
      </c>
      <c r="C654" s="673"/>
      <c r="D654" s="673"/>
      <c r="E654" s="673"/>
      <c r="F654" s="673"/>
      <c r="G654" s="674"/>
      <c r="H654" s="707" t="s">
        <v>46</v>
      </c>
      <c r="I654" s="708">
        <f t="shared" ref="I654:J654" ca="1" si="272">I669</f>
        <v>0</v>
      </c>
      <c r="J654" s="708">
        <f t="shared" si="272"/>
        <v>0</v>
      </c>
      <c r="K654" s="677">
        <f ca="1">IF(I654&gt;0,J654*100/I654,0)</f>
        <v>0</v>
      </c>
      <c r="L654" s="678"/>
      <c r="M654" s="678"/>
      <c r="N654" s="678"/>
      <c r="O654" s="678"/>
      <c r="P654" s="6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</row>
    <row r="655" spans="1:26" ht="19.5" hidden="1">
      <c r="A655" s="597"/>
      <c r="B655" s="763"/>
      <c r="C655" s="763" t="s">
        <v>16</v>
      </c>
      <c r="D655" s="863" t="s">
        <v>17</v>
      </c>
      <c r="E655" s="857"/>
      <c r="F655" s="857"/>
      <c r="G655" s="189"/>
      <c r="H655" s="598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</row>
    <row r="656" spans="1:26" ht="18.75" hidden="1">
      <c r="A656" s="599"/>
      <c r="B656" s="759"/>
      <c r="C656" s="759"/>
      <c r="D656" s="720"/>
      <c r="E656" s="759" t="s">
        <v>185</v>
      </c>
      <c r="F656" s="759"/>
      <c r="G656" s="603"/>
      <c r="H656" s="165" t="s">
        <v>12</v>
      </c>
      <c r="I656" s="617"/>
      <c r="J656" s="617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4"/>
      <c r="R656" s="604"/>
      <c r="S656" s="604"/>
      <c r="T656" s="604"/>
      <c r="U656" s="604"/>
      <c r="V656" s="604"/>
      <c r="W656" s="604"/>
      <c r="X656" s="604"/>
      <c r="Y656" s="604"/>
      <c r="Z656" s="604"/>
    </row>
    <row r="657" spans="1:26" ht="18.75" hidden="1">
      <c r="A657" s="599"/>
      <c r="B657" s="607"/>
      <c r="C657" s="759"/>
      <c r="D657" s="720"/>
      <c r="E657" s="759" t="s">
        <v>186</v>
      </c>
      <c r="F657" s="759"/>
      <c r="G657" s="603"/>
      <c r="H657" s="165" t="s">
        <v>12</v>
      </c>
      <c r="I657" s="617"/>
      <c r="J657" s="617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4"/>
      <c r="R657" s="604"/>
      <c r="S657" s="604"/>
      <c r="T657" s="604"/>
      <c r="U657" s="604"/>
      <c r="V657" s="604"/>
      <c r="W657" s="604"/>
      <c r="X657" s="604"/>
      <c r="Y657" s="604"/>
      <c r="Z657" s="604"/>
    </row>
    <row r="658" spans="1:26" ht="18.75" hidden="1">
      <c r="A658" s="597"/>
      <c r="B658" s="575"/>
      <c r="C658" s="763"/>
      <c r="D658" s="606" t="s">
        <v>20</v>
      </c>
      <c r="E658" s="763"/>
      <c r="F658" s="763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</row>
    <row r="659" spans="1:26" ht="18.75" hidden="1">
      <c r="A659" s="599"/>
      <c r="B659" s="607"/>
      <c r="C659" s="759"/>
      <c r="D659" s="720"/>
      <c r="E659" s="759" t="s">
        <v>185</v>
      </c>
      <c r="F659" s="759"/>
      <c r="G659" s="603"/>
      <c r="H659" s="165" t="s">
        <v>12</v>
      </c>
      <c r="I659" s="617"/>
      <c r="J659" s="617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4"/>
      <c r="R659" s="604"/>
      <c r="S659" s="604"/>
      <c r="T659" s="604"/>
      <c r="U659" s="604"/>
      <c r="V659" s="604"/>
      <c r="W659" s="604"/>
      <c r="X659" s="604"/>
      <c r="Y659" s="604"/>
      <c r="Z659" s="604"/>
    </row>
    <row r="660" spans="1:26" ht="18.75" hidden="1">
      <c r="A660" s="599"/>
      <c r="B660" s="607"/>
      <c r="C660" s="759"/>
      <c r="D660" s="720"/>
      <c r="E660" s="759" t="s">
        <v>186</v>
      </c>
      <c r="F660" s="759"/>
      <c r="G660" s="603"/>
      <c r="H660" s="165" t="s">
        <v>12</v>
      </c>
      <c r="I660" s="617"/>
      <c r="J660" s="617"/>
      <c r="K660" s="93"/>
      <c r="L660" s="93">
        <f ca="1">IFERROR(__xludf.DUMMYFUNCTION("IMPORTRANGE(""https://docs.google.com/spreadsheets/d/1QqKyyYR6Q21VydFLVH3TRQUabQu_ym0Zz7PgGX0-kHA/edit?usp=sharing"",""แผน!HV50"")"),0)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4"/>
      <c r="R660" s="604"/>
      <c r="S660" s="604"/>
      <c r="T660" s="604"/>
      <c r="U660" s="604"/>
      <c r="V660" s="604"/>
      <c r="W660" s="604"/>
      <c r="X660" s="604"/>
      <c r="Y660" s="604"/>
      <c r="Z660" s="604"/>
    </row>
    <row r="661" spans="1:26" ht="18.75" hidden="1">
      <c r="A661" s="574"/>
      <c r="B661" s="575"/>
      <c r="C661" s="763"/>
      <c r="D661" s="763"/>
      <c r="E661" s="763"/>
      <c r="F661" s="763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40">
        <v>0</v>
      </c>
      <c r="O661" s="498"/>
      <c r="P661" s="49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</row>
    <row r="662" spans="1:26" ht="18.75" hidden="1">
      <c r="A662" s="574"/>
      <c r="B662" s="575"/>
      <c r="C662" s="763"/>
      <c r="D662" s="763"/>
      <c r="E662" s="763"/>
      <c r="F662" s="763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40">
        <v>0</v>
      </c>
      <c r="O662" s="498"/>
      <c r="P662" s="49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</row>
    <row r="663" spans="1:26" ht="18.75" hidden="1">
      <c r="A663" s="574"/>
      <c r="B663" s="575"/>
      <c r="C663" s="575"/>
      <c r="D663" s="763"/>
      <c r="E663" s="763"/>
      <c r="F663" s="763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40">
        <v>0</v>
      </c>
      <c r="O663" s="498"/>
      <c r="P663" s="49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</row>
    <row r="664" spans="1:26" ht="18.75" hidden="1">
      <c r="A664" s="574"/>
      <c r="B664" s="575"/>
      <c r="C664" s="575"/>
      <c r="D664" s="575"/>
      <c r="E664" s="763"/>
      <c r="F664" s="763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40">
        <v>0</v>
      </c>
      <c r="O664" s="498"/>
      <c r="P664" s="49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</row>
    <row r="665" spans="1:26" ht="18.75" hidden="1">
      <c r="A665" s="597"/>
      <c r="B665" s="575"/>
      <c r="C665" s="575"/>
      <c r="D665" s="606" t="s">
        <v>21</v>
      </c>
      <c r="E665" s="763"/>
      <c r="F665" s="763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</row>
    <row r="666" spans="1:26" ht="18.75" hidden="1">
      <c r="A666" s="599"/>
      <c r="B666" s="607"/>
      <c r="C666" s="607"/>
      <c r="D666" s="607"/>
      <c r="E666" s="759" t="s">
        <v>18</v>
      </c>
      <c r="F666" s="759"/>
      <c r="G666" s="603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4"/>
      <c r="R666" s="604"/>
      <c r="S666" s="604"/>
      <c r="T666" s="604"/>
      <c r="U666" s="604"/>
      <c r="V666" s="604"/>
      <c r="W666" s="604"/>
      <c r="X666" s="604"/>
      <c r="Y666" s="604"/>
      <c r="Z666" s="604"/>
    </row>
    <row r="667" spans="1:26" ht="18.75" hidden="1">
      <c r="A667" s="599"/>
      <c r="B667" s="607"/>
      <c r="C667" s="607"/>
      <c r="D667" s="607"/>
      <c r="E667" s="759" t="s">
        <v>19</v>
      </c>
      <c r="F667" s="759"/>
      <c r="G667" s="603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4"/>
      <c r="R667" s="604"/>
      <c r="S667" s="604"/>
      <c r="T667" s="604"/>
      <c r="U667" s="604"/>
      <c r="V667" s="604"/>
      <c r="W667" s="604"/>
      <c r="X667" s="604"/>
      <c r="Y667" s="604"/>
      <c r="Z667" s="604"/>
    </row>
    <row r="668" spans="1:26" ht="19.5" hidden="1">
      <c r="A668" s="608"/>
      <c r="B668" s="618"/>
      <c r="C668" s="575" t="s">
        <v>16</v>
      </c>
      <c r="D668" s="893" t="s">
        <v>38</v>
      </c>
      <c r="E668" s="761"/>
      <c r="F668" s="761"/>
      <c r="G668" s="613"/>
      <c r="H668" s="762"/>
      <c r="I668" s="184"/>
      <c r="J668" s="184"/>
      <c r="K668" s="163"/>
      <c r="L668" s="163"/>
      <c r="M668" s="163"/>
      <c r="N668" s="163"/>
      <c r="O668" s="163"/>
      <c r="P668" s="163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</row>
    <row r="669" spans="1:26" ht="19.5" hidden="1">
      <c r="A669" s="608"/>
      <c r="B669" s="618"/>
      <c r="C669" s="618"/>
      <c r="D669" s="618" t="s">
        <v>281</v>
      </c>
      <c r="E669" s="626"/>
      <c r="F669" s="626"/>
      <c r="G669" s="762"/>
      <c r="H669" s="767" t="s">
        <v>46</v>
      </c>
      <c r="I669" s="681">
        <f ca="1">IFERROR(__xludf.DUMMYFUNCTION("IMPORTRANGE(""https://docs.google.com/spreadsheets/d/1QqKyyYR6Q21VydFLVH3TRQUabQu_ym0Zz7PgGX0-kHA/edit?usp=sharing"",""แผน!IA50"")"),0)</f>
        <v>0</v>
      </c>
      <c r="J669" s="681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</row>
    <row r="670" spans="1:26" ht="18.75" hidden="1">
      <c r="A670" s="608"/>
      <c r="B670" s="618"/>
      <c r="C670" s="618"/>
      <c r="D670" s="618"/>
      <c r="E670" s="626" t="s">
        <v>282</v>
      </c>
      <c r="F670" s="626"/>
      <c r="G670" s="762"/>
      <c r="H670" s="764" t="s">
        <v>66</v>
      </c>
      <c r="I670" s="270">
        <f ca="1">IFERROR(__xludf.DUMMYFUNCTION("IMPORTRANGE(""https://docs.google.com/spreadsheets/d/1QqKyyYR6Q21VydFLVH3TRQUabQu_ym0Zz7PgGX0-kHA/edit?usp=sharing"",""แผน!HZ50"")"),0)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</row>
    <row r="671" spans="1:26" ht="18.75" hidden="1">
      <c r="A671" s="608"/>
      <c r="B671" s="618"/>
      <c r="C671" s="618"/>
      <c r="D671" s="618"/>
      <c r="E671" s="626" t="s">
        <v>283</v>
      </c>
      <c r="F671" s="626"/>
      <c r="G671" s="762"/>
      <c r="H671" s="764" t="s">
        <v>66</v>
      </c>
      <c r="I671" s="270">
        <f ca="1">IFERROR(__xludf.DUMMYFUNCTION("IMPORTRANGE(""https://docs.google.com/spreadsheets/d/1QqKyyYR6Q21VydFLVH3TRQUabQu_ym0Zz7PgGX0-kHA/edit?usp=sharing"",""แผน!HZ50"")"),0)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</row>
    <row r="672" spans="1:26" ht="18.75" hidden="1">
      <c r="A672" s="608"/>
      <c r="B672" s="618"/>
      <c r="C672" s="618"/>
      <c r="D672" s="618"/>
      <c r="E672" s="626" t="s">
        <v>284</v>
      </c>
      <c r="F672" s="626"/>
      <c r="G672" s="762"/>
      <c r="H672" s="764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</row>
    <row r="673" spans="1:26" ht="18.75" hidden="1">
      <c r="A673" s="608"/>
      <c r="B673" s="618"/>
      <c r="C673" s="618"/>
      <c r="D673" s="618"/>
      <c r="E673" s="626" t="s">
        <v>285</v>
      </c>
      <c r="F673" s="626"/>
      <c r="G673" s="762"/>
      <c r="H673" s="764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</row>
    <row r="674" spans="1:26" ht="18.75" hidden="1">
      <c r="A674" s="608"/>
      <c r="B674" s="618"/>
      <c r="C674" s="618"/>
      <c r="D674" s="618"/>
      <c r="E674" s="626" t="s">
        <v>286</v>
      </c>
      <c r="F674" s="626"/>
      <c r="G674" s="762"/>
      <c r="H674" s="764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</row>
    <row r="675" spans="1:26" ht="19.5" hidden="1">
      <c r="A675" s="608"/>
      <c r="B675" s="618"/>
      <c r="C675" s="618"/>
      <c r="D675" s="618"/>
      <c r="E675" s="626" t="s">
        <v>287</v>
      </c>
      <c r="F675" s="626"/>
      <c r="G675" s="762"/>
      <c r="H675" s="764" t="s">
        <v>46</v>
      </c>
      <c r="I675" s="270"/>
      <c r="J675" s="681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</row>
    <row r="676" spans="1:26" ht="18.75" hidden="1">
      <c r="A676" s="608"/>
      <c r="B676" s="618"/>
      <c r="C676" s="618"/>
      <c r="D676" s="618"/>
      <c r="E676" s="626"/>
      <c r="F676" s="626" t="s">
        <v>288</v>
      </c>
      <c r="G676" s="762"/>
      <c r="H676" s="764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</row>
    <row r="677" spans="1:26" ht="18.75" hidden="1">
      <c r="A677" s="608"/>
      <c r="B677" s="618"/>
      <c r="C677" s="618"/>
      <c r="D677" s="618"/>
      <c r="E677" s="626"/>
      <c r="F677" s="626" t="s">
        <v>289</v>
      </c>
      <c r="G677" s="762"/>
      <c r="H677" s="764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</row>
    <row r="678" spans="1:26" ht="19.5" hidden="1">
      <c r="A678" s="608"/>
      <c r="B678" s="618"/>
      <c r="C678" s="618"/>
      <c r="D678" s="618" t="s">
        <v>290</v>
      </c>
      <c r="E678" s="626"/>
      <c r="F678" s="626"/>
      <c r="G678" s="762"/>
      <c r="H678" s="764" t="s">
        <v>46</v>
      </c>
      <c r="I678" s="681">
        <f ca="1">IFERROR(__xludf.DUMMYFUNCTION("IMPORTRANGE(""https://docs.google.com/spreadsheets/d/1QqKyyYR6Q21VydFLVH3TRQUabQu_ym0Zz7PgGX0-kHA/edit?usp=sharing"",""แผน!IB50"")"),0)</f>
        <v>0</v>
      </c>
      <c r="J678" s="681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</row>
    <row r="679" spans="1:26" ht="18.75" hidden="1">
      <c r="A679" s="608"/>
      <c r="B679" s="618"/>
      <c r="C679" s="618"/>
      <c r="D679" s="618"/>
      <c r="E679" s="626" t="s">
        <v>291</v>
      </c>
      <c r="F679" s="626"/>
      <c r="G679" s="762"/>
      <c r="H679" s="764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</row>
    <row r="680" spans="1:26" ht="18.75" hidden="1">
      <c r="A680" s="608"/>
      <c r="B680" s="618"/>
      <c r="C680" s="618"/>
      <c r="D680" s="618"/>
      <c r="E680" s="626"/>
      <c r="F680" s="626" t="s">
        <v>288</v>
      </c>
      <c r="G680" s="762"/>
      <c r="H680" s="764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</row>
    <row r="681" spans="1:26" ht="18.75" hidden="1">
      <c r="A681" s="608"/>
      <c r="B681" s="618"/>
      <c r="C681" s="618"/>
      <c r="D681" s="618"/>
      <c r="E681" s="626"/>
      <c r="F681" s="626" t="s">
        <v>289</v>
      </c>
      <c r="G681" s="762"/>
      <c r="H681" s="764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</row>
    <row r="682" spans="1:26" ht="18.75" hidden="1">
      <c r="A682" s="608"/>
      <c r="B682" s="618"/>
      <c r="C682" s="618"/>
      <c r="D682" s="618"/>
      <c r="E682" s="626" t="s">
        <v>292</v>
      </c>
      <c r="F682" s="626"/>
      <c r="G682" s="762"/>
      <c r="H682" s="764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</row>
    <row r="683" spans="1:26" ht="18.75" hidden="1">
      <c r="A683" s="608"/>
      <c r="B683" s="618"/>
      <c r="C683" s="618"/>
      <c r="D683" s="618"/>
      <c r="E683" s="626"/>
      <c r="F683" s="626" t="s">
        <v>293</v>
      </c>
      <c r="G683" s="762"/>
      <c r="H683" s="764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</row>
    <row r="684" spans="1:26" ht="19.5">
      <c r="A684" s="753"/>
      <c r="B684" s="754" t="s">
        <v>294</v>
      </c>
      <c r="C684" s="753"/>
      <c r="D684" s="753"/>
      <c r="E684" s="753"/>
      <c r="F684" s="753"/>
      <c r="G684" s="755"/>
      <c r="H684" s="755"/>
      <c r="I684" s="756"/>
      <c r="J684" s="756"/>
      <c r="K684" s="757"/>
      <c r="L684" s="757"/>
      <c r="M684" s="757"/>
      <c r="N684" s="757"/>
      <c r="O684" s="757"/>
      <c r="P684" s="757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</row>
    <row r="685" spans="1:26" ht="19.5">
      <c r="A685" s="597"/>
      <c r="B685" s="763"/>
      <c r="C685" s="763" t="s">
        <v>16</v>
      </c>
      <c r="D685" s="863" t="s">
        <v>17</v>
      </c>
      <c r="E685" s="857"/>
      <c r="F685" s="857"/>
      <c r="G685" s="189"/>
      <c r="H685" s="598" t="s">
        <v>12</v>
      </c>
      <c r="I685" s="270"/>
      <c r="J685" s="270"/>
      <c r="K685" s="498"/>
      <c r="L685" s="195">
        <f t="shared" ref="L685:N685" ca="1" si="282">L686+L687</f>
        <v>153880</v>
      </c>
      <c r="M685" s="195">
        <f t="shared" ca="1" si="282"/>
        <v>140320</v>
      </c>
      <c r="N685" s="195">
        <f t="shared" si="282"/>
        <v>140320</v>
      </c>
      <c r="O685" s="195">
        <f t="shared" ref="O685:O688" ca="1" si="283">IF(L685&gt;0,N685*100/L685,0)</f>
        <v>91.187938653496232</v>
      </c>
      <c r="P685" s="195">
        <f t="shared" ref="P685:P688" ca="1" si="284">IF(M685&gt;0,N685*100/M685,0)</f>
        <v>100</v>
      </c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</row>
    <row r="686" spans="1:26" ht="18.75" hidden="1">
      <c r="A686" s="599"/>
      <c r="B686" s="759"/>
      <c r="C686" s="759"/>
      <c r="D686" s="720"/>
      <c r="E686" s="759" t="s">
        <v>185</v>
      </c>
      <c r="F686" s="759"/>
      <c r="G686" s="603"/>
      <c r="H686" s="165" t="s">
        <v>12</v>
      </c>
      <c r="I686" s="617"/>
      <c r="J686" s="617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4"/>
      <c r="R686" s="604"/>
      <c r="S686" s="604"/>
      <c r="T686" s="604"/>
      <c r="U686" s="604"/>
      <c r="V686" s="604"/>
      <c r="W686" s="604"/>
      <c r="X686" s="604"/>
      <c r="Y686" s="604"/>
      <c r="Z686" s="604"/>
    </row>
    <row r="687" spans="1:26" ht="18.75" hidden="1">
      <c r="A687" s="599"/>
      <c r="B687" s="607"/>
      <c r="C687" s="759"/>
      <c r="D687" s="720"/>
      <c r="E687" s="759" t="s">
        <v>186</v>
      </c>
      <c r="F687" s="759"/>
      <c r="G687" s="603"/>
      <c r="H687" s="165" t="s">
        <v>12</v>
      </c>
      <c r="I687" s="617"/>
      <c r="J687" s="617"/>
      <c r="K687" s="93"/>
      <c r="L687" s="93">
        <f t="shared" ca="1" si="285"/>
        <v>153880</v>
      </c>
      <c r="M687" s="93">
        <f t="shared" ca="1" si="285"/>
        <v>140320</v>
      </c>
      <c r="N687" s="93">
        <f t="shared" si="285"/>
        <v>140320</v>
      </c>
      <c r="O687" s="93">
        <f t="shared" ca="1" si="283"/>
        <v>91.187938653496232</v>
      </c>
      <c r="P687" s="93">
        <f t="shared" ca="1" si="284"/>
        <v>100</v>
      </c>
      <c r="Q687" s="604"/>
      <c r="R687" s="604"/>
      <c r="S687" s="604"/>
      <c r="T687" s="604"/>
      <c r="U687" s="604"/>
      <c r="V687" s="604"/>
      <c r="W687" s="604"/>
      <c r="X687" s="604"/>
      <c r="Y687" s="604"/>
      <c r="Z687" s="604"/>
    </row>
    <row r="688" spans="1:26" ht="18.75">
      <c r="A688" s="597"/>
      <c r="B688" s="575"/>
      <c r="C688" s="763"/>
      <c r="D688" s="606" t="s">
        <v>20</v>
      </c>
      <c r="E688" s="763"/>
      <c r="F688" s="763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153880</v>
      </c>
      <c r="M688" s="498">
        <f t="shared" ca="1" si="286"/>
        <v>140320</v>
      </c>
      <c r="N688" s="498">
        <f t="shared" si="286"/>
        <v>140320</v>
      </c>
      <c r="O688" s="498">
        <f t="shared" ca="1" si="283"/>
        <v>91.187938653496232</v>
      </c>
      <c r="P688" s="498">
        <f t="shared" ca="1" si="284"/>
        <v>100</v>
      </c>
      <c r="Q688" s="578"/>
      <c r="R688" s="578"/>
      <c r="S688" s="578"/>
      <c r="T688" s="578"/>
      <c r="U688" s="578"/>
      <c r="V688" s="578"/>
      <c r="W688" s="578"/>
      <c r="X688" s="578"/>
      <c r="Y688" s="578"/>
      <c r="Z688" s="578"/>
    </row>
    <row r="689" spans="1:26" ht="18.75" hidden="1">
      <c r="A689" s="599"/>
      <c r="B689" s="607"/>
      <c r="C689" s="759"/>
      <c r="D689" s="720"/>
      <c r="E689" s="759" t="s">
        <v>185</v>
      </c>
      <c r="F689" s="759"/>
      <c r="G689" s="603"/>
      <c r="H689" s="165" t="s">
        <v>12</v>
      </c>
      <c r="I689" s="617"/>
      <c r="J689" s="617"/>
      <c r="K689" s="93"/>
      <c r="L689" s="93">
        <v>0</v>
      </c>
      <c r="M689" s="93">
        <v>0</v>
      </c>
      <c r="N689" s="93">
        <v>0</v>
      </c>
      <c r="O689" s="93"/>
      <c r="P689" s="93"/>
      <c r="Q689" s="604"/>
      <c r="R689" s="604"/>
      <c r="S689" s="604"/>
      <c r="T689" s="604"/>
      <c r="U689" s="604"/>
      <c r="V689" s="604"/>
      <c r="W689" s="604"/>
      <c r="X689" s="604"/>
      <c r="Y689" s="604"/>
      <c r="Z689" s="604"/>
    </row>
    <row r="690" spans="1:26" ht="18.75" hidden="1">
      <c r="A690" s="599"/>
      <c r="B690" s="607"/>
      <c r="C690" s="759"/>
      <c r="D690" s="720"/>
      <c r="E690" s="759" t="s">
        <v>186</v>
      </c>
      <c r="F690" s="759"/>
      <c r="G690" s="603"/>
      <c r="H690" s="165" t="s">
        <v>12</v>
      </c>
      <c r="I690" s="617"/>
      <c r="J690" s="617"/>
      <c r="K690" s="93"/>
      <c r="L690" s="93">
        <f ca="1">IFERROR(__xludf.DUMMYFUNCTION("IMPORTRANGE(""https://docs.google.com/spreadsheets/d/1QqKyyYR6Q21VydFLVH3TRQUabQu_ym0Zz7PgGX0-kHA/edit?usp=sharing"",""แผน!HW50"")"),153880)</f>
        <v>153880</v>
      </c>
      <c r="M690" s="93">
        <f ca="1">L690-12840-720</f>
        <v>140320</v>
      </c>
      <c r="N690" s="93">
        <f>N691+N692+N693+N694</f>
        <v>140320</v>
      </c>
      <c r="O690" s="93">
        <f ca="1">IF(L690&gt;0,N690*100/L690,0)</f>
        <v>91.187938653496232</v>
      </c>
      <c r="P690" s="93">
        <f ca="1">IF(M690&gt;0,N690*100/M690,0)</f>
        <v>100</v>
      </c>
      <c r="Q690" s="604"/>
      <c r="R690" s="604"/>
      <c r="S690" s="604"/>
      <c r="T690" s="604"/>
      <c r="U690" s="604"/>
      <c r="V690" s="604"/>
      <c r="W690" s="604"/>
      <c r="X690" s="604"/>
      <c r="Y690" s="604"/>
      <c r="Z690" s="604"/>
    </row>
    <row r="691" spans="1:26" ht="18.75">
      <c r="A691" s="574"/>
      <c r="B691" s="575"/>
      <c r="C691" s="763"/>
      <c r="D691" s="763"/>
      <c r="E691" s="763"/>
      <c r="F691" s="763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40">
        <v>0</v>
      </c>
      <c r="O691" s="498"/>
      <c r="P691" s="49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</row>
    <row r="692" spans="1:26" ht="18.75">
      <c r="A692" s="574"/>
      <c r="B692" s="575"/>
      <c r="C692" s="763"/>
      <c r="D692" s="763"/>
      <c r="E692" s="763"/>
      <c r="F692" s="763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40">
        <v>0</v>
      </c>
      <c r="O692" s="498"/>
      <c r="P692" s="49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</row>
    <row r="693" spans="1:26" ht="18.75">
      <c r="A693" s="574"/>
      <c r="B693" s="575"/>
      <c r="C693" s="763"/>
      <c r="D693" s="763"/>
      <c r="E693" s="763"/>
      <c r="F693" s="763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40">
        <v>0</v>
      </c>
      <c r="O693" s="498"/>
      <c r="P693" s="49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</row>
    <row r="694" spans="1:26" ht="18.75">
      <c r="A694" s="574"/>
      <c r="B694" s="575"/>
      <c r="C694" s="763"/>
      <c r="D694" s="763"/>
      <c r="E694" s="763"/>
      <c r="F694" s="763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40">
        <v>140320</v>
      </c>
      <c r="O694" s="498"/>
      <c r="P694" s="49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</row>
    <row r="695" spans="1:26" ht="18.75">
      <c r="A695" s="597"/>
      <c r="B695" s="575"/>
      <c r="C695" s="763"/>
      <c r="D695" s="606" t="s">
        <v>21</v>
      </c>
      <c r="E695" s="763"/>
      <c r="F695" s="763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</row>
    <row r="696" spans="1:26" ht="18.75" hidden="1">
      <c r="A696" s="599"/>
      <c r="B696" s="607"/>
      <c r="C696" s="759"/>
      <c r="D696" s="759"/>
      <c r="E696" s="759" t="s">
        <v>18</v>
      </c>
      <c r="F696" s="759"/>
      <c r="G696" s="603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4"/>
      <c r="R696" s="604"/>
      <c r="S696" s="604"/>
      <c r="T696" s="604"/>
      <c r="U696" s="604"/>
      <c r="V696" s="604"/>
      <c r="W696" s="604"/>
      <c r="X696" s="604"/>
      <c r="Y696" s="604"/>
      <c r="Z696" s="604"/>
    </row>
    <row r="697" spans="1:26" ht="18.75" hidden="1">
      <c r="A697" s="599"/>
      <c r="B697" s="607"/>
      <c r="C697" s="759"/>
      <c r="D697" s="759"/>
      <c r="E697" s="759" t="s">
        <v>19</v>
      </c>
      <c r="F697" s="759"/>
      <c r="G697" s="603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4"/>
      <c r="R697" s="604"/>
      <c r="S697" s="604"/>
      <c r="T697" s="604"/>
      <c r="U697" s="604"/>
      <c r="V697" s="604"/>
      <c r="W697" s="604"/>
      <c r="X697" s="604"/>
      <c r="Y697" s="604"/>
      <c r="Z697" s="604"/>
    </row>
    <row r="698" spans="1:26" ht="19.5">
      <c r="A698" s="608"/>
      <c r="B698" s="618"/>
      <c r="C698" s="763" t="s">
        <v>16</v>
      </c>
      <c r="D698" s="898" t="s">
        <v>38</v>
      </c>
      <c r="E698" s="761"/>
      <c r="F698" s="761"/>
      <c r="G698" s="613"/>
      <c r="H698" s="762"/>
      <c r="I698" s="184"/>
      <c r="J698" s="184"/>
      <c r="K698" s="163"/>
      <c r="L698" s="163"/>
      <c r="M698" s="163"/>
      <c r="N698" s="163"/>
      <c r="O698" s="163"/>
      <c r="P698" s="163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</row>
    <row r="699" spans="1:26" ht="18.75">
      <c r="A699" s="744"/>
      <c r="B699" s="763"/>
      <c r="C699" s="763"/>
      <c r="D699" s="763" t="s">
        <v>295</v>
      </c>
      <c r="E699" s="763"/>
      <c r="F699" s="763"/>
      <c r="G699" s="189"/>
      <c r="H699" s="764" t="s">
        <v>46</v>
      </c>
      <c r="I699" s="765">
        <f ca="1">IFERROR(__xludf.DUMMYFUNCTION("IMPORTRANGE(""https://docs.google.com/spreadsheets/d/1QqKyyYR6Q21VydFLVH3TRQUabQu_ym0Zz7PgGX0-kHA/edit?usp=sharing"",""แผน!IC50"")"),663)</f>
        <v>663</v>
      </c>
      <c r="J699" s="270">
        <f ca="1">IFERROR(__xludf.DUMMYFUNCTION("IMPORTRANGE(""https://docs.google.com/spreadsheets/d/1XWAQStnk-4SwqDmLtmXYiTMKHgktTP8We1SCoS47DrQ/edit?usp=sharing"",""จัดที่ดิน!BB50"")"),925.76)</f>
        <v>925.76</v>
      </c>
      <c r="K699" s="498">
        <f t="shared" ref="K699:K701" ca="1" si="290">IF(I699&gt;0,J699*100/I699,0)</f>
        <v>139.63197586726997</v>
      </c>
      <c r="L699" s="498"/>
      <c r="M699" s="189"/>
      <c r="N699" s="766"/>
      <c r="O699" s="498"/>
      <c r="P699" s="49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</row>
    <row r="700" spans="1:26" ht="18.75">
      <c r="A700" s="744"/>
      <c r="B700" s="763"/>
      <c r="C700" s="763"/>
      <c r="D700" s="763" t="s">
        <v>296</v>
      </c>
      <c r="E700" s="763"/>
      <c r="F700" s="763"/>
      <c r="G700" s="189"/>
      <c r="H700" s="764" t="s">
        <v>35</v>
      </c>
      <c r="I700" s="765">
        <f ca="1">IFERROR(__xludf.DUMMYFUNCTION("IMPORTRANGE(""https://docs.google.com/spreadsheets/d/1QqKyyYR6Q21VydFLVH3TRQUabQu_ym0Zz7PgGX0-kHA/edit?usp=sharing"",""แผน!ID50"")"),62)</f>
        <v>62</v>
      </c>
      <c r="J700" s="270">
        <f ca="1">IFERROR(__xludf.DUMMYFUNCTION("IMPORTRANGE(""https://docs.google.com/spreadsheets/d/1XWAQStnk-4SwqDmLtmXYiTMKHgktTP8We1SCoS47DrQ/edit?usp=sharing"",""จัดที่ดิน!BD50"")"),58)</f>
        <v>58</v>
      </c>
      <c r="K700" s="498">
        <f t="shared" ca="1" si="290"/>
        <v>93.548387096774192</v>
      </c>
      <c r="L700" s="498"/>
      <c r="M700" s="189"/>
      <c r="N700" s="766"/>
      <c r="O700" s="498"/>
      <c r="P700" s="49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</row>
    <row r="701" spans="1:26" ht="19.5">
      <c r="A701" s="744"/>
      <c r="B701" s="763"/>
      <c r="C701" s="763"/>
      <c r="D701" s="763" t="s">
        <v>297</v>
      </c>
      <c r="E701" s="763"/>
      <c r="F701" s="763"/>
      <c r="G701" s="189"/>
      <c r="H701" s="767" t="s">
        <v>46</v>
      </c>
      <c r="I701" s="768">
        <f ca="1">IFERROR(__xludf.DUMMYFUNCTION("IMPORTRANGE(""https://docs.google.com/spreadsheets/d/1QqKyyYR6Q21VydFLVH3TRQUabQu_ym0Zz7PgGX0-kHA/edit?usp=sharing"",""แผน!IE50"")"),342)</f>
        <v>342</v>
      </c>
      <c r="J701" s="681">
        <f>J704+J707</f>
        <v>0</v>
      </c>
      <c r="K701" s="195">
        <f t="shared" ca="1" si="290"/>
        <v>0</v>
      </c>
      <c r="L701" s="498"/>
      <c r="M701" s="189"/>
      <c r="N701" s="766"/>
      <c r="O701" s="498"/>
      <c r="P701" s="49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</row>
    <row r="702" spans="1:26" ht="18.75">
      <c r="A702" s="744"/>
      <c r="B702" s="763"/>
      <c r="C702" s="763"/>
      <c r="D702" s="763"/>
      <c r="E702" s="763" t="s">
        <v>298</v>
      </c>
      <c r="F702" s="763"/>
      <c r="G702" s="189"/>
      <c r="H702" s="764" t="s">
        <v>35</v>
      </c>
      <c r="I702" s="765"/>
      <c r="J702" s="215">
        <v>0</v>
      </c>
      <c r="K702" s="498"/>
      <c r="L702" s="498"/>
      <c r="M702" s="189"/>
      <c r="N702" s="766"/>
      <c r="O702" s="498"/>
      <c r="P702" s="49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</row>
    <row r="703" spans="1:26" ht="18.75">
      <c r="A703" s="744"/>
      <c r="B703" s="763"/>
      <c r="C703" s="763"/>
      <c r="D703" s="763"/>
      <c r="E703" s="763"/>
      <c r="F703" s="763"/>
      <c r="G703" s="189"/>
      <c r="H703" s="764" t="s">
        <v>34</v>
      </c>
      <c r="I703" s="765"/>
      <c r="J703" s="215">
        <v>0</v>
      </c>
      <c r="K703" s="498"/>
      <c r="L703" s="498"/>
      <c r="M703" s="189"/>
      <c r="N703" s="766"/>
      <c r="O703" s="498"/>
      <c r="P703" s="49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</row>
    <row r="704" spans="1:26" ht="18.75">
      <c r="A704" s="744"/>
      <c r="B704" s="763"/>
      <c r="C704" s="763"/>
      <c r="D704" s="763"/>
      <c r="E704" s="763"/>
      <c r="F704" s="763"/>
      <c r="G704" s="189"/>
      <c r="H704" s="764" t="s">
        <v>46</v>
      </c>
      <c r="I704" s="765">
        <f ca="1">IFERROR(__xludf.DUMMYFUNCTION("IMPORTRANGE(""https://docs.google.com/spreadsheets/d/1QqKyyYR6Q21VydFLVH3TRQUabQu_ym0Zz7PgGX0-kHA/edit?usp=sharing"",""แผน!IF50"")"),0)</f>
        <v>0</v>
      </c>
      <c r="J704" s="215">
        <v>0</v>
      </c>
      <c r="K704" s="498"/>
      <c r="L704" s="498"/>
      <c r="M704" s="189"/>
      <c r="N704" s="766"/>
      <c r="O704" s="498"/>
      <c r="P704" s="49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</row>
    <row r="705" spans="1:26" ht="18.75">
      <c r="A705" s="744"/>
      <c r="B705" s="763"/>
      <c r="C705" s="763"/>
      <c r="D705" s="763"/>
      <c r="E705" s="763" t="s">
        <v>299</v>
      </c>
      <c r="F705" s="763"/>
      <c r="G705" s="189"/>
      <c r="H705" s="764" t="s">
        <v>35</v>
      </c>
      <c r="I705" s="765"/>
      <c r="J705" s="215">
        <v>0</v>
      </c>
      <c r="K705" s="498"/>
      <c r="L705" s="498"/>
      <c r="M705" s="189"/>
      <c r="N705" s="766"/>
      <c r="O705" s="498"/>
      <c r="P705" s="49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</row>
    <row r="706" spans="1:26" ht="18.75">
      <c r="A706" s="744"/>
      <c r="B706" s="763"/>
      <c r="C706" s="763"/>
      <c r="D706" s="763"/>
      <c r="E706" s="763"/>
      <c r="F706" s="763"/>
      <c r="G706" s="189"/>
      <c r="H706" s="764" t="s">
        <v>34</v>
      </c>
      <c r="I706" s="765"/>
      <c r="J706" s="215">
        <v>0</v>
      </c>
      <c r="K706" s="498"/>
      <c r="L706" s="498"/>
      <c r="M706" s="189"/>
      <c r="N706" s="766"/>
      <c r="O706" s="498"/>
      <c r="P706" s="49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</row>
    <row r="707" spans="1:26" ht="18.75">
      <c r="A707" s="744"/>
      <c r="B707" s="763"/>
      <c r="C707" s="763"/>
      <c r="D707" s="763"/>
      <c r="E707" s="763"/>
      <c r="F707" s="763"/>
      <c r="G707" s="189"/>
      <c r="H707" s="764" t="s">
        <v>46</v>
      </c>
      <c r="I707" s="765">
        <f ca="1">IFERROR(__xludf.DUMMYFUNCTION("IMPORTRANGE(""https://docs.google.com/spreadsheets/d/1QqKyyYR6Q21VydFLVH3TRQUabQu_ym0Zz7PgGX0-kHA/edit?usp=sharing"",""แผน!IG50"")"),342)</f>
        <v>342</v>
      </c>
      <c r="J707" s="215">
        <v>0</v>
      </c>
      <c r="K707" s="498"/>
      <c r="L707" s="498"/>
      <c r="M707" s="189"/>
      <c r="N707" s="766"/>
      <c r="O707" s="498"/>
      <c r="P707" s="49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</row>
    <row r="708" spans="1:26" ht="19.5">
      <c r="A708" s="744"/>
      <c r="B708" s="763"/>
      <c r="C708" s="763"/>
      <c r="D708" s="769" t="s">
        <v>300</v>
      </c>
      <c r="E708" s="763"/>
      <c r="F708" s="763"/>
      <c r="G708" s="189"/>
      <c r="H708" s="767" t="s">
        <v>46</v>
      </c>
      <c r="I708" s="768">
        <f ca="1">IFERROR(__xludf.DUMMYFUNCTION("IMPORTRANGE(""https://docs.google.com/spreadsheets/d/1QqKyyYR6Q21VydFLVH3TRQUabQu_ym0Zz7PgGX0-kHA/edit?usp=sharing"",""แผน!IH50"")"),0)</f>
        <v>0</v>
      </c>
      <c r="J708" s="681">
        <f>J714+J717</f>
        <v>0</v>
      </c>
      <c r="K708" s="195">
        <f ca="1">IF(I708&gt;0,J708*100/I708,0)</f>
        <v>0</v>
      </c>
      <c r="L708" s="498"/>
      <c r="M708" s="189"/>
      <c r="N708" s="766"/>
      <c r="O708" s="498"/>
      <c r="P708" s="49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</row>
    <row r="709" spans="1:26" ht="18.75">
      <c r="A709" s="744"/>
      <c r="B709" s="763"/>
      <c r="C709" s="763"/>
      <c r="D709" s="763"/>
      <c r="E709" s="763" t="s">
        <v>301</v>
      </c>
      <c r="F709" s="763"/>
      <c r="G709" s="189"/>
      <c r="H709" s="764" t="s">
        <v>34</v>
      </c>
      <c r="I709" s="765"/>
      <c r="J709" s="215">
        <v>0</v>
      </c>
      <c r="K709" s="498"/>
      <c r="L709" s="766"/>
      <c r="M709" s="189"/>
      <c r="N709" s="766"/>
      <c r="O709" s="498"/>
      <c r="P709" s="49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</row>
    <row r="710" spans="1:26" ht="18.75">
      <c r="A710" s="744"/>
      <c r="B710" s="763"/>
      <c r="C710" s="763"/>
      <c r="D710" s="763"/>
      <c r="E710" s="763"/>
      <c r="F710" s="763"/>
      <c r="G710" s="189"/>
      <c r="H710" s="764" t="s">
        <v>46</v>
      </c>
      <c r="I710" s="765"/>
      <c r="J710" s="215">
        <v>0</v>
      </c>
      <c r="K710" s="498"/>
      <c r="L710" s="766"/>
      <c r="M710" s="189"/>
      <c r="N710" s="766"/>
      <c r="O710" s="498"/>
      <c r="P710" s="49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</row>
    <row r="711" spans="1:26" ht="18.75">
      <c r="A711" s="744"/>
      <c r="B711" s="763"/>
      <c r="C711" s="763"/>
      <c r="D711" s="763"/>
      <c r="E711" s="763" t="s">
        <v>302</v>
      </c>
      <c r="F711" s="763"/>
      <c r="G711" s="189"/>
      <c r="H711" s="762"/>
      <c r="I711" s="765"/>
      <c r="J711" s="270"/>
      <c r="K711" s="498"/>
      <c r="L711" s="766"/>
      <c r="M711" s="189"/>
      <c r="N711" s="766"/>
      <c r="O711" s="498"/>
      <c r="P711" s="49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</row>
    <row r="712" spans="1:26" ht="18.75">
      <c r="A712" s="744"/>
      <c r="B712" s="763"/>
      <c r="C712" s="763"/>
      <c r="D712" s="763"/>
      <c r="E712" s="763"/>
      <c r="F712" s="763" t="s">
        <v>303</v>
      </c>
      <c r="G712" s="189"/>
      <c r="H712" s="764" t="s">
        <v>35</v>
      </c>
      <c r="I712" s="765"/>
      <c r="J712" s="215">
        <v>0</v>
      </c>
      <c r="K712" s="498"/>
      <c r="L712" s="766"/>
      <c r="M712" s="189"/>
      <c r="N712" s="766"/>
      <c r="O712" s="498"/>
      <c r="P712" s="49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</row>
    <row r="713" spans="1:26" ht="18.75">
      <c r="A713" s="744"/>
      <c r="B713" s="763"/>
      <c r="C713" s="763"/>
      <c r="D713" s="763"/>
      <c r="E713" s="763"/>
      <c r="F713" s="763"/>
      <c r="G713" s="189"/>
      <c r="H713" s="764" t="s">
        <v>34</v>
      </c>
      <c r="I713" s="765"/>
      <c r="J713" s="215">
        <v>0</v>
      </c>
      <c r="K713" s="498"/>
      <c r="L713" s="766"/>
      <c r="M713" s="189"/>
      <c r="N713" s="766"/>
      <c r="O713" s="498"/>
      <c r="P713" s="49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</row>
    <row r="714" spans="1:26" ht="18.75">
      <c r="A714" s="744"/>
      <c r="B714" s="763"/>
      <c r="C714" s="763"/>
      <c r="D714" s="763"/>
      <c r="E714" s="763"/>
      <c r="F714" s="763"/>
      <c r="G714" s="189"/>
      <c r="H714" s="764" t="s">
        <v>46</v>
      </c>
      <c r="I714" s="765"/>
      <c r="J714" s="215">
        <v>0</v>
      </c>
      <c r="K714" s="498"/>
      <c r="L714" s="766"/>
      <c r="M714" s="189"/>
      <c r="N714" s="766"/>
      <c r="O714" s="498"/>
      <c r="P714" s="49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</row>
    <row r="715" spans="1:26" ht="18.75">
      <c r="A715" s="744"/>
      <c r="B715" s="763"/>
      <c r="C715" s="763"/>
      <c r="D715" s="763"/>
      <c r="E715" s="763"/>
      <c r="F715" s="763" t="s">
        <v>304</v>
      </c>
      <c r="G715" s="189"/>
      <c r="H715" s="764" t="s">
        <v>35</v>
      </c>
      <c r="I715" s="765"/>
      <c r="J715" s="215">
        <v>0</v>
      </c>
      <c r="K715" s="498"/>
      <c r="L715" s="766"/>
      <c r="M715" s="189"/>
      <c r="N715" s="766"/>
      <c r="O715" s="498"/>
      <c r="P715" s="49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</row>
    <row r="716" spans="1:26" ht="18.75">
      <c r="A716" s="744"/>
      <c r="B716" s="763"/>
      <c r="C716" s="763"/>
      <c r="D716" s="763"/>
      <c r="E716" s="763"/>
      <c r="F716" s="763"/>
      <c r="G716" s="189"/>
      <c r="H716" s="764" t="s">
        <v>34</v>
      </c>
      <c r="I716" s="765"/>
      <c r="J716" s="215">
        <v>0</v>
      </c>
      <c r="K716" s="498"/>
      <c r="L716" s="766"/>
      <c r="M716" s="189"/>
      <c r="N716" s="766"/>
      <c r="O716" s="498"/>
      <c r="P716" s="49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</row>
    <row r="717" spans="1:26" ht="18.75">
      <c r="A717" s="744"/>
      <c r="B717" s="763"/>
      <c r="C717" s="763"/>
      <c r="D717" s="763"/>
      <c r="E717" s="763"/>
      <c r="F717" s="763"/>
      <c r="G717" s="189"/>
      <c r="H717" s="764" t="s">
        <v>46</v>
      </c>
      <c r="I717" s="765"/>
      <c r="J717" s="215">
        <v>0</v>
      </c>
      <c r="K717" s="498"/>
      <c r="L717" s="766"/>
      <c r="M717" s="189"/>
      <c r="N717" s="766"/>
      <c r="O717" s="498"/>
      <c r="P717" s="49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</row>
    <row r="718" spans="1:26" ht="18.75">
      <c r="A718" s="744"/>
      <c r="B718" s="763"/>
      <c r="C718" s="763"/>
      <c r="D718" s="763" t="s">
        <v>305</v>
      </c>
      <c r="E718" s="763"/>
      <c r="F718" s="763"/>
      <c r="G718" s="189"/>
      <c r="H718" s="764" t="s">
        <v>35</v>
      </c>
      <c r="I718" s="765"/>
      <c r="J718" s="270">
        <f ca="1">IFERROR(__xludf.DUMMYFUNCTION("IMPORTRANGE(""https://docs.google.com/spreadsheets/d/1XWAQStnk-4SwqDmLtmXYiTMKHgktTP8We1SCoS47DrQ/edit?usp=sharing"",""จัดที่ดิน!BF50"")"),0)</f>
        <v>0</v>
      </c>
      <c r="K718" s="498"/>
      <c r="L718" s="498"/>
      <c r="M718" s="189"/>
      <c r="N718" s="766"/>
      <c r="O718" s="498"/>
      <c r="P718" s="49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</row>
    <row r="719" spans="1:26" ht="18.75">
      <c r="A719" s="744"/>
      <c r="B719" s="763"/>
      <c r="C719" s="763"/>
      <c r="D719" s="763"/>
      <c r="E719" s="763"/>
      <c r="F719" s="763"/>
      <c r="G719" s="189"/>
      <c r="H719" s="764" t="s">
        <v>34</v>
      </c>
      <c r="I719" s="765"/>
      <c r="J719" s="270">
        <f ca="1">IFERROR(__xludf.DUMMYFUNCTION("IMPORTRANGE(""https://docs.google.com/spreadsheets/d/1XWAQStnk-4SwqDmLtmXYiTMKHgktTP8We1SCoS47DrQ/edit?usp=sharing"",""จัดที่ดิน!BG50"")"),0)</f>
        <v>0</v>
      </c>
      <c r="K719" s="498"/>
      <c r="L719" s="766"/>
      <c r="M719" s="189"/>
      <c r="N719" s="766"/>
      <c r="O719" s="498"/>
      <c r="P719" s="49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</row>
    <row r="720" spans="1:26" ht="18.75">
      <c r="A720" s="744"/>
      <c r="B720" s="763"/>
      <c r="C720" s="763"/>
      <c r="D720" s="763"/>
      <c r="E720" s="763"/>
      <c r="F720" s="763"/>
      <c r="G720" s="189"/>
      <c r="H720" s="764" t="s">
        <v>46</v>
      </c>
      <c r="I720" s="765">
        <f ca="1">IFERROR(__xludf.DUMMYFUNCTION("IMPORTRANGE(""https://docs.google.com/spreadsheets/d/1QqKyyYR6Q21VydFLVH3TRQUabQu_ym0Zz7PgGX0-kHA/edit?usp=sharing"",""แผน!II50"")"),44)</f>
        <v>44</v>
      </c>
      <c r="J720" s="270">
        <f ca="1">IFERROR(__xludf.DUMMYFUNCTION("IMPORTRANGE(""https://docs.google.com/spreadsheets/d/1XWAQStnk-4SwqDmLtmXYiTMKHgktTP8We1SCoS47DrQ/edit?usp=sharing"",""จัดที่ดิน!BH50"")"),0)</f>
        <v>0</v>
      </c>
      <c r="K720" s="498">
        <f t="shared" ref="K720:K723" ca="1" si="291">IF(I720&gt;0,J720*100/I720,0)</f>
        <v>0</v>
      </c>
      <c r="L720" s="766"/>
      <c r="M720" s="189"/>
      <c r="N720" s="766"/>
      <c r="O720" s="498"/>
      <c r="P720" s="49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</row>
    <row r="721" spans="1:26" ht="19.5">
      <c r="A721" s="744"/>
      <c r="B721" s="763"/>
      <c r="C721" s="763"/>
      <c r="D721" s="763" t="s">
        <v>306</v>
      </c>
      <c r="E721" s="763"/>
      <c r="F721" s="763"/>
      <c r="G721" s="189"/>
      <c r="H721" s="767" t="s">
        <v>35</v>
      </c>
      <c r="I721" s="768">
        <f ca="1">IFERROR(__xludf.DUMMYFUNCTION("IMPORTRANGE(""https://docs.google.com/spreadsheets/d/1QqKyyYR6Q21VydFLVH3TRQUabQu_ym0Zz7PgGX0-kHA/edit?usp=sharing"",""แผน!IJ50"")"),39)</f>
        <v>39</v>
      </c>
      <c r="J721" s="681">
        <f ca="1">J723+J726</f>
        <v>0</v>
      </c>
      <c r="K721" s="195">
        <f t="shared" ca="1" si="291"/>
        <v>0</v>
      </c>
      <c r="L721" s="766"/>
      <c r="M721" s="189"/>
      <c r="N721" s="766"/>
      <c r="O721" s="498"/>
      <c r="P721" s="49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</row>
    <row r="722" spans="1:26" ht="19.5">
      <c r="A722" s="744"/>
      <c r="B722" s="763"/>
      <c r="C722" s="763"/>
      <c r="D722" s="763"/>
      <c r="E722" s="763"/>
      <c r="F722" s="763"/>
      <c r="G722" s="189"/>
      <c r="H722" s="767" t="s">
        <v>46</v>
      </c>
      <c r="I722" s="768">
        <f ca="1">IFERROR(__xludf.DUMMYFUNCTION("IMPORTRANGE(""https://docs.google.com/spreadsheets/d/1QqKyyYR6Q21VydFLVH3TRQUabQu_ym0Zz7PgGX0-kHA/edit?usp=sharing"",""แผน!IK50"")"),410)</f>
        <v>410</v>
      </c>
      <c r="J722" s="681">
        <f ca="1">J725+J728</f>
        <v>0</v>
      </c>
      <c r="K722" s="195">
        <f t="shared" ca="1" si="291"/>
        <v>0</v>
      </c>
      <c r="L722" s="498"/>
      <c r="M722" s="189"/>
      <c r="N722" s="766"/>
      <c r="O722" s="498"/>
      <c r="P722" s="49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</row>
    <row r="723" spans="1:26" ht="18.75">
      <c r="A723" s="744"/>
      <c r="B723" s="763"/>
      <c r="C723" s="763"/>
      <c r="D723" s="763"/>
      <c r="E723" s="763" t="s">
        <v>307</v>
      </c>
      <c r="F723" s="763"/>
      <c r="G723" s="189"/>
      <c r="H723" s="764" t="s">
        <v>35</v>
      </c>
      <c r="I723" s="765">
        <f ca="1">IFERROR(__xludf.DUMMYFUNCTION("IMPORTRANGE(""https://docs.google.com/spreadsheets/d/1QqKyyYR6Q21VydFLVH3TRQUabQu_ym0Zz7PgGX0-kHA/edit?usp=sharing"",""แผน!IL50"")"),39)</f>
        <v>39</v>
      </c>
      <c r="J723" s="270">
        <f ca="1">IFERROR(__xludf.DUMMYFUNCTION("IMPORTRANGE(""https://docs.google.com/spreadsheets/d/1XWAQStnk-4SwqDmLtmXYiTMKHgktTP8We1SCoS47DrQ/edit?usp=sharing"",""จัดที่ดิน!BM50"")"),0)</f>
        <v>0</v>
      </c>
      <c r="K723" s="498">
        <f t="shared" ca="1" si="291"/>
        <v>0</v>
      </c>
      <c r="L723" s="498"/>
      <c r="M723" s="189"/>
      <c r="N723" s="766"/>
      <c r="O723" s="498"/>
      <c r="P723" s="49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</row>
    <row r="724" spans="1:26" ht="18.75">
      <c r="A724" s="744"/>
      <c r="B724" s="763"/>
      <c r="C724" s="763"/>
      <c r="D724" s="763"/>
      <c r="E724" s="763"/>
      <c r="F724" s="763"/>
      <c r="G724" s="189"/>
      <c r="H724" s="764" t="s">
        <v>34</v>
      </c>
      <c r="I724" s="765"/>
      <c r="J724" s="270">
        <f ca="1">IFERROR(__xludf.DUMMYFUNCTION("IMPORTRANGE(""https://docs.google.com/spreadsheets/d/1XWAQStnk-4SwqDmLtmXYiTMKHgktTP8We1SCoS47DrQ/edit?usp=sharing"",""จัดที่ดิน!BN50"")"),0)</f>
        <v>0</v>
      </c>
      <c r="K724" s="498"/>
      <c r="L724" s="766"/>
      <c r="M724" s="189"/>
      <c r="N724" s="766"/>
      <c r="O724" s="498"/>
      <c r="P724" s="49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</row>
    <row r="725" spans="1:26" ht="18.75">
      <c r="A725" s="744"/>
      <c r="B725" s="763"/>
      <c r="C725" s="763"/>
      <c r="D725" s="763"/>
      <c r="E725" s="763"/>
      <c r="F725" s="763"/>
      <c r="G725" s="189"/>
      <c r="H725" s="764" t="s">
        <v>46</v>
      </c>
      <c r="I725" s="765">
        <f ca="1">IFERROR(__xludf.DUMMYFUNCTION("IMPORTRANGE(""https://docs.google.com/spreadsheets/d/1QqKyyYR6Q21VydFLVH3TRQUabQu_ym0Zz7PgGX0-kHA/edit?usp=sharing"",""แผน!IM50"")"),410)</f>
        <v>410</v>
      </c>
      <c r="J725" s="270">
        <f ca="1">IFERROR(__xludf.DUMMYFUNCTION("IMPORTRANGE(""https://docs.google.com/spreadsheets/d/1XWAQStnk-4SwqDmLtmXYiTMKHgktTP8We1SCoS47DrQ/edit?usp=sharing"",""จัดที่ดิน!BO50"")"),0)</f>
        <v>0</v>
      </c>
      <c r="K725" s="498">
        <f t="shared" ref="K725:K726" ca="1" si="292">IF(I725&gt;0,J725*100/I725,0)</f>
        <v>0</v>
      </c>
      <c r="L725" s="766"/>
      <c r="M725" s="189"/>
      <c r="N725" s="766"/>
      <c r="O725" s="498"/>
      <c r="P725" s="49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</row>
    <row r="726" spans="1:26" ht="18.75">
      <c r="A726" s="744"/>
      <c r="B726" s="763"/>
      <c r="C726" s="763"/>
      <c r="D726" s="763"/>
      <c r="E726" s="763" t="s">
        <v>308</v>
      </c>
      <c r="F726" s="763"/>
      <c r="G726" s="189"/>
      <c r="H726" s="764" t="s">
        <v>35</v>
      </c>
      <c r="I726" s="765">
        <f ca="1">IFERROR(__xludf.DUMMYFUNCTION("IMPORTRANGE(""https://docs.google.com/spreadsheets/d/1QqKyyYR6Q21VydFLVH3TRQUabQu_ym0Zz7PgGX0-kHA/edit?usp=sharing"",""แผน!IN50"")"),0)</f>
        <v>0</v>
      </c>
      <c r="J726" s="270">
        <f ca="1">IFERROR(__xludf.DUMMYFUNCTION("IMPORTRANGE(""https://docs.google.com/spreadsheets/d/1XWAQStnk-4SwqDmLtmXYiTMKHgktTP8We1SCoS47DrQ/edit?usp=sharing"",""จัดที่ดิน!BR50"")"),0)</f>
        <v>0</v>
      </c>
      <c r="K726" s="498">
        <f t="shared" ca="1" si="292"/>
        <v>0</v>
      </c>
      <c r="L726" s="498"/>
      <c r="M726" s="189"/>
      <c r="N726" s="766"/>
      <c r="O726" s="498"/>
      <c r="P726" s="49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</row>
    <row r="727" spans="1:26" ht="18.75">
      <c r="A727" s="744"/>
      <c r="B727" s="763"/>
      <c r="C727" s="763"/>
      <c r="D727" s="763"/>
      <c r="E727" s="763"/>
      <c r="F727" s="763"/>
      <c r="G727" s="189"/>
      <c r="H727" s="764" t="s">
        <v>34</v>
      </c>
      <c r="I727" s="765"/>
      <c r="J727" s="270">
        <f ca="1">IFERROR(__xludf.DUMMYFUNCTION("IMPORTRANGE(""https://docs.google.com/spreadsheets/d/1XWAQStnk-4SwqDmLtmXYiTMKHgktTP8We1SCoS47DrQ/edit?usp=sharing"",""จัดที่ดิน!BS50"")"),0)</f>
        <v>0</v>
      </c>
      <c r="K727" s="498"/>
      <c r="L727" s="766"/>
      <c r="M727" s="189"/>
      <c r="N727" s="766"/>
      <c r="O727" s="498"/>
      <c r="P727" s="49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</row>
    <row r="728" spans="1:26" ht="18.75">
      <c r="A728" s="744"/>
      <c r="B728" s="763"/>
      <c r="C728" s="763"/>
      <c r="D728" s="763"/>
      <c r="E728" s="763"/>
      <c r="F728" s="763"/>
      <c r="G728" s="189"/>
      <c r="H728" s="764" t="s">
        <v>46</v>
      </c>
      <c r="I728" s="765">
        <f ca="1">IFERROR(__xludf.DUMMYFUNCTION("IMPORTRANGE(""https://docs.google.com/spreadsheets/d/1QqKyyYR6Q21VydFLVH3TRQUabQu_ym0Zz7PgGX0-kHA/edit?usp=sharing"",""แผน!IO50"")"),0)</f>
        <v>0</v>
      </c>
      <c r="J728" s="270">
        <f ca="1">IFERROR(__xludf.DUMMYFUNCTION("IMPORTRANGE(""https://docs.google.com/spreadsheets/d/1XWAQStnk-4SwqDmLtmXYiTMKHgktTP8We1SCoS47DrQ/edit?usp=sharing"",""จัดที่ดิน!BT50"")"),0)</f>
        <v>0</v>
      </c>
      <c r="K728" s="498">
        <f t="shared" ref="K728:K729" ca="1" si="293">IF(I728&gt;0,J728*100/I728,0)</f>
        <v>0</v>
      </c>
      <c r="L728" s="766"/>
      <c r="M728" s="189"/>
      <c r="N728" s="766"/>
      <c r="O728" s="498"/>
      <c r="P728" s="49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</row>
    <row r="729" spans="1:26" ht="19.5">
      <c r="A729" s="744"/>
      <c r="B729" s="763"/>
      <c r="C729" s="763"/>
      <c r="D729" s="763" t="s">
        <v>309</v>
      </c>
      <c r="E729" s="763"/>
      <c r="F729" s="763"/>
      <c r="G729" s="189"/>
      <c r="H729" s="767" t="s">
        <v>46</v>
      </c>
      <c r="I729" s="768">
        <f ca="1">IFERROR(__xludf.DUMMYFUNCTION("IMPORTRANGE(""https://docs.google.com/spreadsheets/d/1QqKyyYR6Q21VydFLVH3TRQUabQu_ym0Zz7PgGX0-kHA/edit?usp=sharing"",""แผน!IP50"")"),663)</f>
        <v>663</v>
      </c>
      <c r="J729" s="681">
        <f>J732+J735</f>
        <v>936</v>
      </c>
      <c r="K729" s="195">
        <f t="shared" ca="1" si="293"/>
        <v>141.1764705882353</v>
      </c>
      <c r="L729" s="498"/>
      <c r="M729" s="189"/>
      <c r="N729" s="766"/>
      <c r="O729" s="498"/>
      <c r="P729" s="49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</row>
    <row r="730" spans="1:26" ht="18.75">
      <c r="A730" s="744"/>
      <c r="B730" s="763"/>
      <c r="C730" s="763"/>
      <c r="D730" s="763"/>
      <c r="E730" s="763" t="s">
        <v>310</v>
      </c>
      <c r="F730" s="763"/>
      <c r="G730" s="189"/>
      <c r="H730" s="764" t="s">
        <v>35</v>
      </c>
      <c r="I730" s="765"/>
      <c r="J730" s="215">
        <v>36</v>
      </c>
      <c r="K730" s="498"/>
      <c r="L730" s="766"/>
      <c r="M730" s="498"/>
      <c r="N730" s="766"/>
      <c r="O730" s="498"/>
      <c r="P730" s="49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</row>
    <row r="731" spans="1:26" ht="18.75">
      <c r="A731" s="744"/>
      <c r="B731" s="763"/>
      <c r="C731" s="763"/>
      <c r="D731" s="763"/>
      <c r="E731" s="763"/>
      <c r="F731" s="763"/>
      <c r="G731" s="189"/>
      <c r="H731" s="764" t="s">
        <v>34</v>
      </c>
      <c r="I731" s="765"/>
      <c r="J731" s="215">
        <v>36</v>
      </c>
      <c r="K731" s="498"/>
      <c r="L731" s="766"/>
      <c r="M731" s="498"/>
      <c r="N731" s="766"/>
      <c r="O731" s="498"/>
      <c r="P731" s="49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</row>
    <row r="732" spans="1:26" ht="18.75">
      <c r="A732" s="744"/>
      <c r="B732" s="763"/>
      <c r="C732" s="763"/>
      <c r="D732" s="763"/>
      <c r="E732" s="763"/>
      <c r="F732" s="763"/>
      <c r="G732" s="189"/>
      <c r="H732" s="764" t="s">
        <v>46</v>
      </c>
      <c r="I732" s="765"/>
      <c r="J732" s="215">
        <v>303</v>
      </c>
      <c r="K732" s="498"/>
      <c r="L732" s="766"/>
      <c r="M732" s="498"/>
      <c r="N732" s="766"/>
      <c r="O732" s="498"/>
      <c r="P732" s="49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</row>
    <row r="733" spans="1:26" ht="18.75">
      <c r="A733" s="744"/>
      <c r="B733" s="763"/>
      <c r="C733" s="763"/>
      <c r="D733" s="763"/>
      <c r="E733" s="763" t="s">
        <v>311</v>
      </c>
      <c r="F733" s="763"/>
      <c r="G733" s="189"/>
      <c r="H733" s="764" t="s">
        <v>35</v>
      </c>
      <c r="I733" s="765"/>
      <c r="J733" s="215">
        <v>58</v>
      </c>
      <c r="K733" s="498"/>
      <c r="L733" s="766"/>
      <c r="M733" s="498"/>
      <c r="N733" s="766"/>
      <c r="O733" s="498"/>
      <c r="P733" s="49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</row>
    <row r="734" spans="1:26" ht="18.75">
      <c r="A734" s="744"/>
      <c r="B734" s="763"/>
      <c r="C734" s="763"/>
      <c r="D734" s="763"/>
      <c r="E734" s="763"/>
      <c r="F734" s="763"/>
      <c r="G734" s="189"/>
      <c r="H734" s="764" t="s">
        <v>34</v>
      </c>
      <c r="I734" s="765"/>
      <c r="J734" s="215">
        <v>58</v>
      </c>
      <c r="K734" s="498"/>
      <c r="L734" s="766"/>
      <c r="M734" s="498"/>
      <c r="N734" s="766"/>
      <c r="O734" s="498"/>
      <c r="P734" s="49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</row>
    <row r="735" spans="1:26" ht="19.5">
      <c r="A735" s="770"/>
      <c r="B735" s="771" t="s">
        <v>312</v>
      </c>
      <c r="C735" s="734"/>
      <c r="D735" s="734"/>
      <c r="E735" s="734"/>
      <c r="F735" s="734"/>
      <c r="G735" s="735"/>
      <c r="H735" s="422" t="s">
        <v>46</v>
      </c>
      <c r="I735" s="772"/>
      <c r="J735" s="424">
        <v>633</v>
      </c>
      <c r="K735" s="507"/>
      <c r="L735" s="773"/>
      <c r="M735" s="507"/>
      <c r="N735" s="773"/>
      <c r="O735" s="507"/>
      <c r="P735" s="507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</row>
    <row r="736" spans="1:26" ht="19.5" hidden="1">
      <c r="A736" s="774">
        <v>9</v>
      </c>
      <c r="B736" s="775" t="s">
        <v>313</v>
      </c>
      <c r="C736" s="776"/>
      <c r="D736" s="776"/>
      <c r="E736" s="776"/>
      <c r="F736" s="776"/>
      <c r="G736" s="777"/>
      <c r="H736" s="778" t="s">
        <v>46</v>
      </c>
      <c r="I736" s="779"/>
      <c r="J736" s="779">
        <f>J751</f>
        <v>0</v>
      </c>
      <c r="K736" s="780">
        <f>IF(I736&gt;0,J736*100/I736,0)</f>
        <v>0</v>
      </c>
      <c r="L736" s="781"/>
      <c r="M736" s="781"/>
      <c r="N736" s="781"/>
      <c r="O736" s="781"/>
      <c r="P736" s="781"/>
      <c r="Q736" s="604"/>
      <c r="R736" s="604"/>
      <c r="S736" s="604"/>
      <c r="T736" s="604"/>
      <c r="U736" s="604"/>
      <c r="V736" s="604"/>
      <c r="W736" s="604"/>
      <c r="X736" s="604"/>
      <c r="Y736" s="604"/>
      <c r="Z736" s="604"/>
    </row>
    <row r="737" spans="1:26" ht="19.5" hidden="1">
      <c r="A737" s="599"/>
      <c r="B737" s="759"/>
      <c r="C737" s="759" t="s">
        <v>16</v>
      </c>
      <c r="D737" s="864" t="s">
        <v>17</v>
      </c>
      <c r="E737" s="857"/>
      <c r="F737" s="857"/>
      <c r="G737" s="603"/>
      <c r="H737" s="646" t="s">
        <v>12</v>
      </c>
      <c r="I737" s="617"/>
      <c r="J737" s="617"/>
      <c r="K737" s="93"/>
      <c r="L737" s="647">
        <f t="shared" ref="L737:N737" si="294">L738+L739</f>
        <v>0</v>
      </c>
      <c r="M737" s="647">
        <f t="shared" si="294"/>
        <v>0</v>
      </c>
      <c r="N737" s="647">
        <f t="shared" si="294"/>
        <v>0</v>
      </c>
      <c r="O737" s="647">
        <f t="shared" ref="O737:O742" si="295">IF(L737&gt;0,N737*100/L737,0)</f>
        <v>0</v>
      </c>
      <c r="P737" s="647">
        <f t="shared" ref="P737:P742" si="296">IF(M737&gt;0,N737*100/M737,0)</f>
        <v>0</v>
      </c>
      <c r="Q737" s="604"/>
      <c r="R737" s="604"/>
      <c r="S737" s="604"/>
      <c r="T737" s="604"/>
      <c r="U737" s="604"/>
      <c r="V737" s="604"/>
      <c r="W737" s="604"/>
      <c r="X737" s="604"/>
      <c r="Y737" s="604"/>
      <c r="Z737" s="604"/>
    </row>
    <row r="738" spans="1:26" ht="18.75" hidden="1">
      <c r="A738" s="599"/>
      <c r="B738" s="759"/>
      <c r="C738" s="759"/>
      <c r="D738" s="720"/>
      <c r="E738" s="759" t="s">
        <v>185</v>
      </c>
      <c r="F738" s="759"/>
      <c r="G738" s="603"/>
      <c r="H738" s="165" t="s">
        <v>12</v>
      </c>
      <c r="I738" s="617"/>
      <c r="J738" s="617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4"/>
      <c r="R738" s="604"/>
      <c r="S738" s="604"/>
      <c r="T738" s="604"/>
      <c r="U738" s="604"/>
      <c r="V738" s="604"/>
      <c r="W738" s="604"/>
      <c r="X738" s="604"/>
      <c r="Y738" s="604"/>
      <c r="Z738" s="604"/>
    </row>
    <row r="739" spans="1:26" ht="18.75" hidden="1">
      <c r="A739" s="599"/>
      <c r="B739" s="607"/>
      <c r="C739" s="759"/>
      <c r="D739" s="720"/>
      <c r="E739" s="759" t="s">
        <v>186</v>
      </c>
      <c r="F739" s="759"/>
      <c r="G739" s="603"/>
      <c r="H739" s="165" t="s">
        <v>12</v>
      </c>
      <c r="I739" s="617"/>
      <c r="J739" s="617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4"/>
      <c r="R739" s="604"/>
      <c r="S739" s="604"/>
      <c r="T739" s="604"/>
      <c r="U739" s="604"/>
      <c r="V739" s="604"/>
      <c r="W739" s="604"/>
      <c r="X739" s="604"/>
      <c r="Y739" s="604"/>
      <c r="Z739" s="604"/>
    </row>
    <row r="740" spans="1:26" ht="19.5" hidden="1">
      <c r="A740" s="599"/>
      <c r="B740" s="607"/>
      <c r="C740" s="759"/>
      <c r="D740" s="645" t="s">
        <v>20</v>
      </c>
      <c r="E740" s="759"/>
      <c r="F740" s="759"/>
      <c r="G740" s="603"/>
      <c r="H740" s="646" t="s">
        <v>12</v>
      </c>
      <c r="I740" s="166"/>
      <c r="J740" s="166"/>
      <c r="K740" s="167"/>
      <c r="L740" s="647">
        <f t="shared" ref="L740:N740" si="298">L741+L742</f>
        <v>0</v>
      </c>
      <c r="M740" s="647">
        <f t="shared" si="298"/>
        <v>0</v>
      </c>
      <c r="N740" s="647">
        <f t="shared" si="298"/>
        <v>0</v>
      </c>
      <c r="O740" s="647">
        <f t="shared" si="295"/>
        <v>0</v>
      </c>
      <c r="P740" s="647">
        <f t="shared" si="296"/>
        <v>0</v>
      </c>
      <c r="Q740" s="604"/>
      <c r="R740" s="604"/>
      <c r="S740" s="604"/>
      <c r="T740" s="604"/>
      <c r="U740" s="604"/>
      <c r="V740" s="604"/>
      <c r="W740" s="604"/>
      <c r="X740" s="604"/>
      <c r="Y740" s="604"/>
      <c r="Z740" s="604"/>
    </row>
    <row r="741" spans="1:26" ht="18.75" hidden="1">
      <c r="A741" s="599"/>
      <c r="B741" s="607"/>
      <c r="C741" s="759"/>
      <c r="D741" s="720"/>
      <c r="E741" s="759" t="s">
        <v>185</v>
      </c>
      <c r="F741" s="759"/>
      <c r="G741" s="603"/>
      <c r="H741" s="165" t="s">
        <v>12</v>
      </c>
      <c r="I741" s="617"/>
      <c r="J741" s="617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4"/>
      <c r="R741" s="604"/>
      <c r="S741" s="604"/>
      <c r="T741" s="604"/>
      <c r="U741" s="604"/>
      <c r="V741" s="604"/>
      <c r="W741" s="604"/>
      <c r="X741" s="604"/>
      <c r="Y741" s="604"/>
      <c r="Z741" s="604"/>
    </row>
    <row r="742" spans="1:26" ht="18.75" hidden="1">
      <c r="A742" s="599"/>
      <c r="B742" s="607"/>
      <c r="C742" s="759"/>
      <c r="D742" s="720"/>
      <c r="E742" s="759" t="s">
        <v>186</v>
      </c>
      <c r="F742" s="759"/>
      <c r="G742" s="603"/>
      <c r="H742" s="165" t="s">
        <v>12</v>
      </c>
      <c r="I742" s="617"/>
      <c r="J742" s="617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4"/>
      <c r="R742" s="604"/>
      <c r="S742" s="604"/>
      <c r="T742" s="604"/>
      <c r="U742" s="604"/>
      <c r="V742" s="604"/>
      <c r="W742" s="604"/>
      <c r="X742" s="604"/>
      <c r="Y742" s="604"/>
      <c r="Z742" s="604"/>
    </row>
    <row r="743" spans="1:26" ht="18.75" hidden="1">
      <c r="A743" s="649"/>
      <c r="B743" s="607"/>
      <c r="C743" s="759"/>
      <c r="D743" s="759"/>
      <c r="E743" s="759"/>
      <c r="F743" s="759" t="s">
        <v>187</v>
      </c>
      <c r="G743" s="603"/>
      <c r="H743" s="165" t="s">
        <v>12</v>
      </c>
      <c r="I743" s="617"/>
      <c r="J743" s="617"/>
      <c r="K743" s="93"/>
      <c r="L743" s="93"/>
      <c r="M743" s="93"/>
      <c r="N743" s="93"/>
      <c r="O743" s="93"/>
      <c r="P743" s="93"/>
      <c r="Q743" s="604"/>
      <c r="R743" s="604"/>
      <c r="S743" s="604"/>
      <c r="T743" s="604"/>
      <c r="U743" s="604"/>
      <c r="V743" s="604"/>
      <c r="W743" s="604"/>
      <c r="X743" s="604"/>
      <c r="Y743" s="604"/>
      <c r="Z743" s="604"/>
    </row>
    <row r="744" spans="1:26" ht="18.75" hidden="1">
      <c r="A744" s="649"/>
      <c r="B744" s="607"/>
      <c r="C744" s="759"/>
      <c r="D744" s="759"/>
      <c r="E744" s="759"/>
      <c r="F744" s="759" t="s">
        <v>188</v>
      </c>
      <c r="G744" s="603"/>
      <c r="H744" s="165" t="s">
        <v>12</v>
      </c>
      <c r="I744" s="617"/>
      <c r="J744" s="617"/>
      <c r="K744" s="93"/>
      <c r="L744" s="93"/>
      <c r="M744" s="93"/>
      <c r="N744" s="93"/>
      <c r="O744" s="93"/>
      <c r="P744" s="93"/>
      <c r="Q744" s="604"/>
      <c r="R744" s="604"/>
      <c r="S744" s="604"/>
      <c r="T744" s="604"/>
      <c r="U744" s="604"/>
      <c r="V744" s="604"/>
      <c r="W744" s="604"/>
      <c r="X744" s="604"/>
      <c r="Y744" s="604"/>
      <c r="Z744" s="604"/>
    </row>
    <row r="745" spans="1:26" ht="18.75" hidden="1">
      <c r="A745" s="649"/>
      <c r="B745" s="607"/>
      <c r="C745" s="759"/>
      <c r="D745" s="759"/>
      <c r="E745" s="759"/>
      <c r="F745" s="759" t="s">
        <v>189</v>
      </c>
      <c r="G745" s="603"/>
      <c r="H745" s="165" t="s">
        <v>12</v>
      </c>
      <c r="I745" s="617"/>
      <c r="J745" s="617"/>
      <c r="K745" s="93"/>
      <c r="L745" s="93"/>
      <c r="M745" s="93"/>
      <c r="N745" s="93"/>
      <c r="O745" s="93"/>
      <c r="P745" s="93"/>
      <c r="Q745" s="604"/>
      <c r="R745" s="604"/>
      <c r="S745" s="604"/>
      <c r="T745" s="604"/>
      <c r="U745" s="604"/>
      <c r="V745" s="604"/>
      <c r="W745" s="604"/>
      <c r="X745" s="604"/>
      <c r="Y745" s="604"/>
      <c r="Z745" s="604"/>
    </row>
    <row r="746" spans="1:26" ht="18.75" hidden="1">
      <c r="A746" s="649"/>
      <c r="B746" s="607"/>
      <c r="C746" s="759"/>
      <c r="D746" s="759"/>
      <c r="E746" s="759"/>
      <c r="F746" s="759" t="s">
        <v>190</v>
      </c>
      <c r="G746" s="603"/>
      <c r="H746" s="165" t="s">
        <v>12</v>
      </c>
      <c r="I746" s="617"/>
      <c r="J746" s="617"/>
      <c r="K746" s="93"/>
      <c r="L746" s="93"/>
      <c r="M746" s="93"/>
      <c r="N746" s="93"/>
      <c r="O746" s="93"/>
      <c r="P746" s="93"/>
      <c r="Q746" s="604"/>
      <c r="R746" s="604"/>
      <c r="S746" s="604"/>
      <c r="T746" s="604"/>
      <c r="U746" s="604"/>
      <c r="V746" s="604"/>
      <c r="W746" s="604"/>
      <c r="X746" s="604"/>
      <c r="Y746" s="604"/>
      <c r="Z746" s="604"/>
    </row>
    <row r="747" spans="1:26" ht="19.5" hidden="1">
      <c r="A747" s="599"/>
      <c r="B747" s="607"/>
      <c r="C747" s="759"/>
      <c r="D747" s="645" t="s">
        <v>21</v>
      </c>
      <c r="E747" s="759"/>
      <c r="F747" s="759"/>
      <c r="G747" s="603"/>
      <c r="H747" s="783" t="s">
        <v>12</v>
      </c>
      <c r="I747" s="166"/>
      <c r="J747" s="166"/>
      <c r="K747" s="167"/>
      <c r="L747" s="647">
        <f t="shared" ref="L747:N747" si="299">L748+L749</f>
        <v>0</v>
      </c>
      <c r="M747" s="647">
        <f t="shared" si="299"/>
        <v>0</v>
      </c>
      <c r="N747" s="647">
        <f t="shared" si="299"/>
        <v>0</v>
      </c>
      <c r="O747" s="647">
        <f t="shared" ref="O747:O749" si="300">IF(L747&gt;0,N747*100/L747,0)</f>
        <v>0</v>
      </c>
      <c r="P747" s="647">
        <f t="shared" ref="P747:P749" si="301">IF(M747&gt;0,N747*100/M747,0)</f>
        <v>0</v>
      </c>
      <c r="Q747" s="604"/>
      <c r="R747" s="604"/>
      <c r="S747" s="604"/>
      <c r="T747" s="604"/>
      <c r="U747" s="604"/>
      <c r="V747" s="604"/>
      <c r="W747" s="604"/>
      <c r="X747" s="604"/>
      <c r="Y747" s="604"/>
      <c r="Z747" s="604"/>
    </row>
    <row r="748" spans="1:26" ht="18.75" hidden="1">
      <c r="A748" s="599"/>
      <c r="B748" s="607"/>
      <c r="C748" s="759"/>
      <c r="D748" s="759"/>
      <c r="E748" s="759" t="s">
        <v>18</v>
      </c>
      <c r="F748" s="759"/>
      <c r="G748" s="603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4"/>
      <c r="R748" s="604"/>
      <c r="S748" s="604"/>
      <c r="T748" s="604"/>
      <c r="U748" s="604"/>
      <c r="V748" s="604"/>
      <c r="W748" s="604"/>
      <c r="X748" s="604"/>
      <c r="Y748" s="604"/>
      <c r="Z748" s="604"/>
    </row>
    <row r="749" spans="1:26" ht="18.75" hidden="1">
      <c r="A749" s="599"/>
      <c r="B749" s="607"/>
      <c r="C749" s="759"/>
      <c r="D749" s="759"/>
      <c r="E749" s="759" t="s">
        <v>19</v>
      </c>
      <c r="F749" s="759"/>
      <c r="G749" s="603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4"/>
      <c r="R749" s="604"/>
      <c r="S749" s="604"/>
      <c r="T749" s="604"/>
      <c r="U749" s="604"/>
      <c r="V749" s="604"/>
      <c r="W749" s="604"/>
      <c r="X749" s="604"/>
      <c r="Y749" s="604"/>
      <c r="Z749" s="604"/>
    </row>
    <row r="750" spans="1:26" ht="19.5" hidden="1">
      <c r="A750" s="614"/>
      <c r="B750" s="616"/>
      <c r="C750" s="759" t="s">
        <v>16</v>
      </c>
      <c r="D750" s="899" t="s">
        <v>38</v>
      </c>
      <c r="E750" s="651"/>
      <c r="F750" s="651"/>
      <c r="G750" s="652"/>
      <c r="H750" s="366"/>
      <c r="I750" s="166"/>
      <c r="J750" s="166"/>
      <c r="K750" s="167"/>
      <c r="L750" s="167"/>
      <c r="M750" s="167"/>
      <c r="N750" s="167"/>
      <c r="O750" s="167"/>
      <c r="P750" s="167"/>
      <c r="Q750" s="604"/>
      <c r="R750" s="604"/>
      <c r="S750" s="604"/>
      <c r="T750" s="604"/>
      <c r="U750" s="604"/>
      <c r="V750" s="604"/>
      <c r="W750" s="604"/>
      <c r="X750" s="604"/>
      <c r="Y750" s="604"/>
      <c r="Z750" s="604"/>
    </row>
    <row r="751" spans="1:26" ht="18.75" hidden="1">
      <c r="A751" s="649"/>
      <c r="B751" s="607"/>
      <c r="C751" s="759"/>
      <c r="D751" s="759"/>
      <c r="E751" s="759" t="s">
        <v>314</v>
      </c>
      <c r="F751" s="759"/>
      <c r="G751" s="603"/>
      <c r="H751" s="165" t="s">
        <v>46</v>
      </c>
      <c r="I751" s="617"/>
      <c r="J751" s="617"/>
      <c r="K751" s="93"/>
      <c r="L751" s="93"/>
      <c r="M751" s="93"/>
      <c r="N751" s="93"/>
      <c r="O751" s="93"/>
      <c r="P751" s="93"/>
      <c r="Q751" s="604"/>
      <c r="R751" s="604"/>
      <c r="S751" s="604"/>
      <c r="T751" s="604"/>
      <c r="U751" s="604"/>
      <c r="V751" s="604"/>
      <c r="W751" s="604"/>
      <c r="X751" s="604"/>
      <c r="Y751" s="604"/>
      <c r="Z751" s="604"/>
    </row>
    <row r="752" spans="1:26" ht="18.75" hidden="1">
      <c r="A752" s="649"/>
      <c r="B752" s="607"/>
      <c r="C752" s="759"/>
      <c r="D752" s="759"/>
      <c r="E752" s="759"/>
      <c r="F752" s="759"/>
      <c r="G752" s="603"/>
      <c r="H752" s="165" t="s">
        <v>315</v>
      </c>
      <c r="I752" s="617"/>
      <c r="J752" s="617"/>
      <c r="K752" s="93"/>
      <c r="L752" s="93"/>
      <c r="M752" s="93"/>
      <c r="N752" s="93"/>
      <c r="O752" s="93"/>
      <c r="P752" s="93"/>
      <c r="Q752" s="604"/>
      <c r="R752" s="604"/>
      <c r="S752" s="604"/>
      <c r="T752" s="604"/>
      <c r="U752" s="604"/>
      <c r="V752" s="604"/>
      <c r="W752" s="604"/>
      <c r="X752" s="604"/>
      <c r="Y752" s="604"/>
      <c r="Z752" s="604"/>
    </row>
    <row r="753" spans="1:26" ht="19.5" hidden="1">
      <c r="A753" s="785">
        <v>10</v>
      </c>
      <c r="B753" s="786" t="s">
        <v>316</v>
      </c>
      <c r="C753" s="787"/>
      <c r="D753" s="787"/>
      <c r="E753" s="787"/>
      <c r="F753" s="787"/>
      <c r="G753" s="788"/>
      <c r="H753" s="789" t="s">
        <v>46</v>
      </c>
      <c r="I753" s="790"/>
      <c r="J753" s="790">
        <f>J768</f>
        <v>0</v>
      </c>
      <c r="K753" s="791">
        <f>IF(I753&gt;0,J753*100/I753,0)</f>
        <v>0</v>
      </c>
      <c r="L753" s="792"/>
      <c r="M753" s="792"/>
      <c r="N753" s="792"/>
      <c r="O753" s="792"/>
      <c r="P753" s="792"/>
      <c r="Q753" s="604"/>
      <c r="R753" s="604"/>
      <c r="S753" s="604"/>
      <c r="T753" s="604"/>
      <c r="U753" s="604"/>
      <c r="V753" s="604"/>
      <c r="W753" s="604"/>
      <c r="X753" s="604"/>
      <c r="Y753" s="604"/>
      <c r="Z753" s="604"/>
    </row>
    <row r="754" spans="1:26" ht="19.5" hidden="1">
      <c r="A754" s="599"/>
      <c r="B754" s="759"/>
      <c r="C754" s="759" t="s">
        <v>16</v>
      </c>
      <c r="D754" s="864" t="s">
        <v>17</v>
      </c>
      <c r="E754" s="857"/>
      <c r="F754" s="857"/>
      <c r="G754" s="603"/>
      <c r="H754" s="646" t="s">
        <v>12</v>
      </c>
      <c r="I754" s="617"/>
      <c r="J754" s="617"/>
      <c r="K754" s="93"/>
      <c r="L754" s="647">
        <f t="shared" ref="L754:N754" si="302">L755+L756</f>
        <v>0</v>
      </c>
      <c r="M754" s="647">
        <f t="shared" si="302"/>
        <v>0</v>
      </c>
      <c r="N754" s="647">
        <f t="shared" si="302"/>
        <v>0</v>
      </c>
      <c r="O754" s="647">
        <f t="shared" ref="O754:O759" si="303">IF(L754&gt;0,N754*100/L754,0)</f>
        <v>0</v>
      </c>
      <c r="P754" s="647">
        <f t="shared" ref="P754:P759" si="304">IF(M754&gt;0,N754*100/M754,0)</f>
        <v>0</v>
      </c>
      <c r="Q754" s="604"/>
      <c r="R754" s="604"/>
      <c r="S754" s="604"/>
      <c r="T754" s="604"/>
      <c r="U754" s="604"/>
      <c r="V754" s="604"/>
      <c r="W754" s="604"/>
      <c r="X754" s="604"/>
      <c r="Y754" s="604"/>
      <c r="Z754" s="604"/>
    </row>
    <row r="755" spans="1:26" ht="18.75" hidden="1">
      <c r="A755" s="599"/>
      <c r="B755" s="759"/>
      <c r="C755" s="759"/>
      <c r="D755" s="720"/>
      <c r="E755" s="759" t="s">
        <v>185</v>
      </c>
      <c r="F755" s="759"/>
      <c r="G755" s="603"/>
      <c r="H755" s="165" t="s">
        <v>12</v>
      </c>
      <c r="I755" s="617"/>
      <c r="J755" s="617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4"/>
      <c r="R755" s="604"/>
      <c r="S755" s="604"/>
      <c r="T755" s="604"/>
      <c r="U755" s="604"/>
      <c r="V755" s="604"/>
      <c r="W755" s="604"/>
      <c r="X755" s="604"/>
      <c r="Y755" s="604"/>
      <c r="Z755" s="604"/>
    </row>
    <row r="756" spans="1:26" ht="18.75" hidden="1">
      <c r="A756" s="599"/>
      <c r="B756" s="607"/>
      <c r="C756" s="759"/>
      <c r="D756" s="720"/>
      <c r="E756" s="759" t="s">
        <v>186</v>
      </c>
      <c r="F756" s="759"/>
      <c r="G756" s="603"/>
      <c r="H756" s="165" t="s">
        <v>12</v>
      </c>
      <c r="I756" s="617"/>
      <c r="J756" s="617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4"/>
      <c r="R756" s="604"/>
      <c r="S756" s="604"/>
      <c r="T756" s="604"/>
      <c r="U756" s="604"/>
      <c r="V756" s="604"/>
      <c r="W756" s="604"/>
      <c r="X756" s="604"/>
      <c r="Y756" s="604"/>
      <c r="Z756" s="604"/>
    </row>
    <row r="757" spans="1:26" ht="19.5" hidden="1">
      <c r="A757" s="599"/>
      <c r="B757" s="607"/>
      <c r="C757" s="759"/>
      <c r="D757" s="645" t="s">
        <v>20</v>
      </c>
      <c r="E757" s="759"/>
      <c r="F757" s="759"/>
      <c r="G757" s="603"/>
      <c r="H757" s="646" t="s">
        <v>12</v>
      </c>
      <c r="I757" s="166"/>
      <c r="J757" s="166"/>
      <c r="K757" s="167"/>
      <c r="L757" s="647">
        <f t="shared" ref="L757:N757" si="306">L758+L759</f>
        <v>0</v>
      </c>
      <c r="M757" s="647">
        <f t="shared" si="306"/>
        <v>0</v>
      </c>
      <c r="N757" s="647">
        <f t="shared" si="306"/>
        <v>0</v>
      </c>
      <c r="O757" s="647">
        <f t="shared" si="303"/>
        <v>0</v>
      </c>
      <c r="P757" s="647">
        <f t="shared" si="304"/>
        <v>0</v>
      </c>
      <c r="Q757" s="604"/>
      <c r="R757" s="604"/>
      <c r="S757" s="604"/>
      <c r="T757" s="604"/>
      <c r="U757" s="604"/>
      <c r="V757" s="604"/>
      <c r="W757" s="604"/>
      <c r="X757" s="604"/>
      <c r="Y757" s="604"/>
      <c r="Z757" s="604"/>
    </row>
    <row r="758" spans="1:26" ht="18.75" hidden="1">
      <c r="A758" s="599"/>
      <c r="B758" s="607"/>
      <c r="C758" s="759"/>
      <c r="D758" s="720"/>
      <c r="E758" s="759" t="s">
        <v>185</v>
      </c>
      <c r="F758" s="759"/>
      <c r="G758" s="603"/>
      <c r="H758" s="165" t="s">
        <v>12</v>
      </c>
      <c r="I758" s="617"/>
      <c r="J758" s="617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4"/>
      <c r="R758" s="604"/>
      <c r="S758" s="604"/>
      <c r="T758" s="604"/>
      <c r="U758" s="604"/>
      <c r="V758" s="604"/>
      <c r="W758" s="604"/>
      <c r="X758" s="604"/>
      <c r="Y758" s="604"/>
      <c r="Z758" s="604"/>
    </row>
    <row r="759" spans="1:26" ht="18.75" hidden="1">
      <c r="A759" s="599"/>
      <c r="B759" s="607"/>
      <c r="C759" s="759"/>
      <c r="D759" s="720"/>
      <c r="E759" s="759" t="s">
        <v>186</v>
      </c>
      <c r="F759" s="759"/>
      <c r="G759" s="603"/>
      <c r="H759" s="165" t="s">
        <v>12</v>
      </c>
      <c r="I759" s="617"/>
      <c r="J759" s="617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4"/>
      <c r="R759" s="604"/>
      <c r="S759" s="604"/>
      <c r="T759" s="604"/>
      <c r="U759" s="604"/>
      <c r="V759" s="604"/>
      <c r="W759" s="604"/>
      <c r="X759" s="604"/>
      <c r="Y759" s="604"/>
      <c r="Z759" s="604"/>
    </row>
    <row r="760" spans="1:26" ht="18.75" hidden="1">
      <c r="A760" s="649"/>
      <c r="B760" s="607"/>
      <c r="C760" s="759"/>
      <c r="D760" s="759"/>
      <c r="E760" s="759"/>
      <c r="F760" s="759" t="s">
        <v>187</v>
      </c>
      <c r="G760" s="603"/>
      <c r="H760" s="165" t="s">
        <v>12</v>
      </c>
      <c r="I760" s="617"/>
      <c r="J760" s="617"/>
      <c r="K760" s="93"/>
      <c r="L760" s="93"/>
      <c r="M760" s="93"/>
      <c r="N760" s="93"/>
      <c r="O760" s="93"/>
      <c r="P760" s="93"/>
      <c r="Q760" s="604"/>
      <c r="R760" s="604"/>
      <c r="S760" s="604"/>
      <c r="T760" s="604"/>
      <c r="U760" s="604"/>
      <c r="V760" s="604"/>
      <c r="W760" s="604"/>
      <c r="X760" s="604"/>
      <c r="Y760" s="604"/>
      <c r="Z760" s="604"/>
    </row>
    <row r="761" spans="1:26" ht="18.75" hidden="1">
      <c r="A761" s="649"/>
      <c r="B761" s="607"/>
      <c r="C761" s="759"/>
      <c r="D761" s="759"/>
      <c r="E761" s="759"/>
      <c r="F761" s="759" t="s">
        <v>188</v>
      </c>
      <c r="G761" s="603"/>
      <c r="H761" s="165" t="s">
        <v>12</v>
      </c>
      <c r="I761" s="617"/>
      <c r="J761" s="617"/>
      <c r="K761" s="93"/>
      <c r="L761" s="93"/>
      <c r="M761" s="93"/>
      <c r="N761" s="93"/>
      <c r="O761" s="93"/>
      <c r="P761" s="93"/>
      <c r="Q761" s="604"/>
      <c r="R761" s="604"/>
      <c r="S761" s="604"/>
      <c r="T761" s="604"/>
      <c r="U761" s="604"/>
      <c r="V761" s="604"/>
      <c r="W761" s="604"/>
      <c r="X761" s="604"/>
      <c r="Y761" s="604"/>
      <c r="Z761" s="604"/>
    </row>
    <row r="762" spans="1:26" ht="18.75" hidden="1">
      <c r="A762" s="649"/>
      <c r="B762" s="607"/>
      <c r="C762" s="759"/>
      <c r="D762" s="759"/>
      <c r="E762" s="759"/>
      <c r="F762" s="759" t="s">
        <v>189</v>
      </c>
      <c r="G762" s="603"/>
      <c r="H762" s="165" t="s">
        <v>12</v>
      </c>
      <c r="I762" s="617"/>
      <c r="J762" s="617"/>
      <c r="K762" s="93"/>
      <c r="L762" s="93"/>
      <c r="M762" s="93"/>
      <c r="N762" s="93"/>
      <c r="O762" s="93"/>
      <c r="P762" s="93"/>
      <c r="Q762" s="604"/>
      <c r="R762" s="604"/>
      <c r="S762" s="604"/>
      <c r="T762" s="604"/>
      <c r="U762" s="604"/>
      <c r="V762" s="604"/>
      <c r="W762" s="604"/>
      <c r="X762" s="604"/>
      <c r="Y762" s="604"/>
      <c r="Z762" s="604"/>
    </row>
    <row r="763" spans="1:26" ht="18.75" hidden="1">
      <c r="A763" s="649"/>
      <c r="B763" s="607"/>
      <c r="C763" s="759"/>
      <c r="D763" s="759"/>
      <c r="E763" s="759"/>
      <c r="F763" s="759" t="s">
        <v>190</v>
      </c>
      <c r="G763" s="603"/>
      <c r="H763" s="165" t="s">
        <v>12</v>
      </c>
      <c r="I763" s="617"/>
      <c r="J763" s="617"/>
      <c r="K763" s="93"/>
      <c r="L763" s="93"/>
      <c r="M763" s="93"/>
      <c r="N763" s="93"/>
      <c r="O763" s="93"/>
      <c r="P763" s="93"/>
      <c r="Q763" s="604"/>
      <c r="R763" s="604"/>
      <c r="S763" s="604"/>
      <c r="T763" s="604"/>
      <c r="U763" s="604"/>
      <c r="V763" s="604"/>
      <c r="W763" s="604"/>
      <c r="X763" s="604"/>
      <c r="Y763" s="604"/>
      <c r="Z763" s="604"/>
    </row>
    <row r="764" spans="1:26" ht="19.5" hidden="1">
      <c r="A764" s="599"/>
      <c r="B764" s="607"/>
      <c r="C764" s="759"/>
      <c r="D764" s="645" t="s">
        <v>21</v>
      </c>
      <c r="E764" s="759"/>
      <c r="F764" s="759"/>
      <c r="G764" s="603"/>
      <c r="H764" s="783" t="s">
        <v>12</v>
      </c>
      <c r="I764" s="166"/>
      <c r="J764" s="166"/>
      <c r="K764" s="167"/>
      <c r="L764" s="647">
        <f t="shared" ref="L764:N764" si="307">L765+L766</f>
        <v>0</v>
      </c>
      <c r="M764" s="647">
        <f t="shared" si="307"/>
        <v>0</v>
      </c>
      <c r="N764" s="647">
        <f t="shared" si="307"/>
        <v>0</v>
      </c>
      <c r="O764" s="647">
        <f t="shared" ref="O764:O766" si="308">IF(L764&gt;0,N764*100/L764,0)</f>
        <v>0</v>
      </c>
      <c r="P764" s="647">
        <f t="shared" ref="P764:P766" si="309">IF(M764&gt;0,N764*100/M764,0)</f>
        <v>0</v>
      </c>
      <c r="Q764" s="604"/>
      <c r="R764" s="604"/>
      <c r="S764" s="604"/>
      <c r="T764" s="604"/>
      <c r="U764" s="604"/>
      <c r="V764" s="604"/>
      <c r="W764" s="604"/>
      <c r="X764" s="604"/>
      <c r="Y764" s="604"/>
      <c r="Z764" s="604"/>
    </row>
    <row r="765" spans="1:26" ht="18.75" hidden="1">
      <c r="A765" s="599"/>
      <c r="B765" s="607"/>
      <c r="C765" s="759"/>
      <c r="D765" s="759"/>
      <c r="E765" s="759" t="s">
        <v>18</v>
      </c>
      <c r="F765" s="759"/>
      <c r="G765" s="603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4"/>
      <c r="R765" s="604"/>
      <c r="S765" s="604"/>
      <c r="T765" s="604"/>
      <c r="U765" s="604"/>
      <c r="V765" s="604"/>
      <c r="W765" s="604"/>
      <c r="X765" s="604"/>
      <c r="Y765" s="604"/>
      <c r="Z765" s="604"/>
    </row>
    <row r="766" spans="1:26" ht="18.75" hidden="1">
      <c r="A766" s="599"/>
      <c r="B766" s="607"/>
      <c r="C766" s="759"/>
      <c r="D766" s="759"/>
      <c r="E766" s="759" t="s">
        <v>19</v>
      </c>
      <c r="F766" s="759"/>
      <c r="G766" s="603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4"/>
      <c r="R766" s="604"/>
      <c r="S766" s="604"/>
      <c r="T766" s="604"/>
      <c r="U766" s="604"/>
      <c r="V766" s="604"/>
      <c r="W766" s="604"/>
      <c r="X766" s="604"/>
      <c r="Y766" s="604"/>
      <c r="Z766" s="604"/>
    </row>
    <row r="767" spans="1:26" ht="19.5" hidden="1">
      <c r="A767" s="614"/>
      <c r="B767" s="616"/>
      <c r="C767" s="759" t="s">
        <v>16</v>
      </c>
      <c r="D767" s="899" t="s">
        <v>38</v>
      </c>
      <c r="E767" s="651"/>
      <c r="F767" s="651"/>
      <c r="G767" s="652"/>
      <c r="H767" s="366"/>
      <c r="I767" s="166"/>
      <c r="J767" s="166"/>
      <c r="K767" s="167"/>
      <c r="L767" s="167"/>
      <c r="M767" s="167"/>
      <c r="N767" s="167"/>
      <c r="O767" s="167"/>
      <c r="P767" s="167"/>
      <c r="Q767" s="604"/>
      <c r="R767" s="604"/>
      <c r="S767" s="604"/>
      <c r="T767" s="604"/>
      <c r="U767" s="604"/>
      <c r="V767" s="604"/>
      <c r="W767" s="604"/>
      <c r="X767" s="604"/>
      <c r="Y767" s="604"/>
      <c r="Z767" s="604"/>
    </row>
    <row r="768" spans="1:26" ht="18.75" hidden="1">
      <c r="A768" s="649"/>
      <c r="B768" s="607"/>
      <c r="C768" s="759"/>
      <c r="D768" s="759"/>
      <c r="E768" s="759" t="s">
        <v>317</v>
      </c>
      <c r="F768" s="759"/>
      <c r="G768" s="603"/>
      <c r="H768" s="165" t="s">
        <v>46</v>
      </c>
      <c r="I768" s="617"/>
      <c r="J768" s="617"/>
      <c r="K768" s="93"/>
      <c r="L768" s="93"/>
      <c r="M768" s="93"/>
      <c r="N768" s="93"/>
      <c r="O768" s="93"/>
      <c r="P768" s="93"/>
      <c r="Q768" s="604"/>
      <c r="R768" s="604"/>
      <c r="S768" s="604"/>
      <c r="T768" s="604"/>
      <c r="U768" s="604"/>
      <c r="V768" s="604"/>
      <c r="W768" s="604"/>
      <c r="X768" s="604"/>
      <c r="Y768" s="604"/>
      <c r="Z768" s="604"/>
    </row>
    <row r="769" spans="1:26" ht="19.5" hidden="1">
      <c r="A769" s="793">
        <v>11</v>
      </c>
      <c r="B769" s="794" t="s">
        <v>318</v>
      </c>
      <c r="C769" s="795"/>
      <c r="D769" s="795"/>
      <c r="E769" s="795"/>
      <c r="F769" s="795"/>
      <c r="G769" s="796"/>
      <c r="H769" s="797" t="s">
        <v>46</v>
      </c>
      <c r="I769" s="798"/>
      <c r="J769" s="798">
        <f>J784</f>
        <v>0</v>
      </c>
      <c r="K769" s="799">
        <f>IF(I769&gt;0,J769*100/I769,0)</f>
        <v>0</v>
      </c>
      <c r="L769" s="800"/>
      <c r="M769" s="800"/>
      <c r="N769" s="800"/>
      <c r="O769" s="800"/>
      <c r="P769" s="800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</row>
    <row r="770" spans="1:26" ht="19.5" hidden="1">
      <c r="A770" s="599"/>
      <c r="B770" s="759"/>
      <c r="C770" s="759" t="s">
        <v>16</v>
      </c>
      <c r="D770" s="864" t="s">
        <v>17</v>
      </c>
      <c r="E770" s="857"/>
      <c r="F770" s="857"/>
      <c r="G770" s="603"/>
      <c r="H770" s="646" t="s">
        <v>12</v>
      </c>
      <c r="I770" s="617"/>
      <c r="J770" s="617"/>
      <c r="K770" s="93"/>
      <c r="L770" s="647">
        <f t="shared" ref="L770:N770" si="310">L771+L772</f>
        <v>0</v>
      </c>
      <c r="M770" s="647">
        <f t="shared" si="310"/>
        <v>0</v>
      </c>
      <c r="N770" s="647">
        <f t="shared" si="310"/>
        <v>0</v>
      </c>
      <c r="O770" s="647">
        <f t="shared" ref="O770:O775" si="311">IF(L770&gt;0,N770*100/L770,0)</f>
        <v>0</v>
      </c>
      <c r="P770" s="647">
        <f t="shared" ref="P770:P775" si="312">IF(M770&gt;0,N770*100/M770,0)</f>
        <v>0</v>
      </c>
      <c r="Q770" s="604"/>
      <c r="R770" s="604"/>
      <c r="S770" s="604"/>
      <c r="T770" s="604"/>
      <c r="U770" s="604"/>
      <c r="V770" s="604"/>
      <c r="W770" s="604"/>
      <c r="X770" s="604"/>
      <c r="Y770" s="604"/>
      <c r="Z770" s="604"/>
    </row>
    <row r="771" spans="1:26" ht="18.75" hidden="1">
      <c r="A771" s="599"/>
      <c r="B771" s="759"/>
      <c r="C771" s="759"/>
      <c r="D771" s="720"/>
      <c r="E771" s="759" t="s">
        <v>185</v>
      </c>
      <c r="F771" s="759"/>
      <c r="G771" s="603"/>
      <c r="H771" s="165" t="s">
        <v>12</v>
      </c>
      <c r="I771" s="617"/>
      <c r="J771" s="617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4"/>
      <c r="R771" s="604"/>
      <c r="S771" s="604"/>
      <c r="T771" s="604"/>
      <c r="U771" s="604"/>
      <c r="V771" s="604"/>
      <c r="W771" s="604"/>
      <c r="X771" s="604"/>
      <c r="Y771" s="604"/>
      <c r="Z771" s="604"/>
    </row>
    <row r="772" spans="1:26" ht="18.75" hidden="1">
      <c r="A772" s="599"/>
      <c r="B772" s="607"/>
      <c r="C772" s="759"/>
      <c r="D772" s="720"/>
      <c r="E772" s="759" t="s">
        <v>186</v>
      </c>
      <c r="F772" s="759"/>
      <c r="G772" s="603"/>
      <c r="H772" s="165" t="s">
        <v>12</v>
      </c>
      <c r="I772" s="617"/>
      <c r="J772" s="617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4"/>
      <c r="R772" s="604"/>
      <c r="S772" s="604"/>
      <c r="T772" s="604"/>
      <c r="U772" s="604"/>
      <c r="V772" s="604"/>
      <c r="W772" s="604"/>
      <c r="X772" s="604"/>
      <c r="Y772" s="604"/>
      <c r="Z772" s="604"/>
    </row>
    <row r="773" spans="1:26" ht="19.5" hidden="1">
      <c r="A773" s="599"/>
      <c r="B773" s="607"/>
      <c r="C773" s="759"/>
      <c r="D773" s="645" t="s">
        <v>20</v>
      </c>
      <c r="E773" s="759"/>
      <c r="F773" s="759"/>
      <c r="G773" s="603"/>
      <c r="H773" s="646" t="s">
        <v>12</v>
      </c>
      <c r="I773" s="166"/>
      <c r="J773" s="166"/>
      <c r="K773" s="167"/>
      <c r="L773" s="647">
        <f t="shared" ref="L773:N773" si="314">L774+L775</f>
        <v>0</v>
      </c>
      <c r="M773" s="647">
        <f t="shared" si="314"/>
        <v>0</v>
      </c>
      <c r="N773" s="647">
        <f t="shared" si="314"/>
        <v>0</v>
      </c>
      <c r="O773" s="647">
        <f t="shared" si="311"/>
        <v>0</v>
      </c>
      <c r="P773" s="647">
        <f t="shared" si="312"/>
        <v>0</v>
      </c>
      <c r="Q773" s="604"/>
      <c r="R773" s="604"/>
      <c r="S773" s="604"/>
      <c r="T773" s="604"/>
      <c r="U773" s="604"/>
      <c r="V773" s="604"/>
      <c r="W773" s="604"/>
      <c r="X773" s="604"/>
      <c r="Y773" s="604"/>
      <c r="Z773" s="604"/>
    </row>
    <row r="774" spans="1:26" ht="18.75" hidden="1">
      <c r="A774" s="599"/>
      <c r="B774" s="607"/>
      <c r="C774" s="759"/>
      <c r="D774" s="720"/>
      <c r="E774" s="759" t="s">
        <v>185</v>
      </c>
      <c r="F774" s="759"/>
      <c r="G774" s="603"/>
      <c r="H774" s="165" t="s">
        <v>12</v>
      </c>
      <c r="I774" s="617"/>
      <c r="J774" s="617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4"/>
      <c r="R774" s="604"/>
      <c r="S774" s="604"/>
      <c r="T774" s="604"/>
      <c r="U774" s="604"/>
      <c r="V774" s="604"/>
      <c r="W774" s="604"/>
      <c r="X774" s="604"/>
      <c r="Y774" s="604"/>
      <c r="Z774" s="604"/>
    </row>
    <row r="775" spans="1:26" ht="18.75" hidden="1">
      <c r="A775" s="599"/>
      <c r="B775" s="607"/>
      <c r="C775" s="759"/>
      <c r="D775" s="720"/>
      <c r="E775" s="759" t="s">
        <v>186</v>
      </c>
      <c r="F775" s="759"/>
      <c r="G775" s="603"/>
      <c r="H775" s="165" t="s">
        <v>12</v>
      </c>
      <c r="I775" s="617"/>
      <c r="J775" s="617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4"/>
      <c r="R775" s="604"/>
      <c r="S775" s="604"/>
      <c r="T775" s="604"/>
      <c r="U775" s="604"/>
      <c r="V775" s="604"/>
      <c r="W775" s="604"/>
      <c r="X775" s="604"/>
      <c r="Y775" s="604"/>
      <c r="Z775" s="604"/>
    </row>
    <row r="776" spans="1:26" ht="18.75" hidden="1">
      <c r="A776" s="649"/>
      <c r="B776" s="607"/>
      <c r="C776" s="759"/>
      <c r="D776" s="759"/>
      <c r="E776" s="759"/>
      <c r="F776" s="759" t="s">
        <v>187</v>
      </c>
      <c r="G776" s="603"/>
      <c r="H776" s="165" t="s">
        <v>12</v>
      </c>
      <c r="I776" s="617"/>
      <c r="J776" s="617"/>
      <c r="K776" s="93"/>
      <c r="L776" s="93"/>
      <c r="M776" s="93"/>
      <c r="N776" s="93"/>
      <c r="O776" s="93"/>
      <c r="P776" s="93"/>
      <c r="Q776" s="604"/>
      <c r="R776" s="604"/>
      <c r="S776" s="604"/>
      <c r="T776" s="604"/>
      <c r="U776" s="604"/>
      <c r="V776" s="604"/>
      <c r="W776" s="604"/>
      <c r="X776" s="604"/>
      <c r="Y776" s="604"/>
      <c r="Z776" s="604"/>
    </row>
    <row r="777" spans="1:26" ht="18.75" hidden="1">
      <c r="A777" s="649"/>
      <c r="B777" s="607"/>
      <c r="C777" s="759"/>
      <c r="D777" s="759"/>
      <c r="E777" s="759"/>
      <c r="F777" s="759" t="s">
        <v>188</v>
      </c>
      <c r="G777" s="603"/>
      <c r="H777" s="165" t="s">
        <v>12</v>
      </c>
      <c r="I777" s="617"/>
      <c r="J777" s="617"/>
      <c r="K777" s="93"/>
      <c r="L777" s="93"/>
      <c r="M777" s="93"/>
      <c r="N777" s="93"/>
      <c r="O777" s="93"/>
      <c r="P777" s="93"/>
      <c r="Q777" s="604"/>
      <c r="R777" s="604"/>
      <c r="S777" s="604"/>
      <c r="T777" s="604"/>
      <c r="U777" s="604"/>
      <c r="V777" s="604"/>
      <c r="W777" s="604"/>
      <c r="X777" s="604"/>
      <c r="Y777" s="604"/>
      <c r="Z777" s="604"/>
    </row>
    <row r="778" spans="1:26" ht="18.75" hidden="1">
      <c r="A778" s="649"/>
      <c r="B778" s="607"/>
      <c r="C778" s="759"/>
      <c r="D778" s="759"/>
      <c r="E778" s="759"/>
      <c r="F778" s="759" t="s">
        <v>189</v>
      </c>
      <c r="G778" s="603"/>
      <c r="H778" s="165" t="s">
        <v>12</v>
      </c>
      <c r="I778" s="617"/>
      <c r="J778" s="617"/>
      <c r="K778" s="93"/>
      <c r="L778" s="93"/>
      <c r="M778" s="93"/>
      <c r="N778" s="93"/>
      <c r="O778" s="93"/>
      <c r="P778" s="93"/>
      <c r="Q778" s="604"/>
      <c r="R778" s="604"/>
      <c r="S778" s="604"/>
      <c r="T778" s="604"/>
      <c r="U778" s="604"/>
      <c r="V778" s="604"/>
      <c r="W778" s="604"/>
      <c r="X778" s="604"/>
      <c r="Y778" s="604"/>
      <c r="Z778" s="604"/>
    </row>
    <row r="779" spans="1:26" ht="18.75" hidden="1">
      <c r="A779" s="649"/>
      <c r="B779" s="607"/>
      <c r="C779" s="759"/>
      <c r="D779" s="759"/>
      <c r="E779" s="759"/>
      <c r="F779" s="759" t="s">
        <v>190</v>
      </c>
      <c r="G779" s="603"/>
      <c r="H779" s="165" t="s">
        <v>12</v>
      </c>
      <c r="I779" s="617"/>
      <c r="J779" s="617"/>
      <c r="K779" s="93"/>
      <c r="L779" s="93"/>
      <c r="M779" s="93"/>
      <c r="N779" s="93"/>
      <c r="O779" s="93"/>
      <c r="P779" s="93"/>
      <c r="Q779" s="604"/>
      <c r="R779" s="604"/>
      <c r="S779" s="604"/>
      <c r="T779" s="604"/>
      <c r="U779" s="604"/>
      <c r="V779" s="604"/>
      <c r="W779" s="604"/>
      <c r="X779" s="604"/>
      <c r="Y779" s="604"/>
      <c r="Z779" s="604"/>
    </row>
    <row r="780" spans="1:26" ht="19.5" hidden="1">
      <c r="A780" s="599"/>
      <c r="B780" s="607"/>
      <c r="C780" s="759"/>
      <c r="D780" s="645" t="s">
        <v>21</v>
      </c>
      <c r="E780" s="759"/>
      <c r="F780" s="759"/>
      <c r="G780" s="603"/>
      <c r="H780" s="783" t="s">
        <v>12</v>
      </c>
      <c r="I780" s="166"/>
      <c r="J780" s="166"/>
      <c r="K780" s="167"/>
      <c r="L780" s="647">
        <f t="shared" ref="L780:N780" si="315">L781+L782</f>
        <v>0</v>
      </c>
      <c r="M780" s="647">
        <f t="shared" si="315"/>
        <v>0</v>
      </c>
      <c r="N780" s="647">
        <f t="shared" si="315"/>
        <v>0</v>
      </c>
      <c r="O780" s="647">
        <f t="shared" ref="O780:O782" si="316">IF(L780&gt;0,N780*100/L780,0)</f>
        <v>0</v>
      </c>
      <c r="P780" s="647">
        <f t="shared" ref="P780:P782" si="317">IF(M780&gt;0,N780*100/M780,0)</f>
        <v>0</v>
      </c>
      <c r="Q780" s="604"/>
      <c r="R780" s="604"/>
      <c r="S780" s="604"/>
      <c r="T780" s="604"/>
      <c r="U780" s="604"/>
      <c r="V780" s="604"/>
      <c r="W780" s="604"/>
      <c r="X780" s="604"/>
      <c r="Y780" s="604"/>
      <c r="Z780" s="604"/>
    </row>
    <row r="781" spans="1:26" ht="18.75" hidden="1">
      <c r="A781" s="599"/>
      <c r="B781" s="607"/>
      <c r="C781" s="759"/>
      <c r="D781" s="759"/>
      <c r="E781" s="759" t="s">
        <v>18</v>
      </c>
      <c r="F781" s="759"/>
      <c r="G781" s="603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4"/>
      <c r="R781" s="604"/>
      <c r="S781" s="604"/>
      <c r="T781" s="604"/>
      <c r="U781" s="604"/>
      <c r="V781" s="604"/>
      <c r="W781" s="604"/>
      <c r="X781" s="604"/>
      <c r="Y781" s="604"/>
      <c r="Z781" s="604"/>
    </row>
    <row r="782" spans="1:26" ht="18.75" hidden="1">
      <c r="A782" s="599"/>
      <c r="B782" s="607"/>
      <c r="C782" s="759"/>
      <c r="D782" s="759"/>
      <c r="E782" s="759" t="s">
        <v>19</v>
      </c>
      <c r="F782" s="759"/>
      <c r="G782" s="603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4"/>
      <c r="R782" s="604"/>
      <c r="S782" s="604"/>
      <c r="T782" s="604"/>
      <c r="U782" s="604"/>
      <c r="V782" s="604"/>
      <c r="W782" s="604"/>
      <c r="X782" s="604"/>
      <c r="Y782" s="604"/>
      <c r="Z782" s="604"/>
    </row>
    <row r="783" spans="1:26" ht="19.5" hidden="1">
      <c r="A783" s="614"/>
      <c r="B783" s="616"/>
      <c r="C783" s="759" t="s">
        <v>16</v>
      </c>
      <c r="D783" s="899" t="s">
        <v>38</v>
      </c>
      <c r="E783" s="651"/>
      <c r="F783" s="651"/>
      <c r="G783" s="652"/>
      <c r="H783" s="801"/>
      <c r="I783" s="166"/>
      <c r="J783" s="166"/>
      <c r="K783" s="167"/>
      <c r="L783" s="167"/>
      <c r="M783" s="167"/>
      <c r="N783" s="167"/>
      <c r="O783" s="167"/>
      <c r="P783" s="167"/>
      <c r="Q783" s="604"/>
      <c r="R783" s="604"/>
      <c r="S783" s="604"/>
      <c r="T783" s="604"/>
      <c r="U783" s="604"/>
      <c r="V783" s="604"/>
      <c r="W783" s="604"/>
      <c r="X783" s="604"/>
      <c r="Y783" s="604"/>
      <c r="Z783" s="604"/>
    </row>
    <row r="784" spans="1:26" ht="18.75" hidden="1">
      <c r="A784" s="649"/>
      <c r="B784" s="607"/>
      <c r="C784" s="759"/>
      <c r="D784" s="759"/>
      <c r="E784" s="759" t="s">
        <v>319</v>
      </c>
      <c r="F784" s="759"/>
      <c r="G784" s="603"/>
      <c r="H784" s="165" t="s">
        <v>46</v>
      </c>
      <c r="I784" s="617"/>
      <c r="J784" s="617"/>
      <c r="K784" s="93"/>
      <c r="L784" s="93"/>
      <c r="M784" s="93"/>
      <c r="N784" s="93"/>
      <c r="O784" s="93"/>
      <c r="P784" s="93"/>
      <c r="Q784" s="604"/>
      <c r="R784" s="604"/>
      <c r="S784" s="604"/>
      <c r="T784" s="604"/>
      <c r="U784" s="604"/>
      <c r="V784" s="604"/>
      <c r="W784" s="604"/>
      <c r="X784" s="604"/>
      <c r="Y784" s="604"/>
      <c r="Z784" s="604"/>
    </row>
    <row r="785" spans="1:26" ht="19.5" hidden="1">
      <c r="A785" s="802">
        <v>12</v>
      </c>
      <c r="B785" s="803" t="s">
        <v>320</v>
      </c>
      <c r="C785" s="804"/>
      <c r="D785" s="804"/>
      <c r="E785" s="804"/>
      <c r="F785" s="804"/>
      <c r="G785" s="805"/>
      <c r="H785" s="900" t="s">
        <v>46</v>
      </c>
      <c r="I785" s="901">
        <f t="shared" ref="I785:J785" ca="1" si="318">I800</f>
        <v>0</v>
      </c>
      <c r="J785" s="902">
        <f t="shared" ca="1" si="318"/>
        <v>0</v>
      </c>
      <c r="K785" s="903">
        <f ca="1">IF(I785&gt;0,J785*100/I785,0)</f>
        <v>0</v>
      </c>
      <c r="L785" s="809"/>
      <c r="M785" s="809"/>
      <c r="N785" s="809"/>
      <c r="O785" s="809"/>
      <c r="P785" s="809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</row>
    <row r="786" spans="1:26" ht="19.5" hidden="1">
      <c r="A786" s="597"/>
      <c r="B786" s="575"/>
      <c r="C786" s="763" t="s">
        <v>16</v>
      </c>
      <c r="D786" s="863" t="s">
        <v>17</v>
      </c>
      <c r="E786" s="857"/>
      <c r="F786" s="857"/>
      <c r="G786" s="189"/>
      <c r="H786" s="598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</row>
    <row r="787" spans="1:26" ht="18.75" hidden="1">
      <c r="A787" s="599"/>
      <c r="B787" s="607"/>
      <c r="C787" s="759"/>
      <c r="D787" s="720"/>
      <c r="E787" s="759" t="s">
        <v>185</v>
      </c>
      <c r="F787" s="759"/>
      <c r="G787" s="603"/>
      <c r="H787" s="165" t="s">
        <v>12</v>
      </c>
      <c r="I787" s="617"/>
      <c r="J787" s="617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4"/>
      <c r="R787" s="604"/>
      <c r="S787" s="604"/>
      <c r="T787" s="604"/>
      <c r="U787" s="604"/>
      <c r="V787" s="604"/>
      <c r="W787" s="604"/>
      <c r="X787" s="604"/>
      <c r="Y787" s="604"/>
      <c r="Z787" s="604"/>
    </row>
    <row r="788" spans="1:26" ht="18.75" hidden="1">
      <c r="A788" s="599"/>
      <c r="B788" s="607"/>
      <c r="C788" s="607"/>
      <c r="D788" s="616"/>
      <c r="E788" s="759" t="s">
        <v>186</v>
      </c>
      <c r="F788" s="759"/>
      <c r="G788" s="603"/>
      <c r="H788" s="165" t="s">
        <v>12</v>
      </c>
      <c r="I788" s="617"/>
      <c r="J788" s="617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4"/>
      <c r="R788" s="604"/>
      <c r="S788" s="604"/>
      <c r="T788" s="604"/>
      <c r="U788" s="604"/>
      <c r="V788" s="604"/>
      <c r="W788" s="604"/>
      <c r="X788" s="604"/>
      <c r="Y788" s="604"/>
      <c r="Z788" s="604"/>
    </row>
    <row r="789" spans="1:26" ht="18.75" hidden="1">
      <c r="A789" s="597"/>
      <c r="B789" s="575"/>
      <c r="C789" s="575"/>
      <c r="D789" s="606" t="s">
        <v>20</v>
      </c>
      <c r="E789" s="763"/>
      <c r="F789" s="763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</row>
    <row r="790" spans="1:26" ht="18.75" hidden="1">
      <c r="A790" s="599"/>
      <c r="B790" s="607"/>
      <c r="C790" s="607"/>
      <c r="D790" s="616"/>
      <c r="E790" s="759" t="s">
        <v>185</v>
      </c>
      <c r="F790" s="759"/>
      <c r="G790" s="603"/>
      <c r="H790" s="165" t="s">
        <v>12</v>
      </c>
      <c r="I790" s="617"/>
      <c r="J790" s="617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4"/>
      <c r="R790" s="604"/>
      <c r="S790" s="604"/>
      <c r="T790" s="604"/>
      <c r="U790" s="604"/>
      <c r="V790" s="604"/>
      <c r="W790" s="604"/>
      <c r="X790" s="604"/>
      <c r="Y790" s="604"/>
      <c r="Z790" s="604"/>
    </row>
    <row r="791" spans="1:26" ht="18.75" hidden="1">
      <c r="A791" s="599"/>
      <c r="B791" s="607"/>
      <c r="C791" s="607"/>
      <c r="D791" s="616"/>
      <c r="E791" s="759" t="s">
        <v>186</v>
      </c>
      <c r="F791" s="759"/>
      <c r="G791" s="603"/>
      <c r="H791" s="165" t="s">
        <v>12</v>
      </c>
      <c r="I791" s="617"/>
      <c r="J791" s="617"/>
      <c r="K791" s="93"/>
      <c r="L791" s="93">
        <f ca="1">IFERROR(__xludf.DUMMYFUNCTION("IMPORTRANGE(""https://docs.google.com/spreadsheets/d/1QqKyyYR6Q21VydFLVH3TRQUabQu_ym0Zz7PgGX0-kHA/edit?usp=sharing"",""แผน!JJ50"")"),0)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4"/>
      <c r="R791" s="604"/>
      <c r="S791" s="604"/>
      <c r="T791" s="604"/>
      <c r="U791" s="604"/>
      <c r="V791" s="604"/>
      <c r="W791" s="604"/>
      <c r="X791" s="604"/>
      <c r="Y791" s="604"/>
      <c r="Z791" s="604"/>
    </row>
    <row r="792" spans="1:26" ht="18.75" hidden="1">
      <c r="A792" s="574"/>
      <c r="B792" s="575"/>
      <c r="C792" s="763"/>
      <c r="D792" s="763"/>
      <c r="E792" s="763"/>
      <c r="F792" s="763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40">
        <v>0</v>
      </c>
      <c r="O792" s="498"/>
      <c r="P792" s="49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</row>
    <row r="793" spans="1:26" ht="18.75" hidden="1">
      <c r="A793" s="574"/>
      <c r="B793" s="575"/>
      <c r="C793" s="763"/>
      <c r="D793" s="763"/>
      <c r="E793" s="763"/>
      <c r="F793" s="763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40">
        <v>0</v>
      </c>
      <c r="O793" s="498"/>
      <c r="P793" s="49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</row>
    <row r="794" spans="1:26" ht="18.75" hidden="1">
      <c r="A794" s="574"/>
      <c r="B794" s="575"/>
      <c r="C794" s="763"/>
      <c r="D794" s="763"/>
      <c r="E794" s="763"/>
      <c r="F794" s="763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40">
        <v>0</v>
      </c>
      <c r="O794" s="498"/>
      <c r="P794" s="49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</row>
    <row r="795" spans="1:26" ht="18.75" hidden="1">
      <c r="A795" s="574"/>
      <c r="B795" s="575"/>
      <c r="C795" s="763"/>
      <c r="D795" s="763"/>
      <c r="E795" s="763"/>
      <c r="F795" s="763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40">
        <v>0</v>
      </c>
      <c r="O795" s="498"/>
      <c r="P795" s="49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</row>
    <row r="796" spans="1:26" ht="18.75" hidden="1">
      <c r="A796" s="597"/>
      <c r="B796" s="575"/>
      <c r="C796" s="763"/>
      <c r="D796" s="606" t="s">
        <v>21</v>
      </c>
      <c r="E796" s="763"/>
      <c r="F796" s="763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</row>
    <row r="797" spans="1:26" ht="18.75" hidden="1">
      <c r="A797" s="599"/>
      <c r="B797" s="607"/>
      <c r="C797" s="759"/>
      <c r="D797" s="759"/>
      <c r="E797" s="759" t="s">
        <v>18</v>
      </c>
      <c r="F797" s="759"/>
      <c r="G797" s="603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4"/>
      <c r="R797" s="604"/>
      <c r="S797" s="604"/>
      <c r="T797" s="604"/>
      <c r="U797" s="604"/>
      <c r="V797" s="604"/>
      <c r="W797" s="604"/>
      <c r="X797" s="604"/>
      <c r="Y797" s="604"/>
      <c r="Z797" s="604"/>
    </row>
    <row r="798" spans="1:26" ht="18.75" hidden="1">
      <c r="A798" s="599"/>
      <c r="B798" s="607"/>
      <c r="C798" s="759"/>
      <c r="D798" s="759"/>
      <c r="E798" s="759" t="s">
        <v>19</v>
      </c>
      <c r="F798" s="759"/>
      <c r="G798" s="603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4"/>
      <c r="R798" s="604"/>
      <c r="S798" s="604"/>
      <c r="T798" s="604"/>
      <c r="U798" s="604"/>
      <c r="V798" s="604"/>
      <c r="W798" s="604"/>
      <c r="X798" s="604"/>
      <c r="Y798" s="604"/>
      <c r="Z798" s="604"/>
    </row>
    <row r="799" spans="1:26" ht="19.5" hidden="1">
      <c r="A799" s="608"/>
      <c r="B799" s="618"/>
      <c r="C799" s="763" t="s">
        <v>16</v>
      </c>
      <c r="D799" s="898" t="s">
        <v>38</v>
      </c>
      <c r="E799" s="761"/>
      <c r="F799" s="761"/>
      <c r="G799" s="613"/>
      <c r="H799" s="904"/>
      <c r="I799" s="184"/>
      <c r="J799" s="184"/>
      <c r="K799" s="163"/>
      <c r="L799" s="163"/>
      <c r="M799" s="163"/>
      <c r="N799" s="163"/>
      <c r="O799" s="163"/>
      <c r="P799" s="163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</row>
    <row r="800" spans="1:26" ht="18.75" hidden="1">
      <c r="A800" s="608"/>
      <c r="B800" s="618"/>
      <c r="C800" s="618"/>
      <c r="D800" s="618"/>
      <c r="E800" s="626"/>
      <c r="F800" s="626" t="s">
        <v>321</v>
      </c>
      <c r="G800" s="762"/>
      <c r="H800" s="185" t="s">
        <v>46</v>
      </c>
      <c r="I800" s="184">
        <f ca="1">IFERROR(__xludf.DUMMYFUNCTION("IMPORTRANGE(""https://docs.google.com/spreadsheets/d/1QqKyyYR6Q21VydFLVH3TRQUabQu_ym0Zz7PgGX0-kHA/edit?usp=sharing"",""แผน!JN50"")"),0)</f>
        <v>0</v>
      </c>
      <c r="J800" s="184">
        <f ca="1">IFERROR(__xludf.DUMMYFUNCTION("IMPORTRANGE(""https://docs.google.com/spreadsheets/d/1MaWodYyGHDf7siQLGxnXhG4mBNTNIuy296niS2xXulU/edit?usp=sharing"",""RTK!H50"")"),0)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</row>
    <row r="801" spans="1:26" ht="18.75" hidden="1">
      <c r="A801" s="608"/>
      <c r="B801" s="618"/>
      <c r="C801" s="618"/>
      <c r="D801" s="618"/>
      <c r="E801" s="626"/>
      <c r="F801" s="626"/>
      <c r="G801" s="762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IFERROR(__xludf.DUMMYFUNCTION("IMPORTRANGE(""https://docs.google.com/spreadsheets/d/1MaWodYyGHDf7siQLGxnXhG4mBNTNIuy296niS2xXulU/edit?usp=sharing"",""RTK!I50"")"),0)</f>
        <v>0</v>
      </c>
      <c r="K801" s="498"/>
      <c r="L801" s="498"/>
      <c r="M801" s="498"/>
      <c r="N801" s="498"/>
      <c r="O801" s="163"/>
      <c r="P801" s="163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</row>
    <row r="802" spans="1:26" ht="18.75" hidden="1">
      <c r="A802" s="614"/>
      <c r="B802" s="616"/>
      <c r="C802" s="616"/>
      <c r="D802" s="616"/>
      <c r="E802" s="720"/>
      <c r="F802" s="720" t="s">
        <v>322</v>
      </c>
      <c r="G802" s="366"/>
      <c r="H802" s="653" t="s">
        <v>46</v>
      </c>
      <c r="I802" s="166"/>
      <c r="J802" s="617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4"/>
      <c r="R802" s="604"/>
      <c r="S802" s="604"/>
      <c r="T802" s="604"/>
      <c r="U802" s="604"/>
      <c r="V802" s="604"/>
      <c r="W802" s="604"/>
      <c r="X802" s="604"/>
      <c r="Y802" s="604"/>
      <c r="Z802" s="604"/>
    </row>
    <row r="803" spans="1:26" ht="18.75" hidden="1">
      <c r="A803" s="614"/>
      <c r="B803" s="616"/>
      <c r="C803" s="616"/>
      <c r="D803" s="616"/>
      <c r="E803" s="720"/>
      <c r="F803" s="720"/>
      <c r="G803" s="366"/>
      <c r="H803" s="653" t="s">
        <v>34</v>
      </c>
      <c r="I803" s="166"/>
      <c r="J803" s="617">
        <v>0</v>
      </c>
      <c r="K803" s="167"/>
      <c r="L803" s="167"/>
      <c r="M803" s="167"/>
      <c r="N803" s="167"/>
      <c r="O803" s="167"/>
      <c r="P803" s="167"/>
      <c r="Q803" s="604"/>
      <c r="R803" s="604"/>
      <c r="S803" s="604"/>
      <c r="T803" s="604"/>
      <c r="U803" s="604"/>
      <c r="V803" s="604"/>
      <c r="W803" s="604"/>
      <c r="X803" s="604"/>
      <c r="Y803" s="604"/>
      <c r="Z803" s="604"/>
    </row>
    <row r="804" spans="1:26" ht="19.5" hidden="1">
      <c r="A804" s="793">
        <v>13</v>
      </c>
      <c r="B804" s="794" t="s">
        <v>323</v>
      </c>
      <c r="C804" s="795"/>
      <c r="D804" s="825"/>
      <c r="E804" s="795"/>
      <c r="F804" s="795"/>
      <c r="G804" s="796"/>
      <c r="H804" s="797" t="s">
        <v>46</v>
      </c>
      <c r="I804" s="798"/>
      <c r="J804" s="798">
        <f>J819</f>
        <v>0</v>
      </c>
      <c r="K804" s="799">
        <f>IF(I804&gt;0,J804*100/I804,0)</f>
        <v>0</v>
      </c>
      <c r="L804" s="800"/>
      <c r="M804" s="800"/>
      <c r="N804" s="800"/>
      <c r="O804" s="800"/>
      <c r="P804" s="800"/>
      <c r="Q804" s="604"/>
      <c r="R804" s="604"/>
      <c r="S804" s="604"/>
      <c r="T804" s="604"/>
      <c r="U804" s="604"/>
      <c r="V804" s="604"/>
      <c r="W804" s="604"/>
      <c r="X804" s="604"/>
      <c r="Y804" s="604"/>
      <c r="Z804" s="604"/>
    </row>
    <row r="805" spans="1:26" ht="19.5" hidden="1">
      <c r="A805" s="599"/>
      <c r="B805" s="759"/>
      <c r="C805" s="759" t="s">
        <v>16</v>
      </c>
      <c r="D805" s="864" t="s">
        <v>17</v>
      </c>
      <c r="E805" s="857"/>
      <c r="F805" s="857"/>
      <c r="G805" s="603"/>
      <c r="H805" s="646" t="s">
        <v>12</v>
      </c>
      <c r="I805" s="617"/>
      <c r="J805" s="617"/>
      <c r="K805" s="93"/>
      <c r="L805" s="647">
        <f t="shared" ref="L805:N805" si="327">L806+L807</f>
        <v>0</v>
      </c>
      <c r="M805" s="647">
        <f t="shared" si="327"/>
        <v>0</v>
      </c>
      <c r="N805" s="647">
        <f t="shared" si="327"/>
        <v>0</v>
      </c>
      <c r="O805" s="647">
        <f t="shared" ref="O805:O810" si="328">IF(L805&gt;0,N805*100/L805,0)</f>
        <v>0</v>
      </c>
      <c r="P805" s="647">
        <f t="shared" ref="P805:P810" si="329">IF(M805&gt;0,N805*100/M805,0)</f>
        <v>0</v>
      </c>
      <c r="Q805" s="604"/>
      <c r="R805" s="604"/>
      <c r="S805" s="604"/>
      <c r="T805" s="604"/>
      <c r="U805" s="604"/>
      <c r="V805" s="604"/>
      <c r="W805" s="604"/>
      <c r="X805" s="604"/>
      <c r="Y805" s="604"/>
      <c r="Z805" s="604"/>
    </row>
    <row r="806" spans="1:26" ht="18.75" hidden="1">
      <c r="A806" s="599"/>
      <c r="B806" s="759"/>
      <c r="C806" s="759"/>
      <c r="D806" s="616"/>
      <c r="E806" s="759" t="s">
        <v>185</v>
      </c>
      <c r="F806" s="759"/>
      <c r="G806" s="603"/>
      <c r="H806" s="165" t="s">
        <v>12</v>
      </c>
      <c r="I806" s="617"/>
      <c r="J806" s="617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4"/>
      <c r="R806" s="604"/>
      <c r="S806" s="604"/>
      <c r="T806" s="604"/>
      <c r="U806" s="604"/>
      <c r="V806" s="604"/>
      <c r="W806" s="604"/>
      <c r="X806" s="604"/>
      <c r="Y806" s="604"/>
      <c r="Z806" s="604"/>
    </row>
    <row r="807" spans="1:26" ht="18.75" hidden="1">
      <c r="A807" s="599"/>
      <c r="B807" s="759"/>
      <c r="C807" s="759"/>
      <c r="D807" s="616"/>
      <c r="E807" s="759" t="s">
        <v>186</v>
      </c>
      <c r="F807" s="759"/>
      <c r="G807" s="603"/>
      <c r="H807" s="165" t="s">
        <v>12</v>
      </c>
      <c r="I807" s="617"/>
      <c r="J807" s="617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4"/>
      <c r="R807" s="604"/>
      <c r="S807" s="604"/>
      <c r="T807" s="604"/>
      <c r="U807" s="604"/>
      <c r="V807" s="604"/>
      <c r="W807" s="604"/>
      <c r="X807" s="604"/>
      <c r="Y807" s="604"/>
      <c r="Z807" s="604"/>
    </row>
    <row r="808" spans="1:26" ht="19.5" hidden="1">
      <c r="A808" s="599"/>
      <c r="B808" s="607"/>
      <c r="C808" s="759"/>
      <c r="D808" s="905" t="s">
        <v>20</v>
      </c>
      <c r="E808" s="857"/>
      <c r="F808" s="857"/>
      <c r="G808" s="603"/>
      <c r="H808" s="646" t="s">
        <v>12</v>
      </c>
      <c r="I808" s="166"/>
      <c r="J808" s="166"/>
      <c r="K808" s="167"/>
      <c r="L808" s="647">
        <f t="shared" ref="L808:N808" si="331">L809+L810</f>
        <v>0</v>
      </c>
      <c r="M808" s="647">
        <f t="shared" si="331"/>
        <v>0</v>
      </c>
      <c r="N808" s="647">
        <f t="shared" si="331"/>
        <v>0</v>
      </c>
      <c r="O808" s="647">
        <f t="shared" si="328"/>
        <v>0</v>
      </c>
      <c r="P808" s="647">
        <f t="shared" si="329"/>
        <v>0</v>
      </c>
      <c r="Q808" s="604"/>
      <c r="R808" s="604"/>
      <c r="S808" s="604"/>
      <c r="T808" s="604"/>
      <c r="U808" s="604"/>
      <c r="V808" s="604"/>
      <c r="W808" s="604"/>
      <c r="X808" s="604"/>
      <c r="Y808" s="604"/>
      <c r="Z808" s="604"/>
    </row>
    <row r="809" spans="1:26" ht="18.75" hidden="1">
      <c r="A809" s="599"/>
      <c r="B809" s="759"/>
      <c r="C809" s="759"/>
      <c r="D809" s="616"/>
      <c r="E809" s="759" t="s">
        <v>185</v>
      </c>
      <c r="F809" s="759"/>
      <c r="G809" s="603"/>
      <c r="H809" s="165" t="s">
        <v>12</v>
      </c>
      <c r="I809" s="617"/>
      <c r="J809" s="617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4"/>
      <c r="R809" s="604"/>
      <c r="S809" s="604"/>
      <c r="T809" s="604"/>
      <c r="U809" s="604"/>
      <c r="V809" s="604"/>
      <c r="W809" s="604"/>
      <c r="X809" s="604"/>
      <c r="Y809" s="604"/>
      <c r="Z809" s="604"/>
    </row>
    <row r="810" spans="1:26" ht="18.75" hidden="1">
      <c r="A810" s="599"/>
      <c r="B810" s="759"/>
      <c r="C810" s="759"/>
      <c r="D810" s="616"/>
      <c r="E810" s="759" t="s">
        <v>186</v>
      </c>
      <c r="F810" s="759"/>
      <c r="G810" s="603"/>
      <c r="H810" s="165" t="s">
        <v>12</v>
      </c>
      <c r="I810" s="617"/>
      <c r="J810" s="617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4"/>
      <c r="R810" s="604"/>
      <c r="S810" s="604"/>
      <c r="T810" s="604"/>
      <c r="U810" s="604"/>
      <c r="V810" s="604"/>
      <c r="W810" s="604"/>
      <c r="X810" s="604"/>
      <c r="Y810" s="604"/>
      <c r="Z810" s="604"/>
    </row>
    <row r="811" spans="1:26" ht="18.75" hidden="1">
      <c r="A811" s="649"/>
      <c r="B811" s="607"/>
      <c r="C811" s="759"/>
      <c r="D811" s="607"/>
      <c r="E811" s="759"/>
      <c r="F811" s="759" t="s">
        <v>187</v>
      </c>
      <c r="G811" s="603"/>
      <c r="H811" s="165" t="s">
        <v>12</v>
      </c>
      <c r="I811" s="617"/>
      <c r="J811" s="617"/>
      <c r="K811" s="93"/>
      <c r="L811" s="93"/>
      <c r="M811" s="93"/>
      <c r="N811" s="93"/>
      <c r="O811" s="93"/>
      <c r="P811" s="93"/>
      <c r="Q811" s="604"/>
      <c r="R811" s="604"/>
      <c r="S811" s="604"/>
      <c r="T811" s="604"/>
      <c r="U811" s="604"/>
      <c r="V811" s="604"/>
      <c r="W811" s="604"/>
      <c r="X811" s="604"/>
      <c r="Y811" s="604"/>
      <c r="Z811" s="604"/>
    </row>
    <row r="812" spans="1:26" ht="18.75" hidden="1">
      <c r="A812" s="649"/>
      <c r="B812" s="607"/>
      <c r="C812" s="759"/>
      <c r="D812" s="607"/>
      <c r="E812" s="759"/>
      <c r="F812" s="759" t="s">
        <v>188</v>
      </c>
      <c r="G812" s="603"/>
      <c r="H812" s="165" t="s">
        <v>12</v>
      </c>
      <c r="I812" s="617"/>
      <c r="J812" s="617"/>
      <c r="K812" s="93"/>
      <c r="L812" s="93"/>
      <c r="M812" s="93"/>
      <c r="N812" s="93"/>
      <c r="O812" s="93"/>
      <c r="P812" s="93"/>
      <c r="Q812" s="604"/>
      <c r="R812" s="604"/>
      <c r="S812" s="604"/>
      <c r="T812" s="604"/>
      <c r="U812" s="604"/>
      <c r="V812" s="604"/>
      <c r="W812" s="604"/>
      <c r="X812" s="604"/>
      <c r="Y812" s="604"/>
      <c r="Z812" s="604"/>
    </row>
    <row r="813" spans="1:26" ht="18.75" hidden="1">
      <c r="A813" s="649"/>
      <c r="B813" s="607"/>
      <c r="C813" s="759"/>
      <c r="D813" s="607"/>
      <c r="E813" s="759"/>
      <c r="F813" s="759" t="s">
        <v>189</v>
      </c>
      <c r="G813" s="603"/>
      <c r="H813" s="165" t="s">
        <v>12</v>
      </c>
      <c r="I813" s="617"/>
      <c r="J813" s="617"/>
      <c r="K813" s="93"/>
      <c r="L813" s="93"/>
      <c r="M813" s="93"/>
      <c r="N813" s="93"/>
      <c r="O813" s="93"/>
      <c r="P813" s="93"/>
      <c r="Q813" s="604"/>
      <c r="R813" s="604"/>
      <c r="S813" s="604"/>
      <c r="T813" s="604"/>
      <c r="U813" s="604"/>
      <c r="V813" s="604"/>
      <c r="W813" s="604"/>
      <c r="X813" s="604"/>
      <c r="Y813" s="604"/>
      <c r="Z813" s="604"/>
    </row>
    <row r="814" spans="1:26" ht="18.75" hidden="1">
      <c r="A814" s="649"/>
      <c r="B814" s="607"/>
      <c r="C814" s="759"/>
      <c r="D814" s="607"/>
      <c r="E814" s="759"/>
      <c r="F814" s="759" t="s">
        <v>190</v>
      </c>
      <c r="G814" s="603"/>
      <c r="H814" s="165" t="s">
        <v>12</v>
      </c>
      <c r="I814" s="617"/>
      <c r="J814" s="617"/>
      <c r="K814" s="93"/>
      <c r="L814" s="93"/>
      <c r="M814" s="93"/>
      <c r="N814" s="93"/>
      <c r="O814" s="93"/>
      <c r="P814" s="93"/>
      <c r="Q814" s="604"/>
      <c r="R814" s="604"/>
      <c r="S814" s="604"/>
      <c r="T814" s="604"/>
      <c r="U814" s="604"/>
      <c r="V814" s="604"/>
      <c r="W814" s="604"/>
      <c r="X814" s="604"/>
      <c r="Y814" s="604"/>
      <c r="Z814" s="604"/>
    </row>
    <row r="815" spans="1:26" ht="19.5" hidden="1">
      <c r="A815" s="599"/>
      <c r="B815" s="607"/>
      <c r="C815" s="759"/>
      <c r="D815" s="905" t="s">
        <v>21</v>
      </c>
      <c r="E815" s="857"/>
      <c r="F815" s="857"/>
      <c r="G815" s="603"/>
      <c r="H815" s="783" t="s">
        <v>12</v>
      </c>
      <c r="I815" s="166"/>
      <c r="J815" s="166"/>
      <c r="K815" s="167"/>
      <c r="L815" s="647">
        <f t="shared" ref="L815:N815" si="332">L816+L817</f>
        <v>0</v>
      </c>
      <c r="M815" s="647">
        <f t="shared" si="332"/>
        <v>0</v>
      </c>
      <c r="N815" s="647">
        <f t="shared" si="332"/>
        <v>0</v>
      </c>
      <c r="O815" s="647">
        <f t="shared" ref="O815:O817" si="333">IF(L815&gt;0,N815*100/L815,0)</f>
        <v>0</v>
      </c>
      <c r="P815" s="647">
        <f t="shared" ref="P815:P817" si="334">IF(M815&gt;0,N815*100/M815,0)</f>
        <v>0</v>
      </c>
      <c r="Q815" s="604"/>
      <c r="R815" s="604"/>
      <c r="S815" s="604"/>
      <c r="T815" s="604"/>
      <c r="U815" s="604"/>
      <c r="V815" s="604"/>
      <c r="W815" s="604"/>
      <c r="X815" s="604"/>
      <c r="Y815" s="604"/>
      <c r="Z815" s="604"/>
    </row>
    <row r="816" spans="1:26" ht="18.75" hidden="1">
      <c r="A816" s="599"/>
      <c r="B816" s="607"/>
      <c r="C816" s="759"/>
      <c r="D816" s="607"/>
      <c r="E816" s="759" t="s">
        <v>18</v>
      </c>
      <c r="F816" s="759"/>
      <c r="G816" s="603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4"/>
      <c r="R816" s="604"/>
      <c r="S816" s="604"/>
      <c r="T816" s="604"/>
      <c r="U816" s="604"/>
      <c r="V816" s="604"/>
      <c r="W816" s="604"/>
      <c r="X816" s="604"/>
      <c r="Y816" s="604"/>
      <c r="Z816" s="604"/>
    </row>
    <row r="817" spans="1:26" ht="18.75" hidden="1">
      <c r="A817" s="599"/>
      <c r="B817" s="607"/>
      <c r="C817" s="759"/>
      <c r="D817" s="607"/>
      <c r="E817" s="759" t="s">
        <v>19</v>
      </c>
      <c r="F817" s="759"/>
      <c r="G817" s="603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4"/>
      <c r="R817" s="604"/>
      <c r="S817" s="604"/>
      <c r="T817" s="604"/>
      <c r="U817" s="604"/>
      <c r="V817" s="604"/>
      <c r="W817" s="604"/>
      <c r="X817" s="604"/>
      <c r="Y817" s="604"/>
      <c r="Z817" s="604"/>
    </row>
    <row r="818" spans="1:26" ht="19.5" hidden="1">
      <c r="A818" s="614"/>
      <c r="B818" s="616"/>
      <c r="C818" s="759" t="s">
        <v>16</v>
      </c>
      <c r="D818" s="906" t="s">
        <v>38</v>
      </c>
      <c r="E818" s="651"/>
      <c r="F818" s="651"/>
      <c r="G818" s="652"/>
      <c r="H818" s="366"/>
      <c r="I818" s="166"/>
      <c r="J818" s="166"/>
      <c r="K818" s="167"/>
      <c r="L818" s="167"/>
      <c r="M818" s="167"/>
      <c r="N818" s="167"/>
      <c r="O818" s="167"/>
      <c r="P818" s="167"/>
      <c r="Q818" s="604"/>
      <c r="R818" s="604"/>
      <c r="S818" s="604"/>
      <c r="T818" s="604"/>
      <c r="U818" s="604"/>
      <c r="V818" s="604"/>
      <c r="W818" s="604"/>
      <c r="X818" s="604"/>
      <c r="Y818" s="604"/>
      <c r="Z818" s="604"/>
    </row>
    <row r="819" spans="1:26" ht="19.5" hidden="1" thickBot="1">
      <c r="A819" s="827"/>
      <c r="B819" s="828"/>
      <c r="C819" s="830"/>
      <c r="D819" s="828"/>
      <c r="E819" s="830" t="s">
        <v>324</v>
      </c>
      <c r="F819" s="830"/>
      <c r="G819" s="831"/>
      <c r="H819" s="832" t="s">
        <v>46</v>
      </c>
      <c r="I819" s="833"/>
      <c r="J819" s="833"/>
      <c r="K819" s="834"/>
      <c r="L819" s="834"/>
      <c r="M819" s="834"/>
      <c r="N819" s="834"/>
      <c r="O819" s="834"/>
      <c r="P819" s="834"/>
      <c r="Q819" s="604"/>
      <c r="R819" s="604"/>
      <c r="S819" s="604"/>
      <c r="T819" s="604"/>
      <c r="U819" s="604"/>
      <c r="V819" s="604"/>
      <c r="W819" s="604"/>
      <c r="X819" s="604"/>
      <c r="Y819" s="604"/>
      <c r="Z819" s="604"/>
    </row>
    <row r="820" spans="1:26" ht="19.5">
      <c r="A820" s="907" t="s">
        <v>337</v>
      </c>
      <c r="B820" s="908"/>
      <c r="C820" s="908"/>
      <c r="D820" s="909"/>
      <c r="E820" s="908"/>
      <c r="F820" s="908"/>
      <c r="G820" s="910"/>
      <c r="H820" s="91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912"/>
      <c r="J820" s="912"/>
      <c r="K820" s="913"/>
      <c r="L820" s="913"/>
      <c r="M820" s="913"/>
      <c r="N820" s="913"/>
      <c r="O820" s="913"/>
      <c r="P820" s="913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</row>
    <row r="821" spans="1:26" ht="18.75">
      <c r="A821" s="744"/>
      <c r="B821" s="763" t="s">
        <v>326</v>
      </c>
      <c r="C821" s="763"/>
      <c r="D821" s="575"/>
      <c r="E821" s="763"/>
      <c r="F821" s="763"/>
      <c r="G821" s="189"/>
      <c r="H821" s="623" t="s">
        <v>12</v>
      </c>
      <c r="I821" s="270">
        <f ca="1">IFERROR(__xludf.DUMMYFUNCTION("IMPORTRANGE(""https://docs.google.com/spreadsheets/d/19vJNZY_5yjcGF2XGBMNZRCAIB0Kwfpjp8YEOfu-bneM/edit?usp=sharing"",""งานกองทุน!D50"")"),4717189.22)</f>
        <v>4717189.22</v>
      </c>
      <c r="J821" s="270">
        <f ca="1">IFERROR(__xludf.DUMMYFUNCTION("IMPORTRANGE(""https://docs.google.com/spreadsheets/d/19vJNZY_5yjcGF2XGBMNZRCAIB0Kwfpjp8YEOfu-bneM/edit?usp=sharing"",""งานกองทุน!F50"")"),4201843.09)</f>
        <v>4201843.09</v>
      </c>
      <c r="K821" s="498">
        <f t="shared" ref="K821:K828" ca="1" si="335">IF(I821&gt;0,J821*100/I821,0)</f>
        <v>89.075143990089927</v>
      </c>
      <c r="L821" s="498"/>
      <c r="M821" s="498"/>
      <c r="N821" s="498"/>
      <c r="O821" s="498"/>
      <c r="P821" s="49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</row>
    <row r="822" spans="1:26" ht="18.75">
      <c r="A822" s="744"/>
      <c r="B822" s="763"/>
      <c r="C822" s="763"/>
      <c r="D822" s="575"/>
      <c r="E822" s="763"/>
      <c r="F822" s="763"/>
      <c r="G822" s="189"/>
      <c r="H822" s="623" t="s">
        <v>35</v>
      </c>
      <c r="I822" s="270">
        <f ca="1">IFERROR(__xludf.DUMMYFUNCTION("IMPORTRANGE(""https://docs.google.com/spreadsheets/d/19vJNZY_5yjcGF2XGBMNZRCAIB0Kwfpjp8YEOfu-bneM/edit?usp=sharing"",""งานกองทุน!C50"")"),344)</f>
        <v>344</v>
      </c>
      <c r="J822" s="270">
        <f ca="1">IFERROR(__xludf.DUMMYFUNCTION("IMPORTRANGE(""https://docs.google.com/spreadsheets/d/19vJNZY_5yjcGF2XGBMNZRCAIB0Kwfpjp8YEOfu-bneM/edit?usp=sharing"",""งานกองทุน!E50"")"),298)</f>
        <v>298</v>
      </c>
      <c r="K822" s="498">
        <f t="shared" ca="1" si="335"/>
        <v>86.627906976744185</v>
      </c>
      <c r="L822" s="498"/>
      <c r="M822" s="498"/>
      <c r="N822" s="498"/>
      <c r="O822" s="498"/>
      <c r="P822" s="49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</row>
    <row r="823" spans="1:26" ht="18.75">
      <c r="A823" s="744"/>
      <c r="B823" s="763" t="s">
        <v>327</v>
      </c>
      <c r="C823" s="763"/>
      <c r="D823" s="575"/>
      <c r="E823" s="763"/>
      <c r="F823" s="763"/>
      <c r="G823" s="189"/>
      <c r="H823" s="623" t="s">
        <v>12</v>
      </c>
      <c r="I823" s="270">
        <f ca="1">IFERROR(__xludf.DUMMYFUNCTION("IMPORTRANGE(""https://docs.google.com/spreadsheets/d/19vJNZY_5yjcGF2XGBMNZRCAIB0Kwfpjp8YEOfu-bneM/edit?usp=sharing"",""งานกองทุน!I50"")"),2448511.84)</f>
        <v>2448511.84</v>
      </c>
      <c r="J823" s="270">
        <f ca="1">IFERROR(__xludf.DUMMYFUNCTION("IMPORTRANGE(""https://docs.google.com/spreadsheets/d/19vJNZY_5yjcGF2XGBMNZRCAIB0Kwfpjp8YEOfu-bneM/edit?usp=sharing"",""งานกองทุน!K50"")"),772114.37)</f>
        <v>772114.37</v>
      </c>
      <c r="K823" s="498">
        <f t="shared" ca="1" si="335"/>
        <v>31.534026398663446</v>
      </c>
      <c r="L823" s="498"/>
      <c r="M823" s="498"/>
      <c r="N823" s="498"/>
      <c r="O823" s="498"/>
      <c r="P823" s="49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</row>
    <row r="824" spans="1:26" ht="18.75">
      <c r="A824" s="744"/>
      <c r="B824" s="763"/>
      <c r="C824" s="763"/>
      <c r="D824" s="575"/>
      <c r="E824" s="763"/>
      <c r="F824" s="763"/>
      <c r="G824" s="189"/>
      <c r="H824" s="623" t="s">
        <v>35</v>
      </c>
      <c r="I824" s="270">
        <f ca="1">IFERROR(__xludf.DUMMYFUNCTION("IMPORTRANGE(""https://docs.google.com/spreadsheets/d/19vJNZY_5yjcGF2XGBMNZRCAIB0Kwfpjp8YEOfu-bneM/edit?usp=sharing"",""งานกองทุน!H50"")"),135)</f>
        <v>135</v>
      </c>
      <c r="J824" s="270">
        <f ca="1">IFERROR(__xludf.DUMMYFUNCTION("IMPORTRANGE(""https://docs.google.com/spreadsheets/d/19vJNZY_5yjcGF2XGBMNZRCAIB0Kwfpjp8YEOfu-bneM/edit?usp=sharing"",""งานกองทุน!J50"")"),71)</f>
        <v>71</v>
      </c>
      <c r="K824" s="498">
        <f t="shared" ca="1" si="335"/>
        <v>52.592592592592595</v>
      </c>
      <c r="L824" s="498"/>
      <c r="M824" s="498"/>
      <c r="N824" s="498"/>
      <c r="O824" s="498"/>
      <c r="P824" s="49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</row>
    <row r="825" spans="1:26" ht="18.75">
      <c r="A825" s="744"/>
      <c r="B825" s="763" t="s">
        <v>328</v>
      </c>
      <c r="C825" s="763"/>
      <c r="D825" s="575"/>
      <c r="E825" s="763"/>
      <c r="F825" s="763"/>
      <c r="G825" s="189"/>
      <c r="H825" s="623" t="s">
        <v>12</v>
      </c>
      <c r="I825" s="270">
        <f ca="1">IFERROR(__xludf.DUMMYFUNCTION("IMPORTRANGE(""https://docs.google.com/spreadsheets/d/19vJNZY_5yjcGF2XGBMNZRCAIB0Kwfpjp8YEOfu-bneM/edit?usp=sharing"",""งานกองทุน!N50"")"),40400.01)</f>
        <v>40400.01</v>
      </c>
      <c r="J825" s="270">
        <f ca="1">IFERROR(__xludf.DUMMYFUNCTION("IMPORTRANGE(""https://docs.google.com/spreadsheets/d/19vJNZY_5yjcGF2XGBMNZRCAIB0Kwfpjp8YEOfu-bneM/edit?usp=sharing"",""งานกองทุน!P50"")"),113259.39)</f>
        <v>113259.39</v>
      </c>
      <c r="K825" s="498">
        <f t="shared" ca="1" si="335"/>
        <v>280.34495536015953</v>
      </c>
      <c r="L825" s="498"/>
      <c r="M825" s="498"/>
      <c r="N825" s="498"/>
      <c r="O825" s="498"/>
      <c r="P825" s="49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</row>
    <row r="826" spans="1:26" ht="18.75">
      <c r="A826" s="744"/>
      <c r="B826" s="763"/>
      <c r="C826" s="763"/>
      <c r="D826" s="575"/>
      <c r="E826" s="763"/>
      <c r="F826" s="763"/>
      <c r="G826" s="189"/>
      <c r="H826" s="623" t="s">
        <v>35</v>
      </c>
      <c r="I826" s="270">
        <f ca="1">IFERROR(__xludf.DUMMYFUNCTION("IMPORTRANGE(""https://docs.google.com/spreadsheets/d/19vJNZY_5yjcGF2XGBMNZRCAIB0Kwfpjp8YEOfu-bneM/edit?usp=sharing"",""งานกองทุน!M50"")"),15)</f>
        <v>15</v>
      </c>
      <c r="J826" s="270">
        <f ca="1">IFERROR(__xludf.DUMMYFUNCTION("IMPORTRANGE(""https://docs.google.com/spreadsheets/d/19vJNZY_5yjcGF2XGBMNZRCAIB0Kwfpjp8YEOfu-bneM/edit?usp=sharing"",""งานกองทุน!O50"")"),70)</f>
        <v>70</v>
      </c>
      <c r="K826" s="498">
        <f t="shared" ca="1" si="335"/>
        <v>466.66666666666669</v>
      </c>
      <c r="L826" s="498"/>
      <c r="M826" s="498"/>
      <c r="N826" s="498"/>
      <c r="O826" s="498"/>
      <c r="P826" s="49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</row>
    <row r="827" spans="1:26" ht="18.75">
      <c r="A827" s="744"/>
      <c r="B827" s="763" t="s">
        <v>329</v>
      </c>
      <c r="C827" s="763"/>
      <c r="D827" s="575"/>
      <c r="E827" s="763"/>
      <c r="F827" s="763"/>
      <c r="G827" s="189"/>
      <c r="H827" s="623" t="s">
        <v>12</v>
      </c>
      <c r="I827" s="270">
        <f ca="1">IFERROR(__xludf.DUMMYFUNCTION("IMPORTRANGE(""https://docs.google.com/spreadsheets/d/19vJNZY_5yjcGF2XGBMNZRCAIB0Kwfpjp8YEOfu-bneM/edit?usp=sharing"",""งานกองทุน!S50"")"),6100000)</f>
        <v>6100000</v>
      </c>
      <c r="J827" s="270">
        <f ca="1">IFERROR(__xludf.DUMMYFUNCTION("IMPORTRANGE(""https://docs.google.com/spreadsheets/d/19vJNZY_5yjcGF2XGBMNZRCAIB0Kwfpjp8YEOfu-bneM/edit?usp=sharing"",""งานกองทุน!U50"")"),6310000)</f>
        <v>6310000</v>
      </c>
      <c r="K827" s="498">
        <f t="shared" ca="1" si="335"/>
        <v>103.44262295081967</v>
      </c>
      <c r="L827" s="498"/>
      <c r="M827" s="498"/>
      <c r="N827" s="498"/>
      <c r="O827" s="498"/>
      <c r="P827" s="49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</row>
    <row r="828" spans="1:26" ht="18.75">
      <c r="A828" s="841"/>
      <c r="B828" s="749"/>
      <c r="C828" s="749"/>
      <c r="D828" s="748"/>
      <c r="E828" s="749"/>
      <c r="F828" s="749"/>
      <c r="G828" s="842"/>
      <c r="H828" s="843" t="s">
        <v>35</v>
      </c>
      <c r="I828" s="506">
        <f ca="1">IFERROR(__xludf.DUMMYFUNCTION("IMPORTRANGE(""https://docs.google.com/spreadsheets/d/19vJNZY_5yjcGF2XGBMNZRCAIB0Kwfpjp8YEOfu-bneM/edit?usp=sharing"",""งานกองทุน!R50"")"),244)</f>
        <v>244</v>
      </c>
      <c r="J828" s="506">
        <f ca="1">IFERROR(__xludf.DUMMYFUNCTION("IMPORTRANGE(""https://docs.google.com/spreadsheets/d/19vJNZY_5yjcGF2XGBMNZRCAIB0Kwfpjp8YEOfu-bneM/edit?usp=sharing"",""งานกองทุน!T50"")"),246)</f>
        <v>246</v>
      </c>
      <c r="K828" s="507">
        <f t="shared" ca="1" si="335"/>
        <v>100.81967213114754</v>
      </c>
      <c r="L828" s="507"/>
      <c r="M828" s="507"/>
      <c r="N828" s="507"/>
      <c r="O828" s="507"/>
      <c r="P828" s="507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83BDB-0305-4A6E-BB3D-C75EC9C72522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2" width="21.28515625" bestFit="1" customWidth="1"/>
    <col min="13" max="13" width="23" bestFit="1" customWidth="1"/>
    <col min="14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361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364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9543211</v>
      </c>
      <c r="M8" s="22">
        <f t="shared" ca="1" si="0"/>
        <v>10235079.300000001</v>
      </c>
      <c r="N8" s="22">
        <f t="shared" ca="1" si="0"/>
        <v>9468360.3000000007</v>
      </c>
      <c r="O8" s="22">
        <f t="shared" ref="O8:O16" ca="1" si="1">IF(L8&gt;0,N8*100/L8,0)</f>
        <v>99.215665461027754</v>
      </c>
      <c r="P8" s="22">
        <f t="shared" ref="P8:P16" ca="1" si="2">IF(M8&gt;0,N8*100/M8,0)</f>
        <v>92.508910018899414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9543211</v>
      </c>
      <c r="M10" s="30">
        <f t="shared" ca="1" si="3"/>
        <v>10235079.300000001</v>
      </c>
      <c r="N10" s="30">
        <f t="shared" ca="1" si="3"/>
        <v>9468360.3000000007</v>
      </c>
      <c r="O10" s="30">
        <f t="shared" ca="1" si="1"/>
        <v>99.215665461027754</v>
      </c>
      <c r="P10" s="30">
        <f t="shared" ca="1" si="2"/>
        <v>92.508910018899414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3" t="s">
        <v>12</v>
      </c>
      <c r="I11" s="270"/>
      <c r="J11" s="270"/>
      <c r="K11" s="498"/>
      <c r="L11" s="498">
        <f t="shared" ref="L11:N11" ca="1" si="4">L12+L13</f>
        <v>8568211</v>
      </c>
      <c r="M11" s="498">
        <f t="shared" ca="1" si="4"/>
        <v>9207087.3000000007</v>
      </c>
      <c r="N11" s="498">
        <f t="shared" ca="1" si="4"/>
        <v>8388078.3000000007</v>
      </c>
      <c r="O11" s="498">
        <f t="shared" ca="1" si="1"/>
        <v>97.897662650931466</v>
      </c>
      <c r="P11" s="498">
        <f t="shared" ca="1" si="2"/>
        <v>91.104580924306006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7"/>
      <c r="J12" s="617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7"/>
      <c r="J13" s="617"/>
      <c r="K13" s="93"/>
      <c r="L13" s="93">
        <f t="shared" ca="1" si="5"/>
        <v>8568211</v>
      </c>
      <c r="M13" s="93">
        <f t="shared" ca="1" si="5"/>
        <v>9207087.3000000007</v>
      </c>
      <c r="N13" s="93">
        <f t="shared" ca="1" si="5"/>
        <v>8388078.3000000007</v>
      </c>
      <c r="O13" s="93">
        <f t="shared" ca="1" si="1"/>
        <v>97.897662650931466</v>
      </c>
      <c r="P13" s="93">
        <f t="shared" ca="1" si="2"/>
        <v>91.104580924306006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3" t="s">
        <v>12</v>
      </c>
      <c r="I14" s="270"/>
      <c r="J14" s="270"/>
      <c r="K14" s="498"/>
      <c r="L14" s="498">
        <f t="shared" ref="L14:N14" ca="1" si="6">L15+L16</f>
        <v>975000</v>
      </c>
      <c r="M14" s="498">
        <f t="shared" ca="1" si="6"/>
        <v>1027992</v>
      </c>
      <c r="N14" s="498">
        <f t="shared" ca="1" si="6"/>
        <v>1080282</v>
      </c>
      <c r="O14" s="498">
        <f t="shared" ca="1" si="1"/>
        <v>110.79815384615385</v>
      </c>
      <c r="P14" s="498">
        <f t="shared" ca="1" si="2"/>
        <v>105.08661546004249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7"/>
      <c r="J15" s="617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975000</v>
      </c>
      <c r="M16" s="52">
        <f t="shared" ca="1" si="7"/>
        <v>1027992</v>
      </c>
      <c r="N16" s="52">
        <f t="shared" ca="1" si="7"/>
        <v>1080282</v>
      </c>
      <c r="O16" s="52">
        <f t="shared" ca="1" si="1"/>
        <v>110.79815384615385</v>
      </c>
      <c r="P16" s="52">
        <f t="shared" ca="1" si="2"/>
        <v>105.08661546004249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6275519</v>
      </c>
      <c r="M18" s="22">
        <f t="shared" ca="1" si="8"/>
        <v>7030548.7000000002</v>
      </c>
      <c r="N18" s="22">
        <f t="shared" ca="1" si="8"/>
        <v>7082838.7000000002</v>
      </c>
      <c r="O18" s="22">
        <f t="shared" ref="O18:O26" ca="1" si="9">IF(L18&gt;0,N18*100/L18,0)</f>
        <v>112.86458857028398</v>
      </c>
      <c r="P18" s="22">
        <f t="shared" ref="P18:P26" ca="1" si="10">IF(M18&gt;0,N18*100/M18,0)</f>
        <v>100.74375418237271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6275519</v>
      </c>
      <c r="M20" s="30">
        <f t="shared" ca="1" si="11"/>
        <v>7030548.7000000002</v>
      </c>
      <c r="N20" s="30">
        <f t="shared" ca="1" si="11"/>
        <v>7082838.7000000002</v>
      </c>
      <c r="O20" s="30">
        <f t="shared" ca="1" si="9"/>
        <v>112.86458857028398</v>
      </c>
      <c r="P20" s="30">
        <f t="shared" ca="1" si="10"/>
        <v>100.74375418237271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3" t="s">
        <v>12</v>
      </c>
      <c r="I21" s="270"/>
      <c r="J21" s="270"/>
      <c r="K21" s="498"/>
      <c r="L21" s="498">
        <f t="shared" ref="L21:N21" ca="1" si="12">L22+L23</f>
        <v>5300519</v>
      </c>
      <c r="M21" s="498">
        <f t="shared" ca="1" si="12"/>
        <v>6002556.7000000002</v>
      </c>
      <c r="N21" s="498">
        <f t="shared" ca="1" si="12"/>
        <v>6002556.7000000002</v>
      </c>
      <c r="O21" s="498">
        <f t="shared" ca="1" si="9"/>
        <v>113.24469735888127</v>
      </c>
      <c r="P21" s="498">
        <f t="shared" ca="1" si="10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7"/>
      <c r="J22" s="617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7"/>
      <c r="J23" s="617"/>
      <c r="K23" s="93"/>
      <c r="L23" s="93">
        <f t="shared" ca="1" si="13"/>
        <v>5300519</v>
      </c>
      <c r="M23" s="93">
        <f t="shared" ca="1" si="13"/>
        <v>6002556.7000000002</v>
      </c>
      <c r="N23" s="93">
        <f t="shared" ca="1" si="13"/>
        <v>6002556.7000000002</v>
      </c>
      <c r="O23" s="93">
        <f t="shared" ca="1" si="9"/>
        <v>113.24469735888127</v>
      </c>
      <c r="P23" s="93">
        <f t="shared" ca="1" si="10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3" t="s">
        <v>12</v>
      </c>
      <c r="I24" s="270"/>
      <c r="J24" s="270"/>
      <c r="K24" s="498"/>
      <c r="L24" s="498">
        <f t="shared" ref="L24:N24" ca="1" si="14">L25+L26</f>
        <v>975000</v>
      </c>
      <c r="M24" s="498">
        <f t="shared" ca="1" si="14"/>
        <v>1027992</v>
      </c>
      <c r="N24" s="498">
        <f t="shared" ca="1" si="14"/>
        <v>1080282</v>
      </c>
      <c r="O24" s="498">
        <f t="shared" ca="1" si="9"/>
        <v>110.79815384615385</v>
      </c>
      <c r="P24" s="498">
        <f t="shared" ca="1" si="10"/>
        <v>105.08661546004249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7"/>
      <c r="J25" s="617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975000</v>
      </c>
      <c r="M26" s="52">
        <f t="shared" ca="1" si="15"/>
        <v>1027992</v>
      </c>
      <c r="N26" s="52">
        <f t="shared" ca="1" si="15"/>
        <v>1080282</v>
      </c>
      <c r="O26" s="52">
        <f t="shared" ca="1" si="9"/>
        <v>110.79815384615385</v>
      </c>
      <c r="P26" s="52">
        <f t="shared" ca="1" si="10"/>
        <v>105.08661546004249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3267692</v>
      </c>
      <c r="M28" s="22">
        <f t="shared" ca="1" si="16"/>
        <v>3204530.5999999996</v>
      </c>
      <c r="N28" s="22">
        <f t="shared" si="16"/>
        <v>2385521.6</v>
      </c>
      <c r="O28" s="22">
        <f t="shared" ref="O28:O37" ca="1" si="17">IF(L28&gt;0,N28*100/L28,0)</f>
        <v>73.003257344939485</v>
      </c>
      <c r="P28" s="22">
        <f t="shared" ref="P28:P37" ca="1" si="18">IF(M28&gt;0,N28*100/M28,0)</f>
        <v>74.442153868026736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3267692</v>
      </c>
      <c r="M30" s="30">
        <f t="shared" ca="1" si="19"/>
        <v>3204530.5999999996</v>
      </c>
      <c r="N30" s="30">
        <f t="shared" si="19"/>
        <v>2385521.6</v>
      </c>
      <c r="O30" s="30">
        <f t="shared" ca="1" si="17"/>
        <v>73.003257344939485</v>
      </c>
      <c r="P30" s="30">
        <f t="shared" ca="1" si="18"/>
        <v>74.442153868026736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3" t="s">
        <v>12</v>
      </c>
      <c r="I31" s="270"/>
      <c r="J31" s="270"/>
      <c r="K31" s="498"/>
      <c r="L31" s="498">
        <f t="shared" ref="L31:N31" ca="1" si="20">L32+L33</f>
        <v>3267692</v>
      </c>
      <c r="M31" s="498">
        <f t="shared" ca="1" si="20"/>
        <v>3204530.5999999996</v>
      </c>
      <c r="N31" s="498">
        <f t="shared" si="20"/>
        <v>2385521.6</v>
      </c>
      <c r="O31" s="498">
        <f t="shared" ca="1" si="17"/>
        <v>73.003257344939485</v>
      </c>
      <c r="P31" s="498">
        <f t="shared" ca="1" si="18"/>
        <v>74.442153868026736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7"/>
      <c r="J32" s="617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7"/>
      <c r="J33" s="617"/>
      <c r="K33" s="93"/>
      <c r="L33" s="93">
        <f t="shared" ca="1" si="21"/>
        <v>3267692</v>
      </c>
      <c r="M33" s="93">
        <f t="shared" ca="1" si="21"/>
        <v>3204530.5999999996</v>
      </c>
      <c r="N33" s="93">
        <f t="shared" si="21"/>
        <v>2385521.6</v>
      </c>
      <c r="O33" s="93">
        <f t="shared" ca="1" si="17"/>
        <v>73.003257344939485</v>
      </c>
      <c r="P33" s="93">
        <f t="shared" ca="1" si="18"/>
        <v>74.442153868026736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3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7"/>
      <c r="J35" s="617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7" t="s">
        <v>24</v>
      </c>
      <c r="B37" s="868"/>
      <c r="C37" s="868"/>
      <c r="D37" s="868"/>
      <c r="E37" s="868"/>
      <c r="F37" s="868"/>
      <c r="G37" s="869"/>
      <c r="H37" s="870"/>
      <c r="I37" s="871"/>
      <c r="J37" s="871"/>
      <c r="K37" s="872"/>
      <c r="L37" s="873">
        <f t="shared" ref="L37:N37" ca="1" si="24">L41+L53+L66+L88+L119+L132+L149+L165+L181+L261+L277+L298+L315+L328+L345+L389+L402</f>
        <v>6275519</v>
      </c>
      <c r="M37" s="873">
        <f t="shared" ca="1" si="24"/>
        <v>7030548.7000000002</v>
      </c>
      <c r="N37" s="873">
        <f t="shared" ca="1" si="24"/>
        <v>7082838.7000000002</v>
      </c>
      <c r="O37" s="873">
        <f t="shared" ca="1" si="17"/>
        <v>112.86458857028398</v>
      </c>
      <c r="P37" s="873">
        <f t="shared" ca="1" si="18"/>
        <v>100.74375418237271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478559</v>
      </c>
      <c r="M41" s="85">
        <f t="shared" ca="1" si="25"/>
        <v>612532.69999999995</v>
      </c>
      <c r="N41" s="85">
        <f t="shared" ca="1" si="25"/>
        <v>612532.69999999995</v>
      </c>
      <c r="O41" s="85">
        <f t="shared" ref="O41:O49" ca="1" si="26">IF(L41&gt;0,N41*100/L41,0)</f>
        <v>127.99523151795285</v>
      </c>
      <c r="P41" s="85">
        <f t="shared" ref="P41:P49" ca="1" si="27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478559</v>
      </c>
      <c r="M43" s="92">
        <f t="shared" ca="1" si="28"/>
        <v>612532.69999999995</v>
      </c>
      <c r="N43" s="92">
        <f t="shared" ca="1" si="28"/>
        <v>612532.69999999995</v>
      </c>
      <c r="O43" s="92">
        <f t="shared" ca="1" si="26"/>
        <v>127.99523151795285</v>
      </c>
      <c r="P43" s="92">
        <f t="shared" ca="1" si="27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3" t="s">
        <v>12</v>
      </c>
      <c r="I44" s="270"/>
      <c r="J44" s="270"/>
      <c r="K44" s="498"/>
      <c r="L44" s="498">
        <f t="shared" ref="L44:N44" ca="1" si="29">L45+L46</f>
        <v>478559</v>
      </c>
      <c r="M44" s="498">
        <f t="shared" ca="1" si="29"/>
        <v>612532.69999999995</v>
      </c>
      <c r="N44" s="498">
        <f t="shared" ca="1" si="29"/>
        <v>612532.69999999995</v>
      </c>
      <c r="O44" s="498">
        <f t="shared" ca="1" si="26"/>
        <v>127.99523151795285</v>
      </c>
      <c r="P44" s="498">
        <f t="shared" ca="1" si="27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7"/>
      <c r="J45" s="617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7"/>
      <c r="J46" s="617"/>
      <c r="K46" s="93"/>
      <c r="L46" s="93">
        <f ca="1">IFERROR(__xludf.DUMMYFUNCTION("IMPORTRANGE(""https://docs.google.com/spreadsheets/d/1MeEWN-I1oV_STSDYn1IFDPWt_1FKiwhDph83XaGc0o0/edit?usp=sharing"",""งบพรบ!M51"")"),478559)</f>
        <v>478559</v>
      </c>
      <c r="M46" s="93">
        <f ca="1">IFERROR(__xludf.DUMMYFUNCTION("IMPORTRANGE(""https://docs.google.com/spreadsheets/d/1MeEWN-I1oV_STSDYn1IFDPWt_1FKiwhDph83XaGc0o0/edit?usp=sharing"",""งบพรบ!R51"")"),612532.7)</f>
        <v>612532.69999999995</v>
      </c>
      <c r="N46" s="93">
        <f ca="1">IFERROR(__xludf.DUMMYFUNCTION("IMPORTRANGE(""https://docs.google.com/spreadsheets/d/1MeEWN-I1oV_STSDYn1IFDPWt_1FKiwhDph83XaGc0o0/edit?usp=sharing"",""งบพรบ!T51"")"),612532.7)</f>
        <v>612532.69999999995</v>
      </c>
      <c r="O46" s="93">
        <f t="shared" ca="1" si="26"/>
        <v>127.99523151795285</v>
      </c>
      <c r="P46" s="93">
        <f t="shared" ca="1" si="27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3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7"/>
      <c r="J48" s="617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IFERROR(__xludf.DUMMYFUNCTION("IMPORTRANGE(""https://docs.google.com/spreadsheets/d/1MeEWN-I1oV_STSDYn1IFDPWt_1FKiwhDph83XaGc0o0/edit?usp=sharing"",""งบพรบ!P51"")"),0)</f>
        <v>0</v>
      </c>
      <c r="M49" s="52">
        <f ca="1">IFERROR(__xludf.DUMMYFUNCTION("IMPORTRANGE(""https://docs.google.com/spreadsheets/d/1MeEWN-I1oV_STSDYn1IFDPWt_1FKiwhDph83XaGc0o0/edit?usp=sharing"",""งบพรบ!S51"")"),0)</f>
        <v>0</v>
      </c>
      <c r="N49" s="52">
        <f ca="1">IFERROR(__xludf.DUMMYFUNCTION("IMPORTRANGE(""https://docs.google.com/spreadsheets/d/1MeEWN-I1oV_STSDYn1IFDPWt_1FKiwhDph83XaGc0o0/edit?usp=sharing"",""งบพรบ!U51"")"),0)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1853500</v>
      </c>
      <c r="M53" s="116">
        <f t="shared" ca="1" si="31"/>
        <v>1933776</v>
      </c>
      <c r="N53" s="116">
        <f t="shared" ca="1" si="31"/>
        <v>1986066</v>
      </c>
      <c r="O53" s="116">
        <f t="shared" ref="O53:O61" ca="1" si="32">IF(L53&gt;0,N53*100/L53,0)</f>
        <v>107.15219854329646</v>
      </c>
      <c r="P53" s="116">
        <f t="shared" ref="P53:P61" ca="1" si="33">IF(M53&gt;0,N53*100/M53,0)</f>
        <v>102.70403604140293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1853500</v>
      </c>
      <c r="M55" s="123">
        <f t="shared" ca="1" si="34"/>
        <v>1933776</v>
      </c>
      <c r="N55" s="123">
        <f t="shared" ca="1" si="34"/>
        <v>1986066</v>
      </c>
      <c r="O55" s="123">
        <f t="shared" ca="1" si="32"/>
        <v>107.15219854329646</v>
      </c>
      <c r="P55" s="123">
        <f t="shared" ca="1" si="33"/>
        <v>102.70403604140293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3" t="s">
        <v>12</v>
      </c>
      <c r="I56" s="270"/>
      <c r="J56" s="270"/>
      <c r="K56" s="498"/>
      <c r="L56" s="498">
        <f t="shared" ref="L56:N56" ca="1" si="35">L57+L58</f>
        <v>954500</v>
      </c>
      <c r="M56" s="498">
        <f t="shared" ca="1" si="35"/>
        <v>1065784</v>
      </c>
      <c r="N56" s="498">
        <f t="shared" ca="1" si="35"/>
        <v>1065784</v>
      </c>
      <c r="O56" s="498">
        <f t="shared" ca="1" si="32"/>
        <v>111.65887899423782</v>
      </c>
      <c r="P56" s="498">
        <f t="shared" ca="1" si="33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7"/>
      <c r="J57" s="617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7"/>
      <c r="J58" s="617"/>
      <c r="K58" s="93"/>
      <c r="L58" s="93">
        <f ca="1">IFERROR(__xludf.DUMMYFUNCTION("IMPORTRANGE(""https://docs.google.com/spreadsheets/d/1MeEWN-I1oV_STSDYn1IFDPWt_1FKiwhDph83XaGc0o0/edit?usp=sharing"",""งบพรบ!W51"")"),954500)</f>
        <v>954500</v>
      </c>
      <c r="M58" s="93">
        <f ca="1">IFERROR(__xludf.DUMMYFUNCTION("IMPORTRANGE(""https://docs.google.com/spreadsheets/d/1MeEWN-I1oV_STSDYn1IFDPWt_1FKiwhDph83XaGc0o0/edit?usp=sharing"",""งบพรบ!AB51"")"),1065784)</f>
        <v>1065784</v>
      </c>
      <c r="N58" s="93">
        <f ca="1">IFERROR(__xludf.DUMMYFUNCTION("IMPORTRANGE(""https://docs.google.com/spreadsheets/d/1MeEWN-I1oV_STSDYn1IFDPWt_1FKiwhDph83XaGc0o0/edit?usp=sharing"",""งบพรบ!AD51"")"),1065784)</f>
        <v>1065784</v>
      </c>
      <c r="O58" s="93">
        <f t="shared" ca="1" si="32"/>
        <v>111.65887899423782</v>
      </c>
      <c r="P58" s="93">
        <f t="shared" ca="1" si="33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3" t="s">
        <v>12</v>
      </c>
      <c r="I59" s="270"/>
      <c r="J59" s="270"/>
      <c r="K59" s="498"/>
      <c r="L59" s="498">
        <f t="shared" ref="L59:N59" ca="1" si="36">L60+L61</f>
        <v>899000</v>
      </c>
      <c r="M59" s="498">
        <f t="shared" ca="1" si="36"/>
        <v>867992</v>
      </c>
      <c r="N59" s="498">
        <f t="shared" ca="1" si="36"/>
        <v>920282</v>
      </c>
      <c r="O59" s="498">
        <f t="shared" ca="1" si="32"/>
        <v>102.36729699666296</v>
      </c>
      <c r="P59" s="498">
        <f t="shared" ca="1" si="33"/>
        <v>106.02424907142002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7"/>
      <c r="J60" s="617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IFERROR(__xludf.DUMMYFUNCTION("IMPORTRANGE(""https://docs.google.com/spreadsheets/d/1MeEWN-I1oV_STSDYn1IFDPWt_1FKiwhDph83XaGc0o0/edit?usp=sharing"",""งบพรบ!Z51"")"),899000)</f>
        <v>899000</v>
      </c>
      <c r="M61" s="52">
        <f ca="1">IFERROR(__xludf.DUMMYFUNCTION("IMPORTRANGE(""https://docs.google.com/spreadsheets/d/1MeEWN-I1oV_STSDYn1IFDPWt_1FKiwhDph83XaGc0o0/edit?usp=sharing"",""งบพรบ!AC51"")"),867992)</f>
        <v>867992</v>
      </c>
      <c r="N61" s="52">
        <f ca="1">IFERROR(__xludf.DUMMYFUNCTION("IMPORTRANGE(""https://docs.google.com/spreadsheets/d/1MeEWN-I1oV_STSDYn1IFDPWt_1FKiwhDph83XaGc0o0/edit?usp=sharing"",""งบพรบ!AE51"")"),920282)</f>
        <v>920282</v>
      </c>
      <c r="O61" s="52">
        <f t="shared" ca="1" si="32"/>
        <v>102.36729699666296</v>
      </c>
      <c r="P61" s="52">
        <f t="shared" ca="1" si="33"/>
        <v>106.02424907142002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35</v>
      </c>
      <c r="J65" s="144">
        <f t="shared" si="37"/>
        <v>35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412000</v>
      </c>
      <c r="M66" s="155">
        <f t="shared" ca="1" si="39"/>
        <v>443340</v>
      </c>
      <c r="N66" s="155">
        <f t="shared" ca="1" si="39"/>
        <v>443340</v>
      </c>
      <c r="O66" s="155">
        <f t="shared" ref="O66:O74" ca="1" si="40">IF(L66&gt;0,N66*100/L66,0)</f>
        <v>107.60679611650485</v>
      </c>
      <c r="P66" s="155">
        <f t="shared" ref="P66:P74" ca="1" si="41">IF(M66&gt;0,N66*100/M66,0)</f>
        <v>100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7"/>
      <c r="J67" s="617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7"/>
      <c r="J68" s="617"/>
      <c r="K68" s="93"/>
      <c r="L68" s="93">
        <f t="shared" ca="1" si="42"/>
        <v>412000</v>
      </c>
      <c r="M68" s="93">
        <f t="shared" ca="1" si="42"/>
        <v>443340</v>
      </c>
      <c r="N68" s="93">
        <f t="shared" ca="1" si="42"/>
        <v>443340</v>
      </c>
      <c r="O68" s="93">
        <f t="shared" ca="1" si="40"/>
        <v>107.60679611650485</v>
      </c>
      <c r="P68" s="93">
        <f t="shared" ca="1" si="41"/>
        <v>100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412000</v>
      </c>
      <c r="M69" s="498">
        <f t="shared" ca="1" si="43"/>
        <v>443340</v>
      </c>
      <c r="N69" s="498">
        <f t="shared" ca="1" si="43"/>
        <v>443340</v>
      </c>
      <c r="O69" s="498">
        <f t="shared" ca="1" si="40"/>
        <v>107.60679611650485</v>
      </c>
      <c r="P69" s="498">
        <f t="shared" ca="1" si="41"/>
        <v>100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IFERROR(__xludf.DUMMYFUNCTION("IMPORTRANGE(""https://docs.google.com/spreadsheets/d/1MeEWN-I1oV_STSDYn1IFDPWt_1FKiwhDph83XaGc0o0/edit?usp=sharing"",""งบพรบ!AG51"")"),412000)</f>
        <v>412000</v>
      </c>
      <c r="M71" s="93">
        <f ca="1">IFERROR(__xludf.DUMMYFUNCTION("IMPORTRANGE(""https://docs.google.com/spreadsheets/d/1MeEWN-I1oV_STSDYn1IFDPWt_1FKiwhDph83XaGc0o0/edit?usp=sharing"",""งบพรบ!AL51"")"),443340)</f>
        <v>443340</v>
      </c>
      <c r="N71" s="93">
        <f ca="1">IFERROR(__xludf.DUMMYFUNCTION("IMPORTRANGE(""https://docs.google.com/spreadsheets/d/1MeEWN-I1oV_STSDYn1IFDPWt_1FKiwhDph83XaGc0o0/edit?usp=sharing"",""งบพรบ!AN51"")"),443340)</f>
        <v>443340</v>
      </c>
      <c r="O71" s="93">
        <f t="shared" ca="1" si="40"/>
        <v>107.60679611650485</v>
      </c>
      <c r="P71" s="93">
        <f t="shared" ca="1" si="41"/>
        <v>100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>
        <v>0</v>
      </c>
      <c r="N73" s="93">
        <v>0</v>
      </c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IFERROR(__xludf.DUMMYFUNCTION("IMPORTRANGE(""https://docs.google.com/spreadsheets/d/1MeEWN-I1oV_STSDYn1IFDPWt_1FKiwhDph83XaGc0o0/edit?usp=sharing"",""งบพรบ!AJ51"")"),0)</f>
        <v>0</v>
      </c>
      <c r="M74" s="93">
        <f ca="1">IFERROR(__xludf.DUMMYFUNCTION("IMPORTRANGE(""https://docs.google.com/spreadsheets/d/1MeEWN-I1oV_STSDYn1IFDPWt_1FKiwhDph83XaGc0o0/edit?usp=sharing"",""งบพรบ!AM51"")"),0)</f>
        <v>0</v>
      </c>
      <c r="N74" s="93">
        <f ca="1">IFERROR(__xludf.DUMMYFUNCTION("IMPORTRANGE(""https://docs.google.com/spreadsheets/d/1MeEWN-I1oV_STSDYn1IFDPWt_1FKiwhDph83XaGc0o0/edit?usp=sharing"",""งบพรบ!AO51"")"),0)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7" t="s">
        <v>38</v>
      </c>
      <c r="E75" s="173"/>
      <c r="F75" s="173"/>
      <c r="G75" s="174"/>
      <c r="H75" s="76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35</v>
      </c>
      <c r="J77" s="270">
        <f t="shared" si="45"/>
        <v>35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4" t="s">
        <v>34</v>
      </c>
      <c r="I78" s="184">
        <f ca="1">IFERROR(__xludf.DUMMYFUNCTION("IMPORTRANGE(""https://docs.google.com/spreadsheets/d/1QqKyyYR6Q21VydFLVH3TRQUabQu_ym0Zz7PgGX0-kHA/edit?usp=sharing"",""แผน!H51"")"),1)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4" t="s">
        <v>35</v>
      </c>
      <c r="I79" s="184">
        <f ca="1">IFERROR(__xludf.DUMMYFUNCTION("IMPORTRANGE(""https://docs.google.com/spreadsheets/d/1QqKyyYR6Q21VydFLVH3TRQUabQu_ym0Zz7PgGX0-kHA/edit?usp=sharing"",""แผน!I51"")"),35)</f>
        <v>35</v>
      </c>
      <c r="J79" s="215">
        <v>35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4" t="s">
        <v>34</v>
      </c>
      <c r="I80" s="184">
        <f ca="1">IFERROR(__xludf.DUMMYFUNCTION("IMPORTRANGE(""https://docs.google.com/spreadsheets/d/1QqKyyYR6Q21VydFLVH3TRQUabQu_ym0Zz7PgGX0-kHA/edit?usp=sharing"",""แผน!F51"")"),0)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4" t="s">
        <v>35</v>
      </c>
      <c r="I81" s="184">
        <f ca="1">IFERROR(__xludf.DUMMYFUNCTION("IMPORTRANGE(""https://docs.google.com/spreadsheets/d/1QqKyyYR6Q21VydFLVH3TRQUabQu_ym0Zz7PgGX0-kHA/edit?usp=sharing"",""แผน!G51"")"),0)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4" t="s">
        <v>34</v>
      </c>
      <c r="I82" s="184">
        <f ca="1">IFERROR(__xludf.DUMMYFUNCTION("IMPORTRANGE(""https://docs.google.com/spreadsheets/d/1QqKyyYR6Q21VydFLVH3TRQUabQu_ym0Zz7PgGX0-kHA/edit?usp=sharing"",""แผน!D51"")"),0)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4" t="s">
        <v>35</v>
      </c>
      <c r="I83" s="184">
        <f ca="1">IFERROR(__xludf.DUMMYFUNCTION("IMPORTRANGE(""https://docs.google.com/spreadsheets/d/1QqKyyYR6Q21VydFLVH3TRQUabQu_ym0Zz7PgGX0-kHA/edit?usp=sharing"",""แผน!E51"")"),0)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IFERROR(__xludf.DUMMYFUNCTION("IMPORTRANGE(""https://docs.google.com/spreadsheets/d/1QqKyyYR6Q21VydFLVH3TRQUabQu_ym0Zz7PgGX0-kHA/edit?usp=sharing"",""แผน!J51"")"),1)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98960</v>
      </c>
      <c r="M88" s="155">
        <f t="shared" ca="1" si="49"/>
        <v>98960</v>
      </c>
      <c r="N88" s="155">
        <f t="shared" ca="1" si="49"/>
        <v>98960</v>
      </c>
      <c r="O88" s="155">
        <f t="shared" ref="O88:O96" ca="1" si="50">IF(L88&gt;0,N88*100/L88,0)</f>
        <v>100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7"/>
      <c r="J89" s="617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7"/>
      <c r="J90" s="617"/>
      <c r="K90" s="93"/>
      <c r="L90" s="93">
        <f t="shared" ca="1" si="52"/>
        <v>98960</v>
      </c>
      <c r="M90" s="93">
        <f t="shared" ca="1" si="52"/>
        <v>98960</v>
      </c>
      <c r="N90" s="93">
        <f t="shared" ca="1" si="52"/>
        <v>98960</v>
      </c>
      <c r="O90" s="93">
        <f t="shared" ca="1" si="50"/>
        <v>100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98960</v>
      </c>
      <c r="M91" s="498">
        <f t="shared" ca="1" si="53"/>
        <v>98960</v>
      </c>
      <c r="N91" s="498">
        <f t="shared" ca="1" si="53"/>
        <v>98960</v>
      </c>
      <c r="O91" s="498">
        <f t="shared" ca="1" si="50"/>
        <v>100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IFERROR(__xludf.DUMMYFUNCTION("IMPORTRANGE(""https://docs.google.com/spreadsheets/d/1MeEWN-I1oV_STSDYn1IFDPWt_1FKiwhDph83XaGc0o0/edit?usp=sharing"",""งบพรบ!AQ51"")"),98960)</f>
        <v>98960</v>
      </c>
      <c r="M93" s="93">
        <f ca="1">IFERROR(__xludf.DUMMYFUNCTION("IMPORTRANGE(""https://docs.google.com/spreadsheets/d/1MeEWN-I1oV_STSDYn1IFDPWt_1FKiwhDph83XaGc0o0/edit?usp=sharing"",""งบพรบ!AV51"")"),98960)</f>
        <v>98960</v>
      </c>
      <c r="N93" s="93">
        <f ca="1">IFERROR(__xludf.DUMMYFUNCTION("IMPORTRANGE(""https://docs.google.com/spreadsheets/d/1MeEWN-I1oV_STSDYn1IFDPWt_1FKiwhDph83XaGc0o0/edit?usp=sharing"",""งบพรบ!AX51"")"),98960)</f>
        <v>98960</v>
      </c>
      <c r="O93" s="93">
        <f t="shared" ca="1" si="50"/>
        <v>100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IFERROR(__xludf.DUMMYFUNCTION("IMPORTRANGE(""https://docs.google.com/spreadsheets/d/1MeEWN-I1oV_STSDYn1IFDPWt_1FKiwhDph83XaGc0o0/edit?usp=sharing"",""งบพรบ!AT51"")"),0)</f>
        <v>0</v>
      </c>
      <c r="M96" s="93">
        <f ca="1">IFERROR(__xludf.DUMMYFUNCTION("IMPORTRANGE(""https://docs.google.com/spreadsheets/d/1MeEWN-I1oV_STSDYn1IFDPWt_1FKiwhDph83XaGc0o0/edit?usp=sharing"",""งบพรบ!AW51"")"),0)</f>
        <v>0</v>
      </c>
      <c r="N96" s="93">
        <f ca="1">IFERROR(__xludf.DUMMYFUNCTION("IMPORTRANGE(""https://docs.google.com/spreadsheets/d/1MeEWN-I1oV_STSDYn1IFDPWt_1FKiwhDph83XaGc0o0/edit?usp=sharing"",""งบพรบ!AY51"")"),0)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7" t="s">
        <v>38</v>
      </c>
      <c r="E97" s="173"/>
      <c r="F97" s="173"/>
      <c r="G97" s="174"/>
      <c r="H97" s="762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3" t="s">
        <v>46</v>
      </c>
      <c r="I98" s="270">
        <f ca="1">IFERROR(__xludf.DUMMYFUNCTION("IMPORTRANGE(""https://docs.google.com/spreadsheets/d/1QqKyyYR6Q21VydFLVH3TRQUabQu_ym0Zz7PgGX0-kHA/edit?usp=sharing"",""แผน!K51"")"),45)</f>
        <v>45</v>
      </c>
      <c r="J98" s="270">
        <f>J102</f>
        <v>45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3" t="s">
        <v>35</v>
      </c>
      <c r="I99" s="270">
        <f ca="1">IFERROR(__xludf.DUMMYFUNCTION("IMPORTRANGE(""https://docs.google.com/spreadsheets/d/1QqKyyYR6Q21VydFLVH3TRQUabQu_ym0Zz7PgGX0-kHA/edit?usp=sharing"",""แผน!L51"")"),15)</f>
        <v>15</v>
      </c>
      <c r="J99" s="270">
        <f>J104</f>
        <v>15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3" t="s">
        <v>49</v>
      </c>
      <c r="I100" s="270">
        <f ca="1">IFERROR(__xludf.DUMMYFUNCTION("IMPORTRANGE(""https://docs.google.com/spreadsheets/d/1QqKyyYR6Q21VydFLVH3TRQUabQu_ym0Zz7PgGX0-kHA/edit?usp=sharing"",""แผน!M51"")"),2)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3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6" t="s">
        <v>47</v>
      </c>
      <c r="F102" s="178"/>
      <c r="G102" s="179"/>
      <c r="H102" s="623" t="s">
        <v>46</v>
      </c>
      <c r="I102" s="270">
        <f ca="1">IFERROR(__xludf.DUMMYFUNCTION("IMPORTRANGE(""https://docs.google.com/spreadsheets/d/1QqKyyYR6Q21VydFLVH3TRQUabQu_ym0Zz7PgGX0-kHA/edit?usp=sharing"",""แผน!N51"")"),45)</f>
        <v>45</v>
      </c>
      <c r="J102" s="215">
        <v>45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3" t="s">
        <v>35</v>
      </c>
      <c r="I103" s="270">
        <f ca="1">IFERROR(__xludf.DUMMYFUNCTION("IMPORTRANGE(""https://docs.google.com/spreadsheets/d/1QqKyyYR6Q21VydFLVH3TRQUabQu_ym0Zz7PgGX0-kHA/edit?usp=sharing"",""แผน!O51"")"),15)</f>
        <v>15</v>
      </c>
      <c r="J103" s="215">
        <v>15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3" t="s">
        <v>35</v>
      </c>
      <c r="I104" s="270">
        <f ca="1">IFERROR(__xludf.DUMMYFUNCTION("IMPORTRANGE(""https://docs.google.com/spreadsheets/d/1QqKyyYR6Q21VydFLVH3TRQUabQu_ym0Zz7PgGX0-kHA/edit?usp=sharing"",""แผน!O51"")"),15)</f>
        <v>15</v>
      </c>
      <c r="J104" s="215">
        <v>15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3" t="s">
        <v>49</v>
      </c>
      <c r="I106" s="270">
        <f ca="1">IFERROR(__xludf.DUMMYFUNCTION("IMPORTRANGE(""https://docs.google.com/spreadsheets/d/1QqKyyYR6Q21VydFLVH3TRQUabQu_ym0Zz7PgGX0-kHA/edit?usp=sharing"",""แผน!P51"")"),1)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3" t="s">
        <v>49</v>
      </c>
      <c r="I107" s="270">
        <f ca="1">IFERROR(__xludf.DUMMYFUNCTION("IMPORTRANGE(""https://docs.google.com/spreadsheets/d/1QqKyyYR6Q21VydFLVH3TRQUabQu_ym0Zz7PgGX0-kHA/edit?usp=sharing"",""แผน!P51"")"),1)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3" t="s">
        <v>49</v>
      </c>
      <c r="I109" s="270">
        <f ca="1">IFERROR(__xludf.DUMMYFUNCTION("IMPORTRANGE(""https://docs.google.com/spreadsheets/d/1QqKyyYR6Q21VydFLVH3TRQUabQu_ym0Zz7PgGX0-kHA/edit?usp=sharing"",""แผน!Q51"")"),1)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3" t="s">
        <v>49</v>
      </c>
      <c r="I110" s="270">
        <f ca="1">IFERROR(__xludf.DUMMYFUNCTION("IMPORTRANGE(""https://docs.google.com/spreadsheets/d/1QqKyyYR6Q21VydFLVH3TRQUabQu_ym0Zz7PgGX0-kHA/edit?usp=sharing"",""แผน!Q51"")"),1)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7" t="s">
        <v>35</v>
      </c>
      <c r="I111" s="193">
        <f ca="1">IFERROR(__xludf.DUMMYFUNCTION("IMPORTRANGE(""https://docs.google.com/spreadsheets/d/1QqKyyYR6Q21VydFLVH3TRQUabQu_ym0Zz7PgGX0-kHA/edit?usp=sharing"",""แผน!R51"")"),15)</f>
        <v>15</v>
      </c>
      <c r="J111" s="681">
        <f>J114</f>
        <v>15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1">
        <f t="shared" si="59"/>
        <v>2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2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IFERROR(__xludf.DUMMYFUNCTION("IMPORTRANGE(""https://docs.google.com/spreadsheets/d/1QqKyyYR6Q21VydFLVH3TRQUabQu_ym0Zz7PgGX0-kHA/edit?usp=sharing"",""แผน!R51"")"),15)</f>
        <v>15</v>
      </c>
      <c r="J113" s="215">
        <v>15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IFERROR(__xludf.DUMMYFUNCTION("IMPORTRANGE(""https://docs.google.com/spreadsheets/d/1QqKyyYR6Q21VydFLVH3TRQUabQu_ym0Zz7PgGX0-kHA/edit?usp=sharing"",""แผน!R51"")"),15)</f>
        <v>15</v>
      </c>
      <c r="J114" s="215">
        <v>15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IFERROR(__xludf.DUMMYFUNCTION("IMPORTRANGE(""https://docs.google.com/spreadsheets/d/1QqKyyYR6Q21VydFLVH3TRQUabQu_ym0Zz7PgGX0-kHA/edit?usp=sharing"",""แผน!S51"")"),1)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IFERROR(__xludf.DUMMYFUNCTION("IMPORTRANGE(""https://docs.google.com/spreadsheets/d/1QqKyyYR6Q21VydFLVH3TRQUabQu_ym0Zz7PgGX0-kHA/edit?usp=sharing"",""แผน!T51"")"),1)</f>
        <v>1</v>
      </c>
      <c r="J116" s="215">
        <v>1</v>
      </c>
      <c r="K116" s="498">
        <f t="shared" ca="1" si="5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7"/>
      <c r="J120" s="617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7"/>
      <c r="J121" s="617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IFERROR(__xludf.DUMMYFUNCTION("IMPORTRANGE(""https://docs.google.com/spreadsheets/d/1MeEWN-I1oV_STSDYn1IFDPWt_1FKiwhDph83XaGc0o0/edit?usp=sharing"",""งบพรบ!BA51"")"),0)</f>
        <v>0</v>
      </c>
      <c r="M124" s="93">
        <f ca="1">IFERROR(__xludf.DUMMYFUNCTION("IMPORTRANGE(""https://docs.google.com/spreadsheets/d/1MeEWN-I1oV_STSDYn1IFDPWt_1FKiwhDph83XaGc0o0/edit?usp=sharing"",""งบพรบ!BF51"")"),0)</f>
        <v>0</v>
      </c>
      <c r="N124" s="93">
        <f ca="1">IFERROR(__xludf.DUMMYFUNCTION("IMPORTRANGE(""https://docs.google.com/spreadsheets/d/1MeEWN-I1oV_STSDYn1IFDPWt_1FKiwhDph83XaGc0o0/edit?usp=sharing"",""งบพรบ!BH51"")"),0)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IFERROR(__xludf.DUMMYFUNCTION("IMPORTRANGE(""https://docs.google.com/spreadsheets/d/1MeEWN-I1oV_STSDYn1IFDPWt_1FKiwhDph83XaGc0o0/edit?usp=sharing"",""งบพรบ!BD51"")"),0)</f>
        <v>0</v>
      </c>
      <c r="M127" s="93">
        <f ca="1">IFERROR(__xludf.DUMMYFUNCTION("IMPORTRANGE(""https://docs.google.com/spreadsheets/d/1MeEWN-I1oV_STSDYn1IFDPWt_1FKiwhDph83XaGc0o0/edit?usp=sharing"",""งบพรบ!BG51"")"),0)</f>
        <v>0</v>
      </c>
      <c r="N127" s="93">
        <f ca="1">IFERROR(__xludf.DUMMYFUNCTION("IMPORTRANGE(""https://docs.google.com/spreadsheets/d/1MeEWN-I1oV_STSDYn1IFDPWt_1FKiwhDph83XaGc0o0/edit?usp=sharing"",""งบพรบ!BI51"")"),0)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7"/>
      <c r="J133" s="617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7"/>
      <c r="J134" s="617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IFERROR(__xludf.DUMMYFUNCTION("IMPORTRANGE(""https://docs.google.com/spreadsheets/d/1MeEWN-I1oV_STSDYn1IFDPWt_1FKiwhDph83XaGc0o0/edit?usp=sharing"",""งบพรบ!BK51"")"),0)</f>
        <v>0</v>
      </c>
      <c r="M137" s="93">
        <f ca="1">IFERROR(__xludf.DUMMYFUNCTION("IMPORTRANGE(""https://docs.google.com/spreadsheets/d/1MeEWN-I1oV_STSDYn1IFDPWt_1FKiwhDph83XaGc0o0/edit?usp=sharing"",""งบพรบ!BP51"")"),0)</f>
        <v>0</v>
      </c>
      <c r="N137" s="93">
        <f ca="1">IFERROR(__xludf.DUMMYFUNCTION("IMPORTRANGE(""https://docs.google.com/spreadsheets/d/1MeEWN-I1oV_STSDYn1IFDPWt_1FKiwhDph83XaGc0o0/edit?usp=sharing"",""งบพรบ!BR51"")"),0)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IFERROR(__xludf.DUMMYFUNCTION("IMPORTRANGE(""https://docs.google.com/spreadsheets/d/1MeEWN-I1oV_STSDYn1IFDPWt_1FKiwhDph83XaGc0o0/edit?usp=sharing"",""งบพรบ!BN51"")"),0)</f>
        <v>0</v>
      </c>
      <c r="M140" s="93">
        <f ca="1">IFERROR(__xludf.DUMMYFUNCTION("IMPORTRANGE(""https://docs.google.com/spreadsheets/d/1MeEWN-I1oV_STSDYn1IFDPWt_1FKiwhDph83XaGc0o0/edit?usp=sharing"",""งบพรบ!BQ51"")"),0)</f>
        <v>0</v>
      </c>
      <c r="N140" s="93">
        <f ca="1">IFERROR(__xludf.DUMMYFUNCTION("IMPORTRANGE(""https://docs.google.com/spreadsheets/d/1MeEWN-I1oV_STSDYn1IFDPWt_1FKiwhDph83XaGc0o0/edit?usp=sharing"",""งบพรบ!BS51"")"),0)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IFERROR(__xludf.DUMMYFUNCTION("IMPORTRANGE(""https://docs.google.com/spreadsheets/d/1QqKyyYR6Q21VydFLVH3TRQUabQu_ym0Zz7PgGX0-kHA/edit?usp=sharing"",""แผน!U51"")"),0)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IFERROR(__xludf.DUMMYFUNCTION("IMPORTRANGE(""https://docs.google.com/spreadsheets/d/1QqKyyYR6Q21VydFLVH3TRQUabQu_ym0Zz7PgGX0-kHA/edit?usp=sharing"",""แผน!V51"")"),0)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IFERROR(__xludf.DUMMYFUNCTION("IMPORTRANGE(""https://docs.google.com/spreadsheets/d/1QqKyyYR6Q21VydFLVH3TRQUabQu_ym0Zz7PgGX0-kHA/edit?usp=sharing"",""แผน!W51"")"),0)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7"/>
      <c r="J150" s="617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7"/>
      <c r="J151" s="617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IFERROR(__xludf.DUMMYFUNCTION("IMPORTRANGE(""https://docs.google.com/spreadsheets/d/1MeEWN-I1oV_STSDYn1IFDPWt_1FKiwhDph83XaGc0o0/edit?usp=sharing"",""งบพรบ!BU51"")"),0)</f>
        <v>0</v>
      </c>
      <c r="M154" s="93">
        <f ca="1">IFERROR(__xludf.DUMMYFUNCTION("IMPORTRANGE(""https://docs.google.com/spreadsheets/d/1MeEWN-I1oV_STSDYn1IFDPWt_1FKiwhDph83XaGc0o0/edit?usp=sharing"",""งบพรบ!BZ51"")"),0)</f>
        <v>0</v>
      </c>
      <c r="N154" s="93">
        <f ca="1">IFERROR(__xludf.DUMMYFUNCTION("IMPORTRANGE(""https://docs.google.com/spreadsheets/d/1MeEWN-I1oV_STSDYn1IFDPWt_1FKiwhDph83XaGc0o0/edit?usp=sharing"",""งบพรบ!CB51"")"),0)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IFERROR(__xludf.DUMMYFUNCTION("IMPORTRANGE(""https://docs.google.com/spreadsheets/d/1MeEWN-I1oV_STSDYn1IFDPWt_1FKiwhDph83XaGc0o0/edit?usp=sharing"",""งบพรบ!BX51"")"),0)</f>
        <v>0</v>
      </c>
      <c r="M157" s="93">
        <f ca="1">IFERROR(__xludf.DUMMYFUNCTION("IMPORTRANGE(""https://docs.google.com/spreadsheets/d/1MeEWN-I1oV_STSDYn1IFDPWt_1FKiwhDph83XaGc0o0/edit?usp=sharing"",""งบพรบ!CA51"")"),0)</f>
        <v>0</v>
      </c>
      <c r="N157" s="93">
        <f ca="1">IFERROR(__xludf.DUMMYFUNCTION("IMPORTRANGE(""https://docs.google.com/spreadsheets/d/1MeEWN-I1oV_STSDYn1IFDPWt_1FKiwhDph83XaGc0o0/edit?usp=sharing"",""งบพรบ!CC51"")"),0)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IFERROR(__xludf.DUMMYFUNCTION("IMPORTRANGE(""https://docs.google.com/spreadsheets/d/1QqKyyYR6Q21VydFLVH3TRQUabQu_ym0Zz7PgGX0-kHA/edit?usp=sharing"",""แผน!X51"")"),0)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7"/>
      <c r="J160" s="617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39560</v>
      </c>
      <c r="N165" s="155">
        <f t="shared" ca="1" si="84"/>
        <v>39560</v>
      </c>
      <c r="O165" s="155">
        <f t="shared" ref="O165:O173" ca="1" si="85">IF(L165&gt;0,N165*100/L165,0)</f>
        <v>171.55247181266262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7"/>
      <c r="J166" s="617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7"/>
      <c r="J167" s="617"/>
      <c r="K167" s="93"/>
      <c r="L167" s="93">
        <f t="shared" ca="1" si="87"/>
        <v>23060</v>
      </c>
      <c r="M167" s="93">
        <f t="shared" ca="1" si="87"/>
        <v>39560</v>
      </c>
      <c r="N167" s="93">
        <f t="shared" ca="1" si="87"/>
        <v>39560</v>
      </c>
      <c r="O167" s="93">
        <f t="shared" ca="1" si="85"/>
        <v>171.55247181266262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23060</v>
      </c>
      <c r="M168" s="498">
        <f t="shared" ca="1" si="88"/>
        <v>39560</v>
      </c>
      <c r="N168" s="498">
        <f t="shared" ca="1" si="88"/>
        <v>39560</v>
      </c>
      <c r="O168" s="498">
        <f t="shared" ca="1" si="85"/>
        <v>171.55247181266262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IFERROR(__xludf.DUMMYFUNCTION("IMPORTRANGE(""https://docs.google.com/spreadsheets/d/1MeEWN-I1oV_STSDYn1IFDPWt_1FKiwhDph83XaGc0o0/edit?usp=sharing"",""งบพรบ!CE51"")"),23060)</f>
        <v>23060</v>
      </c>
      <c r="M170" s="93">
        <f ca="1">IFERROR(__xludf.DUMMYFUNCTION("IMPORTRANGE(""https://docs.google.com/spreadsheets/d/1MeEWN-I1oV_STSDYn1IFDPWt_1FKiwhDph83XaGc0o0/edit?usp=sharing"",""งบพรบ!CJ51"")"),39560)</f>
        <v>39560</v>
      </c>
      <c r="N170" s="93">
        <f ca="1">IFERROR(__xludf.DUMMYFUNCTION("IMPORTRANGE(""https://docs.google.com/spreadsheets/d/1MeEWN-I1oV_STSDYn1IFDPWt_1FKiwhDph83XaGc0o0/edit?usp=sharing"",""งบพรบ!CL51"")"),39560)</f>
        <v>39560</v>
      </c>
      <c r="O170" s="93">
        <f t="shared" ca="1" si="85"/>
        <v>171.55247181266262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IFERROR(__xludf.DUMMYFUNCTION("IMPORTRANGE(""https://docs.google.com/spreadsheets/d/1MeEWN-I1oV_STSDYn1IFDPWt_1FKiwhDph83XaGc0o0/edit?usp=sharing"",""งบพรบ!CH51"")"),0)</f>
        <v>0</v>
      </c>
      <c r="M173" s="93">
        <f ca="1">IFERROR(__xludf.DUMMYFUNCTION("IMPORTRANGE(""https://docs.google.com/spreadsheets/d/1MeEWN-I1oV_STSDYn1IFDPWt_1FKiwhDph83XaGc0o0/edit?usp=sharing"",""งบพรบ!CK51"")"),0)</f>
        <v>0</v>
      </c>
      <c r="N173" s="93">
        <f ca="1">IFERROR(__xludf.DUMMYFUNCTION("IMPORTRANGE(""https://docs.google.com/spreadsheets/d/1MeEWN-I1oV_STSDYn1IFDPWt_1FKiwhDph83XaGc0o0/edit?usp=sharing"",""งบพรบ!CM51"")"),0)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7" t="s">
        <v>38</v>
      </c>
      <c r="E175" s="173"/>
      <c r="F175" s="173"/>
      <c r="G175" s="174"/>
      <c r="H175" s="76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6" t="s">
        <v>85</v>
      </c>
      <c r="E176" s="178"/>
      <c r="F176" s="178"/>
      <c r="G176" s="179"/>
      <c r="H176" s="623" t="s">
        <v>35</v>
      </c>
      <c r="I176" s="270">
        <f ca="1">IFERROR(__xludf.DUMMYFUNCTION("IMPORTRANGE(""https://docs.google.com/spreadsheets/d/1QqKyyYR6Q21VydFLVH3TRQUabQu_ym0Zz7PgGX0-kHA/edit?usp=sharing"",""แผน!Y51"")"),12)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492400</v>
      </c>
      <c r="M181" s="155">
        <f t="shared" ca="1" si="92"/>
        <v>508840</v>
      </c>
      <c r="N181" s="155">
        <f t="shared" ca="1" si="92"/>
        <v>508840</v>
      </c>
      <c r="O181" s="155">
        <f t="shared" ref="O181:O189" ca="1" si="93">IF(L181&gt;0,N181*100/L181,0)</f>
        <v>103.3387489845654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7"/>
      <c r="J182" s="617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7"/>
      <c r="J183" s="617"/>
      <c r="K183" s="93"/>
      <c r="L183" s="93">
        <f t="shared" ca="1" si="95"/>
        <v>492400</v>
      </c>
      <c r="M183" s="93">
        <f t="shared" ca="1" si="95"/>
        <v>508840</v>
      </c>
      <c r="N183" s="93">
        <f t="shared" ca="1" si="95"/>
        <v>508840</v>
      </c>
      <c r="O183" s="93">
        <f t="shared" ca="1" si="93"/>
        <v>103.3387489845654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492400</v>
      </c>
      <c r="M184" s="498">
        <f t="shared" ca="1" si="96"/>
        <v>508840</v>
      </c>
      <c r="N184" s="498">
        <f t="shared" ca="1" si="96"/>
        <v>508840</v>
      </c>
      <c r="O184" s="498">
        <f t="shared" ca="1" si="93"/>
        <v>103.3387489845654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IFERROR(__xludf.DUMMYFUNCTION("IMPORTRANGE(""https://docs.google.com/spreadsheets/d/1MeEWN-I1oV_STSDYn1IFDPWt_1FKiwhDph83XaGc0o0/edit?usp=sharing"",""งบพรบ!CO51"")"),492400)</f>
        <v>492400</v>
      </c>
      <c r="M186" s="93">
        <f ca="1">IFERROR(__xludf.DUMMYFUNCTION("IMPORTRANGE(""https://docs.google.com/spreadsheets/d/1MeEWN-I1oV_STSDYn1IFDPWt_1FKiwhDph83XaGc0o0/edit?usp=sharing"",""งบพรบ!CT51"")"),508840)</f>
        <v>508840</v>
      </c>
      <c r="N186" s="93">
        <f ca="1">IFERROR(__xludf.DUMMYFUNCTION("IMPORTRANGE(""https://docs.google.com/spreadsheets/d/1MeEWN-I1oV_STSDYn1IFDPWt_1FKiwhDph83XaGc0o0/edit?usp=sharing"",""งบพรบ!CV51"")"),508840)</f>
        <v>508840</v>
      </c>
      <c r="O186" s="93">
        <f t="shared" ca="1" si="93"/>
        <v>103.3387489845654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IFERROR(__xludf.DUMMYFUNCTION("IMPORTRANGE(""https://docs.google.com/spreadsheets/d/1MeEWN-I1oV_STSDYn1IFDPWt_1FKiwhDph83XaGc0o0/edit?usp=sharing"",""งบพรบ!CR51"")"),0)</f>
        <v>0</v>
      </c>
      <c r="M189" s="93">
        <f ca="1">IFERROR(__xludf.DUMMYFUNCTION("IMPORTRANGE(""https://docs.google.com/spreadsheets/d/1MeEWN-I1oV_STSDYn1IFDPWt_1FKiwhDph83XaGc0o0/edit?usp=sharing"",""งบพรบ!CU51"")"),0)</f>
        <v>0</v>
      </c>
      <c r="N189" s="93">
        <f ca="1">IFERROR(__xludf.DUMMYFUNCTION("IMPORTRANGE(""https://docs.google.com/spreadsheets/d/1MeEWN-I1oV_STSDYn1IFDPWt_1FKiwhDph83XaGc0o0/edit?usp=sharing"",""งบพรบ!CW51"")"),0)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8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IFERROR(__xludf.DUMMYFUNCTION("IMPORTRANGE(""https://docs.google.com/spreadsheets/d/1QqKyyYR6Q21VydFLVH3TRQUabQu_ym0Zz7PgGX0-kHA/edit?usp=sharing"",""แผน!Z51"")"),6000)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7" t="s">
        <v>38</v>
      </c>
      <c r="E192" s="173"/>
      <c r="F192" s="173"/>
      <c r="G192" s="174"/>
      <c r="H192" s="762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4" t="s">
        <v>90</v>
      </c>
      <c r="I193" s="270">
        <f ca="1">IFERROR(__xludf.DUMMYFUNCTION("IMPORTRANGE(""https://docs.google.com/spreadsheets/d/1QqKyyYR6Q21VydFLVH3TRQUabQu_ym0Zz7PgGX0-kHA/edit?usp=sharing"",""แผน!AC51"")"),4)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140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140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8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52000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IFERROR(__xludf.DUMMYFUNCTION("IMPORTRANGE(""https://docs.google.com/spreadsheets/d/1QqKyyYR6Q21VydFLVH3TRQUabQu_ym0Zz7PgGX0-kHA/edit?usp=sharing"",""แผน!AE51"")"),4000)</f>
        <v>4000</v>
      </c>
      <c r="M199" s="498"/>
      <c r="N199" s="840">
        <v>4000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3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IFERROR(__xludf.DUMMYFUNCTION("IMPORTRANGE(""https://docs.google.com/spreadsheets/d/1QqKyyYR6Q21VydFLVH3TRQUabQu_ym0Zz7PgGX0-kHA/edit?usp=sharing"",""แผน!AF51"")"),32000)</f>
        <v>32000</v>
      </c>
      <c r="M200" s="498"/>
      <c r="N200" s="840">
        <v>32000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3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IFERROR(__xludf.DUMMYFUNCTION("IMPORTRANGE(""https://docs.google.com/spreadsheets/d/1QqKyyYR6Q21VydFLVH3TRQUabQu_ym0Zz7PgGX0-kHA/edit?usp=sharing"",""แผน!AG51"")"),16000)</f>
        <v>16000</v>
      </c>
      <c r="M201" s="498"/>
      <c r="N201" s="840">
        <v>16000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3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IFERROR(__xludf.DUMMYFUNCTION("IMPORTRANGE(""https://docs.google.com/spreadsheets/d/1QqKyyYR6Q21VydFLVH3TRQUabQu_ym0Zz7PgGX0-kHA/edit?usp=sharing"",""แผน!AH51"")"),0)</f>
        <v>0</v>
      </c>
      <c r="M202" s="498"/>
      <c r="N202" s="840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7" t="s">
        <v>38</v>
      </c>
      <c r="E203" s="173"/>
      <c r="F203" s="173"/>
      <c r="G203" s="174"/>
      <c r="H203" s="76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2" t="s">
        <v>96</v>
      </c>
      <c r="I204" s="270">
        <f ca="1">IFERROR(__xludf.DUMMYFUNCTION("IMPORTRANGE(""https://docs.google.com/spreadsheets/d/1QqKyyYR6Q21VydFLVH3TRQUabQu_ym0Zz7PgGX0-kHA/edit?usp=sharing"",""แผน!AI51"")"),4)</f>
        <v>4</v>
      </c>
      <c r="J204" s="215">
        <v>4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2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2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8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28000</v>
      </c>
      <c r="M209" s="155"/>
      <c r="N209" s="155">
        <f>N210+N211+N212</f>
        <v>28000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IFERROR(__xludf.DUMMYFUNCTION("IMPORTRANGE(""https://docs.google.com/spreadsheets/d/1QqKyyYR6Q21VydFLVH3TRQUabQu_ym0Zz7PgGX0-kHA/edit?usp=sharing"",""แผน!AK51"")"),2000)</f>
        <v>2000</v>
      </c>
      <c r="M210" s="498"/>
      <c r="N210" s="840">
        <v>2000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IFERROR(__xludf.DUMMYFUNCTION("IMPORTRANGE(""https://docs.google.com/spreadsheets/d/1QqKyyYR6Q21VydFLVH3TRQUabQu_ym0Zz7PgGX0-kHA/edit?usp=sharing"",""แผน!AL51"")"),10000)</f>
        <v>10000</v>
      </c>
      <c r="M211" s="498"/>
      <c r="N211" s="840">
        <v>10000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IFERROR(__xludf.DUMMYFUNCTION("IMPORTRANGE(""https://docs.google.com/spreadsheets/d/1QqKyyYR6Q21VydFLVH3TRQUabQu_ym0Zz7PgGX0-kHA/edit?usp=sharing"",""แผน!AM51"")"),16000)</f>
        <v>16000</v>
      </c>
      <c r="M212" s="498"/>
      <c r="N212" s="840">
        <v>16000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7" t="s">
        <v>38</v>
      </c>
      <c r="E213" s="173"/>
      <c r="F213" s="173"/>
      <c r="G213" s="174"/>
      <c r="H213" s="762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2" t="s">
        <v>96</v>
      </c>
      <c r="I214" s="270">
        <f ca="1">IFERROR(__xludf.DUMMYFUNCTION("IMPORTRANGE(""https://docs.google.com/spreadsheets/d/1QqKyyYR6Q21VydFLVH3TRQUabQu_ym0Zz7PgGX0-kHA/edit?usp=sharing"",""แผน!AN51"")"),2)</f>
        <v>2</v>
      </c>
      <c r="J214" s="215">
        <v>2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2" t="s">
        <v>96</v>
      </c>
      <c r="I215" s="270">
        <f ca="1">IFERROR(__xludf.DUMMYFUNCTION("IMPORTRANGE(""https://docs.google.com/spreadsheets/d/1QqKyyYR6Q21VydFLVH3TRQUabQu_ym0Zz7PgGX0-kHA/edit?usp=sharing"",""แผน!AN51"")"),2)</f>
        <v>2</v>
      </c>
      <c r="J215" s="215">
        <v>2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30000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8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13500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IFERROR(__xludf.DUMMYFUNCTION("IMPORTRANGE(""https://docs.google.com/spreadsheets/d/1QqKyyYR6Q21VydFLVH3TRQUabQu_ym0Zz7PgGX0-kHA/edit?usp=sharing"",""แผน!AP51"")"),5000)</f>
        <v>5000</v>
      </c>
      <c r="M218" s="498"/>
      <c r="N218" s="840">
        <v>5000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IFERROR(__xludf.DUMMYFUNCTION("IMPORTRANGE(""https://docs.google.com/spreadsheets/d/1QqKyyYR6Q21VydFLVH3TRQUabQu_ym0Zz7PgGX0-kHA/edit?usp=sharing"",""แผน!AQ51"")"),8500)</f>
        <v>8500</v>
      </c>
      <c r="M219" s="498"/>
      <c r="N219" s="840">
        <v>8500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IFERROR(__xludf.DUMMYFUNCTION("IMPORTRANGE(""https://docs.google.com/spreadsheets/d/1QqKyyYR6Q21VydFLVH3TRQUabQu_ym0Zz7PgGX0-kHA/edit?usp=sharing"",""แผน!AR51"")"),0)</f>
        <v>0</v>
      </c>
      <c r="M220" s="498"/>
      <c r="N220" s="840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7" t="s">
        <v>38</v>
      </c>
      <c r="E221" s="173"/>
      <c r="F221" s="173"/>
      <c r="G221" s="174"/>
      <c r="H221" s="76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4" t="s">
        <v>109</v>
      </c>
      <c r="I223" s="270">
        <f ca="1">IFERROR(__xludf.DUMMYFUNCTION("IMPORTRANGE(""https://docs.google.com/spreadsheets/d/1QqKyyYR6Q21VydFLVH3TRQUabQu_ym0Zz7PgGX0-kHA/edit?usp=sharing"",""แผน!AT51"")"),30000)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4" t="s">
        <v>109</v>
      </c>
      <c r="I224" s="270">
        <f ca="1">IFERROR(__xludf.DUMMYFUNCTION("IMPORTRANGE(""https://docs.google.com/spreadsheets/d/1QqKyyYR6Q21VydFLVH3TRQUabQu_ym0Zz7PgGX0-kHA/edit?usp=sharing"",""แผน!AT51"")"),30000)</f>
        <v>30000</v>
      </c>
      <c r="J224" s="215">
        <v>30000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4" t="s">
        <v>35</v>
      </c>
      <c r="I225" s="270">
        <f ca="1">IFERROR(__xludf.DUMMYFUNCTION("IMPORTRANGE(""https://docs.google.com/spreadsheets/d/1QqKyyYR6Q21VydFLVH3TRQUabQu_ym0Zz7PgGX0-kHA/edit?usp=sharing"",""แผน!AS51"")"),0)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120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40</v>
      </c>
      <c r="J226" s="345">
        <f t="shared" si="105"/>
        <v>40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8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217400</v>
      </c>
      <c r="M227" s="356"/>
      <c r="N227" s="356">
        <f t="shared" ref="N227:N231" si="107">N238+N249</f>
        <v>217400</v>
      </c>
      <c r="O227" s="882"/>
      <c r="P227" s="8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163000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7"/>
      <c r="J229" s="617"/>
      <c r="K229" s="93"/>
      <c r="L229" s="93">
        <f t="shared" ca="1" si="106"/>
        <v>44400</v>
      </c>
      <c r="M229" s="93"/>
      <c r="N229" s="93">
        <f t="shared" si="107"/>
        <v>44400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7"/>
      <c r="J230" s="617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7"/>
      <c r="J231" s="617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7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7">
        <f t="shared" ref="I233:J233" ca="1" si="108">I244+I255</f>
        <v>40</v>
      </c>
      <c r="J233" s="617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7"/>
      <c r="J234" s="617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7">
        <f t="shared" ref="I235:J236" si="109">I246+I257</f>
        <v>0</v>
      </c>
      <c r="J235" s="617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7">
        <f t="shared" si="109"/>
        <v>1</v>
      </c>
      <c r="J236" s="617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362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7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217400</v>
      </c>
      <c r="M238" s="155"/>
      <c r="N238" s="155">
        <f>N239+N240+N241+N242</f>
        <v>217400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IFERROR(__xludf.DUMMYFUNCTION("IMPORTRANGE(""https://docs.google.com/spreadsheets/d/1QqKyyYR6Q21VydFLVH3TRQUabQu_ym0Zz7PgGX0-kHA/edit?usp=sharing"",""แผน!AV51"")"),163000)</f>
        <v>163000</v>
      </c>
      <c r="M239" s="322"/>
      <c r="N239" s="883">
        <v>163000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IFERROR(__xludf.DUMMYFUNCTION("IMPORTRANGE(""https://docs.google.com/spreadsheets/d/1QqKyyYR6Q21VydFLVH3TRQUabQu_ym0Zz7PgGX0-kHA/edit?usp=sharing"",""แผน!AW51"")"),44400)</f>
        <v>44400</v>
      </c>
      <c r="M240" s="322"/>
      <c r="N240" s="883">
        <v>44400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IFERROR(__xludf.DUMMYFUNCTION("IMPORTRANGE(""https://docs.google.com/spreadsheets/d/1QqKyyYR6Q21VydFLVH3TRQUabQu_ym0Zz7PgGX0-kHA/edit?usp=sharing"",""แผน!AX51"")"),0)</f>
        <v>0</v>
      </c>
      <c r="M241" s="322"/>
      <c r="N241" s="88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IFERROR(__xludf.DUMMYFUNCTION("IMPORTRANGE(""https://docs.google.com/spreadsheets/d/1QqKyyYR6Q21VydFLVH3TRQUabQu_ym0Zz7PgGX0-kHA/edit?usp=sharing"",""แผน!AY51"")"),10000)</f>
        <v>10000</v>
      </c>
      <c r="M242" s="322"/>
      <c r="N242" s="883">
        <v>10000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77" t="s">
        <v>38</v>
      </c>
      <c r="E243" s="173"/>
      <c r="F243" s="173"/>
      <c r="G243" s="174"/>
      <c r="H243" s="762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4" t="s">
        <v>35</v>
      </c>
      <c r="I244" s="270">
        <f ca="1">IFERROR(__xludf.DUMMYFUNCTION("IMPORTRANGE(""https://docs.google.com/spreadsheets/d/1QqKyyYR6Q21VydFLVH3TRQUabQu_ym0Zz7PgGX0-kHA/edit?usp=sharing"",""แผน!BE51"")"),40)</f>
        <v>40</v>
      </c>
      <c r="J244" s="215">
        <v>40</v>
      </c>
      <c r="K244" s="498">
        <f ca="1">IF(I244&gt;0,J244*100/I244,0)</f>
        <v>100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84" t="s">
        <v>43</v>
      </c>
      <c r="E245" s="178"/>
      <c r="F245" s="178"/>
      <c r="G245" s="179"/>
      <c r="H245" s="764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4" t="s">
        <v>35</v>
      </c>
      <c r="I246" s="270">
        <v>0</v>
      </c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4" t="s">
        <v>66</v>
      </c>
      <c r="I247" s="270">
        <v>1</v>
      </c>
      <c r="J247" s="215">
        <v>1</v>
      </c>
      <c r="K247" s="498">
        <f t="shared" si="112"/>
        <v>100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340"/>
      <c r="B248" s="341"/>
      <c r="C248" s="342" t="s">
        <v>363</v>
      </c>
      <c r="D248" s="343"/>
      <c r="E248" s="343"/>
      <c r="F248" s="343"/>
      <c r="G248" s="344"/>
      <c r="H248" s="266" t="s">
        <v>35</v>
      </c>
      <c r="I248" s="345">
        <f t="shared" ref="I248:J248" ca="1" si="113">I255</f>
        <v>0</v>
      </c>
      <c r="J248" s="345">
        <f t="shared" si="113"/>
        <v>0</v>
      </c>
      <c r="K248" s="346">
        <f t="shared" ca="1" si="112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348"/>
      <c r="B249" s="349"/>
      <c r="C249" s="350" t="s">
        <v>16</v>
      </c>
      <c r="D249" s="928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 hidden="1">
      <c r="A250" s="156"/>
      <c r="B250" s="357"/>
      <c r="C250" s="40"/>
      <c r="D250" s="223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93">
        <f ca="1">IFERROR(__xludf.DUMMYFUNCTION("IMPORTRANGE(""https://docs.google.com/spreadsheets/d/1QqKyyYR6Q21VydFLVH3TRQUabQu_ym0Zz7PgGX0-kHA/edit?usp=sharing"",""แผน!AZ51"")"),0)</f>
        <v>0</v>
      </c>
      <c r="M250" s="93"/>
      <c r="N250" s="358">
        <v>0</v>
      </c>
      <c r="O250" s="93"/>
      <c r="P250" s="93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 hidden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617"/>
      <c r="J251" s="617"/>
      <c r="K251" s="93"/>
      <c r="L251" s="93">
        <f ca="1">IFERROR(__xludf.DUMMYFUNCTION("IMPORTRANGE(""https://docs.google.com/spreadsheets/d/1QqKyyYR6Q21VydFLVH3TRQUabQu_ym0Zz7PgGX0-kHA/edit?usp=sharing"",""แผน!BA51"")"),0)</f>
        <v>0</v>
      </c>
      <c r="M251" s="93"/>
      <c r="N251" s="358">
        <v>0</v>
      </c>
      <c r="O251" s="93"/>
      <c r="P251" s="93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19.5" hidden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617"/>
      <c r="J252" s="617"/>
      <c r="K252" s="93"/>
      <c r="L252" s="93">
        <f ca="1">IFERROR(__xludf.DUMMYFUNCTION("IMPORTRANGE(""https://docs.google.com/spreadsheets/d/1QqKyyYR6Q21VydFLVH3TRQUabQu_ym0Zz7PgGX0-kHA/edit?usp=sharing"",""แผน!BB51"")"),0)</f>
        <v>0</v>
      </c>
      <c r="M252" s="93"/>
      <c r="N252" s="358">
        <v>0</v>
      </c>
      <c r="O252" s="93"/>
      <c r="P252" s="93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19.5" hidden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617"/>
      <c r="J253" s="617"/>
      <c r="K253" s="93"/>
      <c r="L253" s="93">
        <f ca="1">IFERROR(__xludf.DUMMYFUNCTION("IMPORTRANGE(""https://docs.google.com/spreadsheets/d/1QqKyyYR6Q21VydFLVH3TRQUabQu_ym0Zz7PgGX0-kHA/edit?usp=sharing"",""แผน!BC51"")"),0)</f>
        <v>0</v>
      </c>
      <c r="M253" s="93"/>
      <c r="N253" s="358">
        <v>0</v>
      </c>
      <c r="O253" s="93"/>
      <c r="P253" s="93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19.5" hidden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617"/>
      <c r="K254" s="93"/>
      <c r="L254" s="93"/>
      <c r="M254" s="93"/>
      <c r="N254" s="93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 hidden="1">
      <c r="A255" s="362"/>
      <c r="B255" s="363"/>
      <c r="C255" s="363"/>
      <c r="D255" s="367" t="s">
        <v>117</v>
      </c>
      <c r="E255" s="373"/>
      <c r="F255" s="373"/>
      <c r="G255" s="369"/>
      <c r="H255" s="370" t="s">
        <v>35</v>
      </c>
      <c r="I255" s="617">
        <f ca="1">IFERROR(__xludf.DUMMYFUNCTION("IMPORTRANGE(""https://docs.google.com/spreadsheets/d/1QqKyyYR6Q21VydFLVH3TRQUabQu_ym0Zz7PgGX0-kHA/edit?usp=sharing"",""แผน!BF51"")"),0)</f>
        <v>0</v>
      </c>
      <c r="J255" s="371">
        <v>0</v>
      </c>
      <c r="K255" s="93">
        <f ca="1">IF(I255&gt;0,J255*100/I255,0)</f>
        <v>0</v>
      </c>
      <c r="L255" s="93"/>
      <c r="M255" s="93"/>
      <c r="N255" s="93"/>
      <c r="O255" s="93"/>
      <c r="P255" s="93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 hidden="1">
      <c r="A256" s="362"/>
      <c r="B256" s="363"/>
      <c r="C256" s="363"/>
      <c r="D256" s="372" t="s">
        <v>43</v>
      </c>
      <c r="E256" s="373"/>
      <c r="F256" s="373"/>
      <c r="G256" s="369"/>
      <c r="H256" s="370"/>
      <c r="I256" s="617"/>
      <c r="J256" s="617"/>
      <c r="K256" s="93"/>
      <c r="L256" s="93"/>
      <c r="M256" s="93"/>
      <c r="N256" s="93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 hidden="1">
      <c r="A257" s="362"/>
      <c r="B257" s="363"/>
      <c r="C257" s="363"/>
      <c r="D257" s="363"/>
      <c r="E257" s="374" t="s">
        <v>118</v>
      </c>
      <c r="F257" s="373"/>
      <c r="G257" s="369"/>
      <c r="H257" s="370" t="s">
        <v>35</v>
      </c>
      <c r="I257" s="617"/>
      <c r="J257" s="371">
        <v>0</v>
      </c>
      <c r="K257" s="93">
        <f t="shared" ref="K257:K258" si="114">IF(I257&gt;0,J257*100/I257,0)</f>
        <v>0</v>
      </c>
      <c r="L257" s="93"/>
      <c r="M257" s="93"/>
      <c r="N257" s="93"/>
      <c r="O257" s="93"/>
      <c r="P257" s="93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 hidden="1">
      <c r="A258" s="362"/>
      <c r="B258" s="363"/>
      <c r="C258" s="363"/>
      <c r="D258" s="363"/>
      <c r="E258" s="374" t="s">
        <v>119</v>
      </c>
      <c r="F258" s="373"/>
      <c r="G258" s="369"/>
      <c r="H258" s="370" t="s">
        <v>66</v>
      </c>
      <c r="I258" s="617"/>
      <c r="J258" s="371">
        <v>0</v>
      </c>
      <c r="K258" s="93">
        <f t="shared" si="114"/>
        <v>0</v>
      </c>
      <c r="L258" s="93"/>
      <c r="M258" s="93"/>
      <c r="N258" s="93"/>
      <c r="O258" s="93"/>
      <c r="P258" s="93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28800</v>
      </c>
      <c r="N261" s="155">
        <f t="shared" ca="1" si="116"/>
        <v>28800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7"/>
      <c r="J262" s="617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7"/>
      <c r="J263" s="617"/>
      <c r="K263" s="93"/>
      <c r="L263" s="93">
        <f t="shared" ca="1" si="119"/>
        <v>28800</v>
      </c>
      <c r="M263" s="93">
        <f t="shared" ca="1" si="119"/>
        <v>28800</v>
      </c>
      <c r="N263" s="93">
        <f t="shared" ca="1" si="119"/>
        <v>28800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28800</v>
      </c>
      <c r="M264" s="498">
        <f t="shared" ca="1" si="120"/>
        <v>28800</v>
      </c>
      <c r="N264" s="498">
        <f t="shared" ca="1" si="120"/>
        <v>28800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IFERROR(__xludf.DUMMYFUNCTION("IMPORTRANGE(""https://docs.google.com/spreadsheets/d/1MeEWN-I1oV_STSDYn1IFDPWt_1FKiwhDph83XaGc0o0/edit?usp=sharing"",""งบพรบ!CY51"")"),28800)</f>
        <v>28800</v>
      </c>
      <c r="M266" s="93">
        <f ca="1">IFERROR(__xludf.DUMMYFUNCTION("IMPORTRANGE(""https://docs.google.com/spreadsheets/d/1MeEWN-I1oV_STSDYn1IFDPWt_1FKiwhDph83XaGc0o0/edit?usp=sharing"",""งบพรบ!DD51"")"),28800)</f>
        <v>28800</v>
      </c>
      <c r="N266" s="93">
        <f ca="1">IFERROR(__xludf.DUMMYFUNCTION("IMPORTRANGE(""https://docs.google.com/spreadsheets/d/1MeEWN-I1oV_STSDYn1IFDPWt_1FKiwhDph83XaGc0o0/edit?usp=sharing"",""งบพรบ!DF51"")"),28800)</f>
        <v>28800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IFERROR(__xludf.DUMMYFUNCTION("IMPORTRANGE(""https://docs.google.com/spreadsheets/d/1MeEWN-I1oV_STSDYn1IFDPWt_1FKiwhDph83XaGc0o0/edit?usp=sharing"",""งบพรบ!DB51"")"),0)</f>
        <v>0</v>
      </c>
      <c r="M269" s="93">
        <f ca="1">IFERROR(__xludf.DUMMYFUNCTION("IMPORTRANGE(""https://docs.google.com/spreadsheets/d/1MeEWN-I1oV_STSDYn1IFDPWt_1FKiwhDph83XaGc0o0/edit?usp=sharing"",""งบพรบ!DE51"")"),0)</f>
        <v>0</v>
      </c>
      <c r="N269" s="93">
        <f ca="1">IFERROR(__xludf.DUMMYFUNCTION("IMPORTRANGE(""https://docs.google.com/spreadsheets/d/1MeEWN-I1oV_STSDYn1IFDPWt_1FKiwhDph83XaGc0o0/edit?usp=sharing"",""งบพรบ!DG51"")"),0)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7" t="s">
        <v>38</v>
      </c>
      <c r="E270" s="173"/>
      <c r="F270" s="173"/>
      <c r="G270" s="174"/>
      <c r="H270" s="76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IFERROR(__xludf.DUMMYFUNCTION("IMPORTRANGE(""https://docs.google.com/spreadsheets/d/1QqKyyYR6Q21VydFLVH3TRQUabQu_ym0Zz7PgGX0-kHA/edit?usp=sharing"",""แผน!EA51"")"),24)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6">
        <v>0</v>
      </c>
      <c r="J272" s="506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20</v>
      </c>
      <c r="J275" s="406">
        <f t="shared" ca="1" si="122"/>
        <v>20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5">
        <f t="shared" ref="I276:J276" ca="1" si="124">I287</f>
        <v>200</v>
      </c>
      <c r="J276" s="885">
        <f t="shared" si="124"/>
        <v>200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75640</v>
      </c>
      <c r="M277" s="155">
        <f t="shared" ca="1" si="125"/>
        <v>75640</v>
      </c>
      <c r="N277" s="155">
        <f t="shared" ca="1" si="125"/>
        <v>75640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7"/>
      <c r="J278" s="617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7"/>
      <c r="J279" s="617"/>
      <c r="K279" s="93"/>
      <c r="L279" s="93">
        <f t="shared" ca="1" si="128"/>
        <v>75640</v>
      </c>
      <c r="M279" s="93">
        <f t="shared" ca="1" si="128"/>
        <v>75640</v>
      </c>
      <c r="N279" s="93">
        <f t="shared" ca="1" si="128"/>
        <v>75640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75640</v>
      </c>
      <c r="M280" s="498">
        <f t="shared" ca="1" si="129"/>
        <v>75640</v>
      </c>
      <c r="N280" s="498">
        <f t="shared" ca="1" si="129"/>
        <v>75640</v>
      </c>
      <c r="O280" s="498">
        <f t="shared" ca="1" si="126"/>
        <v>100</v>
      </c>
      <c r="P280" s="49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IFERROR(__xludf.DUMMYFUNCTION("IMPORTRANGE(""https://docs.google.com/spreadsheets/d/1MeEWN-I1oV_STSDYn1IFDPWt_1FKiwhDph83XaGc0o0/edit?usp=sharing"",""งบพรบ!DI51"")"),75640)</f>
        <v>75640</v>
      </c>
      <c r="M282" s="93">
        <f ca="1">IFERROR(__xludf.DUMMYFUNCTION("IMPORTRANGE(""https://docs.google.com/spreadsheets/d/1MeEWN-I1oV_STSDYn1IFDPWt_1FKiwhDph83XaGc0o0/edit?usp=sharing"",""งบพรบ!DN51"")"),75640)</f>
        <v>75640</v>
      </c>
      <c r="N282" s="93">
        <f ca="1">IFERROR(__xludf.DUMMYFUNCTION("IMPORTRANGE(""https://docs.google.com/spreadsheets/d/1MeEWN-I1oV_STSDYn1IFDPWt_1FKiwhDph83XaGc0o0/edit?usp=sharing"",""งบพรบ!DP51"")"),75640)</f>
        <v>75640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IFERROR(__xludf.DUMMYFUNCTION("IMPORTRANGE(""https://docs.google.com/spreadsheets/d/1MeEWN-I1oV_STSDYn1IFDPWt_1FKiwhDph83XaGc0o0/edit?usp=sharing"",""งบพรบ!DL51"")"),0)</f>
        <v>0</v>
      </c>
      <c r="M285" s="93">
        <f ca="1">IFERROR(__xludf.DUMMYFUNCTION("IMPORTRANGE(""https://docs.google.com/spreadsheets/d/1MeEWN-I1oV_STSDYn1IFDPWt_1FKiwhDph83XaGc0o0/edit?usp=sharing"",""งบพรบ!DO51"")"),0)</f>
        <v>0</v>
      </c>
      <c r="N285" s="93">
        <f ca="1">IFERROR(__xludf.DUMMYFUNCTION("IMPORTRANGE(""https://docs.google.com/spreadsheets/d/1MeEWN-I1oV_STSDYn1IFDPWt_1FKiwhDph83XaGc0o0/edit?usp=sharing"",""งบพรบ!DQ51"")"),0)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7" t="s">
        <v>38</v>
      </c>
      <c r="E286" s="173"/>
      <c r="F286" s="173"/>
      <c r="G286" s="174"/>
      <c r="H286" s="76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6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IFERROR(__xludf.DUMMYFUNCTION("IMPORTRANGE(""https://docs.google.com/spreadsheets/d/1QqKyyYR6Q21VydFLVH3TRQUabQu_ym0Zz7PgGX0-kHA/edit?usp=sharing"",""แผน!EC51"")"),200)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6" t="s">
        <v>130</v>
      </c>
      <c r="E288" s="171"/>
      <c r="F288" s="178"/>
      <c r="G288" s="179"/>
      <c r="H288" s="180" t="s">
        <v>35</v>
      </c>
      <c r="I288" s="681">
        <f ca="1">IFERROR(__xludf.DUMMYFUNCTION("IMPORTRANGE(""https://docs.google.com/spreadsheets/d/1QqKyyYR6Q21VydFLVH3TRQUabQu_ym0Zz7PgGX0-kHA/edit?usp=sharing"",""แผน!EB51"")"),20)</f>
        <v>20</v>
      </c>
      <c r="J288" s="681">
        <f ca="1">IF(AND(J291&gt;=I288,J294&gt;=I288),J294,0)</f>
        <v>20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6" t="s">
        <v>132</v>
      </c>
      <c r="F290" s="178"/>
      <c r="G290" s="179"/>
      <c r="H290" s="764" t="s">
        <v>35</v>
      </c>
      <c r="I290" s="184">
        <f ca="1">IFERROR(__xludf.DUMMYFUNCTION("IMPORTRANGE(""https://docs.google.com/spreadsheets/d/1QqKyyYR6Q21VydFLVH3TRQUabQu_ym0Zz7PgGX0-kHA/edit?usp=sharing"",""แผน!EB51"")"),20)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6" t="s">
        <v>133</v>
      </c>
      <c r="F291" s="178"/>
      <c r="G291" s="179"/>
      <c r="H291" s="764" t="s">
        <v>35</v>
      </c>
      <c r="I291" s="184">
        <f ca="1">IFERROR(__xludf.DUMMYFUNCTION("IMPORTRANGE(""https://docs.google.com/spreadsheets/d/1QqKyyYR6Q21VydFLVH3TRQUabQu_ym0Zz7PgGX0-kHA/edit?usp=sharing"",""แผน!EB51"")"),20)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6" t="s">
        <v>132</v>
      </c>
      <c r="F293" s="178"/>
      <c r="G293" s="179"/>
      <c r="H293" s="764" t="s">
        <v>35</v>
      </c>
      <c r="I293" s="184">
        <f ca="1">IFERROR(__xludf.DUMMYFUNCTION("IMPORTRANGE(""https://docs.google.com/spreadsheets/d/1QqKyyYR6Q21VydFLVH3TRQUabQu_ym0Zz7PgGX0-kHA/edit?usp=sharing"",""แผน!EB51"")"),20)</f>
        <v>20</v>
      </c>
      <c r="J293" s="215">
        <v>20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4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IFERROR(__xludf.DUMMYFUNCTION("IMPORTRANGE(""https://docs.google.com/spreadsheets/d/1QqKyyYR6Q21VydFLVH3TRQUabQu_ym0Zz7PgGX0-kHA/edit?usp=sharing"",""แผน!EB51"")"),20)</f>
        <v>20</v>
      </c>
      <c r="J294" s="424">
        <v>20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368400</v>
      </c>
      <c r="M298" s="155">
        <f t="shared" ca="1" si="135"/>
        <v>368400</v>
      </c>
      <c r="N298" s="155">
        <f t="shared" ca="1" si="135"/>
        <v>368400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7"/>
      <c r="J299" s="617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7"/>
      <c r="J300" s="617"/>
      <c r="K300" s="93"/>
      <c r="L300" s="93">
        <f t="shared" ca="1" si="138"/>
        <v>368400</v>
      </c>
      <c r="M300" s="93">
        <f t="shared" ca="1" si="138"/>
        <v>368400</v>
      </c>
      <c r="N300" s="93">
        <f t="shared" ca="1" si="138"/>
        <v>368400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368400</v>
      </c>
      <c r="M301" s="498">
        <f t="shared" ca="1" si="139"/>
        <v>368400</v>
      </c>
      <c r="N301" s="498">
        <f t="shared" ca="1" si="139"/>
        <v>368400</v>
      </c>
      <c r="O301" s="498">
        <f t="shared" ca="1" si="136"/>
        <v>100</v>
      </c>
      <c r="P301" s="49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IFERROR(__xludf.DUMMYFUNCTION("IMPORTRANGE(""https://docs.google.com/spreadsheets/d/1MeEWN-I1oV_STSDYn1IFDPWt_1FKiwhDph83XaGc0o0/edit?usp=sharing"",""งบพรบ!DS51"")"),368400)</f>
        <v>368400</v>
      </c>
      <c r="M303" s="93">
        <f ca="1">IFERROR(__xludf.DUMMYFUNCTION("IMPORTRANGE(""https://docs.google.com/spreadsheets/d/1MeEWN-I1oV_STSDYn1IFDPWt_1FKiwhDph83XaGc0o0/edit?usp=sharing"",""งบพรบ!DX51"")"),368400)</f>
        <v>368400</v>
      </c>
      <c r="N303" s="93">
        <f ca="1">IFERROR(__xludf.DUMMYFUNCTION("IMPORTRANGE(""https://docs.google.com/spreadsheets/d/1MeEWN-I1oV_STSDYn1IFDPWt_1FKiwhDph83XaGc0o0/edit?usp=sharing"",""งบพรบ!DZ51"")"),368400)</f>
        <v>368400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IFERROR(__xludf.DUMMYFUNCTION("IMPORTRANGE(""https://docs.google.com/spreadsheets/d/1MeEWN-I1oV_STSDYn1IFDPWt_1FKiwhDph83XaGc0o0/edit?usp=sharing"",""งบพรบ!DV51"")"),0)</f>
        <v>0</v>
      </c>
      <c r="M306" s="93">
        <f ca="1">IFERROR(__xludf.DUMMYFUNCTION("IMPORTRANGE(""https://docs.google.com/spreadsheets/d/1MeEWN-I1oV_STSDYn1IFDPWt_1FKiwhDph83XaGc0o0/edit?usp=sharing"",""งบพรบ!DY51"")"),0)</f>
        <v>0</v>
      </c>
      <c r="N306" s="93">
        <f ca="1">IFERROR(__xludf.DUMMYFUNCTION("IMPORTRANGE(""https://docs.google.com/spreadsheets/d/1MeEWN-I1oV_STSDYn1IFDPWt_1FKiwhDph83XaGc0o0/edit?usp=sharing"",""งบพรบ!EA51"")"),0)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7" t="s">
        <v>38</v>
      </c>
      <c r="E307" s="173"/>
      <c r="F307" s="173"/>
      <c r="G307" s="174"/>
      <c r="H307" s="762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4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4" t="s">
        <v>35</v>
      </c>
      <c r="I309" s="270">
        <f ca="1">IFERROR(__xludf.DUMMYFUNCTION("IMPORTRANGE(""https://docs.google.com/spreadsheets/d/1QqKyyYR6Q21VydFLVH3TRQUabQu_ym0Zz7PgGX0-kHA/edit?usp=sharing"",""แผน!ED51"")"),20)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4" t="s">
        <v>35</v>
      </c>
      <c r="I310" s="270">
        <f ca="1">IFERROR(__xludf.DUMMYFUNCTION("IMPORTRANGE(""https://docs.google.com/spreadsheets/d/1QqKyyYR6Q21VydFLVH3TRQUabQu_ym0Zz7PgGX0-kHA/edit?usp=sharing"",""แผน!ED51"")"),20)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4" t="s">
        <v>35</v>
      </c>
      <c r="I311" s="270">
        <f ca="1">IFERROR(__xludf.DUMMYFUNCTION("IMPORTRANGE(""https://docs.google.com/spreadsheets/d/1QqKyyYR6Q21VydFLVH3TRQUabQu_ym0Zz7PgGX0-kHA/edit?usp=sharing"",""แผน!ED51"")"),20)</f>
        <v>20</v>
      </c>
      <c r="J311" s="215">
        <v>20</v>
      </c>
      <c r="K311" s="498">
        <f t="shared" ca="1" si="141"/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4" t="s">
        <v>35</v>
      </c>
      <c r="I312" s="270">
        <f ca="1">IFERROR(__xludf.DUMMYFUNCTION("IMPORTRANGE(""https://docs.google.com/spreadsheets/d/1QqKyyYR6Q21VydFLVH3TRQUabQu_ym0Zz7PgGX0-kHA/edit?usp=sharing"",""แผน!EE51"")"),4)</f>
        <v>4</v>
      </c>
      <c r="J312" s="215">
        <v>4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7"/>
      <c r="J316" s="617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7"/>
      <c r="J317" s="617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IFERROR(__xludf.DUMMYFUNCTION("IMPORTRANGE(""https://docs.google.com/spreadsheets/d/1MeEWN-I1oV_STSDYn1IFDPWt_1FKiwhDph83XaGc0o0/edit?usp=sharing"",""งบพรบ!EC51"")"),0)</f>
        <v>0</v>
      </c>
      <c r="M320" s="93">
        <f ca="1">IFERROR(__xludf.DUMMYFUNCTION("IMPORTRANGE(""https://docs.google.com/spreadsheets/d/1MeEWN-I1oV_STSDYn1IFDPWt_1FKiwhDph83XaGc0o0/edit?usp=sharing"",""งบพรบ!EH51"")"),0)</f>
        <v>0</v>
      </c>
      <c r="N320" s="93">
        <f ca="1">IFERROR(__xludf.DUMMYFUNCTION("IMPORTRANGE(""https://docs.google.com/spreadsheets/d/1MeEWN-I1oV_STSDYn1IFDPWt_1FKiwhDph83XaGc0o0/edit?usp=sharing"",""งบพรบ!EJ51"")"),0)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IFERROR(__xludf.DUMMYFUNCTION("IMPORTRANGE(""https://docs.google.com/spreadsheets/d/1MeEWN-I1oV_STSDYn1IFDPWt_1FKiwhDph83XaGc0o0/edit?usp=sharing"",""งบพรบ!EF51"")"),0)</f>
        <v>0</v>
      </c>
      <c r="M323" s="93">
        <f ca="1">IFERROR(__xludf.DUMMYFUNCTION("IMPORTRANGE(""https://docs.google.com/spreadsheets/d/1MeEWN-I1oV_STSDYn1IFDPWt_1FKiwhDph83XaGc0o0/edit?usp=sharing"",""งบพรบ!EI51"")"),0)</f>
        <v>0</v>
      </c>
      <c r="N323" s="93">
        <f ca="1">IFERROR(__xludf.DUMMYFUNCTION("IMPORTRANGE(""https://docs.google.com/spreadsheets/d/1MeEWN-I1oV_STSDYn1IFDPWt_1FKiwhDph83XaGc0o0/edit?usp=sharing"",""งบพรบ!EK51"")"),0)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7" t="s">
        <v>38</v>
      </c>
      <c r="E324" s="173"/>
      <c r="F324" s="173"/>
      <c r="G324" s="174"/>
      <c r="H324" s="762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3" t="s">
        <v>146</v>
      </c>
      <c r="I325" s="270">
        <f ca="1">IFERROR(__xludf.DUMMYFUNCTION("IMPORTRANGE(""https://docs.google.com/spreadsheets/d/1QqKyyYR6Q21VydFLVH3TRQUabQu_ym0Zz7PgGX0-kHA/edit?usp=sharing"",""แผน!EF51"")"),0)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IFERROR(__xludf.DUMMYFUNCTION("IMPORTRANGE(""https://docs.google.com/spreadsheets/d/1QqKyyYR6Q21VydFLVH3TRQUabQu_ym0Zz7PgGX0-kHA/edit?usp=sharing"",""แผน!EG51"")"),6500)</f>
        <v>6500</v>
      </c>
      <c r="J327" s="444">
        <f ca="1">J338+J341+J342+J343</f>
        <v>25232</v>
      </c>
      <c r="K327" s="445">
        <f ca="1">IF(I327&gt;0,J327*100/I327,0)</f>
        <v>388.18461538461537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188000</v>
      </c>
      <c r="M328" s="155">
        <f t="shared" ca="1" si="149"/>
        <v>190500</v>
      </c>
      <c r="N328" s="155">
        <f t="shared" ca="1" si="149"/>
        <v>190500</v>
      </c>
      <c r="O328" s="155">
        <f t="shared" ref="O328:O336" ca="1" si="150">IF(L328&gt;0,N328*100/L328,0)</f>
        <v>101.32978723404256</v>
      </c>
      <c r="P328" s="155">
        <f t="shared" ref="P328:P336" ca="1" si="151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7"/>
      <c r="J329" s="617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7"/>
      <c r="J330" s="617"/>
      <c r="K330" s="93"/>
      <c r="L330" s="93">
        <f t="shared" ca="1" si="152"/>
        <v>188000</v>
      </c>
      <c r="M330" s="93">
        <f t="shared" ca="1" si="152"/>
        <v>190500</v>
      </c>
      <c r="N330" s="93">
        <f t="shared" ca="1" si="152"/>
        <v>190500</v>
      </c>
      <c r="O330" s="93">
        <f t="shared" ca="1" si="150"/>
        <v>101.32978723404256</v>
      </c>
      <c r="P330" s="93">
        <f t="shared" ca="1" si="151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188000</v>
      </c>
      <c r="M331" s="498">
        <f t="shared" ca="1" si="153"/>
        <v>190500</v>
      </c>
      <c r="N331" s="498">
        <f t="shared" ca="1" si="153"/>
        <v>190500</v>
      </c>
      <c r="O331" s="498">
        <f t="shared" ca="1" si="150"/>
        <v>101.32978723404256</v>
      </c>
      <c r="P331" s="498">
        <f t="shared" ca="1" si="151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IFERROR(__xludf.DUMMYFUNCTION("IMPORTRANGE(""https://docs.google.com/spreadsheets/d/1MeEWN-I1oV_STSDYn1IFDPWt_1FKiwhDph83XaGc0o0/edit?usp=sharing"",""งบพรบ!EM51"")"),188000)</f>
        <v>188000</v>
      </c>
      <c r="M333" s="93">
        <f ca="1">IFERROR(__xludf.DUMMYFUNCTION("IMPORTRANGE(""https://docs.google.com/spreadsheets/d/1MeEWN-I1oV_STSDYn1IFDPWt_1FKiwhDph83XaGc0o0/edit?usp=sharing"",""งบพรบ!ER51"")"),190500)</f>
        <v>190500</v>
      </c>
      <c r="N333" s="93">
        <f ca="1">IFERROR(__xludf.DUMMYFUNCTION("IMPORTRANGE(""https://docs.google.com/spreadsheets/d/1MeEWN-I1oV_STSDYn1IFDPWt_1FKiwhDph83XaGc0o0/edit?usp=sharing"",""งบพรบ!ET51"")"),190500)</f>
        <v>190500</v>
      </c>
      <c r="O333" s="93">
        <f t="shared" ca="1" si="150"/>
        <v>101.32978723404256</v>
      </c>
      <c r="P333" s="93">
        <f t="shared" ca="1" si="151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IFERROR(__xludf.DUMMYFUNCTION("IMPORTRANGE(""https://docs.google.com/spreadsheets/d/1MeEWN-I1oV_STSDYn1IFDPWt_1FKiwhDph83XaGc0o0/edit?usp=sharing"",""งบพรบ!EP51"")"),0)</f>
        <v>0</v>
      </c>
      <c r="M336" s="93">
        <f ca="1">IFERROR(__xludf.DUMMYFUNCTION("IMPORTRANGE(""https://docs.google.com/spreadsheets/d/1MeEWN-I1oV_STSDYn1IFDPWt_1FKiwhDph83XaGc0o0/edit?usp=sharing"",""งบพรบ!ES51"")"),0)</f>
        <v>0</v>
      </c>
      <c r="N336" s="93">
        <f ca="1">IFERROR(__xludf.DUMMYFUNCTION("IMPORTRANGE(""https://docs.google.com/spreadsheets/d/1MeEWN-I1oV_STSDYn1IFDPWt_1FKiwhDph83XaGc0o0/edit?usp=sharing"",""งบพรบ!EU51"")"),0)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86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62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IFERROR(__xludf.DUMMYFUNCTION("IMPORTRANGE(""https://docs.google.com/spreadsheets/d/1QqKyyYR6Q21VydFLVH3TRQUabQu_ym0Zz7PgGX0-kHA/edit?usp=sharing"",""แผน!EG51"")"),6500)</f>
        <v>6500</v>
      </c>
      <c r="J338" s="270">
        <f ca="1">IFERROR(__xludf.DUMMYFUNCTION("IMPORTRANGE(""https://docs.google.com/spreadsheets/d/1kVcqe37tkHyjCSG3S0O1AXqVkqjo8mSIZil3BcpIysc/edit?usp=sharing"",""ศูนย์!D51"")"),23694)</f>
        <v>23694</v>
      </c>
      <c r="K338" s="498">
        <f ca="1">IF(I338&gt;0,J338*100/I338,0)</f>
        <v>364.52307692307693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IFERROR(__xludf.DUMMYFUNCTION("IMPORTRANGE(""https://docs.google.com/spreadsheets/d/1QqKyyYR6Q21VydFLVH3TRQUabQu_ym0Zz7PgGX0-kHA/edit?usp=sharing"",""แผน!EH51"")"),10)</f>
        <v>10</v>
      </c>
      <c r="J340" s="270">
        <f ca="1">IFERROR(__xludf.DUMMYFUNCTION("IMPORTRANGE(""https://docs.google.com/spreadsheets/d/1kVcqe37tkHyjCSG3S0O1AXqVkqjo8mSIZil3BcpIysc/edit?usp=sharing"",""ศูนย์!E51"")"),10)</f>
        <v>10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IFERROR(__xludf.DUMMYFUNCTION("IMPORTRANGE(""https://docs.google.com/spreadsheets/d/1kVcqe37tkHyjCSG3S0O1AXqVkqjo8mSIZil3BcpIysc/edit?usp=sharing"",""ศูนย์!F51"")"),936)</f>
        <v>936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IFERROR(__xludf.DUMMYFUNCTION("IMPORTRANGE(""https://docs.google.com/spreadsheets/d/1kVcqe37tkHyjCSG3S0O1AXqVkqjo8mSIZil3BcpIysc/edit?usp=sharing"",""ศูนย์!G51"")"),260)</f>
        <v>260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IFERROR(__xludf.DUMMYFUNCTION("IMPORTRANGE(""https://docs.google.com/spreadsheets/d/1kVcqe37tkHyjCSG3S0O1AXqVkqjo8mSIZil3BcpIysc/edit?usp=sharing"",""ศูนย์!H51"")"),342)</f>
        <v>342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2256200</v>
      </c>
      <c r="M345" s="155">
        <f t="shared" ca="1" si="155"/>
        <v>2730200</v>
      </c>
      <c r="N345" s="155">
        <f t="shared" ca="1" si="155"/>
        <v>2730200</v>
      </c>
      <c r="O345" s="155">
        <f t="shared" ref="O345:O353" ca="1" si="156">IF(L345&gt;0,N345*100/L345,0)</f>
        <v>121.00877581774665</v>
      </c>
      <c r="P345" s="155">
        <f t="shared" ref="P345:P353" ca="1" si="157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7"/>
      <c r="J346" s="617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7"/>
      <c r="J347" s="617"/>
      <c r="K347" s="93"/>
      <c r="L347" s="93">
        <f t="shared" ca="1" si="158"/>
        <v>2256200</v>
      </c>
      <c r="M347" s="93">
        <f t="shared" ca="1" si="158"/>
        <v>2730200</v>
      </c>
      <c r="N347" s="93">
        <f t="shared" ca="1" si="158"/>
        <v>2730200</v>
      </c>
      <c r="O347" s="93">
        <f t="shared" ca="1" si="156"/>
        <v>121.00877581774665</v>
      </c>
      <c r="P347" s="93">
        <f t="shared" ca="1" si="157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2180200</v>
      </c>
      <c r="M348" s="498">
        <f t="shared" ca="1" si="159"/>
        <v>2570200</v>
      </c>
      <c r="N348" s="498">
        <f t="shared" ca="1" si="159"/>
        <v>2570200</v>
      </c>
      <c r="O348" s="498">
        <f t="shared" ca="1" si="156"/>
        <v>117.88826713145583</v>
      </c>
      <c r="P348" s="498">
        <f t="shared" ca="1" si="157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IFERROR(__xludf.DUMMYFUNCTION("IMPORTRANGE(""https://docs.google.com/spreadsheets/d/1MeEWN-I1oV_STSDYn1IFDPWt_1FKiwhDph83XaGc0o0/edit?usp=sharing"",""งบพรบ!EW51"")"),2180200)</f>
        <v>2180200</v>
      </c>
      <c r="M350" s="93">
        <f ca="1">IFERROR(__xludf.DUMMYFUNCTION("IMPORTRANGE(""https://docs.google.com/spreadsheets/d/1MeEWN-I1oV_STSDYn1IFDPWt_1FKiwhDph83XaGc0o0/edit?usp=sharing"",""งบพรบ!FB51"")"),2570200)</f>
        <v>2570200</v>
      </c>
      <c r="N350" s="93">
        <f ca="1">IFERROR(__xludf.DUMMYFUNCTION("IMPORTRANGE(""https://docs.google.com/spreadsheets/d/1MeEWN-I1oV_STSDYn1IFDPWt_1FKiwhDph83XaGc0o0/edit?usp=sharing"",""งบพรบ!FD51"")"),2570200)</f>
        <v>2570200</v>
      </c>
      <c r="O350" s="93">
        <f t="shared" ca="1" si="156"/>
        <v>117.88826713145583</v>
      </c>
      <c r="P350" s="93">
        <f t="shared" ca="1" si="157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160000</v>
      </c>
      <c r="N351" s="498">
        <f t="shared" ca="1" si="160"/>
        <v>160000</v>
      </c>
      <c r="O351" s="498">
        <f t="shared" ca="1" si="156"/>
        <v>210.52631578947367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IFERROR(__xludf.DUMMYFUNCTION("IMPORTRANGE(""https://docs.google.com/spreadsheets/d/1MeEWN-I1oV_STSDYn1IFDPWt_1FKiwhDph83XaGc0o0/edit?usp=sharing"",""งบพรบ!EZ51"")"),76000)</f>
        <v>76000</v>
      </c>
      <c r="M353" s="93">
        <f ca="1">IFERROR(__xludf.DUMMYFUNCTION("IMPORTRANGE(""https://docs.google.com/spreadsheets/d/1MeEWN-I1oV_STSDYn1IFDPWt_1FKiwhDph83XaGc0o0/edit?usp=sharing"",""งบพรบ!FC51"")"),160000)</f>
        <v>160000</v>
      </c>
      <c r="N353" s="93">
        <f ca="1">IFERROR(__xludf.DUMMYFUNCTION("IMPORTRANGE(""https://docs.google.com/spreadsheets/d/1MeEWN-I1oV_STSDYn1IFDPWt_1FKiwhDph83XaGc0o0/edit?usp=sharing"",""งบพรบ!FE51"")"),160000)</f>
        <v>160000</v>
      </c>
      <c r="O353" s="93">
        <f t="shared" ca="1" si="156"/>
        <v>210.52631578947367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8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IFERROR(__xludf.DUMMYFUNCTION("IMPORTRANGE(""https://docs.google.com/spreadsheets/d/1QqKyyYR6Q21VydFLVH3TRQUabQu_ym0Zz7PgGX0-kHA/edit?usp=sharing"",""แผน!EP51"")"),1600)</f>
        <v>1600</v>
      </c>
      <c r="J355" s="465">
        <f ca="1">J362</f>
        <v>1399</v>
      </c>
      <c r="K355" s="466">
        <f ca="1">IF(I355&gt;0,J355*100/I355,0)</f>
        <v>87.4375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77" t="s">
        <v>38</v>
      </c>
      <c r="E357" s="173"/>
      <c r="F357" s="173"/>
      <c r="G357" s="174"/>
      <c r="H357" s="762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IFERROR(__xludf.DUMMYFUNCTION("IMPORTRANGE(""https://docs.google.com/spreadsheets/d/1XWAQStnk-4SwqDmLtmXYiTMKHgktTP8We1SCoS47DrQ/edit?usp=sharing"",""จัดที่ดิน!W51"")"),2120)</f>
        <v>2120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IFERROR(__xludf.DUMMYFUNCTION("IMPORTRANGE(""https://docs.google.com/spreadsheets/d/1QqKyyYR6Q21VydFLVH3TRQUabQu_ym0Zz7PgGX0-kHA/edit?usp=sharing"",""แผน!EO51"")"),16000)</f>
        <v>16000</v>
      </c>
      <c r="J359" s="270">
        <f ca="1">IFERROR(__xludf.DUMMYFUNCTION("IMPORTRANGE(""https://docs.google.com/spreadsheets/d/1XWAQStnk-4SwqDmLtmXYiTMKHgktTP8We1SCoS47DrQ/edit?usp=sharing"",""จัดที่ดิน!X51"")"),17245.53)</f>
        <v>17245.53</v>
      </c>
      <c r="K359" s="498">
        <f t="shared" ca="1" si="161"/>
        <v>107.78456250000001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4" t="s">
        <v>35</v>
      </c>
      <c r="I360" s="270">
        <f ca="1">IFERROR(__xludf.DUMMYFUNCTION("IMPORTRANGE(""https://docs.google.com/spreadsheets/d/1QqKyyYR6Q21VydFLVH3TRQUabQu_ym0Zz7PgGX0-kHA/edit?usp=sharing"",""แผน!EP51"")"),1600)</f>
        <v>1600</v>
      </c>
      <c r="J360" s="270">
        <f ca="1">IFERROR(__xludf.DUMMYFUNCTION("IMPORTRANGE(""https://docs.google.com/spreadsheets/d/1XWAQStnk-4SwqDmLtmXYiTMKHgktTP8We1SCoS47DrQ/edit?usp=sharing"",""จัดที่ดิน!Y51"")"),1856)</f>
        <v>1856</v>
      </c>
      <c r="K360" s="498">
        <f t="shared" ca="1" si="161"/>
        <v>116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IFERROR(__xludf.DUMMYFUNCTION("IMPORTRANGE(""https://docs.google.com/spreadsheets/d/1XWAQStnk-4SwqDmLtmXYiTMKHgktTP8We1SCoS47DrQ/edit?usp=sharing"",""จัดที่ดิน!Z51"")"),15366.02)</f>
        <v>15366.02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4" t="s">
        <v>35</v>
      </c>
      <c r="I362" s="270">
        <f ca="1">IFERROR(__xludf.DUMMYFUNCTION("IMPORTRANGE(""https://docs.google.com/spreadsheets/d/1QqKyyYR6Q21VydFLVH3TRQUabQu_ym0Zz7PgGX0-kHA/edit?usp=sharing"",""แผน!EP51"")"),1600)</f>
        <v>1600</v>
      </c>
      <c r="J362" s="270">
        <f ca="1">IFERROR(__xludf.DUMMYFUNCTION("IMPORTRANGE(""https://docs.google.com/spreadsheets/d/1XWAQStnk-4SwqDmLtmXYiTMKHgktTP8We1SCoS47DrQ/edit?usp=sharing"",""จัดที่ดิน!AA51"")"),1399)</f>
        <v>1399</v>
      </c>
      <c r="K362" s="498">
        <f t="shared" ca="1" si="161"/>
        <v>87.4375</v>
      </c>
      <c r="L362" s="163"/>
      <c r="M362" s="163"/>
      <c r="N362" s="163"/>
      <c r="O362" s="163"/>
      <c r="P362" s="163"/>
    </row>
    <row r="363" spans="1:26" ht="18.75" hidden="1">
      <c r="A363" s="499" t="s">
        <v>169</v>
      </c>
      <c r="B363" s="178"/>
      <c r="C363" s="171"/>
      <c r="D363" s="178"/>
      <c r="E363" s="447"/>
      <c r="F363" s="178"/>
      <c r="G363" s="179"/>
      <c r="H363" s="76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IFERROR(__xludf.DUMMYFUNCTION("IMPORTRANGE(""https://docs.google.com/spreadsheets/d/1XWAQStnk-4SwqDmLtmXYiTMKHgktTP8We1SCoS47DrQ/edit?usp=sharing"",""จัดที่ดิน!AB51"")"),11708.0299999999)</f>
        <v>11708.029999999901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t="shared" ref="I364:J364" ca="1" si="162">I365+I374</f>
        <v>1800</v>
      </c>
      <c r="J364" s="479">
        <f t="shared" ca="1" si="162"/>
        <v>1873</v>
      </c>
      <c r="K364" s="480">
        <f t="shared" ca="1" si="161"/>
        <v>104.05555555555556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IFERROR(__xludf.DUMMYFUNCTION("IMPORTRANGE(""https://docs.google.com/spreadsheets/d/1QqKyyYR6Q21VydFLVH3TRQUabQu_ym0Zz7PgGX0-kHA/edit?usp=sharing"",""แผน!EJ51"")"),300)</f>
        <v>300</v>
      </c>
      <c r="J365" s="491">
        <f ca="1">J372</f>
        <v>305</v>
      </c>
      <c r="K365" s="492">
        <f t="shared" ca="1" si="161"/>
        <v>101.66666666666667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77" t="s">
        <v>38</v>
      </c>
      <c r="E367" s="173"/>
      <c r="F367" s="173"/>
      <c r="G367" s="174"/>
      <c r="H367" s="762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IFERROR(__xludf.DUMMYFUNCTION("IMPORTRANGE(""https://docs.google.com/spreadsheets/d/1XWAQStnk-4SwqDmLtmXYiTMKHgktTP8We1SCoS47DrQ/edit?usp=sharing"",""จัดที่ดิน!E51"")"),610)</f>
        <v>610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IFERROR(__xludf.DUMMYFUNCTION("IMPORTRANGE(""https://docs.google.com/spreadsheets/d/1QqKyyYR6Q21VydFLVH3TRQUabQu_ym0Zz7PgGX0-kHA/edit?usp=sharing"",""แผน!EI51"")"),3000)</f>
        <v>3000</v>
      </c>
      <c r="J369" s="270">
        <f ca="1">IFERROR(__xludf.DUMMYFUNCTION("IMPORTRANGE(""https://docs.google.com/spreadsheets/d/1XWAQStnk-4SwqDmLtmXYiTMKHgktTP8We1SCoS47DrQ/edit?usp=sharing"",""จัดที่ดิน!F51"")"),4117.17)</f>
        <v>4117.17</v>
      </c>
      <c r="K369" s="498">
        <f t="shared" ca="1" si="163"/>
        <v>137.239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4" t="s">
        <v>35</v>
      </c>
      <c r="I370" s="270">
        <f ca="1">IFERROR(__xludf.DUMMYFUNCTION("IMPORTRANGE(""https://docs.google.com/spreadsheets/d/1QqKyyYR6Q21VydFLVH3TRQUabQu_ym0Zz7PgGX0-kHA/edit?usp=sharing"",""แผน!EJ51"")"),300)</f>
        <v>300</v>
      </c>
      <c r="J370" s="270">
        <f ca="1">IFERROR(__xludf.DUMMYFUNCTION("IMPORTRANGE(""https://docs.google.com/spreadsheets/d/1XWAQStnk-4SwqDmLtmXYiTMKHgktTP8We1SCoS47DrQ/edit?usp=sharing"",""จัดที่ดิน!G51"")"),346)</f>
        <v>346</v>
      </c>
      <c r="K370" s="498">
        <f t="shared" ca="1" si="163"/>
        <v>115.33333333333333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IFERROR(__xludf.DUMMYFUNCTION("IMPORTRANGE(""https://docs.google.com/spreadsheets/d/1XWAQStnk-4SwqDmLtmXYiTMKHgktTP8We1SCoS47DrQ/edit?usp=sharing"",""จัดที่ดิน!H51"")"),2263.5)</f>
        <v>2263.5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4" t="s">
        <v>35</v>
      </c>
      <c r="I372" s="270">
        <f ca="1">IFERROR(__xludf.DUMMYFUNCTION("IMPORTRANGE(""https://docs.google.com/spreadsheets/d/1QqKyyYR6Q21VydFLVH3TRQUabQu_ym0Zz7PgGX0-kHA/edit?usp=sharing"",""แผน!EJ51"")"),300)</f>
        <v>300</v>
      </c>
      <c r="J372" s="270">
        <f ca="1">IFERROR(__xludf.DUMMYFUNCTION("IMPORTRANGE(""https://docs.google.com/spreadsheets/d/1XWAQStnk-4SwqDmLtmXYiTMKHgktTP8We1SCoS47DrQ/edit?usp=sharing"",""จัดที่ดิน!I51"")"),305)</f>
        <v>305</v>
      </c>
      <c r="K372" s="498">
        <f t="shared" ca="1" si="163"/>
        <v>101.66666666666667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8"/>
      <c r="C373" s="171"/>
      <c r="D373" s="178"/>
      <c r="E373" s="447"/>
      <c r="F373" s="178"/>
      <c r="G373" s="179"/>
      <c r="H373" s="76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IFERROR(__xludf.DUMMYFUNCTION("IMPORTRANGE(""https://docs.google.com/spreadsheets/d/1XWAQStnk-4SwqDmLtmXYiTMKHgktTP8We1SCoS47DrQ/edit?usp=sharing"",""จัดที่ดิน!J51"")"),1973.37)</f>
        <v>1973.37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IFERROR(__xludf.DUMMYFUNCTION("IMPORTRANGE(""https://docs.google.com/spreadsheets/d/1QqKyyYR6Q21VydFLVH3TRQUabQu_ym0Zz7PgGX0-kHA/edit?usp=sharing"",""แผน!EU51"")"),1500)</f>
        <v>1500</v>
      </c>
      <c r="J374" s="491">
        <f ca="1">J381</f>
        <v>1568</v>
      </c>
      <c r="K374" s="492">
        <f t="shared" ca="1" si="163"/>
        <v>104.53333333333333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77" t="s">
        <v>38</v>
      </c>
      <c r="E376" s="173"/>
      <c r="F376" s="173"/>
      <c r="G376" s="174"/>
      <c r="H376" s="762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IFERROR(__xludf.DUMMYFUNCTION("IMPORTRANGE(""https://docs.google.com/spreadsheets/d/1XWAQStnk-4SwqDmLtmXYiTMKHgktTP8We1SCoS47DrQ/edit?usp=sharing"",""จัดที่ดิน!AH51"")"),1510)</f>
        <v>1510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IFERROR(__xludf.DUMMYFUNCTION("IMPORTRANGE(""https://docs.google.com/spreadsheets/d/1QqKyyYR6Q21VydFLVH3TRQUabQu_ym0Zz7PgGX0-kHA/edit?usp=sharing"",""แผน!ET51"")"),13000)</f>
        <v>13000</v>
      </c>
      <c r="J378" s="270">
        <f ca="1">IFERROR(__xludf.DUMMYFUNCTION("IMPORTRANGE(""https://docs.google.com/spreadsheets/d/1XWAQStnk-4SwqDmLtmXYiTMKHgktTP8We1SCoS47DrQ/edit?usp=sharing"",""จัดที่ดิน!AI51"")"),13128.36)</f>
        <v>13128.36</v>
      </c>
      <c r="K378" s="498">
        <f t="shared" ca="1" si="164"/>
        <v>100.98738461538461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4" t="s">
        <v>35</v>
      </c>
      <c r="I379" s="270">
        <f ca="1">IFERROR(__xludf.DUMMYFUNCTION("IMPORTRANGE(""https://docs.google.com/spreadsheets/d/1QqKyyYR6Q21VydFLVH3TRQUabQu_ym0Zz7PgGX0-kHA/edit?usp=sharing"",""แผน!EU51"")"),1500)</f>
        <v>1500</v>
      </c>
      <c r="J379" s="270">
        <f ca="1">IFERROR(__xludf.DUMMYFUNCTION("IMPORTRANGE(""https://docs.google.com/spreadsheets/d/1XWAQStnk-4SwqDmLtmXYiTMKHgktTP8We1SCoS47DrQ/edit?usp=sharing"",""จัดที่ดิน!AJ51"")"),1984)</f>
        <v>1984</v>
      </c>
      <c r="K379" s="498">
        <f t="shared" ca="1" si="164"/>
        <v>132.26666666666668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IFERROR(__xludf.DUMMYFUNCTION("IMPORTRANGE(""https://docs.google.com/spreadsheets/d/1XWAQStnk-4SwqDmLtmXYiTMKHgktTP8We1SCoS47DrQ/edit?usp=sharing"",""จัดที่ดิน!AK51"")"),18710.88)</f>
        <v>18710.88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4" t="s">
        <v>35</v>
      </c>
      <c r="I381" s="270">
        <f ca="1">IFERROR(__xludf.DUMMYFUNCTION("IMPORTRANGE(""https://docs.google.com/spreadsheets/d/1QqKyyYR6Q21VydFLVH3TRQUabQu_ym0Zz7PgGX0-kHA/edit?usp=sharing"",""แผน!EU51"")"),1500)</f>
        <v>1500</v>
      </c>
      <c r="J381" s="270">
        <f ca="1">IFERROR(__xludf.DUMMYFUNCTION("IMPORTRANGE(""https://docs.google.com/spreadsheets/d/1XWAQStnk-4SwqDmLtmXYiTMKHgktTP8We1SCoS47DrQ/edit?usp=sharing"",""จัดที่ดิน!AL51"")"),1568)</f>
        <v>1568</v>
      </c>
      <c r="K381" s="498">
        <f t="shared" ca="1" si="164"/>
        <v>104.53333333333333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8"/>
      <c r="C382" s="171"/>
      <c r="D382" s="178"/>
      <c r="E382" s="447"/>
      <c r="F382" s="178"/>
      <c r="G382" s="179"/>
      <c r="H382" s="76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IFERROR(__xludf.DUMMYFUNCTION("IMPORTRANGE(""https://docs.google.com/spreadsheets/d/1XWAQStnk-4SwqDmLtmXYiTMKHgktTP8We1SCoS47DrQ/edit?usp=sharing"",""จัดที่ดิน!AM51"")"),15343.02)</f>
        <v>15343.02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87" t="s">
        <v>170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86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62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4" t="s">
        <v>171</v>
      </c>
      <c r="F385" s="381"/>
      <c r="G385" s="382"/>
      <c r="H385" s="505" t="s">
        <v>35</v>
      </c>
      <c r="I385" s="506">
        <f ca="1">IFERROR(__xludf.DUMMYFUNCTION("IMPORTRANGE(""https://docs.google.com/spreadsheets/d/1QqKyyYR6Q21VydFLVH3TRQUabQu_ym0Zz7PgGX0-kHA/edit?usp=sharing"",""แผน!EW51"")"),70)</f>
        <v>70</v>
      </c>
      <c r="J385" s="506">
        <f ca="1">IFERROR(__xludf.DUMMYFUNCTION("IMPORTRANGE(""https://docs.google.com/spreadsheets/d/1XWAQStnk-4SwqDmLtmXYiTMKHgktTP8We1SCoS47DrQ/edit?usp=sharing"",""จัดที่ดิน!AP51"")"),4)</f>
        <v>4</v>
      </c>
      <c r="K385" s="507">
        <f ca="1">IF(I385&gt;0,J385*100/I385,0)</f>
        <v>5.7142857142857144</v>
      </c>
      <c r="L385" s="385"/>
      <c r="M385" s="385"/>
      <c r="N385" s="385"/>
      <c r="O385" s="385"/>
      <c r="P385" s="385"/>
    </row>
    <row r="386" spans="1:26" ht="19.5" hidden="1">
      <c r="A386" s="508" t="s">
        <v>172</v>
      </c>
      <c r="B386" s="509"/>
      <c r="C386" s="509"/>
      <c r="D386" s="509"/>
      <c r="E386" s="510"/>
      <c r="F386" s="510"/>
      <c r="G386" s="511"/>
      <c r="H386" s="512"/>
      <c r="I386" s="513"/>
      <c r="J386" s="513"/>
      <c r="K386" s="514"/>
      <c r="L386" s="514"/>
      <c r="M386" s="514"/>
      <c r="N386" s="514"/>
      <c r="O386" s="514"/>
      <c r="P386" s="514"/>
    </row>
    <row r="387" spans="1:26" ht="19.5" hidden="1">
      <c r="A387" s="515" t="s">
        <v>173</v>
      </c>
      <c r="B387" s="516"/>
      <c r="C387" s="516"/>
      <c r="D387" s="517"/>
      <c r="E387" s="516"/>
      <c r="F387" s="516"/>
      <c r="G387" s="516"/>
      <c r="H387" s="518"/>
      <c r="I387" s="519"/>
      <c r="J387" s="519"/>
      <c r="K387" s="520"/>
      <c r="L387" s="520"/>
      <c r="M387" s="520"/>
      <c r="N387" s="520"/>
      <c r="O387" s="520"/>
      <c r="P387" s="520"/>
    </row>
    <row r="388" spans="1:26" ht="19.5" hidden="1">
      <c r="A388" s="521"/>
      <c r="B388" s="522" t="s">
        <v>174</v>
      </c>
      <c r="C388" s="523"/>
      <c r="D388" s="524"/>
      <c r="E388" s="524"/>
      <c r="F388" s="524"/>
      <c r="G388" s="525"/>
      <c r="H388" s="526" t="s">
        <v>66</v>
      </c>
      <c r="I388" s="527">
        <f t="shared" ref="I388:J388" si="165">I400</f>
        <v>0</v>
      </c>
      <c r="J388" s="527">
        <f t="shared" si="165"/>
        <v>0</v>
      </c>
      <c r="K388" s="528">
        <f>IF(I388&gt;0,J388*100/I388,0)</f>
        <v>0</v>
      </c>
      <c r="L388" s="529"/>
      <c r="M388" s="529"/>
      <c r="N388" s="529"/>
      <c r="O388" s="529"/>
      <c r="P388" s="529"/>
    </row>
    <row r="389" spans="1:26" ht="19.5" hidden="1">
      <c r="A389" s="147"/>
      <c r="B389" s="148"/>
      <c r="C389" s="149" t="s">
        <v>16</v>
      </c>
      <c r="D389" s="87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7"/>
      <c r="J390" s="617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7"/>
      <c r="J391" s="617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IFERROR(__xludf.DUMMYFUNCTION("IMPORTRANGE(""https://docs.google.com/spreadsheets/d/1MeEWN-I1oV_STSDYn1IFDPWt_1FKiwhDph83XaGc0o0/edit?usp=sharing"",""งบพรบ!FG51"")"),0)</f>
        <v>0</v>
      </c>
      <c r="M394" s="93">
        <f ca="1">IFERROR(__xludf.DUMMYFUNCTION("IMPORTRANGE(""https://docs.google.com/spreadsheets/d/1MeEWN-I1oV_STSDYn1IFDPWt_1FKiwhDph83XaGc0o0/edit?usp=sharing"",""งบพรบ!FL51"")"),0)</f>
        <v>0</v>
      </c>
      <c r="N394" s="93">
        <f ca="1">IFERROR(__xludf.DUMMYFUNCTION("IMPORTRANGE(""https://docs.google.com/spreadsheets/d/1MeEWN-I1oV_STSDYn1IFDPWt_1FKiwhDph83XaGc0o0/edit?usp=sharing"",""งบพรบ!FN51"")"),0)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IFERROR(__xludf.DUMMYFUNCTION("IMPORTRANGE(""https://docs.google.com/spreadsheets/d/1MeEWN-I1oV_STSDYn1IFDPWt_1FKiwhDph83XaGc0o0/edit?usp=sharing"",""งบพรบ!FJ51"")"),0)</f>
        <v>0</v>
      </c>
      <c r="M397" s="93">
        <f ca="1">IFERROR(__xludf.DUMMYFUNCTION("IMPORTRANGE(""https://docs.google.com/spreadsheets/d/1MeEWN-I1oV_STSDYn1IFDPWt_1FKiwhDph83XaGc0o0/edit?usp=sharing"",""งบพรบ!FM51"")"),0)</f>
        <v>0</v>
      </c>
      <c r="N397" s="93">
        <f ca="1">IFERROR(__xludf.DUMMYFUNCTION("IMPORTRANGE(""https://docs.google.com/spreadsheets/d/1MeEWN-I1oV_STSDYn1IFDPWt_1FKiwhDph83XaGc0o0/edit?usp=sharing"",""งบพรบ!FO51"")"),0)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7" t="s">
        <v>38</v>
      </c>
      <c r="E398" s="173"/>
      <c r="F398" s="173"/>
      <c r="G398" s="174"/>
      <c r="H398" s="762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30"/>
      <c r="B399" s="148"/>
      <c r="C399" s="531"/>
      <c r="D399" s="532" t="s">
        <v>175</v>
      </c>
      <c r="E399" s="415"/>
      <c r="F399" s="148"/>
      <c r="G399" s="151"/>
      <c r="H399" s="533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4"/>
      <c r="M399" s="534"/>
      <c r="N399" s="534"/>
      <c r="O399" s="534"/>
      <c r="P399" s="534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1"/>
      <c r="B401" s="522" t="s">
        <v>177</v>
      </c>
      <c r="C401" s="523"/>
      <c r="D401" s="524"/>
      <c r="E401" s="524"/>
      <c r="F401" s="524"/>
      <c r="G401" s="525"/>
      <c r="H401" s="526" t="s">
        <v>66</v>
      </c>
      <c r="I401" s="527">
        <f t="shared" ref="I401:J401" si="173">I412</f>
        <v>0</v>
      </c>
      <c r="J401" s="527">
        <f t="shared" si="173"/>
        <v>0</v>
      </c>
      <c r="K401" s="528">
        <f t="shared" si="172"/>
        <v>0</v>
      </c>
      <c r="L401" s="529"/>
      <c r="M401" s="529"/>
      <c r="N401" s="529"/>
      <c r="O401" s="529"/>
      <c r="P401" s="529"/>
    </row>
    <row r="402" spans="1:26" ht="19.5" hidden="1">
      <c r="A402" s="147"/>
      <c r="B402" s="148"/>
      <c r="C402" s="149" t="s">
        <v>16</v>
      </c>
      <c r="D402" s="87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7"/>
      <c r="J403" s="617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7"/>
      <c r="J404" s="617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IFERROR(__xludf.DUMMYFUNCTION("IMPORTRANGE(""https://docs.google.com/spreadsheets/d/1MeEWN-I1oV_STSDYn1IFDPWt_1FKiwhDph83XaGc0o0/edit?usp=sharing"",""งบพรบ!FQ51"")"),0)</f>
        <v>0</v>
      </c>
      <c r="M407" s="93">
        <f ca="1">IFERROR(__xludf.DUMMYFUNCTION("IMPORTRANGE(""https://docs.google.com/spreadsheets/d/1MeEWN-I1oV_STSDYn1IFDPWt_1FKiwhDph83XaGc0o0/edit?usp=sharing"",""งบพรบ!FV51"")"),0)</f>
        <v>0</v>
      </c>
      <c r="N407" s="93">
        <f ca="1">IFERROR(__xludf.DUMMYFUNCTION("IMPORTRANGE(""https://docs.google.com/spreadsheets/d/1MeEWN-I1oV_STSDYn1IFDPWt_1FKiwhDph83XaGc0o0/edit?usp=sharing"",""งบพรบ!FX51"")"),0)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IFERROR(__xludf.DUMMYFUNCTION("IMPORTRANGE(""https://docs.google.com/spreadsheets/d/1MeEWN-I1oV_STSDYn1IFDPWt_1FKiwhDph83XaGc0o0/edit?usp=sharing"",""งบพรบ!FT51"")"),0)</f>
        <v>0</v>
      </c>
      <c r="M410" s="93">
        <f ca="1">IFERROR(__xludf.DUMMYFUNCTION("IMPORTRANGE(""https://docs.google.com/spreadsheets/d/1MeEWN-I1oV_STSDYn1IFDPWt_1FKiwhDph83XaGc0o0/edit?usp=sharing"",""งบพรบ!FW51"")"),0)</f>
        <v>0</v>
      </c>
      <c r="N410" s="93">
        <f ca="1">IFERROR(__xludf.DUMMYFUNCTION("IMPORTRANGE(""https://docs.google.com/spreadsheets/d/1MeEWN-I1oV_STSDYn1IFDPWt_1FKiwhDph83XaGc0o0/edit?usp=sharing"",""งบพรบ!FY51"")"),0)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90" t="s">
        <v>38</v>
      </c>
      <c r="E411" s="536"/>
      <c r="F411" s="536"/>
      <c r="G411" s="537"/>
      <c r="H411" s="762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8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9"/>
      <c r="B413" s="540"/>
      <c r="C413" s="540"/>
      <c r="D413" s="541" t="s">
        <v>179</v>
      </c>
      <c r="E413" s="540"/>
      <c r="F413" s="540"/>
      <c r="G413" s="542"/>
      <c r="H413" s="543" t="s">
        <v>180</v>
      </c>
      <c r="I413" s="544">
        <v>0</v>
      </c>
      <c r="J413" s="545">
        <v>0</v>
      </c>
      <c r="K413" s="546">
        <f t="shared" si="180"/>
        <v>0</v>
      </c>
      <c r="L413" s="547"/>
      <c r="M413" s="547"/>
      <c r="N413" s="547"/>
      <c r="O413" s="547"/>
      <c r="P413" s="547"/>
    </row>
    <row r="414" spans="1:26" ht="19.5">
      <c r="A414" s="548" t="s">
        <v>181</v>
      </c>
      <c r="B414" s="549"/>
      <c r="C414" s="549"/>
      <c r="D414" s="549"/>
      <c r="E414" s="549"/>
      <c r="F414" s="549"/>
      <c r="G414" s="550"/>
      <c r="H414" s="551"/>
      <c r="I414" s="552"/>
      <c r="J414" s="552"/>
      <c r="K414" s="553"/>
      <c r="L414" s="554">
        <f t="shared" ref="L414:N414" ca="1" si="181">L419+L444+L467+L502+L523+L544+L629+L655+L685+L737+L754+L770+L786+L805</f>
        <v>3267692</v>
      </c>
      <c r="M414" s="554">
        <f t="shared" ca="1" si="181"/>
        <v>3204530.5999999996</v>
      </c>
      <c r="N414" s="554">
        <f t="shared" si="181"/>
        <v>2385521.6</v>
      </c>
      <c r="O414" s="554">
        <f ca="1">IF(L414&gt;0,N414*100/L414,0)</f>
        <v>73.003257344939485</v>
      </c>
      <c r="P414" s="554">
        <f ca="1">IF(M414&gt;0,N414*100/M414,0)</f>
        <v>74.442153868026736</v>
      </c>
    </row>
    <row r="415" spans="1:26" ht="19.5">
      <c r="A415" s="555" t="s">
        <v>182</v>
      </c>
      <c r="B415" s="556"/>
      <c r="C415" s="556"/>
      <c r="D415" s="556"/>
      <c r="E415" s="556"/>
      <c r="F415" s="556"/>
      <c r="G415" s="556"/>
      <c r="H415" s="557"/>
      <c r="I415" s="558"/>
      <c r="J415" s="558"/>
      <c r="K415" s="559"/>
      <c r="L415" s="560"/>
      <c r="M415" s="560"/>
      <c r="N415" s="560"/>
      <c r="O415" s="560"/>
      <c r="P415" s="560"/>
    </row>
    <row r="416" spans="1:26" ht="19.5">
      <c r="A416" s="555" t="s">
        <v>183</v>
      </c>
      <c r="B416" s="556"/>
      <c r="C416" s="556"/>
      <c r="D416" s="556"/>
      <c r="E416" s="556"/>
      <c r="F416" s="556"/>
      <c r="G416" s="561"/>
      <c r="H416" s="562"/>
      <c r="I416" s="563"/>
      <c r="J416" s="563"/>
      <c r="K416" s="560"/>
      <c r="L416" s="560"/>
      <c r="M416" s="560"/>
      <c r="N416" s="560"/>
      <c r="O416" s="560"/>
      <c r="P416" s="560"/>
    </row>
    <row r="417" spans="1:26" ht="39">
      <c r="A417" s="564">
        <v>1</v>
      </c>
      <c r="B417" s="566" t="s">
        <v>184</v>
      </c>
      <c r="C417" s="566"/>
      <c r="D417" s="567"/>
      <c r="E417" s="567"/>
      <c r="F417" s="567"/>
      <c r="G417" s="568"/>
      <c r="H417" s="569" t="s">
        <v>35</v>
      </c>
      <c r="I417" s="570">
        <f t="shared" ref="I417:J418" ca="1" si="182">I433</f>
        <v>35</v>
      </c>
      <c r="J417" s="570">
        <f t="shared" ca="1" si="182"/>
        <v>35</v>
      </c>
      <c r="K417" s="571">
        <f t="shared" ref="K417:K418" ca="1" si="183">IF(I417&gt;0,J417*100/I417,0)</f>
        <v>100</v>
      </c>
      <c r="L417" s="572"/>
      <c r="M417" s="572"/>
      <c r="N417" s="572"/>
      <c r="O417" s="572"/>
      <c r="P417" s="572"/>
    </row>
    <row r="418" spans="1:26" ht="19.5">
      <c r="A418" s="573"/>
      <c r="B418" s="564"/>
      <c r="C418" s="566"/>
      <c r="D418" s="567"/>
      <c r="E418" s="567"/>
      <c r="F418" s="567"/>
      <c r="G418" s="568"/>
      <c r="H418" s="569" t="s">
        <v>49</v>
      </c>
      <c r="I418" s="570">
        <f t="shared" ca="1" si="182"/>
        <v>1</v>
      </c>
      <c r="J418" s="570">
        <f t="shared" si="182"/>
        <v>1</v>
      </c>
      <c r="K418" s="571">
        <f t="shared" ca="1" si="183"/>
        <v>100</v>
      </c>
      <c r="L418" s="572"/>
      <c r="M418" s="572"/>
      <c r="N418" s="572"/>
      <c r="O418" s="572"/>
      <c r="P418" s="572"/>
    </row>
    <row r="419" spans="1:26" ht="19.5">
      <c r="A419" s="147"/>
      <c r="B419" s="148"/>
      <c r="C419" s="148" t="s">
        <v>16</v>
      </c>
      <c r="D419" s="891" t="s">
        <v>17</v>
      </c>
      <c r="E419" s="862"/>
      <c r="F419" s="86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115060</v>
      </c>
      <c r="M419" s="155">
        <f t="shared" ca="1" si="184"/>
        <v>120060</v>
      </c>
      <c r="N419" s="155">
        <f t="shared" si="184"/>
        <v>120060</v>
      </c>
      <c r="O419" s="155">
        <f t="shared" ref="O419:O424" ca="1" si="185">IF(L419&gt;0,N419*100/L419,0)</f>
        <v>104.34555883886668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7"/>
      <c r="J420" s="617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7"/>
      <c r="J421" s="617"/>
      <c r="K421" s="93"/>
      <c r="L421" s="93">
        <f t="shared" ca="1" si="187"/>
        <v>115060</v>
      </c>
      <c r="M421" s="93">
        <f t="shared" ca="1" si="187"/>
        <v>120060</v>
      </c>
      <c r="N421" s="93">
        <f t="shared" si="187"/>
        <v>120060</v>
      </c>
      <c r="O421" s="93">
        <f t="shared" ca="1" si="185"/>
        <v>104.34555883886668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115060</v>
      </c>
      <c r="M422" s="498">
        <f t="shared" ca="1" si="188"/>
        <v>120060</v>
      </c>
      <c r="N422" s="498">
        <f t="shared" si="188"/>
        <v>120060</v>
      </c>
      <c r="O422" s="498">
        <f t="shared" ca="1" si="185"/>
        <v>104.34555883886668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7"/>
      <c r="J423" s="617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7"/>
      <c r="J424" s="617"/>
      <c r="K424" s="93"/>
      <c r="L424" s="93">
        <f ca="1">IFERROR(__xludf.DUMMYFUNCTION("IMPORTRANGE(""https://docs.google.com/spreadsheets/d/1QqKyyYR6Q21VydFLVH3TRQUabQu_ym0Zz7PgGX0-kHA/edit?usp=sharing"",""แผน!EY51"")"),115060)</f>
        <v>115060</v>
      </c>
      <c r="M424" s="93">
        <f ca="1">L424+5000</f>
        <v>120060</v>
      </c>
      <c r="N424" s="93">
        <f>N425+N426+N427+N428</f>
        <v>120060</v>
      </c>
      <c r="O424" s="93">
        <f t="shared" ca="1" si="185"/>
        <v>104.34555883886668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4"/>
      <c r="B425" s="575"/>
      <c r="C425" s="763"/>
      <c r="D425" s="763"/>
      <c r="E425" s="763"/>
      <c r="F425" s="763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40">
        <f>83370+5000</f>
        <v>88370</v>
      </c>
      <c r="O425" s="498"/>
      <c r="P425" s="49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</row>
    <row r="426" spans="1:26" ht="18.75">
      <c r="A426" s="574"/>
      <c r="B426" s="575"/>
      <c r="C426" s="763"/>
      <c r="D426" s="763"/>
      <c r="E426" s="763"/>
      <c r="F426" s="763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40">
        <v>0</v>
      </c>
      <c r="O426" s="498"/>
      <c r="P426" s="49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</row>
    <row r="427" spans="1:26" ht="18.75">
      <c r="A427" s="574"/>
      <c r="B427" s="575"/>
      <c r="C427" s="763"/>
      <c r="D427" s="763"/>
      <c r="E427" s="763"/>
      <c r="F427" s="763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40">
        <v>0</v>
      </c>
      <c r="O427" s="498"/>
      <c r="P427" s="49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40">
        <f>5760+1430+3000+18000+3500</f>
        <v>31690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92" t="s">
        <v>38</v>
      </c>
      <c r="E432" s="580"/>
      <c r="F432" s="580"/>
      <c r="G432" s="581"/>
      <c r="H432" s="582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1">
        <f ca="1">I435</f>
        <v>35</v>
      </c>
      <c r="J433" s="681">
        <f ca="1">IF(AND(J435=I435,J437=I437,J439=I439),I437+I439,IF(AND(J435=I437,J437=I437),I437,IF(AND(J435=I439,J439=I439),I439,0)))</f>
        <v>35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1">
        <f t="shared" ref="I434:J434" ca="1" si="193">I438+I440</f>
        <v>1</v>
      </c>
      <c r="J434" s="681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3" t="s">
        <v>35</v>
      </c>
      <c r="I435" s="583">
        <f ca="1">IFERROR(__xludf.DUMMYFUNCTION("IMPORTRANGE(""https://docs.google.com/spreadsheets/d/1QqKyyYR6Q21VydFLVH3TRQUabQu_ym0Zz7PgGX0-kHA/edit?usp=sharing"",""แผน!FC51"")"),35)</f>
        <v>35</v>
      </c>
      <c r="J435" s="584">
        <v>35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3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3" t="s">
        <v>35</v>
      </c>
      <c r="I437" s="583">
        <f ca="1">IFERROR(__xludf.DUMMYFUNCTION("IMPORTRANGE(""https://docs.google.com/spreadsheets/d/1QqKyyYR6Q21VydFLVH3TRQUabQu_ym0Zz7PgGX0-kHA/edit?usp=sharing"",""แผน!FD51"")"),0)</f>
        <v>0</v>
      </c>
      <c r="J437" s="584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3" t="s">
        <v>49</v>
      </c>
      <c r="I438" s="270">
        <f ca="1">IFERROR(__xludf.DUMMYFUNCTION("IMPORTRANGE(""https://docs.google.com/spreadsheets/d/1QqKyyYR6Q21VydFLVH3TRQUabQu_ym0Zz7PgGX0-kHA/edit?usp=sharing"",""แผน!FE51"")"),0)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3" t="s">
        <v>35</v>
      </c>
      <c r="I439" s="583">
        <f ca="1">IFERROR(__xludf.DUMMYFUNCTION("IMPORTRANGE(""https://docs.google.com/spreadsheets/d/1QqKyyYR6Q21VydFLVH3TRQUabQu_ym0Zz7PgGX0-kHA/edit?usp=sharing"",""แผน!FF51"")"),35)</f>
        <v>35</v>
      </c>
      <c r="J439" s="584">
        <v>35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3" t="s">
        <v>49</v>
      </c>
      <c r="I440" s="270">
        <f ca="1">IFERROR(__xludf.DUMMYFUNCTION("IMPORTRANGE(""https://docs.google.com/spreadsheets/d/1QqKyyYR6Q21VydFLVH3TRQUabQu_ym0Zz7PgGX0-kHA/edit?usp=sharing"",""แผน!FG51"")"),1)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3" t="s">
        <v>35</v>
      </c>
      <c r="I441" s="270">
        <f ca="1">IFERROR(__xludf.DUMMYFUNCTION("IMPORTRANGE(""https://docs.google.com/spreadsheets/d/1QqKyyYR6Q21VydFLVH3TRQUabQu_ym0Zz7PgGX0-kHA/edit?usp=sharing"",""แผน!FH51"")"),0)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5">
        <v>2</v>
      </c>
      <c r="B442" s="586" t="s">
        <v>200</v>
      </c>
      <c r="C442" s="587"/>
      <c r="D442" s="587"/>
      <c r="E442" s="587"/>
      <c r="F442" s="587"/>
      <c r="G442" s="588"/>
      <c r="H442" s="589" t="s">
        <v>35</v>
      </c>
      <c r="I442" s="590">
        <f t="shared" ref="I442:J442" ca="1" si="195">I460</f>
        <v>90</v>
      </c>
      <c r="J442" s="590">
        <f t="shared" si="195"/>
        <v>90</v>
      </c>
      <c r="K442" s="591">
        <f t="shared" ca="1" si="194"/>
        <v>100</v>
      </c>
      <c r="L442" s="592"/>
      <c r="M442" s="592"/>
      <c r="N442" s="592"/>
      <c r="O442" s="592"/>
      <c r="P442" s="592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</row>
    <row r="443" spans="1:26" ht="19.5">
      <c r="A443" s="593"/>
      <c r="B443" s="594"/>
      <c r="C443" s="595"/>
      <c r="D443" s="595"/>
      <c r="E443" s="595"/>
      <c r="F443" s="595"/>
      <c r="G443" s="596"/>
      <c r="H443" s="569" t="s">
        <v>46</v>
      </c>
      <c r="I443" s="570">
        <f t="shared" ref="I443:J443" ca="1" si="196">I462</f>
        <v>300</v>
      </c>
      <c r="J443" s="570">
        <f t="shared" si="196"/>
        <v>300</v>
      </c>
      <c r="K443" s="571">
        <f t="shared" ca="1" si="194"/>
        <v>100</v>
      </c>
      <c r="L443" s="572"/>
      <c r="M443" s="572"/>
      <c r="N443" s="572"/>
      <c r="O443" s="572"/>
      <c r="P443" s="572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</row>
    <row r="444" spans="1:26" ht="19.5">
      <c r="A444" s="597"/>
      <c r="B444" s="763"/>
      <c r="C444" s="763" t="s">
        <v>16</v>
      </c>
      <c r="D444" s="863" t="s">
        <v>17</v>
      </c>
      <c r="E444" s="857"/>
      <c r="F444" s="857"/>
      <c r="G444" s="189"/>
      <c r="H444" s="598" t="s">
        <v>12</v>
      </c>
      <c r="I444" s="270"/>
      <c r="J444" s="270"/>
      <c r="K444" s="498"/>
      <c r="L444" s="195">
        <f t="shared" ref="L444:N444" ca="1" si="197">L445+L446</f>
        <v>604000</v>
      </c>
      <c r="M444" s="195">
        <f t="shared" ca="1" si="197"/>
        <v>610831</v>
      </c>
      <c r="N444" s="195">
        <f t="shared" si="197"/>
        <v>610831</v>
      </c>
      <c r="O444" s="195">
        <f t="shared" ref="O444:O449" ca="1" si="198">IF(L444&gt;0,N444*100/L444,0)</f>
        <v>101.13096026490066</v>
      </c>
      <c r="P444" s="195">
        <f t="shared" ref="P444:P449" ca="1" si="199">IF(M444&gt;0,N444*100/M444,0)</f>
        <v>100</v>
      </c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</row>
    <row r="445" spans="1:26" ht="18.75" hidden="1">
      <c r="A445" s="599"/>
      <c r="B445" s="759"/>
      <c r="C445" s="759"/>
      <c r="D445" s="720"/>
      <c r="E445" s="759" t="s">
        <v>185</v>
      </c>
      <c r="F445" s="759"/>
      <c r="G445" s="603"/>
      <c r="H445" s="165" t="s">
        <v>12</v>
      </c>
      <c r="I445" s="617"/>
      <c r="J445" s="617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4"/>
      <c r="R445" s="604"/>
      <c r="S445" s="604"/>
      <c r="T445" s="604"/>
      <c r="U445" s="604"/>
      <c r="V445" s="604"/>
      <c r="W445" s="604"/>
      <c r="X445" s="604"/>
      <c r="Y445" s="604"/>
      <c r="Z445" s="604"/>
    </row>
    <row r="446" spans="1:26" ht="18.75" hidden="1">
      <c r="A446" s="599"/>
      <c r="B446" s="607"/>
      <c r="C446" s="759"/>
      <c r="D446" s="720"/>
      <c r="E446" s="759" t="s">
        <v>186</v>
      </c>
      <c r="F446" s="759"/>
      <c r="G446" s="603"/>
      <c r="H446" s="165" t="s">
        <v>12</v>
      </c>
      <c r="I446" s="617"/>
      <c r="J446" s="617"/>
      <c r="K446" s="93"/>
      <c r="L446" s="93">
        <f t="shared" ca="1" si="200"/>
        <v>604000</v>
      </c>
      <c r="M446" s="93">
        <f t="shared" ca="1" si="200"/>
        <v>610831</v>
      </c>
      <c r="N446" s="93">
        <f t="shared" si="200"/>
        <v>610831</v>
      </c>
      <c r="O446" s="93">
        <f t="shared" ca="1" si="198"/>
        <v>101.13096026490066</v>
      </c>
      <c r="P446" s="93">
        <f t="shared" ca="1" si="199"/>
        <v>100</v>
      </c>
      <c r="Q446" s="604"/>
      <c r="R446" s="604"/>
      <c r="S446" s="604"/>
      <c r="T446" s="604"/>
      <c r="U446" s="604"/>
      <c r="V446" s="604"/>
      <c r="W446" s="604"/>
      <c r="X446" s="604"/>
      <c r="Y446" s="604"/>
      <c r="Z446" s="604"/>
    </row>
    <row r="447" spans="1:26" ht="18.75">
      <c r="A447" s="597"/>
      <c r="B447" s="575"/>
      <c r="C447" s="763"/>
      <c r="D447" s="606" t="s">
        <v>20</v>
      </c>
      <c r="E447" s="763"/>
      <c r="F447" s="763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604000</v>
      </c>
      <c r="M447" s="498">
        <f t="shared" ca="1" si="201"/>
        <v>610831</v>
      </c>
      <c r="N447" s="498">
        <f t="shared" si="201"/>
        <v>610831</v>
      </c>
      <c r="O447" s="498">
        <f t="shared" ca="1" si="198"/>
        <v>101.13096026490066</v>
      </c>
      <c r="P447" s="498">
        <f t="shared" ca="1" si="199"/>
        <v>100</v>
      </c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</row>
    <row r="448" spans="1:26" ht="18.75" hidden="1">
      <c r="A448" s="599"/>
      <c r="B448" s="607"/>
      <c r="C448" s="759"/>
      <c r="D448" s="720"/>
      <c r="E448" s="759" t="s">
        <v>185</v>
      </c>
      <c r="F448" s="759"/>
      <c r="G448" s="603"/>
      <c r="H448" s="165" t="s">
        <v>12</v>
      </c>
      <c r="I448" s="617"/>
      <c r="J448" s="617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</row>
    <row r="449" spans="1:26" ht="18.75" hidden="1">
      <c r="A449" s="599"/>
      <c r="B449" s="607"/>
      <c r="C449" s="759"/>
      <c r="D449" s="720"/>
      <c r="E449" s="759" t="s">
        <v>186</v>
      </c>
      <c r="F449" s="759"/>
      <c r="G449" s="603"/>
      <c r="H449" s="165" t="s">
        <v>12</v>
      </c>
      <c r="I449" s="617"/>
      <c r="J449" s="617"/>
      <c r="K449" s="93"/>
      <c r="L449" s="93">
        <f ca="1">IFERROR(__xludf.DUMMYFUNCTION("IMPORTRANGE(""https://docs.google.com/spreadsheets/d/1QqKyyYR6Q21VydFLVH3TRQUabQu_ym0Zz7PgGX0-kHA/edit?usp=sharing"",""แผน!FJ51"")"),604000)</f>
        <v>604000</v>
      </c>
      <c r="M449" s="93">
        <f ca="1">L449+13490-6659</f>
        <v>610831</v>
      </c>
      <c r="N449" s="93">
        <f>N450+N451+N452+N453</f>
        <v>610831</v>
      </c>
      <c r="O449" s="93">
        <f t="shared" ca="1" si="198"/>
        <v>101.13096026490066</v>
      </c>
      <c r="P449" s="93">
        <f t="shared" ca="1" si="199"/>
        <v>100</v>
      </c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</row>
    <row r="450" spans="1:26" ht="18.75">
      <c r="A450" s="574"/>
      <c r="B450" s="575"/>
      <c r="C450" s="763"/>
      <c r="D450" s="763"/>
      <c r="E450" s="763"/>
      <c r="F450" s="763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40">
        <v>115180</v>
      </c>
      <c r="O450" s="498"/>
      <c r="P450" s="49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</row>
    <row r="451" spans="1:26" ht="18.75">
      <c r="A451" s="574"/>
      <c r="B451" s="575"/>
      <c r="C451" s="763"/>
      <c r="D451" s="763"/>
      <c r="E451" s="763"/>
      <c r="F451" s="763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40">
        <v>285000</v>
      </c>
      <c r="O451" s="498"/>
      <c r="P451" s="49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</row>
    <row r="452" spans="1:26" ht="18.75">
      <c r="A452" s="574"/>
      <c r="B452" s="575"/>
      <c r="C452" s="575"/>
      <c r="D452" s="575"/>
      <c r="E452" s="575"/>
      <c r="F452" s="763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40">
        <f>125236+13000-866</f>
        <v>137370</v>
      </c>
      <c r="O452" s="498"/>
      <c r="P452" s="49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</row>
    <row r="453" spans="1:26" ht="18.75">
      <c r="A453" s="574"/>
      <c r="B453" s="575"/>
      <c r="C453" s="575"/>
      <c r="D453" s="575"/>
      <c r="E453" s="575"/>
      <c r="F453" s="763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40">
        <f>14400+1220+5000+18000+20000+2200+12140+321</f>
        <v>73281</v>
      </c>
      <c r="O453" s="498"/>
      <c r="P453" s="49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</row>
    <row r="454" spans="1:26" ht="18.75">
      <c r="A454" s="597"/>
      <c r="B454" s="575"/>
      <c r="C454" s="575"/>
      <c r="D454" s="606" t="s">
        <v>21</v>
      </c>
      <c r="E454" s="575"/>
      <c r="F454" s="763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</row>
    <row r="455" spans="1:26" ht="18.75" hidden="1">
      <c r="A455" s="599"/>
      <c r="B455" s="607"/>
      <c r="C455" s="607"/>
      <c r="D455" s="607"/>
      <c r="E455" s="607" t="s">
        <v>18</v>
      </c>
      <c r="F455" s="759"/>
      <c r="G455" s="603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4"/>
      <c r="R455" s="604"/>
      <c r="S455" s="604"/>
      <c r="T455" s="604"/>
      <c r="U455" s="604"/>
      <c r="V455" s="604"/>
      <c r="W455" s="604"/>
      <c r="X455" s="604"/>
      <c r="Y455" s="604"/>
      <c r="Z455" s="604"/>
    </row>
    <row r="456" spans="1:26" ht="18.75" hidden="1">
      <c r="A456" s="599"/>
      <c r="B456" s="607"/>
      <c r="C456" s="607"/>
      <c r="D456" s="607"/>
      <c r="E456" s="607" t="s">
        <v>19</v>
      </c>
      <c r="F456" s="759"/>
      <c r="G456" s="603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4"/>
      <c r="R456" s="604"/>
      <c r="S456" s="604"/>
      <c r="T456" s="604"/>
      <c r="U456" s="604"/>
      <c r="V456" s="604"/>
      <c r="W456" s="604"/>
      <c r="X456" s="604"/>
      <c r="Y456" s="604"/>
      <c r="Z456" s="604"/>
    </row>
    <row r="457" spans="1:26" ht="19.5">
      <c r="A457" s="608"/>
      <c r="B457" s="618"/>
      <c r="C457" s="575" t="s">
        <v>16</v>
      </c>
      <c r="D457" s="893" t="s">
        <v>38</v>
      </c>
      <c r="E457" s="611"/>
      <c r="F457" s="761"/>
      <c r="G457" s="613"/>
      <c r="H457" s="762"/>
      <c r="I457" s="270"/>
      <c r="J457" s="270"/>
      <c r="K457" s="498"/>
      <c r="L457" s="498"/>
      <c r="M457" s="498"/>
      <c r="N457" s="498"/>
      <c r="O457" s="498"/>
      <c r="P457" s="49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</row>
    <row r="458" spans="1:26" ht="18.75" hidden="1">
      <c r="A458" s="614"/>
      <c r="B458" s="616"/>
      <c r="C458" s="616"/>
      <c r="D458" s="616" t="s">
        <v>201</v>
      </c>
      <c r="E458" s="616"/>
      <c r="F458" s="720"/>
      <c r="G458" s="366"/>
      <c r="H458" s="370" t="s">
        <v>35</v>
      </c>
      <c r="I458" s="617">
        <v>0</v>
      </c>
      <c r="J458" s="617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4"/>
      <c r="R458" s="604"/>
      <c r="S458" s="604"/>
      <c r="T458" s="604"/>
      <c r="U458" s="604"/>
      <c r="V458" s="604"/>
      <c r="W458" s="604"/>
      <c r="X458" s="604"/>
      <c r="Y458" s="604"/>
      <c r="Z458" s="604"/>
    </row>
    <row r="459" spans="1:26" ht="18.75" hidden="1">
      <c r="A459" s="614"/>
      <c r="B459" s="616"/>
      <c r="C459" s="616"/>
      <c r="D459" s="616" t="s">
        <v>202</v>
      </c>
      <c r="E459" s="616"/>
      <c r="F459" s="720"/>
      <c r="G459" s="366"/>
      <c r="H459" s="370"/>
      <c r="I459" s="617"/>
      <c r="J459" s="617"/>
      <c r="K459" s="93"/>
      <c r="L459" s="93"/>
      <c r="M459" s="93"/>
      <c r="N459" s="93"/>
      <c r="O459" s="93"/>
      <c r="P459" s="93"/>
      <c r="Q459" s="604"/>
      <c r="R459" s="604"/>
      <c r="S459" s="604"/>
      <c r="T459" s="604"/>
      <c r="U459" s="604"/>
      <c r="V459" s="604"/>
      <c r="W459" s="604"/>
      <c r="X459" s="604"/>
      <c r="Y459" s="604"/>
      <c r="Z459" s="604"/>
    </row>
    <row r="460" spans="1:26" ht="18.75">
      <c r="A460" s="608"/>
      <c r="B460" s="618"/>
      <c r="C460" s="618"/>
      <c r="D460" s="618" t="s">
        <v>203</v>
      </c>
      <c r="E460" s="618"/>
      <c r="F460" s="626"/>
      <c r="G460" s="762"/>
      <c r="H460" s="764" t="s">
        <v>35</v>
      </c>
      <c r="I460" s="270">
        <f ca="1">IFERROR(__xludf.DUMMYFUNCTION("IMPORTRANGE(""https://docs.google.com/spreadsheets/d/1QqKyyYR6Q21VydFLVH3TRQUabQu_ym0Zz7PgGX0-kHA/edit?usp=sharing"",""แผน!FN51"")"),90)</f>
        <v>90</v>
      </c>
      <c r="J460" s="215">
        <v>90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</row>
    <row r="461" spans="1:26" ht="18.75">
      <c r="A461" s="608"/>
      <c r="B461" s="618"/>
      <c r="C461" s="618"/>
      <c r="D461" s="618" t="s">
        <v>204</v>
      </c>
      <c r="E461" s="626"/>
      <c r="F461" s="626"/>
      <c r="G461" s="762"/>
      <c r="H461" s="764"/>
      <c r="I461" s="270"/>
      <c r="J461" s="270"/>
      <c r="K461" s="498"/>
      <c r="L461" s="498"/>
      <c r="M461" s="498"/>
      <c r="N461" s="498"/>
      <c r="O461" s="498"/>
      <c r="P461" s="49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</row>
    <row r="462" spans="1:26" ht="18.75">
      <c r="A462" s="608"/>
      <c r="B462" s="618"/>
      <c r="C462" s="618"/>
      <c r="D462" s="618" t="s">
        <v>205</v>
      </c>
      <c r="E462" s="626"/>
      <c r="F462" s="626"/>
      <c r="G462" s="762"/>
      <c r="H462" s="764" t="s">
        <v>46</v>
      </c>
      <c r="I462" s="270">
        <f ca="1">IFERROR(__xludf.DUMMYFUNCTION("IMPORTRANGE(""https://docs.google.com/spreadsheets/d/1QqKyyYR6Q21VydFLVH3TRQUabQu_ym0Zz7PgGX0-kHA/edit?usp=sharing"",""แผน!FO51"")"),300)</f>
        <v>300</v>
      </c>
      <c r="J462" s="215">
        <v>300</v>
      </c>
      <c r="K462" s="498">
        <f t="shared" ref="K462:K466" ca="1" si="205">IF(I462&gt;0,J462*100/I462,0)</f>
        <v>100</v>
      </c>
      <c r="L462" s="498"/>
      <c r="M462" s="498"/>
      <c r="N462" s="498"/>
      <c r="O462" s="498"/>
      <c r="P462" s="49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</row>
    <row r="463" spans="1:26" ht="18.75">
      <c r="A463" s="608"/>
      <c r="B463" s="618"/>
      <c r="C463" s="618"/>
      <c r="D463" s="618" t="s">
        <v>59</v>
      </c>
      <c r="E463" s="626"/>
      <c r="F463" s="763"/>
      <c r="G463" s="189"/>
      <c r="H463" s="764" t="s">
        <v>46</v>
      </c>
      <c r="I463" s="270">
        <f ca="1">IFERROR(__xludf.DUMMYFUNCTION("IMPORTRANGE(""https://docs.google.com/spreadsheets/d/1QqKyyYR6Q21VydFLVH3TRQUabQu_ym0Zz7PgGX0-kHA/edit?usp=sharing"",""แผน!FO51"")"),300)</f>
        <v>300</v>
      </c>
      <c r="J463" s="215">
        <v>300</v>
      </c>
      <c r="K463" s="498">
        <f t="shared" ca="1" si="205"/>
        <v>100</v>
      </c>
      <c r="L463" s="498"/>
      <c r="M463" s="498"/>
      <c r="N463" s="498"/>
      <c r="O463" s="498"/>
      <c r="P463" s="49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</row>
    <row r="464" spans="1:26" ht="19.5">
      <c r="A464" s="608"/>
      <c r="B464" s="618"/>
      <c r="C464" s="618"/>
      <c r="D464" s="618"/>
      <c r="E464" s="626"/>
      <c r="F464" s="626"/>
      <c r="G464" s="620"/>
      <c r="H464" s="764" t="s">
        <v>35</v>
      </c>
      <c r="I464" s="270">
        <f ca="1">IFERROR(__xludf.DUMMYFUNCTION("IMPORTRANGE(""https://docs.google.com/spreadsheets/d/1QqKyyYR6Q21VydFLVH3TRQUabQu_ym0Zz7PgGX0-kHA/edit?usp=sharing"",""แผน!FN51"")"),90)</f>
        <v>90</v>
      </c>
      <c r="J464" s="215">
        <v>90</v>
      </c>
      <c r="K464" s="498">
        <f t="shared" ca="1" si="205"/>
        <v>100</v>
      </c>
      <c r="L464" s="498"/>
      <c r="M464" s="498"/>
      <c r="N464" s="498"/>
      <c r="O464" s="498"/>
      <c r="P464" s="49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</row>
    <row r="465" spans="1:26" ht="19.5">
      <c r="A465" s="585">
        <v>3</v>
      </c>
      <c r="B465" s="586" t="s">
        <v>206</v>
      </c>
      <c r="C465" s="587"/>
      <c r="D465" s="587"/>
      <c r="E465" s="587"/>
      <c r="F465" s="587"/>
      <c r="G465" s="588"/>
      <c r="H465" s="589" t="s">
        <v>35</v>
      </c>
      <c r="I465" s="590">
        <f ca="1">IFERROR(__xludf.DUMMYFUNCTION("IMPORTRANGE(""https://docs.google.com/spreadsheets/d/1QqKyyYR6Q21VydFLVH3TRQUabQu_ym0Zz7PgGX0-kHA/edit?usp=sharing"",""แผน!FX51"")"),131)</f>
        <v>131</v>
      </c>
      <c r="J465" s="590">
        <f>J485+J489+J492</f>
        <v>131</v>
      </c>
      <c r="K465" s="591">
        <f t="shared" ca="1" si="205"/>
        <v>100</v>
      </c>
      <c r="L465" s="592"/>
      <c r="M465" s="592"/>
      <c r="N465" s="592"/>
      <c r="O465" s="592"/>
      <c r="P465" s="592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</row>
    <row r="466" spans="1:26" ht="19.5">
      <c r="A466" s="593"/>
      <c r="B466" s="594"/>
      <c r="C466" s="595"/>
      <c r="D466" s="595"/>
      <c r="E466" s="595"/>
      <c r="F466" s="595"/>
      <c r="G466" s="596"/>
      <c r="H466" s="569" t="s">
        <v>46</v>
      </c>
      <c r="I466" s="570">
        <f ca="1">IFERROR(__xludf.DUMMYFUNCTION("IMPORTRANGE(""https://docs.google.com/spreadsheets/d/1QqKyyYR6Q21VydFLVH3TRQUabQu_ym0Zz7PgGX0-kHA/edit?usp=sharing"",""แผน!FW51"")"),1300)</f>
        <v>1300</v>
      </c>
      <c r="J466" s="570">
        <f>J495+J498</f>
        <v>0</v>
      </c>
      <c r="K466" s="571">
        <f t="shared" ca="1" si="205"/>
        <v>0</v>
      </c>
      <c r="L466" s="572"/>
      <c r="M466" s="572"/>
      <c r="N466" s="572"/>
      <c r="O466" s="572"/>
      <c r="P466" s="572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</row>
    <row r="467" spans="1:26" ht="19.5">
      <c r="A467" s="597"/>
      <c r="B467" s="763"/>
      <c r="C467" s="763" t="s">
        <v>16</v>
      </c>
      <c r="D467" s="863" t="s">
        <v>17</v>
      </c>
      <c r="E467" s="857"/>
      <c r="F467" s="857"/>
      <c r="G467" s="189"/>
      <c r="H467" s="598" t="s">
        <v>12</v>
      </c>
      <c r="I467" s="270"/>
      <c r="J467" s="270"/>
      <c r="K467" s="498"/>
      <c r="L467" s="195">
        <f t="shared" ref="L467:N467" ca="1" si="206">L468+L469</f>
        <v>1161548</v>
      </c>
      <c r="M467" s="195">
        <f t="shared" ca="1" si="206"/>
        <v>1170637</v>
      </c>
      <c r="N467" s="195">
        <f t="shared" si="206"/>
        <v>351628</v>
      </c>
      <c r="O467" s="195">
        <f t="shared" ref="O467:O472" ca="1" si="207">IF(L467&gt;0,N467*100/L467,0)</f>
        <v>30.272360677303048</v>
      </c>
      <c r="P467" s="195">
        <f t="shared" ref="P467:P472" ca="1" si="208">IF(M467&gt;0,N467*100/M467,0)</f>
        <v>30.037321560825433</v>
      </c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</row>
    <row r="468" spans="1:26" ht="18.75" hidden="1">
      <c r="A468" s="599"/>
      <c r="B468" s="759"/>
      <c r="C468" s="759"/>
      <c r="D468" s="720"/>
      <c r="E468" s="759" t="s">
        <v>185</v>
      </c>
      <c r="F468" s="759"/>
      <c r="G468" s="603"/>
      <c r="H468" s="165" t="s">
        <v>12</v>
      </c>
      <c r="I468" s="617"/>
      <c r="J468" s="617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4"/>
      <c r="R468" s="604"/>
      <c r="S468" s="604"/>
      <c r="T468" s="604"/>
      <c r="U468" s="604"/>
      <c r="V468" s="604"/>
      <c r="W468" s="604"/>
      <c r="X468" s="604"/>
      <c r="Y468" s="604"/>
      <c r="Z468" s="604"/>
    </row>
    <row r="469" spans="1:26" ht="18.75" hidden="1">
      <c r="A469" s="599"/>
      <c r="B469" s="607"/>
      <c r="C469" s="759"/>
      <c r="D469" s="720"/>
      <c r="E469" s="759" t="s">
        <v>186</v>
      </c>
      <c r="F469" s="759"/>
      <c r="G469" s="603"/>
      <c r="H469" s="165" t="s">
        <v>12</v>
      </c>
      <c r="I469" s="617"/>
      <c r="J469" s="617"/>
      <c r="K469" s="93"/>
      <c r="L469" s="93">
        <f t="shared" ca="1" si="209"/>
        <v>1161548</v>
      </c>
      <c r="M469" s="93">
        <f t="shared" ca="1" si="209"/>
        <v>1170637</v>
      </c>
      <c r="N469" s="93">
        <f t="shared" si="209"/>
        <v>351628</v>
      </c>
      <c r="O469" s="93">
        <f t="shared" ca="1" si="207"/>
        <v>30.272360677303048</v>
      </c>
      <c r="P469" s="93">
        <f t="shared" ca="1" si="208"/>
        <v>30.037321560825433</v>
      </c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</row>
    <row r="470" spans="1:26" ht="18.75">
      <c r="A470" s="597"/>
      <c r="B470" s="575"/>
      <c r="C470" s="763"/>
      <c r="D470" s="606" t="s">
        <v>20</v>
      </c>
      <c r="E470" s="763"/>
      <c r="F470" s="763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1161548</v>
      </c>
      <c r="M470" s="498">
        <f t="shared" ca="1" si="210"/>
        <v>1170637</v>
      </c>
      <c r="N470" s="498">
        <f t="shared" si="210"/>
        <v>351628</v>
      </c>
      <c r="O470" s="498">
        <f t="shared" ca="1" si="207"/>
        <v>30.272360677303048</v>
      </c>
      <c r="P470" s="498">
        <f t="shared" ca="1" si="208"/>
        <v>30.037321560825433</v>
      </c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</row>
    <row r="471" spans="1:26" ht="18.75" hidden="1">
      <c r="A471" s="599"/>
      <c r="B471" s="607"/>
      <c r="C471" s="759"/>
      <c r="D471" s="720"/>
      <c r="E471" s="759" t="s">
        <v>185</v>
      </c>
      <c r="F471" s="759"/>
      <c r="G471" s="603"/>
      <c r="H471" s="165" t="s">
        <v>12</v>
      </c>
      <c r="I471" s="617"/>
      <c r="J471" s="617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4"/>
      <c r="R471" s="604"/>
      <c r="S471" s="604"/>
      <c r="T471" s="604"/>
      <c r="U471" s="604"/>
      <c r="V471" s="604"/>
      <c r="W471" s="604"/>
      <c r="X471" s="604"/>
      <c r="Y471" s="604"/>
      <c r="Z471" s="604"/>
    </row>
    <row r="472" spans="1:26" ht="18.75" hidden="1">
      <c r="A472" s="599"/>
      <c r="B472" s="607"/>
      <c r="C472" s="759"/>
      <c r="D472" s="720"/>
      <c r="E472" s="759" t="s">
        <v>186</v>
      </c>
      <c r="F472" s="759"/>
      <c r="G472" s="603"/>
      <c r="H472" s="165" t="s">
        <v>12</v>
      </c>
      <c r="I472" s="617"/>
      <c r="J472" s="617"/>
      <c r="K472" s="93"/>
      <c r="L472" s="93">
        <f ca="1">IFERROR(__xludf.DUMMYFUNCTION("IMPORTRANGE(""https://docs.google.com/spreadsheets/d/1QqKyyYR6Q21VydFLVH3TRQUabQu_ym0Zz7PgGX0-kHA/edit?usp=sharing"",""แผน!FS51"")"),1161548)</f>
        <v>1161548</v>
      </c>
      <c r="M472" s="93">
        <f ca="1">L472+11150-2061</f>
        <v>1170637</v>
      </c>
      <c r="N472" s="93">
        <f>N473+N474+N475+N476</f>
        <v>351628</v>
      </c>
      <c r="O472" s="93">
        <f t="shared" ca="1" si="207"/>
        <v>30.272360677303048</v>
      </c>
      <c r="P472" s="93">
        <f t="shared" ca="1" si="208"/>
        <v>30.037321560825433</v>
      </c>
      <c r="Q472" s="604"/>
      <c r="R472" s="604"/>
      <c r="S472" s="604"/>
      <c r="T472" s="604"/>
      <c r="U472" s="604"/>
      <c r="V472" s="604"/>
      <c r="W472" s="604"/>
      <c r="X472" s="604"/>
      <c r="Y472" s="604"/>
      <c r="Z472" s="604"/>
    </row>
    <row r="473" spans="1:26" ht="18.75">
      <c r="A473" s="574"/>
      <c r="B473" s="575"/>
      <c r="C473" s="763"/>
      <c r="D473" s="763"/>
      <c r="E473" s="763"/>
      <c r="F473" s="763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40">
        <v>166392</v>
      </c>
      <c r="O473" s="498"/>
      <c r="P473" s="49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</row>
    <row r="474" spans="1:26" ht="18.75">
      <c r="A474" s="574"/>
      <c r="B474" s="575"/>
      <c r="C474" s="763"/>
      <c r="D474" s="763"/>
      <c r="E474" s="763"/>
      <c r="F474" s="763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40">
        <v>0</v>
      </c>
      <c r="O474" s="498"/>
      <c r="P474" s="49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</row>
    <row r="475" spans="1:26" ht="18.75">
      <c r="A475" s="574"/>
      <c r="B475" s="575"/>
      <c r="C475" s="575"/>
      <c r="D475" s="575"/>
      <c r="E475" s="575"/>
      <c r="F475" s="763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40">
        <f>142133-433</f>
        <v>141700</v>
      </c>
      <c r="O475" s="498"/>
      <c r="P475" s="49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</row>
    <row r="476" spans="1:26" ht="18.75">
      <c r="A476" s="574"/>
      <c r="B476" s="575"/>
      <c r="C476" s="575"/>
      <c r="D476" s="575"/>
      <c r="E476" s="575"/>
      <c r="F476" s="763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40">
        <f>6120+1750+3900+12636+9750+3680+5700</f>
        <v>43536</v>
      </c>
      <c r="O476" s="498"/>
      <c r="P476" s="49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</row>
    <row r="477" spans="1:26" ht="18.75">
      <c r="A477" s="597"/>
      <c r="B477" s="575"/>
      <c r="C477" s="575"/>
      <c r="D477" s="606" t="s">
        <v>21</v>
      </c>
      <c r="E477" s="575"/>
      <c r="F477" s="575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</row>
    <row r="478" spans="1:26" ht="18.75" hidden="1">
      <c r="A478" s="599"/>
      <c r="B478" s="607"/>
      <c r="C478" s="607"/>
      <c r="D478" s="607"/>
      <c r="E478" s="607" t="s">
        <v>18</v>
      </c>
      <c r="F478" s="607"/>
      <c r="G478" s="603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4"/>
      <c r="R478" s="604"/>
      <c r="S478" s="604"/>
      <c r="T478" s="604"/>
      <c r="U478" s="604"/>
      <c r="V478" s="604"/>
      <c r="W478" s="604"/>
      <c r="X478" s="604"/>
      <c r="Y478" s="604"/>
      <c r="Z478" s="604"/>
    </row>
    <row r="479" spans="1:26" ht="18.75" hidden="1">
      <c r="A479" s="599"/>
      <c r="B479" s="607"/>
      <c r="C479" s="607"/>
      <c r="D479" s="607"/>
      <c r="E479" s="607" t="s">
        <v>19</v>
      </c>
      <c r="F479" s="607"/>
      <c r="G479" s="603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4"/>
      <c r="R479" s="604"/>
      <c r="S479" s="604"/>
      <c r="T479" s="604"/>
      <c r="U479" s="604"/>
      <c r="V479" s="604"/>
      <c r="W479" s="604"/>
      <c r="X479" s="604"/>
      <c r="Y479" s="604"/>
      <c r="Z479" s="604"/>
    </row>
    <row r="480" spans="1:26" ht="19.5">
      <c r="A480" s="608"/>
      <c r="B480" s="618"/>
      <c r="C480" s="575" t="s">
        <v>16</v>
      </c>
      <c r="D480" s="894" t="s">
        <v>38</v>
      </c>
      <c r="E480" s="611"/>
      <c r="F480" s="761"/>
      <c r="G480" s="613"/>
      <c r="H480" s="762"/>
      <c r="I480" s="270"/>
      <c r="J480" s="270"/>
      <c r="K480" s="498"/>
      <c r="L480" s="498"/>
      <c r="M480" s="498"/>
      <c r="N480" s="498"/>
      <c r="O480" s="498"/>
      <c r="P480" s="49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</row>
    <row r="481" spans="1:26" ht="19.5">
      <c r="A481" s="608"/>
      <c r="B481" s="618"/>
      <c r="C481" s="618"/>
      <c r="D481" s="625" t="s">
        <v>207</v>
      </c>
      <c r="E481" s="618"/>
      <c r="F481" s="618"/>
      <c r="G481" s="762"/>
      <c r="H481" s="189"/>
      <c r="I481" s="270"/>
      <c r="J481" s="270"/>
      <c r="K481" s="498"/>
      <c r="L481" s="498"/>
      <c r="M481" s="498"/>
      <c r="N481" s="498"/>
      <c r="O481" s="498"/>
      <c r="P481" s="49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</row>
    <row r="482" spans="1:26" ht="18.75">
      <c r="A482" s="608"/>
      <c r="B482" s="618"/>
      <c r="C482" s="618"/>
      <c r="D482" s="618"/>
      <c r="E482" s="618" t="s">
        <v>208</v>
      </c>
      <c r="F482" s="618"/>
      <c r="G482" s="762"/>
      <c r="H482" s="189"/>
      <c r="I482" s="270"/>
      <c r="J482" s="270"/>
      <c r="K482" s="498"/>
      <c r="L482" s="498"/>
      <c r="M482" s="498"/>
      <c r="N482" s="498"/>
      <c r="O482" s="498"/>
      <c r="P482" s="49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</row>
    <row r="483" spans="1:26" ht="18.75">
      <c r="A483" s="608"/>
      <c r="B483" s="618"/>
      <c r="C483" s="618"/>
      <c r="D483" s="618"/>
      <c r="E483" s="618"/>
      <c r="F483" s="618" t="s">
        <v>209</v>
      </c>
      <c r="G483" s="762"/>
      <c r="H483" s="623" t="s">
        <v>46</v>
      </c>
      <c r="I483" s="270">
        <f ca="1">IFERROR(__xludf.DUMMYFUNCTION("IMPORTRANGE(""https://docs.google.com/spreadsheets/d/1QqKyyYR6Q21VydFLVH3TRQUabQu_ym0Zz7PgGX0-kHA/edit?usp=sharing"",""แผน!FY51"")"),1170)</f>
        <v>1170</v>
      </c>
      <c r="J483" s="215">
        <v>1170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</row>
    <row r="484" spans="1:26" ht="18.75">
      <c r="A484" s="608"/>
      <c r="B484" s="618"/>
      <c r="C484" s="618"/>
      <c r="D484" s="618"/>
      <c r="E484" s="618"/>
      <c r="F484" s="618" t="s">
        <v>210</v>
      </c>
      <c r="G484" s="762"/>
      <c r="H484" s="623" t="s">
        <v>35</v>
      </c>
      <c r="I484" s="270"/>
      <c r="J484" s="215">
        <v>117</v>
      </c>
      <c r="K484" s="498"/>
      <c r="L484" s="498"/>
      <c r="M484" s="498"/>
      <c r="N484" s="498"/>
      <c r="O484" s="498"/>
      <c r="P484" s="49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</row>
    <row r="485" spans="1:26" ht="18.75">
      <c r="A485" s="608"/>
      <c r="B485" s="618"/>
      <c r="C485" s="618"/>
      <c r="D485" s="618"/>
      <c r="E485" s="618"/>
      <c r="F485" s="618" t="s">
        <v>211</v>
      </c>
      <c r="G485" s="762"/>
      <c r="H485" s="623" t="s">
        <v>35</v>
      </c>
      <c r="I485" s="270">
        <f ca="1">IFERROR(__xludf.DUMMYFUNCTION("IMPORTRANGE(""https://docs.google.com/spreadsheets/d/1QqKyyYR6Q21VydFLVH3TRQUabQu_ym0Zz7PgGX0-kHA/edit?usp=sharing"",""แผน!FZ51"")"),117)</f>
        <v>117</v>
      </c>
      <c r="J485" s="215">
        <v>117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</row>
    <row r="486" spans="1:26" ht="18.75">
      <c r="A486" s="608"/>
      <c r="B486" s="618"/>
      <c r="C486" s="618"/>
      <c r="D486" s="618"/>
      <c r="E486" s="618" t="s">
        <v>62</v>
      </c>
      <c r="F486" s="618"/>
      <c r="G486" s="762"/>
      <c r="H486" s="623"/>
      <c r="I486" s="270"/>
      <c r="J486" s="270"/>
      <c r="K486" s="498"/>
      <c r="L486" s="498"/>
      <c r="M486" s="498"/>
      <c r="N486" s="498"/>
      <c r="O486" s="498"/>
      <c r="P486" s="49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</row>
    <row r="487" spans="1:26" ht="18.75">
      <c r="A487" s="608"/>
      <c r="B487" s="618"/>
      <c r="C487" s="618"/>
      <c r="D487" s="618"/>
      <c r="E487" s="618"/>
      <c r="F487" s="618" t="s">
        <v>209</v>
      </c>
      <c r="G487" s="762"/>
      <c r="H487" s="623" t="s">
        <v>46</v>
      </c>
      <c r="I487" s="270">
        <f ca="1">IFERROR(__xludf.DUMMYFUNCTION("IMPORTRANGE(""https://docs.google.com/spreadsheets/d/1QqKyyYR6Q21VydFLVH3TRQUabQu_ym0Zz7PgGX0-kHA/edit?usp=sharing"",""แผน!GA51"")"),130)</f>
        <v>130</v>
      </c>
      <c r="J487" s="215">
        <v>130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</row>
    <row r="488" spans="1:26" ht="18.75">
      <c r="A488" s="608"/>
      <c r="B488" s="618"/>
      <c r="C488" s="618"/>
      <c r="D488" s="618"/>
      <c r="E488" s="618"/>
      <c r="F488" s="618" t="s">
        <v>212</v>
      </c>
      <c r="G488" s="762"/>
      <c r="H488" s="623" t="s">
        <v>35</v>
      </c>
      <c r="I488" s="270"/>
      <c r="J488" s="215">
        <v>13</v>
      </c>
      <c r="K488" s="498"/>
      <c r="L488" s="498"/>
      <c r="M488" s="498"/>
      <c r="N488" s="498"/>
      <c r="O488" s="498"/>
      <c r="P488" s="49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</row>
    <row r="489" spans="1:26" ht="18.75">
      <c r="A489" s="608"/>
      <c r="B489" s="618"/>
      <c r="C489" s="618"/>
      <c r="D489" s="618"/>
      <c r="E489" s="618"/>
      <c r="F489" s="618" t="s">
        <v>213</v>
      </c>
      <c r="G489" s="762"/>
      <c r="H489" s="623" t="s">
        <v>35</v>
      </c>
      <c r="I489" s="270">
        <f ca="1">IFERROR(__xludf.DUMMYFUNCTION("IMPORTRANGE(""https://docs.google.com/spreadsheets/d/1QqKyyYR6Q21VydFLVH3TRQUabQu_ym0Zz7PgGX0-kHA/edit?usp=sharing"",""แผน!GB51"")"),13)</f>
        <v>13</v>
      </c>
      <c r="J489" s="215">
        <v>13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</row>
    <row r="490" spans="1:26" ht="18.75">
      <c r="A490" s="608"/>
      <c r="B490" s="618"/>
      <c r="C490" s="618"/>
      <c r="D490" s="618"/>
      <c r="E490" s="618" t="s">
        <v>63</v>
      </c>
      <c r="F490" s="626"/>
      <c r="G490" s="762"/>
      <c r="H490" s="623"/>
      <c r="I490" s="270"/>
      <c r="J490" s="270"/>
      <c r="K490" s="498"/>
      <c r="L490" s="498"/>
      <c r="M490" s="498"/>
      <c r="N490" s="498"/>
      <c r="O490" s="498"/>
      <c r="P490" s="49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</row>
    <row r="491" spans="1:26" ht="18.75">
      <c r="A491" s="608"/>
      <c r="B491" s="618"/>
      <c r="C491" s="618"/>
      <c r="D491" s="618"/>
      <c r="E491" s="618"/>
      <c r="F491" s="618" t="s">
        <v>214</v>
      </c>
      <c r="G491" s="762"/>
      <c r="H491" s="623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</row>
    <row r="492" spans="1:26" ht="18.75">
      <c r="A492" s="608"/>
      <c r="B492" s="618"/>
      <c r="C492" s="618"/>
      <c r="D492" s="618"/>
      <c r="E492" s="618"/>
      <c r="F492" s="618" t="s">
        <v>215</v>
      </c>
      <c r="G492" s="762"/>
      <c r="H492" s="623" t="s">
        <v>35</v>
      </c>
      <c r="I492" s="270">
        <f ca="1">IFERROR(__xludf.DUMMYFUNCTION("IMPORTRANGE(""https://docs.google.com/spreadsheets/d/1QqKyyYR6Q21VydFLVH3TRQUabQu_ym0Zz7PgGX0-kHA/edit?usp=sharing"",""แผน!GC51"")"),1)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</row>
    <row r="493" spans="1:26" ht="19.5">
      <c r="A493" s="608"/>
      <c r="B493" s="618"/>
      <c r="C493" s="618"/>
      <c r="D493" s="625" t="s">
        <v>59</v>
      </c>
      <c r="E493" s="618"/>
      <c r="F493" s="626"/>
      <c r="G493" s="762"/>
      <c r="H493" s="189"/>
      <c r="I493" s="270"/>
      <c r="J493" s="270"/>
      <c r="K493" s="498"/>
      <c r="L493" s="498"/>
      <c r="M493" s="498"/>
      <c r="N493" s="498"/>
      <c r="O493" s="498"/>
      <c r="P493" s="49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</row>
    <row r="494" spans="1:26" ht="18.75">
      <c r="A494" s="608"/>
      <c r="B494" s="618"/>
      <c r="C494" s="618"/>
      <c r="D494" s="618"/>
      <c r="E494" s="618" t="s">
        <v>208</v>
      </c>
      <c r="F494" s="626"/>
      <c r="G494" s="762"/>
      <c r="H494" s="189"/>
      <c r="I494" s="270"/>
      <c r="J494" s="270"/>
      <c r="K494" s="498"/>
      <c r="L494" s="498"/>
      <c r="M494" s="498"/>
      <c r="N494" s="498"/>
      <c r="O494" s="498"/>
      <c r="P494" s="49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</row>
    <row r="495" spans="1:26" ht="18.75">
      <c r="A495" s="608"/>
      <c r="B495" s="618"/>
      <c r="C495" s="618"/>
      <c r="D495" s="618"/>
      <c r="E495" s="618"/>
      <c r="F495" s="626" t="s">
        <v>216</v>
      </c>
      <c r="G495" s="762"/>
      <c r="H495" s="623" t="s">
        <v>46</v>
      </c>
      <c r="I495" s="270">
        <f ca="1">IFERROR(__xludf.DUMMYFUNCTION("IMPORTRANGE(""https://docs.google.com/spreadsheets/d/1QqKyyYR6Q21VydFLVH3TRQUabQu_ym0Zz7PgGX0-kHA/edit?usp=sharing"",""แผน!FY51"")"),1170)</f>
        <v>1170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</row>
    <row r="496" spans="1:26" ht="18.75">
      <c r="A496" s="608"/>
      <c r="B496" s="618"/>
      <c r="C496" s="618"/>
      <c r="D496" s="618"/>
      <c r="E496" s="618"/>
      <c r="F496" s="626" t="s">
        <v>217</v>
      </c>
      <c r="G496" s="762"/>
      <c r="H496" s="623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</row>
    <row r="497" spans="1:26" ht="18.75">
      <c r="A497" s="608"/>
      <c r="B497" s="618"/>
      <c r="C497" s="618"/>
      <c r="D497" s="618"/>
      <c r="E497" s="618" t="s">
        <v>62</v>
      </c>
      <c r="F497" s="626"/>
      <c r="G497" s="762"/>
      <c r="H497" s="189"/>
      <c r="I497" s="270"/>
      <c r="J497" s="270"/>
      <c r="K497" s="498"/>
      <c r="L497" s="498"/>
      <c r="M497" s="498"/>
      <c r="N497" s="498"/>
      <c r="O497" s="498"/>
      <c r="P497" s="49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</row>
    <row r="498" spans="1:26" ht="18.75">
      <c r="A498" s="608"/>
      <c r="B498" s="618"/>
      <c r="C498" s="618"/>
      <c r="D498" s="618"/>
      <c r="E498" s="626"/>
      <c r="F498" s="626" t="s">
        <v>218</v>
      </c>
      <c r="G498" s="762"/>
      <c r="H498" s="623" t="s">
        <v>46</v>
      </c>
      <c r="I498" s="270">
        <f ca="1">IFERROR(__xludf.DUMMYFUNCTION("IMPORTRANGE(""https://docs.google.com/spreadsheets/d/1QqKyyYR6Q21VydFLVH3TRQUabQu_ym0Zz7PgGX0-kHA/edit?usp=sharing"",""แผน!GA51"")"),130)</f>
        <v>130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</row>
    <row r="499" spans="1:26" ht="18.75">
      <c r="A499" s="608"/>
      <c r="B499" s="618"/>
      <c r="C499" s="618"/>
      <c r="D499" s="618"/>
      <c r="E499" s="626"/>
      <c r="F499" s="626" t="s">
        <v>219</v>
      </c>
      <c r="G499" s="762"/>
      <c r="H499" s="623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</row>
    <row r="500" spans="1:26" ht="19.5" hidden="1">
      <c r="A500" s="627">
        <v>4</v>
      </c>
      <c r="B500" s="628" t="s">
        <v>220</v>
      </c>
      <c r="C500" s="629"/>
      <c r="D500" s="630"/>
      <c r="E500" s="630"/>
      <c r="F500" s="630"/>
      <c r="G500" s="631"/>
      <c r="H500" s="632" t="s">
        <v>109</v>
      </c>
      <c r="I500" s="633"/>
      <c r="J500" s="633">
        <f t="shared" ref="J500:J501" si="214">J516</f>
        <v>0</v>
      </c>
      <c r="K500" s="634">
        <f t="shared" ref="K500:K501" si="215">IF(I500&gt;0,J500*100/I500,0)</f>
        <v>0</v>
      </c>
      <c r="L500" s="635"/>
      <c r="M500" s="635"/>
      <c r="N500" s="635"/>
      <c r="O500" s="635"/>
      <c r="P500" s="635"/>
      <c r="Q500" s="604"/>
      <c r="R500" s="604"/>
      <c r="S500" s="604"/>
      <c r="T500" s="604"/>
      <c r="U500" s="604"/>
      <c r="V500" s="604"/>
      <c r="W500" s="604"/>
      <c r="X500" s="604"/>
      <c r="Y500" s="604"/>
      <c r="Z500" s="604"/>
    </row>
    <row r="501" spans="1:26" ht="19.5" hidden="1">
      <c r="A501" s="636"/>
      <c r="B501" s="638" t="s">
        <v>221</v>
      </c>
      <c r="C501" s="638"/>
      <c r="D501" s="639"/>
      <c r="E501" s="639"/>
      <c r="F501" s="639"/>
      <c r="G501" s="640"/>
      <c r="H501" s="641" t="s">
        <v>35</v>
      </c>
      <c r="I501" s="642"/>
      <c r="J501" s="642">
        <f t="shared" si="214"/>
        <v>0</v>
      </c>
      <c r="K501" s="643">
        <f t="shared" si="215"/>
        <v>0</v>
      </c>
      <c r="L501" s="644"/>
      <c r="M501" s="644"/>
      <c r="N501" s="644"/>
      <c r="O501" s="644"/>
      <c r="P501" s="64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</row>
    <row r="502" spans="1:26" ht="19.5" hidden="1">
      <c r="A502" s="599"/>
      <c r="B502" s="759"/>
      <c r="C502" s="759" t="s">
        <v>16</v>
      </c>
      <c r="D502" s="864" t="s">
        <v>17</v>
      </c>
      <c r="E502" s="857"/>
      <c r="F502" s="857"/>
      <c r="G502" s="603"/>
      <c r="H502" s="646" t="s">
        <v>12</v>
      </c>
      <c r="I502" s="617"/>
      <c r="J502" s="617"/>
      <c r="K502" s="93"/>
      <c r="L502" s="647">
        <f t="shared" ref="L502:N502" si="216">L503+L504</f>
        <v>0</v>
      </c>
      <c r="M502" s="647">
        <f t="shared" si="216"/>
        <v>0</v>
      </c>
      <c r="N502" s="647">
        <f t="shared" si="216"/>
        <v>0</v>
      </c>
      <c r="O502" s="647">
        <f t="shared" ref="O502:O507" si="217">IF(L502&gt;0,N502*100/L502,0)</f>
        <v>0</v>
      </c>
      <c r="P502" s="647">
        <f t="shared" ref="P502:P507" si="218">IF(M502&gt;0,N502*100/M502,0)</f>
        <v>0</v>
      </c>
      <c r="Q502" s="604"/>
      <c r="R502" s="604"/>
      <c r="S502" s="604"/>
      <c r="T502" s="604"/>
      <c r="U502" s="604"/>
      <c r="V502" s="604"/>
      <c r="W502" s="604"/>
      <c r="X502" s="604"/>
      <c r="Y502" s="604"/>
      <c r="Z502" s="604"/>
    </row>
    <row r="503" spans="1:26" ht="18.75" hidden="1">
      <c r="A503" s="599"/>
      <c r="B503" s="759"/>
      <c r="C503" s="759"/>
      <c r="D503" s="720"/>
      <c r="E503" s="759" t="s">
        <v>185</v>
      </c>
      <c r="F503" s="759"/>
      <c r="G503" s="603"/>
      <c r="H503" s="165" t="s">
        <v>12</v>
      </c>
      <c r="I503" s="617"/>
      <c r="J503" s="617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4"/>
      <c r="R503" s="604"/>
      <c r="S503" s="604"/>
      <c r="T503" s="604"/>
      <c r="U503" s="604"/>
      <c r="V503" s="604"/>
      <c r="W503" s="604"/>
      <c r="X503" s="604"/>
      <c r="Y503" s="604"/>
      <c r="Z503" s="604"/>
    </row>
    <row r="504" spans="1:26" ht="18.75" hidden="1">
      <c r="A504" s="599"/>
      <c r="B504" s="607"/>
      <c r="C504" s="759"/>
      <c r="D504" s="720"/>
      <c r="E504" s="759" t="s">
        <v>186</v>
      </c>
      <c r="F504" s="759"/>
      <c r="G504" s="603"/>
      <c r="H504" s="165" t="s">
        <v>12</v>
      </c>
      <c r="I504" s="617"/>
      <c r="J504" s="617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4"/>
      <c r="R504" s="604"/>
      <c r="S504" s="604"/>
      <c r="T504" s="604"/>
      <c r="U504" s="604"/>
      <c r="V504" s="604"/>
      <c r="W504" s="604"/>
      <c r="X504" s="604"/>
      <c r="Y504" s="604"/>
      <c r="Z504" s="604"/>
    </row>
    <row r="505" spans="1:26" ht="18.75" hidden="1">
      <c r="A505" s="599"/>
      <c r="B505" s="607"/>
      <c r="C505" s="759"/>
      <c r="D505" s="648" t="s">
        <v>20</v>
      </c>
      <c r="E505" s="759"/>
      <c r="F505" s="759"/>
      <c r="G505" s="603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4"/>
      <c r="R505" s="604"/>
      <c r="S505" s="604"/>
      <c r="T505" s="604"/>
      <c r="U505" s="604"/>
      <c r="V505" s="604"/>
      <c r="W505" s="604"/>
      <c r="X505" s="604"/>
      <c r="Y505" s="604"/>
      <c r="Z505" s="604"/>
    </row>
    <row r="506" spans="1:26" ht="18.75" hidden="1">
      <c r="A506" s="599"/>
      <c r="B506" s="607"/>
      <c r="C506" s="759"/>
      <c r="D506" s="720"/>
      <c r="E506" s="759" t="s">
        <v>185</v>
      </c>
      <c r="F506" s="759"/>
      <c r="G506" s="603"/>
      <c r="H506" s="165" t="s">
        <v>12</v>
      </c>
      <c r="I506" s="617"/>
      <c r="J506" s="617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4"/>
      <c r="R506" s="604"/>
      <c r="S506" s="604"/>
      <c r="T506" s="604"/>
      <c r="U506" s="604"/>
      <c r="V506" s="604"/>
      <c r="W506" s="604"/>
      <c r="X506" s="604"/>
      <c r="Y506" s="604"/>
      <c r="Z506" s="604"/>
    </row>
    <row r="507" spans="1:26" ht="18.75" hidden="1">
      <c r="A507" s="599"/>
      <c r="B507" s="607"/>
      <c r="C507" s="759"/>
      <c r="D507" s="720"/>
      <c r="E507" s="759" t="s">
        <v>186</v>
      </c>
      <c r="F507" s="759"/>
      <c r="G507" s="603"/>
      <c r="H507" s="165" t="s">
        <v>12</v>
      </c>
      <c r="I507" s="617"/>
      <c r="J507" s="617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4"/>
      <c r="R507" s="604"/>
      <c r="S507" s="604"/>
      <c r="T507" s="604"/>
      <c r="U507" s="604"/>
      <c r="V507" s="604"/>
      <c r="W507" s="604"/>
      <c r="X507" s="604"/>
      <c r="Y507" s="604"/>
      <c r="Z507" s="604"/>
    </row>
    <row r="508" spans="1:26" ht="18.75" hidden="1">
      <c r="A508" s="649"/>
      <c r="B508" s="607"/>
      <c r="C508" s="759"/>
      <c r="D508" s="759"/>
      <c r="E508" s="759"/>
      <c r="F508" s="759" t="s">
        <v>187</v>
      </c>
      <c r="G508" s="603"/>
      <c r="H508" s="165" t="s">
        <v>12</v>
      </c>
      <c r="I508" s="617"/>
      <c r="J508" s="617"/>
      <c r="K508" s="93"/>
      <c r="L508" s="93"/>
      <c r="M508" s="93"/>
      <c r="N508" s="93">
        <v>0</v>
      </c>
      <c r="O508" s="93"/>
      <c r="P508" s="93"/>
      <c r="Q508" s="604"/>
      <c r="R508" s="604"/>
      <c r="S508" s="604"/>
      <c r="T508" s="604"/>
      <c r="U508" s="604"/>
      <c r="V508" s="604"/>
      <c r="W508" s="604"/>
      <c r="X508" s="604"/>
      <c r="Y508" s="604"/>
      <c r="Z508" s="604"/>
    </row>
    <row r="509" spans="1:26" ht="18.75" hidden="1">
      <c r="A509" s="649"/>
      <c r="B509" s="607"/>
      <c r="C509" s="759"/>
      <c r="D509" s="759"/>
      <c r="E509" s="759"/>
      <c r="F509" s="759" t="s">
        <v>188</v>
      </c>
      <c r="G509" s="603"/>
      <c r="H509" s="165" t="s">
        <v>12</v>
      </c>
      <c r="I509" s="617"/>
      <c r="J509" s="617"/>
      <c r="K509" s="93"/>
      <c r="L509" s="93"/>
      <c r="M509" s="93"/>
      <c r="N509" s="93">
        <v>0</v>
      </c>
      <c r="O509" s="93"/>
      <c r="P509" s="93"/>
      <c r="Q509" s="604"/>
      <c r="R509" s="604"/>
      <c r="S509" s="604"/>
      <c r="T509" s="604"/>
      <c r="U509" s="604"/>
      <c r="V509" s="604"/>
      <c r="W509" s="604"/>
      <c r="X509" s="604"/>
      <c r="Y509" s="604"/>
      <c r="Z509" s="604"/>
    </row>
    <row r="510" spans="1:26" ht="18.75" hidden="1">
      <c r="A510" s="649"/>
      <c r="B510" s="607"/>
      <c r="C510" s="607"/>
      <c r="D510" s="607"/>
      <c r="E510" s="759"/>
      <c r="F510" s="759" t="s">
        <v>189</v>
      </c>
      <c r="G510" s="603"/>
      <c r="H510" s="165" t="s">
        <v>12</v>
      </c>
      <c r="I510" s="617"/>
      <c r="J510" s="617"/>
      <c r="K510" s="93"/>
      <c r="L510" s="93"/>
      <c r="M510" s="93"/>
      <c r="N510" s="93">
        <v>0</v>
      </c>
      <c r="O510" s="93"/>
      <c r="P510" s="93"/>
      <c r="Q510" s="604"/>
      <c r="R510" s="604"/>
      <c r="S510" s="604"/>
      <c r="T510" s="604"/>
      <c r="U510" s="604"/>
      <c r="V510" s="604"/>
      <c r="W510" s="604"/>
      <c r="X510" s="604"/>
      <c r="Y510" s="604"/>
      <c r="Z510" s="604"/>
    </row>
    <row r="511" spans="1:26" ht="18.75" hidden="1">
      <c r="A511" s="649"/>
      <c r="B511" s="607"/>
      <c r="C511" s="607"/>
      <c r="D511" s="607"/>
      <c r="E511" s="759"/>
      <c r="F511" s="759" t="s">
        <v>190</v>
      </c>
      <c r="G511" s="603"/>
      <c r="H511" s="165" t="s">
        <v>12</v>
      </c>
      <c r="I511" s="617"/>
      <c r="J511" s="617"/>
      <c r="K511" s="93"/>
      <c r="L511" s="93"/>
      <c r="M511" s="93"/>
      <c r="N511" s="93">
        <v>0</v>
      </c>
      <c r="O511" s="93"/>
      <c r="P511" s="93"/>
      <c r="Q511" s="604"/>
      <c r="R511" s="604"/>
      <c r="S511" s="604"/>
      <c r="T511" s="604"/>
      <c r="U511" s="604"/>
      <c r="V511" s="604"/>
      <c r="W511" s="604"/>
      <c r="X511" s="604"/>
      <c r="Y511" s="604"/>
      <c r="Z511" s="604"/>
    </row>
    <row r="512" spans="1:26" ht="18.75" hidden="1">
      <c r="A512" s="599"/>
      <c r="B512" s="607"/>
      <c r="C512" s="607"/>
      <c r="D512" s="648" t="s">
        <v>21</v>
      </c>
      <c r="E512" s="607"/>
      <c r="F512" s="759"/>
      <c r="G512" s="603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4"/>
      <c r="R512" s="604"/>
      <c r="S512" s="604"/>
      <c r="T512" s="604"/>
      <c r="U512" s="604"/>
      <c r="V512" s="604"/>
      <c r="W512" s="604"/>
      <c r="X512" s="604"/>
      <c r="Y512" s="604"/>
      <c r="Z512" s="604"/>
    </row>
    <row r="513" spans="1:26" ht="18.75" hidden="1">
      <c r="A513" s="599"/>
      <c r="B513" s="607"/>
      <c r="C513" s="607"/>
      <c r="D513" s="607"/>
      <c r="E513" s="607" t="s">
        <v>18</v>
      </c>
      <c r="F513" s="759"/>
      <c r="G513" s="603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4"/>
      <c r="R513" s="604"/>
      <c r="S513" s="604"/>
      <c r="T513" s="604"/>
      <c r="U513" s="604"/>
      <c r="V513" s="604"/>
      <c r="W513" s="604"/>
      <c r="X513" s="604"/>
      <c r="Y513" s="604"/>
      <c r="Z513" s="604"/>
    </row>
    <row r="514" spans="1:26" ht="18.75" hidden="1">
      <c r="A514" s="599"/>
      <c r="B514" s="607"/>
      <c r="C514" s="607"/>
      <c r="D514" s="759"/>
      <c r="E514" s="607" t="s">
        <v>19</v>
      </c>
      <c r="F514" s="759"/>
      <c r="G514" s="603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4"/>
      <c r="R514" s="604"/>
      <c r="S514" s="604"/>
      <c r="T514" s="604"/>
      <c r="U514" s="604"/>
      <c r="V514" s="604"/>
      <c r="W514" s="604"/>
      <c r="X514" s="604"/>
      <c r="Y514" s="604"/>
      <c r="Z514" s="604"/>
    </row>
    <row r="515" spans="1:26" ht="19.5" hidden="1">
      <c r="A515" s="614"/>
      <c r="B515" s="616"/>
      <c r="C515" s="607" t="s">
        <v>16</v>
      </c>
      <c r="D515" s="895" t="s">
        <v>38</v>
      </c>
      <c r="E515" s="651"/>
      <c r="F515" s="651"/>
      <c r="G515" s="652"/>
      <c r="H515" s="366"/>
      <c r="I515" s="166"/>
      <c r="J515" s="166"/>
      <c r="K515" s="167"/>
      <c r="L515" s="167"/>
      <c r="M515" s="167"/>
      <c r="N515" s="167"/>
      <c r="O515" s="167"/>
      <c r="P515" s="167"/>
      <c r="Q515" s="604"/>
      <c r="R515" s="604"/>
      <c r="S515" s="604"/>
      <c r="T515" s="604"/>
      <c r="U515" s="604"/>
      <c r="V515" s="604"/>
      <c r="W515" s="604"/>
      <c r="X515" s="604"/>
      <c r="Y515" s="604"/>
      <c r="Z515" s="604"/>
    </row>
    <row r="516" spans="1:26" ht="18.75" hidden="1">
      <c r="A516" s="614"/>
      <c r="B516" s="616"/>
      <c r="C516" s="616"/>
      <c r="D516" s="616" t="s">
        <v>222</v>
      </c>
      <c r="E516" s="720"/>
      <c r="F516" s="720"/>
      <c r="G516" s="366"/>
      <c r="H516" s="653" t="s">
        <v>109</v>
      </c>
      <c r="I516" s="617"/>
      <c r="J516" s="617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4"/>
      <c r="R516" s="604"/>
      <c r="S516" s="604"/>
      <c r="T516" s="604"/>
      <c r="U516" s="604"/>
      <c r="V516" s="604"/>
      <c r="W516" s="604"/>
      <c r="X516" s="604"/>
      <c r="Y516" s="604"/>
      <c r="Z516" s="604"/>
    </row>
    <row r="517" spans="1:26" ht="19.5" hidden="1">
      <c r="A517" s="614"/>
      <c r="B517" s="616"/>
      <c r="C517" s="616"/>
      <c r="D517" s="616" t="s">
        <v>223</v>
      </c>
      <c r="E517" s="720"/>
      <c r="F517" s="720"/>
      <c r="G517" s="366"/>
      <c r="H517" s="654" t="s">
        <v>35</v>
      </c>
      <c r="I517" s="655"/>
      <c r="J517" s="655">
        <f>J518+J519</f>
        <v>0</v>
      </c>
      <c r="K517" s="656">
        <f t="shared" si="224"/>
        <v>0</v>
      </c>
      <c r="L517" s="167"/>
      <c r="M517" s="167"/>
      <c r="N517" s="167"/>
      <c r="O517" s="167"/>
      <c r="P517" s="167"/>
      <c r="Q517" s="604"/>
      <c r="R517" s="604"/>
      <c r="S517" s="604"/>
      <c r="T517" s="604"/>
      <c r="U517" s="604"/>
      <c r="V517" s="604"/>
      <c r="W517" s="604"/>
      <c r="X517" s="604"/>
      <c r="Y517" s="604"/>
      <c r="Z517" s="604"/>
    </row>
    <row r="518" spans="1:26" ht="18.75" hidden="1">
      <c r="A518" s="614"/>
      <c r="B518" s="616"/>
      <c r="C518" s="616"/>
      <c r="D518" s="616"/>
      <c r="E518" s="616" t="s">
        <v>224</v>
      </c>
      <c r="F518" s="720"/>
      <c r="G518" s="366"/>
      <c r="H518" s="370" t="s">
        <v>35</v>
      </c>
      <c r="I518" s="617"/>
      <c r="J518" s="617"/>
      <c r="K518" s="167"/>
      <c r="L518" s="167"/>
      <c r="M518" s="167"/>
      <c r="N518" s="167"/>
      <c r="O518" s="167"/>
      <c r="P518" s="167"/>
      <c r="Q518" s="604"/>
      <c r="R518" s="604"/>
      <c r="S518" s="604"/>
      <c r="T518" s="604"/>
      <c r="U518" s="604"/>
      <c r="V518" s="604"/>
      <c r="W518" s="604"/>
      <c r="X518" s="604"/>
      <c r="Y518" s="604"/>
      <c r="Z518" s="604"/>
    </row>
    <row r="519" spans="1:26" ht="18.75" hidden="1">
      <c r="A519" s="614"/>
      <c r="B519" s="616"/>
      <c r="C519" s="616"/>
      <c r="D519" s="616"/>
      <c r="E519" s="616" t="s">
        <v>225</v>
      </c>
      <c r="F519" s="720"/>
      <c r="G519" s="366"/>
      <c r="H519" s="653" t="s">
        <v>35</v>
      </c>
      <c r="I519" s="617"/>
      <c r="J519" s="617"/>
      <c r="K519" s="167"/>
      <c r="L519" s="167"/>
      <c r="M519" s="167"/>
      <c r="N519" s="167"/>
      <c r="O519" s="167"/>
      <c r="P519" s="167"/>
      <c r="Q519" s="604"/>
      <c r="R519" s="604"/>
      <c r="S519" s="604"/>
      <c r="T519" s="604"/>
      <c r="U519" s="604"/>
      <c r="V519" s="604"/>
      <c r="W519" s="604"/>
      <c r="X519" s="604"/>
      <c r="Y519" s="604"/>
      <c r="Z519" s="604"/>
    </row>
    <row r="520" spans="1:26" ht="19.5" hidden="1">
      <c r="A520" s="657" t="s">
        <v>137</v>
      </c>
      <c r="B520" s="658"/>
      <c r="C520" s="658"/>
      <c r="D520" s="659"/>
      <c r="E520" s="659"/>
      <c r="F520" s="659"/>
      <c r="G520" s="660"/>
      <c r="H520" s="661"/>
      <c r="I520" s="662"/>
      <c r="J520" s="662"/>
      <c r="K520" s="663"/>
      <c r="L520" s="663"/>
      <c r="M520" s="663"/>
      <c r="N520" s="663"/>
      <c r="O520" s="663"/>
      <c r="P520" s="663"/>
    </row>
    <row r="521" spans="1:26" ht="19.5" hidden="1">
      <c r="A521" s="664">
        <v>5</v>
      </c>
      <c r="B521" s="665" t="s">
        <v>226</v>
      </c>
      <c r="C521" s="666"/>
      <c r="D521" s="667"/>
      <c r="E521" s="667"/>
      <c r="F521" s="667"/>
      <c r="G521" s="667"/>
      <c r="H521" s="668"/>
      <c r="I521" s="669"/>
      <c r="J521" s="669"/>
      <c r="K521" s="670"/>
      <c r="L521" s="670"/>
      <c r="M521" s="670"/>
      <c r="N521" s="670"/>
      <c r="O521" s="670"/>
      <c r="P521" s="670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</row>
    <row r="522" spans="1:26" ht="19.5" hidden="1">
      <c r="A522" s="671"/>
      <c r="B522" s="672" t="s">
        <v>227</v>
      </c>
      <c r="C522" s="673"/>
      <c r="D522" s="673"/>
      <c r="E522" s="673"/>
      <c r="F522" s="673"/>
      <c r="G522" s="674"/>
      <c r="H522" s="675" t="s">
        <v>35</v>
      </c>
      <c r="I522" s="708">
        <f t="shared" ref="I522:J522" ca="1" si="225">I537</f>
        <v>0</v>
      </c>
      <c r="J522" s="708">
        <f t="shared" ca="1" si="225"/>
        <v>0</v>
      </c>
      <c r="K522" s="677">
        <f ca="1">IF(I522&gt;0,J522*100/I522,0)</f>
        <v>0</v>
      </c>
      <c r="L522" s="678"/>
      <c r="M522" s="678"/>
      <c r="N522" s="678"/>
      <c r="O522" s="678"/>
      <c r="P522" s="6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</row>
    <row r="523" spans="1:26" ht="19.5" hidden="1">
      <c r="A523" s="597"/>
      <c r="B523" s="763"/>
      <c r="C523" s="763" t="s">
        <v>16</v>
      </c>
      <c r="D523" s="863" t="s">
        <v>17</v>
      </c>
      <c r="E523" s="857"/>
      <c r="F523" s="857"/>
      <c r="G523" s="189"/>
      <c r="H523" s="598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</row>
    <row r="524" spans="1:26" ht="18.75" hidden="1">
      <c r="A524" s="599"/>
      <c r="B524" s="759"/>
      <c r="C524" s="759"/>
      <c r="D524" s="720"/>
      <c r="E524" s="759" t="s">
        <v>185</v>
      </c>
      <c r="F524" s="759"/>
      <c r="G524" s="603"/>
      <c r="H524" s="165" t="s">
        <v>12</v>
      </c>
      <c r="I524" s="617"/>
      <c r="J524" s="617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4"/>
      <c r="R524" s="604"/>
      <c r="S524" s="604"/>
      <c r="T524" s="604"/>
      <c r="U524" s="604"/>
      <c r="V524" s="604"/>
      <c r="W524" s="604"/>
      <c r="X524" s="604"/>
      <c r="Y524" s="604"/>
      <c r="Z524" s="604"/>
    </row>
    <row r="525" spans="1:26" ht="18.75" hidden="1">
      <c r="A525" s="599"/>
      <c r="B525" s="607"/>
      <c r="C525" s="759"/>
      <c r="D525" s="720"/>
      <c r="E525" s="759" t="s">
        <v>186</v>
      </c>
      <c r="F525" s="759"/>
      <c r="G525" s="603"/>
      <c r="H525" s="165" t="s">
        <v>12</v>
      </c>
      <c r="I525" s="617"/>
      <c r="J525" s="617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4"/>
      <c r="R525" s="604"/>
      <c r="S525" s="604"/>
      <c r="T525" s="604"/>
      <c r="U525" s="604"/>
      <c r="V525" s="604"/>
      <c r="W525" s="604"/>
      <c r="X525" s="604"/>
      <c r="Y525" s="604"/>
      <c r="Z525" s="604"/>
    </row>
    <row r="526" spans="1:26" ht="18.75" hidden="1">
      <c r="A526" s="597"/>
      <c r="B526" s="575"/>
      <c r="C526" s="763"/>
      <c r="D526" s="606" t="s">
        <v>20</v>
      </c>
      <c r="E526" s="763"/>
      <c r="F526" s="763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</row>
    <row r="527" spans="1:26" ht="18.75" hidden="1">
      <c r="A527" s="599"/>
      <c r="B527" s="607"/>
      <c r="C527" s="759"/>
      <c r="D527" s="720"/>
      <c r="E527" s="759" t="s">
        <v>185</v>
      </c>
      <c r="F527" s="759"/>
      <c r="G527" s="603"/>
      <c r="H527" s="165" t="s">
        <v>12</v>
      </c>
      <c r="I527" s="617"/>
      <c r="J527" s="617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4"/>
      <c r="R527" s="604"/>
      <c r="S527" s="604"/>
      <c r="T527" s="604"/>
      <c r="U527" s="604"/>
      <c r="V527" s="604"/>
      <c r="W527" s="604"/>
      <c r="X527" s="604"/>
      <c r="Y527" s="604"/>
      <c r="Z527" s="604"/>
    </row>
    <row r="528" spans="1:26" ht="18.75" hidden="1">
      <c r="A528" s="599"/>
      <c r="B528" s="607"/>
      <c r="C528" s="759"/>
      <c r="D528" s="720"/>
      <c r="E528" s="759" t="s">
        <v>186</v>
      </c>
      <c r="F528" s="759"/>
      <c r="G528" s="603"/>
      <c r="H528" s="165" t="s">
        <v>12</v>
      </c>
      <c r="I528" s="617"/>
      <c r="J528" s="617"/>
      <c r="K528" s="93"/>
      <c r="L528" s="93">
        <f ca="1">IFERROR(__xludf.DUMMYFUNCTION("IMPORTRANGE(""https://docs.google.com/spreadsheets/d/1QqKyyYR6Q21VydFLVH3TRQUabQu_ym0Zz7PgGX0-kHA/edit?usp=sharing"",""แผน!GQ51"")"),0)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4"/>
      <c r="R528" s="604"/>
      <c r="S528" s="604"/>
      <c r="T528" s="604"/>
      <c r="U528" s="604"/>
      <c r="V528" s="604"/>
      <c r="W528" s="604"/>
      <c r="X528" s="604"/>
      <c r="Y528" s="604"/>
      <c r="Z528" s="604"/>
    </row>
    <row r="529" spans="1:26" ht="18.75" hidden="1">
      <c r="A529" s="574"/>
      <c r="B529" s="575"/>
      <c r="C529" s="763"/>
      <c r="D529" s="763"/>
      <c r="E529" s="763"/>
      <c r="F529" s="763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40">
        <v>0</v>
      </c>
      <c r="O529" s="498"/>
      <c r="P529" s="49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</row>
    <row r="530" spans="1:26" ht="18.75" hidden="1">
      <c r="A530" s="574"/>
      <c r="B530" s="575"/>
      <c r="C530" s="763"/>
      <c r="D530" s="763"/>
      <c r="E530" s="763"/>
      <c r="F530" s="763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40">
        <v>0</v>
      </c>
      <c r="O530" s="498"/>
      <c r="P530" s="49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</row>
    <row r="531" spans="1:26" ht="18.75" hidden="1">
      <c r="A531" s="574"/>
      <c r="B531" s="575"/>
      <c r="C531" s="763"/>
      <c r="D531" s="763"/>
      <c r="E531" s="763"/>
      <c r="F531" s="763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40">
        <v>0</v>
      </c>
      <c r="O531" s="498"/>
      <c r="P531" s="49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</row>
    <row r="532" spans="1:26" ht="18.75" hidden="1">
      <c r="A532" s="574"/>
      <c r="B532" s="575"/>
      <c r="C532" s="763"/>
      <c r="D532" s="763"/>
      <c r="E532" s="763"/>
      <c r="F532" s="763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40">
        <v>0</v>
      </c>
      <c r="O532" s="498"/>
      <c r="P532" s="49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</row>
    <row r="533" spans="1:26" ht="18.75" hidden="1">
      <c r="A533" s="597"/>
      <c r="B533" s="575"/>
      <c r="C533" s="763"/>
      <c r="D533" s="606" t="s">
        <v>21</v>
      </c>
      <c r="E533" s="763"/>
      <c r="F533" s="763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</row>
    <row r="534" spans="1:26" ht="18.75" hidden="1">
      <c r="A534" s="599"/>
      <c r="B534" s="607"/>
      <c r="C534" s="759"/>
      <c r="D534" s="759"/>
      <c r="E534" s="759" t="s">
        <v>18</v>
      </c>
      <c r="F534" s="759"/>
      <c r="G534" s="603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4"/>
      <c r="R534" s="604"/>
      <c r="S534" s="604"/>
      <c r="T534" s="604"/>
      <c r="U534" s="604"/>
      <c r="V534" s="604"/>
      <c r="W534" s="604"/>
      <c r="X534" s="604"/>
      <c r="Y534" s="604"/>
      <c r="Z534" s="604"/>
    </row>
    <row r="535" spans="1:26" ht="18.75" hidden="1">
      <c r="A535" s="599"/>
      <c r="B535" s="607"/>
      <c r="C535" s="759"/>
      <c r="D535" s="759"/>
      <c r="E535" s="759" t="s">
        <v>19</v>
      </c>
      <c r="F535" s="759"/>
      <c r="G535" s="603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4"/>
      <c r="R535" s="604"/>
      <c r="S535" s="604"/>
      <c r="T535" s="604"/>
      <c r="U535" s="604"/>
      <c r="V535" s="604"/>
      <c r="W535" s="604"/>
      <c r="X535" s="604"/>
      <c r="Y535" s="604"/>
      <c r="Z535" s="604"/>
    </row>
    <row r="536" spans="1:26" ht="19.5" hidden="1">
      <c r="A536" s="608"/>
      <c r="B536" s="618"/>
      <c r="C536" s="763" t="s">
        <v>16</v>
      </c>
      <c r="D536" s="896" t="s">
        <v>38</v>
      </c>
      <c r="E536" s="761"/>
      <c r="F536" s="761"/>
      <c r="G536" s="613"/>
      <c r="H536" s="762"/>
      <c r="I536" s="184"/>
      <c r="J536" s="184"/>
      <c r="K536" s="163"/>
      <c r="L536" s="163"/>
      <c r="M536" s="163"/>
      <c r="N536" s="163"/>
      <c r="O536" s="163"/>
      <c r="P536" s="163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</row>
    <row r="537" spans="1:26" ht="19.5" hidden="1">
      <c r="A537" s="574"/>
      <c r="B537" s="575"/>
      <c r="C537" s="763"/>
      <c r="D537" s="763" t="s">
        <v>228</v>
      </c>
      <c r="E537" s="763"/>
      <c r="F537" s="763"/>
      <c r="G537" s="189"/>
      <c r="H537" s="623" t="s">
        <v>35</v>
      </c>
      <c r="I537" s="681">
        <f ca="1">IFERROR(__xludf.DUMMYFUNCTION("IMPORTRANGE(""https://docs.google.com/spreadsheets/d/1QqKyyYR6Q21VydFLVH3TRQUabQu_ym0Zz7PgGX0-kHA/edit?usp=sharing"",""แผน!GU51"")"),0)</f>
        <v>0</v>
      </c>
      <c r="J537" s="681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2"/>
      <c r="R537" s="682"/>
      <c r="S537" s="682"/>
      <c r="T537" s="682"/>
      <c r="U537" s="682"/>
      <c r="V537" s="682"/>
      <c r="W537" s="682"/>
      <c r="X537" s="682"/>
      <c r="Y537" s="682"/>
      <c r="Z537" s="682"/>
    </row>
    <row r="538" spans="1:26" ht="18.75" hidden="1">
      <c r="A538" s="574"/>
      <c r="B538" s="575"/>
      <c r="C538" s="763"/>
      <c r="D538" s="763"/>
      <c r="E538" s="763" t="s">
        <v>229</v>
      </c>
      <c r="F538" s="763"/>
      <c r="G538" s="189"/>
      <c r="H538" s="623" t="s">
        <v>35</v>
      </c>
      <c r="I538" s="270">
        <f ca="1">IFERROR(__xludf.DUMMYFUNCTION("IMPORTRANGE(""https://docs.google.com/spreadsheets/d/1QqKyyYR6Q21VydFLVH3TRQUabQu_ym0Zz7PgGX0-kHA/edit?usp=sharing"",""แผน!GV51"")"),0)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2"/>
      <c r="R538" s="682"/>
      <c r="S538" s="682"/>
      <c r="T538" s="682"/>
      <c r="U538" s="682"/>
      <c r="V538" s="682"/>
      <c r="W538" s="682"/>
      <c r="X538" s="682"/>
      <c r="Y538" s="682"/>
      <c r="Z538" s="682"/>
    </row>
    <row r="539" spans="1:26" ht="18.75" hidden="1">
      <c r="A539" s="574"/>
      <c r="B539" s="575"/>
      <c r="C539" s="763"/>
      <c r="D539" s="763"/>
      <c r="E539" s="763" t="s">
        <v>230</v>
      </c>
      <c r="F539" s="763"/>
      <c r="G539" s="189"/>
      <c r="H539" s="623" t="s">
        <v>35</v>
      </c>
      <c r="I539" s="270">
        <f ca="1">IFERROR(__xludf.DUMMYFUNCTION("IMPORTRANGE(""https://docs.google.com/spreadsheets/d/1QqKyyYR6Q21VydFLVH3TRQUabQu_ym0Zz7PgGX0-kHA/edit?usp=sharing"",""แผน!GW51"")"),0)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2"/>
      <c r="R539" s="682"/>
      <c r="S539" s="682"/>
      <c r="T539" s="682"/>
      <c r="U539" s="682"/>
      <c r="V539" s="682"/>
      <c r="W539" s="682"/>
      <c r="X539" s="682"/>
      <c r="Y539" s="682"/>
      <c r="Z539" s="682"/>
    </row>
    <row r="540" spans="1:26" ht="18.75" hidden="1">
      <c r="A540" s="574"/>
      <c r="B540" s="575"/>
      <c r="C540" s="763"/>
      <c r="D540" s="763"/>
      <c r="E540" s="763" t="s">
        <v>231</v>
      </c>
      <c r="F540" s="763"/>
      <c r="G540" s="189"/>
      <c r="H540" s="623" t="s">
        <v>35</v>
      </c>
      <c r="I540" s="270">
        <f ca="1">IFERROR(__xludf.DUMMYFUNCTION("IMPORTRANGE(""https://docs.google.com/spreadsheets/d/1QqKyyYR6Q21VydFLVH3TRQUabQu_ym0Zz7PgGX0-kHA/edit?usp=sharing"",""แผน!GX51"")"),0)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2"/>
      <c r="R540" s="682"/>
      <c r="S540" s="682"/>
      <c r="T540" s="682"/>
      <c r="U540" s="682"/>
      <c r="V540" s="682"/>
      <c r="W540" s="682"/>
      <c r="X540" s="682"/>
      <c r="Y540" s="682"/>
      <c r="Z540" s="682"/>
    </row>
    <row r="541" spans="1:26" ht="18.75" hidden="1">
      <c r="A541" s="574"/>
      <c r="B541" s="575"/>
      <c r="C541" s="763"/>
      <c r="D541" s="763"/>
      <c r="E541" s="769" t="s">
        <v>232</v>
      </c>
      <c r="F541" s="763"/>
      <c r="G541" s="189"/>
      <c r="H541" s="623" t="s">
        <v>35</v>
      </c>
      <c r="I541" s="270">
        <f ca="1">IFERROR(__xludf.DUMMYFUNCTION("IMPORTRANGE(""https://docs.google.com/spreadsheets/d/1QqKyyYR6Q21VydFLVH3TRQUabQu_ym0Zz7PgGX0-kHA/edit?usp=sharing"",""แผน!GY51"")"),0)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2"/>
      <c r="R541" s="682"/>
      <c r="S541" s="682"/>
      <c r="T541" s="682"/>
      <c r="U541" s="682"/>
      <c r="V541" s="682"/>
      <c r="W541" s="682"/>
      <c r="X541" s="682"/>
      <c r="Y541" s="682"/>
      <c r="Z541" s="682"/>
    </row>
    <row r="542" spans="1:26" ht="18.75" hidden="1">
      <c r="A542" s="574"/>
      <c r="B542" s="575"/>
      <c r="C542" s="763"/>
      <c r="D542" s="763" t="s">
        <v>59</v>
      </c>
      <c r="E542" s="763"/>
      <c r="F542" s="763"/>
      <c r="G542" s="189"/>
      <c r="H542" s="623" t="s">
        <v>35</v>
      </c>
      <c r="I542" s="270">
        <f ca="1">IFERROR(__xludf.DUMMYFUNCTION("IMPORTRANGE(""https://docs.google.com/spreadsheets/d/1QqKyyYR6Q21VydFLVH3TRQUabQu_ym0Zz7PgGX0-kHA/edit?usp=sharing"",""แผน!GZ51"")"),0)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2"/>
      <c r="R542" s="682"/>
      <c r="S542" s="682"/>
      <c r="T542" s="682"/>
      <c r="U542" s="682"/>
      <c r="V542" s="682"/>
      <c r="W542" s="682"/>
      <c r="X542" s="682"/>
      <c r="Y542" s="682"/>
      <c r="Z542" s="682"/>
    </row>
    <row r="543" spans="1:26" ht="19.5">
      <c r="A543" s="664">
        <v>6</v>
      </c>
      <c r="B543" s="685" t="s">
        <v>233</v>
      </c>
      <c r="C543" s="667"/>
      <c r="D543" s="667"/>
      <c r="E543" s="667"/>
      <c r="F543" s="667"/>
      <c r="G543" s="668"/>
      <c r="H543" s="686" t="s">
        <v>46</v>
      </c>
      <c r="I543" s="687">
        <f t="shared" ref="I543:J543" ca="1" si="235">I559</f>
        <v>88522.544999999998</v>
      </c>
      <c r="J543" s="687">
        <f t="shared" si="235"/>
        <v>88522.545000000013</v>
      </c>
      <c r="K543" s="688">
        <f t="shared" ca="1" si="234"/>
        <v>100.00000000000003</v>
      </c>
      <c r="L543" s="670"/>
      <c r="M543" s="670"/>
      <c r="N543" s="670"/>
      <c r="O543" s="670"/>
      <c r="P543" s="670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</row>
    <row r="544" spans="1:26" ht="19.5">
      <c r="A544" s="689"/>
      <c r="B544" s="690"/>
      <c r="C544" s="690" t="s">
        <v>16</v>
      </c>
      <c r="D544" s="897" t="s">
        <v>17</v>
      </c>
      <c r="E544" s="862"/>
      <c r="F544" s="862"/>
      <c r="G544" s="691"/>
      <c r="H544" s="275" t="s">
        <v>12</v>
      </c>
      <c r="I544" s="420"/>
      <c r="J544" s="420"/>
      <c r="K544" s="154"/>
      <c r="L544" s="155">
        <f t="shared" ref="L544:N544" ca="1" si="236">L545+L546</f>
        <v>517164</v>
      </c>
      <c r="M544" s="155">
        <f t="shared" ca="1" si="236"/>
        <v>478336.05</v>
      </c>
      <c r="N544" s="155">
        <f t="shared" si="236"/>
        <v>478336.05</v>
      </c>
      <c r="O544" s="155">
        <f t="shared" ref="O544:O549" ca="1" si="237">IF(L544&gt;0,N544*100/L544,0)</f>
        <v>92.492139824117686</v>
      </c>
      <c r="P544" s="155">
        <f t="shared" ref="P544:P549" ca="1" si="238">IF(M544&gt;0,N544*100/M544,0)</f>
        <v>100</v>
      </c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</row>
    <row r="545" spans="1:26" ht="18.75" hidden="1">
      <c r="A545" s="599"/>
      <c r="B545" s="759"/>
      <c r="C545" s="759"/>
      <c r="D545" s="759"/>
      <c r="E545" s="759" t="s">
        <v>185</v>
      </c>
      <c r="F545" s="759"/>
      <c r="G545" s="603"/>
      <c r="H545" s="165" t="s">
        <v>12</v>
      </c>
      <c r="I545" s="617"/>
      <c r="J545" s="617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4"/>
      <c r="R545" s="604"/>
      <c r="S545" s="604"/>
      <c r="T545" s="604"/>
      <c r="U545" s="604"/>
      <c r="V545" s="604"/>
      <c r="W545" s="604"/>
      <c r="X545" s="604"/>
      <c r="Y545" s="604"/>
      <c r="Z545" s="604"/>
    </row>
    <row r="546" spans="1:26" ht="18.75" hidden="1">
      <c r="A546" s="599"/>
      <c r="B546" s="607"/>
      <c r="C546" s="759"/>
      <c r="D546" s="759"/>
      <c r="E546" s="759" t="s">
        <v>186</v>
      </c>
      <c r="F546" s="759"/>
      <c r="G546" s="603"/>
      <c r="H546" s="165" t="s">
        <v>12</v>
      </c>
      <c r="I546" s="617"/>
      <c r="J546" s="617"/>
      <c r="K546" s="93"/>
      <c r="L546" s="93">
        <f t="shared" ca="1" si="239"/>
        <v>517164</v>
      </c>
      <c r="M546" s="93">
        <f t="shared" ca="1" si="240"/>
        <v>478336.05</v>
      </c>
      <c r="N546" s="93">
        <f t="shared" si="240"/>
        <v>478336.05</v>
      </c>
      <c r="O546" s="93">
        <f t="shared" ca="1" si="237"/>
        <v>92.492139824117686</v>
      </c>
      <c r="P546" s="93">
        <f t="shared" ca="1" si="238"/>
        <v>100</v>
      </c>
      <c r="Q546" s="604"/>
      <c r="R546" s="604"/>
      <c r="S546" s="604"/>
      <c r="T546" s="604"/>
      <c r="U546" s="604"/>
      <c r="V546" s="604"/>
      <c r="W546" s="604"/>
      <c r="X546" s="604"/>
      <c r="Y546" s="604"/>
      <c r="Z546" s="604"/>
    </row>
    <row r="547" spans="1:26" ht="18.75">
      <c r="A547" s="597"/>
      <c r="B547" s="575"/>
      <c r="C547" s="763"/>
      <c r="D547" s="606" t="s">
        <v>20</v>
      </c>
      <c r="E547" s="763"/>
      <c r="F547" s="763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517164</v>
      </c>
      <c r="M547" s="498">
        <f t="shared" ca="1" si="241"/>
        <v>478336.05</v>
      </c>
      <c r="N547" s="498">
        <f t="shared" si="241"/>
        <v>478336.05</v>
      </c>
      <c r="O547" s="498">
        <f t="shared" ca="1" si="237"/>
        <v>92.492139824117686</v>
      </c>
      <c r="P547" s="498">
        <f t="shared" ca="1" si="238"/>
        <v>100</v>
      </c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</row>
    <row r="548" spans="1:26" ht="18.75" hidden="1">
      <c r="A548" s="599"/>
      <c r="B548" s="607"/>
      <c r="C548" s="759"/>
      <c r="D548" s="720"/>
      <c r="E548" s="759" t="s">
        <v>185</v>
      </c>
      <c r="F548" s="759"/>
      <c r="G548" s="603"/>
      <c r="H548" s="165" t="s">
        <v>12</v>
      </c>
      <c r="I548" s="617"/>
      <c r="J548" s="617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4"/>
      <c r="R548" s="604"/>
      <c r="S548" s="604"/>
      <c r="T548" s="604"/>
      <c r="U548" s="604"/>
      <c r="V548" s="604"/>
      <c r="W548" s="604"/>
      <c r="X548" s="604"/>
      <c r="Y548" s="604"/>
      <c r="Z548" s="604"/>
    </row>
    <row r="549" spans="1:26" ht="18.75" hidden="1">
      <c r="A549" s="599"/>
      <c r="B549" s="607"/>
      <c r="C549" s="759"/>
      <c r="D549" s="720"/>
      <c r="E549" s="759" t="s">
        <v>186</v>
      </c>
      <c r="F549" s="759"/>
      <c r="G549" s="603"/>
      <c r="H549" s="165" t="s">
        <v>12</v>
      </c>
      <c r="I549" s="617"/>
      <c r="J549" s="617"/>
      <c r="K549" s="93"/>
      <c r="L549" s="93">
        <f ca="1">IFERROR(__xludf.DUMMYFUNCTION("IMPORTRANGE(""https://docs.google.com/spreadsheets/d/1QqKyyYR6Q21VydFLVH3TRQUabQu_ym0Zz7PgGX0-kHA/edit?usp=sharing"",""แผน!HB51"")"),517164)</f>
        <v>517164</v>
      </c>
      <c r="M549" s="93">
        <f ca="1">L549-38827.95</f>
        <v>478336.05</v>
      </c>
      <c r="N549" s="93">
        <f>N550+N551+N552+N553+N554</f>
        <v>478336.05</v>
      </c>
      <c r="O549" s="93">
        <f t="shared" ca="1" si="237"/>
        <v>92.492139824117686</v>
      </c>
      <c r="P549" s="93">
        <f t="shared" ca="1" si="238"/>
        <v>100</v>
      </c>
      <c r="Q549" s="604"/>
      <c r="R549" s="604"/>
      <c r="S549" s="604"/>
      <c r="T549" s="604"/>
      <c r="U549" s="604"/>
      <c r="V549" s="604"/>
      <c r="W549" s="604"/>
      <c r="X549" s="604"/>
      <c r="Y549" s="604"/>
      <c r="Z549" s="604"/>
    </row>
    <row r="550" spans="1:26" ht="18.75">
      <c r="A550" s="574"/>
      <c r="B550" s="575"/>
      <c r="C550" s="763"/>
      <c r="D550" s="763"/>
      <c r="E550" s="763"/>
      <c r="F550" s="763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40">
        <v>0</v>
      </c>
      <c r="O550" s="498"/>
      <c r="P550" s="49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</row>
    <row r="551" spans="1:26" ht="18.75">
      <c r="A551" s="574"/>
      <c r="B551" s="575"/>
      <c r="C551" s="575"/>
      <c r="D551" s="575"/>
      <c r="E551" s="763"/>
      <c r="F551" s="763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40">
        <v>0</v>
      </c>
      <c r="O551" s="498"/>
      <c r="P551" s="49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</row>
    <row r="552" spans="1:26" ht="18.75">
      <c r="A552" s="574"/>
      <c r="B552" s="575"/>
      <c r="C552" s="763"/>
      <c r="D552" s="763"/>
      <c r="E552" s="763"/>
      <c r="F552" s="763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40">
        <f>127834+13000</f>
        <v>140834</v>
      </c>
      <c r="O552" s="498"/>
      <c r="P552" s="498"/>
      <c r="Q552" s="578"/>
      <c r="R552" s="578"/>
      <c r="S552" s="578"/>
      <c r="T552" s="578"/>
      <c r="U552" s="578"/>
      <c r="V552" s="578"/>
      <c r="W552" s="578"/>
      <c r="X552" s="578"/>
      <c r="Y552" s="578"/>
      <c r="Z552" s="578"/>
    </row>
    <row r="553" spans="1:26" ht="18.75">
      <c r="A553" s="574"/>
      <c r="B553" s="575"/>
      <c r="C553" s="575"/>
      <c r="D553" s="575"/>
      <c r="E553" s="763"/>
      <c r="F553" s="763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40">
        <f>300381.35+16489.05+9040+991.65+10600</f>
        <v>337502.05</v>
      </c>
      <c r="O553" s="498"/>
      <c r="P553" s="49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</row>
    <row r="554" spans="1:26" ht="18.75">
      <c r="A554" s="574"/>
      <c r="B554" s="575"/>
      <c r="C554" s="575"/>
      <c r="D554" s="575"/>
      <c r="E554" s="763"/>
      <c r="F554" s="763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40">
        <v>0</v>
      </c>
      <c r="O554" s="498"/>
      <c r="P554" s="49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</row>
    <row r="555" spans="1:26" ht="18.75">
      <c r="A555" s="597"/>
      <c r="B555" s="575"/>
      <c r="C555" s="575"/>
      <c r="D555" s="606" t="s">
        <v>21</v>
      </c>
      <c r="E555" s="763"/>
      <c r="F555" s="763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</row>
    <row r="556" spans="1:26" ht="18.75" hidden="1">
      <c r="A556" s="599"/>
      <c r="B556" s="607"/>
      <c r="C556" s="607"/>
      <c r="D556" s="759"/>
      <c r="E556" s="759" t="s">
        <v>18</v>
      </c>
      <c r="F556" s="759"/>
      <c r="G556" s="603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4"/>
      <c r="R556" s="604"/>
      <c r="S556" s="604"/>
      <c r="T556" s="604"/>
      <c r="U556" s="604"/>
      <c r="V556" s="604"/>
      <c r="W556" s="604"/>
      <c r="X556" s="604"/>
      <c r="Y556" s="604"/>
      <c r="Z556" s="604"/>
    </row>
    <row r="557" spans="1:26" ht="18.75" hidden="1">
      <c r="A557" s="599"/>
      <c r="B557" s="607"/>
      <c r="C557" s="607"/>
      <c r="D557" s="759"/>
      <c r="E557" s="759" t="s">
        <v>19</v>
      </c>
      <c r="F557" s="759"/>
      <c r="G557" s="603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4"/>
      <c r="R557" s="604"/>
      <c r="S557" s="604"/>
      <c r="T557" s="604"/>
      <c r="U557" s="604"/>
      <c r="V557" s="604"/>
      <c r="W557" s="604"/>
      <c r="X557" s="604"/>
      <c r="Y557" s="604"/>
      <c r="Z557" s="604"/>
    </row>
    <row r="558" spans="1:26" ht="19.5">
      <c r="A558" s="608"/>
      <c r="B558" s="618"/>
      <c r="C558" s="575" t="s">
        <v>16</v>
      </c>
      <c r="D558" s="896" t="s">
        <v>38</v>
      </c>
      <c r="E558" s="761"/>
      <c r="F558" s="761"/>
      <c r="G558" s="613"/>
      <c r="H558" s="762"/>
      <c r="I558" s="184"/>
      <c r="J558" s="184"/>
      <c r="K558" s="163"/>
      <c r="L558" s="163"/>
      <c r="M558" s="163"/>
      <c r="N558" s="163"/>
      <c r="O558" s="163"/>
      <c r="P558" s="163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</row>
    <row r="559" spans="1:26" ht="19.5">
      <c r="A559" s="692"/>
      <c r="B559" s="693" t="s">
        <v>235</v>
      </c>
      <c r="C559" s="694"/>
      <c r="D559" s="694"/>
      <c r="E559" s="673"/>
      <c r="F559" s="673"/>
      <c r="G559" s="674"/>
      <c r="H559" s="695" t="s">
        <v>46</v>
      </c>
      <c r="I559" s="708">
        <f t="shared" ref="I559:J559" ca="1" si="245">I576</f>
        <v>88522.544999999998</v>
      </c>
      <c r="J559" s="708">
        <f t="shared" si="245"/>
        <v>88522.545000000013</v>
      </c>
      <c r="K559" s="677">
        <f t="shared" ref="K559:K561" ca="1" si="246">IF(I559&gt;0,J559*100/I559,0)</f>
        <v>100.00000000000003</v>
      </c>
      <c r="L559" s="678"/>
      <c r="M559" s="678"/>
      <c r="N559" s="678"/>
      <c r="O559" s="678"/>
      <c r="P559" s="6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</row>
    <row r="560" spans="1:26" ht="19.5">
      <c r="A560" s="608"/>
      <c r="B560" s="618"/>
      <c r="C560" s="625" t="s">
        <v>236</v>
      </c>
      <c r="D560" s="618"/>
      <c r="E560" s="626"/>
      <c r="F560" s="626"/>
      <c r="G560" s="762"/>
      <c r="H560" s="767" t="s">
        <v>46</v>
      </c>
      <c r="I560" s="193">
        <f ca="1">IFERROR(__xludf.DUMMYFUNCTION("IMPORTRANGE(""https://docs.google.com/spreadsheets/d/1QqKyyYR6Q21VydFLVH3TRQUabQu_ym0Zz7PgGX0-kHA/edit?usp=sharing"",""แผน!HH51"")"),88522.545)</f>
        <v>88522.544999999998</v>
      </c>
      <c r="J560" s="193">
        <f t="shared" ref="J560:J561" si="247">J562+J564+J566</f>
        <v>88522.492500000008</v>
      </c>
      <c r="K560" s="411">
        <f t="shared" ca="1" si="246"/>
        <v>99.999940693074294</v>
      </c>
      <c r="L560" s="163"/>
      <c r="M560" s="163"/>
      <c r="N560" s="163"/>
      <c r="O560" s="163"/>
      <c r="P560" s="163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</row>
    <row r="561" spans="1:26" ht="19.5">
      <c r="A561" s="608"/>
      <c r="B561" s="618"/>
      <c r="C561" s="618"/>
      <c r="D561" s="626"/>
      <c r="E561" s="626"/>
      <c r="F561" s="626"/>
      <c r="G561" s="762"/>
      <c r="H561" s="767" t="s">
        <v>34</v>
      </c>
      <c r="I561" s="193">
        <f ca="1">IFERROR(__xludf.DUMMYFUNCTION("IMPORTRANGE(""https://docs.google.com/spreadsheets/d/1QqKyyYR6Q21VydFLVH3TRQUabQu_ym0Zz7PgGX0-kHA/edit?usp=sharing"",""แผน!HG51"")"),8669)</f>
        <v>8669</v>
      </c>
      <c r="J561" s="193">
        <f t="shared" si="247"/>
        <v>8669</v>
      </c>
      <c r="K561" s="411">
        <f t="shared" ca="1" si="246"/>
        <v>100</v>
      </c>
      <c r="L561" s="163"/>
      <c r="M561" s="163"/>
      <c r="N561" s="163"/>
      <c r="O561" s="163"/>
      <c r="P561" s="163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</row>
    <row r="562" spans="1:26" ht="18.75">
      <c r="A562" s="608"/>
      <c r="B562" s="618"/>
      <c r="C562" s="618"/>
      <c r="D562" s="626" t="s">
        <v>237</v>
      </c>
      <c r="E562" s="626"/>
      <c r="F562" s="626"/>
      <c r="G562" s="762"/>
      <c r="H562" s="764" t="s">
        <v>46</v>
      </c>
      <c r="I562" s="184"/>
      <c r="J562" s="215">
        <v>63806</v>
      </c>
      <c r="K562" s="163"/>
      <c r="L562" s="163"/>
      <c r="M562" s="163"/>
      <c r="N562" s="163"/>
      <c r="O562" s="163"/>
      <c r="P562" s="163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</row>
    <row r="563" spans="1:26" ht="18.75">
      <c r="A563" s="608"/>
      <c r="B563" s="618"/>
      <c r="C563" s="618"/>
      <c r="D563" s="618"/>
      <c r="E563" s="626"/>
      <c r="F563" s="626"/>
      <c r="G563" s="762"/>
      <c r="H563" s="764" t="s">
        <v>34</v>
      </c>
      <c r="I563" s="184"/>
      <c r="J563" s="215">
        <v>6638</v>
      </c>
      <c r="K563" s="163"/>
      <c r="L563" s="163"/>
      <c r="M563" s="163"/>
      <c r="N563" s="163"/>
      <c r="O563" s="163"/>
      <c r="P563" s="163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</row>
    <row r="564" spans="1:26" ht="18.75">
      <c r="A564" s="608"/>
      <c r="B564" s="618"/>
      <c r="C564" s="618"/>
      <c r="D564" s="626" t="s">
        <v>238</v>
      </c>
      <c r="E564" s="626"/>
      <c r="F564" s="626"/>
      <c r="G564" s="762"/>
      <c r="H564" s="764" t="s">
        <v>46</v>
      </c>
      <c r="I564" s="184"/>
      <c r="J564" s="215">
        <v>20079.0975</v>
      </c>
      <c r="K564" s="163"/>
      <c r="L564" s="163"/>
      <c r="M564" s="163"/>
      <c r="N564" s="163"/>
      <c r="O564" s="163"/>
      <c r="P564" s="163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</row>
    <row r="565" spans="1:26" ht="18.75">
      <c r="A565" s="608"/>
      <c r="B565" s="618"/>
      <c r="C565" s="618"/>
      <c r="D565" s="626"/>
      <c r="E565" s="626"/>
      <c r="F565" s="626"/>
      <c r="G565" s="762"/>
      <c r="H565" s="764" t="s">
        <v>34</v>
      </c>
      <c r="I565" s="184"/>
      <c r="J565" s="215">
        <v>1654</v>
      </c>
      <c r="K565" s="163"/>
      <c r="L565" s="163"/>
      <c r="M565" s="163"/>
      <c r="N565" s="163"/>
      <c r="O565" s="163"/>
      <c r="P565" s="163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</row>
    <row r="566" spans="1:26" ht="18.75">
      <c r="A566" s="608"/>
      <c r="B566" s="618"/>
      <c r="C566" s="618"/>
      <c r="D566" s="626" t="s">
        <v>239</v>
      </c>
      <c r="E566" s="626"/>
      <c r="F566" s="626"/>
      <c r="G566" s="762"/>
      <c r="H566" s="764" t="s">
        <v>46</v>
      </c>
      <c r="I566" s="184"/>
      <c r="J566" s="215">
        <v>4637.3950000000004</v>
      </c>
      <c r="K566" s="163"/>
      <c r="L566" s="163"/>
      <c r="M566" s="163"/>
      <c r="N566" s="163"/>
      <c r="O566" s="163"/>
      <c r="P566" s="163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</row>
    <row r="567" spans="1:26" ht="18.75">
      <c r="A567" s="608"/>
      <c r="B567" s="618"/>
      <c r="C567" s="618"/>
      <c r="D567" s="626"/>
      <c r="E567" s="626"/>
      <c r="F567" s="626"/>
      <c r="G567" s="762"/>
      <c r="H567" s="764" t="s">
        <v>34</v>
      </c>
      <c r="I567" s="184"/>
      <c r="J567" s="215">
        <v>377</v>
      </c>
      <c r="K567" s="163"/>
      <c r="L567" s="163"/>
      <c r="M567" s="163"/>
      <c r="N567" s="163"/>
      <c r="O567" s="163"/>
      <c r="P567" s="163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</row>
    <row r="568" spans="1:26" ht="19.5">
      <c r="A568" s="608"/>
      <c r="B568" s="618"/>
      <c r="C568" s="625" t="s">
        <v>240</v>
      </c>
      <c r="D568" s="626"/>
      <c r="E568" s="626"/>
      <c r="F568" s="626"/>
      <c r="G568" s="762"/>
      <c r="H568" s="767" t="s">
        <v>46</v>
      </c>
      <c r="I568" s="193">
        <f ca="1">IFERROR(__xludf.DUMMYFUNCTION("IMPORTRANGE(""https://docs.google.com/spreadsheets/d/1QqKyyYR6Q21VydFLVH3TRQUabQu_ym0Zz7PgGX0-kHA/edit?usp=sharing"",""แผน!HH51"")"),88522.545)</f>
        <v>88522.544999999998</v>
      </c>
      <c r="J568" s="681">
        <f t="shared" ref="J568:J569" si="248">J570+J572+J574</f>
        <v>88522</v>
      </c>
      <c r="K568" s="411">
        <f t="shared" ref="K568:K569" ca="1" si="249">IF(I568&gt;0,J568*100/I568,0)</f>
        <v>99.999384337628342</v>
      </c>
      <c r="L568" s="163"/>
      <c r="M568" s="163"/>
      <c r="N568" s="163"/>
      <c r="O568" s="163"/>
      <c r="P568" s="163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</row>
    <row r="569" spans="1:26" ht="19.5">
      <c r="A569" s="608"/>
      <c r="B569" s="618"/>
      <c r="C569" s="618"/>
      <c r="D569" s="618"/>
      <c r="E569" s="626"/>
      <c r="F569" s="626"/>
      <c r="G569" s="762"/>
      <c r="H569" s="767" t="s">
        <v>34</v>
      </c>
      <c r="I569" s="193">
        <f ca="1">IFERROR(__xludf.DUMMYFUNCTION("IMPORTRANGE(""https://docs.google.com/spreadsheets/d/1QqKyyYR6Q21VydFLVH3TRQUabQu_ym0Zz7PgGX0-kHA/edit?usp=sharing"",""แผน!HG51"")"),8669)</f>
        <v>8669</v>
      </c>
      <c r="J569" s="681">
        <f t="shared" si="248"/>
        <v>8669</v>
      </c>
      <c r="K569" s="411">
        <f t="shared" ca="1" si="249"/>
        <v>100</v>
      </c>
      <c r="L569" s="163"/>
      <c r="M569" s="163"/>
      <c r="N569" s="163"/>
      <c r="O569" s="163"/>
      <c r="P569" s="163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</row>
    <row r="570" spans="1:26" ht="18.75">
      <c r="A570" s="608"/>
      <c r="B570" s="618"/>
      <c r="C570" s="618"/>
      <c r="D570" s="626" t="s">
        <v>241</v>
      </c>
      <c r="E570" s="618"/>
      <c r="F570" s="626"/>
      <c r="G570" s="762"/>
      <c r="H570" s="764" t="s">
        <v>46</v>
      </c>
      <c r="I570" s="184"/>
      <c r="J570" s="215">
        <v>68458</v>
      </c>
      <c r="K570" s="163"/>
      <c r="L570" s="163"/>
      <c r="M570" s="163"/>
      <c r="N570" s="163"/>
      <c r="O570" s="163"/>
      <c r="P570" s="163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</row>
    <row r="571" spans="1:26" ht="18.75">
      <c r="A571" s="608"/>
      <c r="B571" s="618"/>
      <c r="C571" s="618"/>
      <c r="D571" s="618"/>
      <c r="E571" s="626"/>
      <c r="F571" s="626"/>
      <c r="G571" s="762"/>
      <c r="H571" s="764" t="s">
        <v>34</v>
      </c>
      <c r="I571" s="184"/>
      <c r="J571" s="215">
        <v>7114</v>
      </c>
      <c r="K571" s="163"/>
      <c r="L571" s="163"/>
      <c r="M571" s="163"/>
      <c r="N571" s="163"/>
      <c r="O571" s="163"/>
      <c r="P571" s="163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</row>
    <row r="572" spans="1:26" ht="18.75">
      <c r="A572" s="608"/>
      <c r="B572" s="618"/>
      <c r="C572" s="618"/>
      <c r="D572" s="626" t="s">
        <v>242</v>
      </c>
      <c r="E572" s="626"/>
      <c r="F572" s="626"/>
      <c r="G572" s="762"/>
      <c r="H572" s="764" t="s">
        <v>46</v>
      </c>
      <c r="I572" s="184"/>
      <c r="J572" s="215">
        <v>15430</v>
      </c>
      <c r="K572" s="163"/>
      <c r="L572" s="163"/>
      <c r="M572" s="163"/>
      <c r="N572" s="163"/>
      <c r="O572" s="163"/>
      <c r="P572" s="163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</row>
    <row r="573" spans="1:26" ht="18.75">
      <c r="A573" s="608"/>
      <c r="B573" s="618"/>
      <c r="C573" s="618"/>
      <c r="D573" s="626"/>
      <c r="E573" s="626"/>
      <c r="F573" s="626"/>
      <c r="G573" s="762"/>
      <c r="H573" s="764" t="s">
        <v>34</v>
      </c>
      <c r="I573" s="184"/>
      <c r="J573" s="215">
        <v>1142</v>
      </c>
      <c r="K573" s="163"/>
      <c r="L573" s="163"/>
      <c r="M573" s="163"/>
      <c r="N573" s="163"/>
      <c r="O573" s="163"/>
      <c r="P573" s="163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</row>
    <row r="574" spans="1:26" ht="18.75">
      <c r="A574" s="608"/>
      <c r="B574" s="618"/>
      <c r="C574" s="618"/>
      <c r="D574" s="626" t="s">
        <v>243</v>
      </c>
      <c r="E574" s="626"/>
      <c r="F574" s="626"/>
      <c r="G574" s="762"/>
      <c r="H574" s="764" t="s">
        <v>46</v>
      </c>
      <c r="I574" s="184"/>
      <c r="J574" s="215">
        <v>4634</v>
      </c>
      <c r="K574" s="163"/>
      <c r="L574" s="163"/>
      <c r="M574" s="163"/>
      <c r="N574" s="163"/>
      <c r="O574" s="163"/>
      <c r="P574" s="163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</row>
    <row r="575" spans="1:26" ht="18.75">
      <c r="A575" s="608"/>
      <c r="B575" s="618"/>
      <c r="C575" s="618"/>
      <c r="D575" s="618"/>
      <c r="E575" s="626"/>
      <c r="F575" s="626"/>
      <c r="G575" s="762"/>
      <c r="H575" s="764" t="s">
        <v>34</v>
      </c>
      <c r="I575" s="184"/>
      <c r="J575" s="215">
        <v>413</v>
      </c>
      <c r="K575" s="163"/>
      <c r="L575" s="163"/>
      <c r="M575" s="163"/>
      <c r="N575" s="163"/>
      <c r="O575" s="163"/>
      <c r="P575" s="163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</row>
    <row r="576" spans="1:26" ht="19.5">
      <c r="A576" s="608"/>
      <c r="B576" s="618"/>
      <c r="C576" s="625" t="s">
        <v>244</v>
      </c>
      <c r="D576" s="618"/>
      <c r="E576" s="618"/>
      <c r="F576" s="626"/>
      <c r="G576" s="762"/>
      <c r="H576" s="767" t="s">
        <v>46</v>
      </c>
      <c r="I576" s="193">
        <f ca="1">IFERROR(__xludf.DUMMYFUNCTION("IMPORTRANGE(""https://docs.google.com/spreadsheets/d/1QqKyyYR6Q21VydFLVH3TRQUabQu_ym0Zz7PgGX0-kHA/edit?usp=sharing"",""แผน!HH51"")"),88522.545)</f>
        <v>88522.544999999998</v>
      </c>
      <c r="J576" s="681">
        <f t="shared" ref="J576:J577" si="250">J578+J580+J582+J588+J590</f>
        <v>88522.545000000013</v>
      </c>
      <c r="K576" s="411">
        <f t="shared" ref="K576:K577" ca="1" si="251">IF(I576&gt;0,J576*100/I576,0)</f>
        <v>100.00000000000003</v>
      </c>
      <c r="L576" s="163"/>
      <c r="M576" s="163"/>
      <c r="N576" s="163"/>
      <c r="O576" s="163"/>
      <c r="P576" s="163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</row>
    <row r="577" spans="1:26" ht="19.5">
      <c r="A577" s="608"/>
      <c r="B577" s="618"/>
      <c r="C577" s="618"/>
      <c r="D577" s="618"/>
      <c r="E577" s="626"/>
      <c r="F577" s="626"/>
      <c r="G577" s="762"/>
      <c r="H577" s="767" t="s">
        <v>34</v>
      </c>
      <c r="I577" s="193">
        <f ca="1">IFERROR(__xludf.DUMMYFUNCTION("IMPORTRANGE(""https://docs.google.com/spreadsheets/d/1QqKyyYR6Q21VydFLVH3TRQUabQu_ym0Zz7PgGX0-kHA/edit?usp=sharing"",""แผน!HG51"")"),8669)</f>
        <v>8669</v>
      </c>
      <c r="J577" s="681">
        <f t="shared" si="250"/>
        <v>8669</v>
      </c>
      <c r="K577" s="411">
        <f t="shared" ca="1" si="251"/>
        <v>100</v>
      </c>
      <c r="L577" s="163"/>
      <c r="M577" s="163"/>
      <c r="N577" s="163"/>
      <c r="O577" s="163"/>
      <c r="P577" s="163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</row>
    <row r="578" spans="1:26" ht="18.75">
      <c r="A578" s="608"/>
      <c r="B578" s="618"/>
      <c r="C578" s="618"/>
      <c r="D578" s="626" t="s">
        <v>245</v>
      </c>
      <c r="E578" s="626"/>
      <c r="F578" s="626"/>
      <c r="G578" s="762"/>
      <c r="H578" s="764" t="s">
        <v>46</v>
      </c>
      <c r="I578" s="184"/>
      <c r="J578" s="215">
        <v>79931.08</v>
      </c>
      <c r="K578" s="163"/>
      <c r="L578" s="163"/>
      <c r="M578" s="163"/>
      <c r="N578" s="163"/>
      <c r="O578" s="163"/>
      <c r="P578" s="163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</row>
    <row r="579" spans="1:26" ht="18.75">
      <c r="A579" s="608"/>
      <c r="B579" s="618"/>
      <c r="C579" s="618"/>
      <c r="D579" s="618"/>
      <c r="E579" s="626"/>
      <c r="F579" s="626"/>
      <c r="G579" s="762"/>
      <c r="H579" s="764" t="s">
        <v>34</v>
      </c>
      <c r="I579" s="184"/>
      <c r="J579" s="215">
        <v>7996</v>
      </c>
      <c r="K579" s="163"/>
      <c r="L579" s="163"/>
      <c r="M579" s="163"/>
      <c r="N579" s="163"/>
      <c r="O579" s="163"/>
      <c r="P579" s="163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</row>
    <row r="580" spans="1:26" ht="18.75">
      <c r="A580" s="608"/>
      <c r="B580" s="618"/>
      <c r="C580" s="618"/>
      <c r="D580" s="626" t="s">
        <v>246</v>
      </c>
      <c r="E580" s="626"/>
      <c r="F580" s="626"/>
      <c r="G580" s="762"/>
      <c r="H580" s="764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</row>
    <row r="581" spans="1:26" ht="18.75">
      <c r="A581" s="608"/>
      <c r="B581" s="618"/>
      <c r="C581" s="618"/>
      <c r="D581" s="618"/>
      <c r="E581" s="626"/>
      <c r="F581" s="626"/>
      <c r="G581" s="762"/>
      <c r="H581" s="764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</row>
    <row r="582" spans="1:26" ht="19.5">
      <c r="A582" s="608"/>
      <c r="B582" s="618"/>
      <c r="C582" s="618"/>
      <c r="D582" s="626" t="s">
        <v>247</v>
      </c>
      <c r="E582" s="626"/>
      <c r="F582" s="626"/>
      <c r="G582" s="762"/>
      <c r="H582" s="764" t="s">
        <v>46</v>
      </c>
      <c r="I582" s="184"/>
      <c r="J582" s="681">
        <f t="shared" ref="J582:J583" si="252">J584+J586</f>
        <v>4627.3950000000004</v>
      </c>
      <c r="K582" s="411"/>
      <c r="L582" s="163"/>
      <c r="M582" s="163"/>
      <c r="N582" s="163"/>
      <c r="O582" s="163"/>
      <c r="P582" s="163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</row>
    <row r="583" spans="1:26" ht="19.5">
      <c r="A583" s="608"/>
      <c r="B583" s="618"/>
      <c r="C583" s="618"/>
      <c r="D583" s="618"/>
      <c r="E583" s="626"/>
      <c r="F583" s="626"/>
      <c r="G583" s="762"/>
      <c r="H583" s="764" t="s">
        <v>34</v>
      </c>
      <c r="I583" s="184"/>
      <c r="J583" s="681">
        <f t="shared" si="252"/>
        <v>376</v>
      </c>
      <c r="K583" s="411"/>
      <c r="L583" s="163"/>
      <c r="M583" s="163"/>
      <c r="N583" s="163"/>
      <c r="O583" s="163"/>
      <c r="P583" s="163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</row>
    <row r="584" spans="1:26" ht="18.75">
      <c r="A584" s="608"/>
      <c r="B584" s="618"/>
      <c r="C584" s="618"/>
      <c r="D584" s="618"/>
      <c r="E584" s="626" t="s">
        <v>248</v>
      </c>
      <c r="F584" s="626"/>
      <c r="G584" s="762"/>
      <c r="H584" s="764" t="s">
        <v>46</v>
      </c>
      <c r="I584" s="184"/>
      <c r="J584" s="215">
        <v>4627.3950000000004</v>
      </c>
      <c r="K584" s="163"/>
      <c r="L584" s="163"/>
      <c r="M584" s="163"/>
      <c r="N584" s="163"/>
      <c r="O584" s="163"/>
      <c r="P584" s="163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</row>
    <row r="585" spans="1:26" ht="18.75">
      <c r="A585" s="608"/>
      <c r="B585" s="618"/>
      <c r="C585" s="618"/>
      <c r="D585" s="618"/>
      <c r="E585" s="626"/>
      <c r="F585" s="626"/>
      <c r="G585" s="762"/>
      <c r="H585" s="764" t="s">
        <v>34</v>
      </c>
      <c r="I585" s="184"/>
      <c r="J585" s="215">
        <v>376</v>
      </c>
      <c r="K585" s="163"/>
      <c r="L585" s="163"/>
      <c r="M585" s="163"/>
      <c r="N585" s="163"/>
      <c r="O585" s="163"/>
      <c r="P585" s="163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</row>
    <row r="586" spans="1:26" ht="18.75">
      <c r="A586" s="608"/>
      <c r="B586" s="618"/>
      <c r="C586" s="618"/>
      <c r="D586" s="618"/>
      <c r="E586" s="626" t="s">
        <v>249</v>
      </c>
      <c r="F586" s="626"/>
      <c r="G586" s="762"/>
      <c r="H586" s="76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</row>
    <row r="587" spans="1:26" ht="18.75">
      <c r="A587" s="608"/>
      <c r="B587" s="618"/>
      <c r="C587" s="618"/>
      <c r="D587" s="618"/>
      <c r="E587" s="618"/>
      <c r="F587" s="626"/>
      <c r="G587" s="762"/>
      <c r="H587" s="76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</row>
    <row r="588" spans="1:26" ht="18.75">
      <c r="A588" s="608"/>
      <c r="B588" s="618"/>
      <c r="C588" s="618"/>
      <c r="D588" s="626" t="s">
        <v>250</v>
      </c>
      <c r="E588" s="626"/>
      <c r="F588" s="626"/>
      <c r="G588" s="762"/>
      <c r="H588" s="764" t="s">
        <v>46</v>
      </c>
      <c r="I588" s="184"/>
      <c r="J588" s="215">
        <v>3964.07</v>
      </c>
      <c r="K588" s="163"/>
      <c r="L588" s="163"/>
      <c r="M588" s="163"/>
      <c r="N588" s="163"/>
      <c r="O588" s="163"/>
      <c r="P588" s="163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</row>
    <row r="589" spans="1:26" ht="18.75">
      <c r="A589" s="608"/>
      <c r="B589" s="618"/>
      <c r="C589" s="618"/>
      <c r="D589" s="618"/>
      <c r="E589" s="618"/>
      <c r="F589" s="626"/>
      <c r="G589" s="762"/>
      <c r="H589" s="764" t="s">
        <v>34</v>
      </c>
      <c r="I589" s="184"/>
      <c r="J589" s="215">
        <v>297</v>
      </c>
      <c r="K589" s="163"/>
      <c r="L589" s="163"/>
      <c r="M589" s="163"/>
      <c r="N589" s="163"/>
      <c r="O589" s="163"/>
      <c r="P589" s="163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</row>
    <row r="590" spans="1:26" ht="18.75">
      <c r="A590" s="608"/>
      <c r="B590" s="618"/>
      <c r="C590" s="618"/>
      <c r="D590" s="626" t="s">
        <v>251</v>
      </c>
      <c r="E590" s="626"/>
      <c r="F590" s="626"/>
      <c r="G590" s="762"/>
      <c r="H590" s="76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</row>
    <row r="591" spans="1:26" ht="18.75">
      <c r="A591" s="696"/>
      <c r="B591" s="697"/>
      <c r="C591" s="697"/>
      <c r="D591" s="697"/>
      <c r="E591" s="578"/>
      <c r="F591" s="578"/>
      <c r="G591" s="698"/>
      <c r="H591" s="699" t="s">
        <v>34</v>
      </c>
      <c r="I591" s="700"/>
      <c r="J591" s="701">
        <v>0</v>
      </c>
      <c r="K591" s="702"/>
      <c r="L591" s="702"/>
      <c r="M591" s="702"/>
      <c r="N591" s="702"/>
      <c r="O591" s="702"/>
      <c r="P591" s="702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</row>
    <row r="592" spans="1:26" ht="19.5">
      <c r="A592" s="692"/>
      <c r="B592" s="693" t="s">
        <v>252</v>
      </c>
      <c r="C592" s="694"/>
      <c r="D592" s="694"/>
      <c r="E592" s="673"/>
      <c r="F592" s="673"/>
      <c r="G592" s="674"/>
      <c r="H592" s="695" t="s">
        <v>46</v>
      </c>
      <c r="I592" s="703">
        <f t="shared" ref="I592:J592" ca="1" si="253">I593</f>
        <v>1760.88</v>
      </c>
      <c r="J592" s="708">
        <f t="shared" si="253"/>
        <v>1760.88</v>
      </c>
      <c r="K592" s="677">
        <f t="shared" ref="K592:K594" ca="1" si="254">IF(I592&gt;0,J592*100/I592,0)</f>
        <v>100</v>
      </c>
      <c r="L592" s="678"/>
      <c r="M592" s="678"/>
      <c r="N592" s="678"/>
      <c r="O592" s="678"/>
      <c r="P592" s="6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</row>
    <row r="593" spans="1:26" ht="19.5">
      <c r="A593" s="608"/>
      <c r="B593" s="618"/>
      <c r="C593" s="625" t="s">
        <v>253</v>
      </c>
      <c r="D593" s="618"/>
      <c r="E593" s="618"/>
      <c r="F593" s="626"/>
      <c r="G593" s="762"/>
      <c r="H593" s="767" t="s">
        <v>46</v>
      </c>
      <c r="I593" s="704">
        <f ca="1">IFERROR(__xludf.DUMMYFUNCTION("IMPORTRANGE(""https://docs.google.com/spreadsheets/d/1QqKyyYR6Q21VydFLVH3TRQUabQu_ym0Zz7PgGX0-kHA/edit?usp=sharing"",""แผน!HJ51"")"),1760.88)</f>
        <v>1760.88</v>
      </c>
      <c r="J593" s="193">
        <f t="shared" ref="J593:J594" si="255">J595+J603+J609</f>
        <v>1760.88</v>
      </c>
      <c r="K593" s="411">
        <f t="shared" ca="1" si="254"/>
        <v>100</v>
      </c>
      <c r="L593" s="163"/>
      <c r="M593" s="163"/>
      <c r="N593" s="163"/>
      <c r="O593" s="163"/>
      <c r="P593" s="163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</row>
    <row r="594" spans="1:26" ht="19.5">
      <c r="A594" s="608"/>
      <c r="B594" s="618"/>
      <c r="C594" s="618"/>
      <c r="D594" s="618"/>
      <c r="E594" s="626"/>
      <c r="F594" s="626"/>
      <c r="G594" s="762"/>
      <c r="H594" s="767" t="s">
        <v>34</v>
      </c>
      <c r="I594" s="193">
        <f ca="1">IFERROR(__xludf.DUMMYFUNCTION("IMPORTRANGE(""https://docs.google.com/spreadsheets/d/1QqKyyYR6Q21VydFLVH3TRQUabQu_ym0Zz7PgGX0-kHA/edit?usp=sharing"",""แผน!HI51"")"),128)</f>
        <v>128</v>
      </c>
      <c r="J594" s="193">
        <f t="shared" si="255"/>
        <v>128</v>
      </c>
      <c r="K594" s="411">
        <f t="shared" ca="1" si="254"/>
        <v>100</v>
      </c>
      <c r="L594" s="163"/>
      <c r="M594" s="163"/>
      <c r="N594" s="163"/>
      <c r="O594" s="163"/>
      <c r="P594" s="163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</row>
    <row r="595" spans="1:26" ht="18.75">
      <c r="A595" s="608"/>
      <c r="B595" s="618"/>
      <c r="C595" s="618" t="s">
        <v>254</v>
      </c>
      <c r="D595" s="618"/>
      <c r="E595" s="618"/>
      <c r="F595" s="626"/>
      <c r="G595" s="762"/>
      <c r="H595" s="764" t="s">
        <v>46</v>
      </c>
      <c r="I595" s="184"/>
      <c r="J595" s="184">
        <f t="shared" ref="J595:J596" si="256">J597+J599</f>
        <v>748.11250000000007</v>
      </c>
      <c r="K595" s="163"/>
      <c r="L595" s="163"/>
      <c r="M595" s="163"/>
      <c r="N595" s="163"/>
      <c r="O595" s="163"/>
      <c r="P595" s="163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</row>
    <row r="596" spans="1:26" ht="18.75">
      <c r="A596" s="608"/>
      <c r="B596" s="618"/>
      <c r="C596" s="618"/>
      <c r="D596" s="618"/>
      <c r="E596" s="626"/>
      <c r="F596" s="626"/>
      <c r="G596" s="762"/>
      <c r="H596" s="764" t="s">
        <v>34</v>
      </c>
      <c r="I596" s="184"/>
      <c r="J596" s="184">
        <f t="shared" si="256"/>
        <v>63</v>
      </c>
      <c r="K596" s="163"/>
      <c r="L596" s="163"/>
      <c r="M596" s="163"/>
      <c r="N596" s="163"/>
      <c r="O596" s="163"/>
      <c r="P596" s="163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</row>
    <row r="597" spans="1:26" ht="18.75">
      <c r="A597" s="608"/>
      <c r="B597" s="618"/>
      <c r="C597" s="618"/>
      <c r="D597" s="746" t="s">
        <v>255</v>
      </c>
      <c r="E597" s="626"/>
      <c r="F597" s="626"/>
      <c r="G597" s="762"/>
      <c r="H597" s="764" t="s">
        <v>46</v>
      </c>
      <c r="I597" s="184"/>
      <c r="J597" s="215">
        <v>710.32</v>
      </c>
      <c r="K597" s="163"/>
      <c r="L597" s="163"/>
      <c r="M597" s="163"/>
      <c r="N597" s="163"/>
      <c r="O597" s="163"/>
      <c r="P597" s="163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</row>
    <row r="598" spans="1:26" ht="18.75">
      <c r="A598" s="608"/>
      <c r="B598" s="618"/>
      <c r="C598" s="618"/>
      <c r="D598" s="618"/>
      <c r="E598" s="626"/>
      <c r="F598" s="626"/>
      <c r="G598" s="762"/>
      <c r="H598" s="764" t="s">
        <v>34</v>
      </c>
      <c r="I598" s="270"/>
      <c r="J598" s="215">
        <v>62</v>
      </c>
      <c r="K598" s="163"/>
      <c r="L598" s="163"/>
      <c r="M598" s="163"/>
      <c r="N598" s="163"/>
      <c r="O598" s="163"/>
      <c r="P598" s="163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</row>
    <row r="599" spans="1:26" ht="18.75">
      <c r="A599" s="608"/>
      <c r="B599" s="618"/>
      <c r="C599" s="618"/>
      <c r="D599" s="746" t="s">
        <v>256</v>
      </c>
      <c r="E599" s="626"/>
      <c r="F599" s="626"/>
      <c r="G599" s="762"/>
      <c r="H599" s="764" t="s">
        <v>46</v>
      </c>
      <c r="I599" s="270"/>
      <c r="J599" s="215">
        <v>37.792499999999997</v>
      </c>
      <c r="K599" s="163"/>
      <c r="L599" s="163"/>
      <c r="M599" s="163"/>
      <c r="N599" s="163"/>
      <c r="O599" s="163"/>
      <c r="P599" s="163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</row>
    <row r="600" spans="1:26" ht="18.75">
      <c r="A600" s="608"/>
      <c r="B600" s="618"/>
      <c r="C600" s="618"/>
      <c r="D600" s="618"/>
      <c r="E600" s="626"/>
      <c r="F600" s="626"/>
      <c r="G600" s="762"/>
      <c r="H600" s="764" t="s">
        <v>34</v>
      </c>
      <c r="I600" s="270"/>
      <c r="J600" s="215">
        <v>1</v>
      </c>
      <c r="K600" s="163"/>
      <c r="L600" s="163"/>
      <c r="M600" s="163"/>
      <c r="N600" s="163"/>
      <c r="O600" s="163"/>
      <c r="P600" s="163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</row>
    <row r="601" spans="1:26" ht="18.75">
      <c r="A601" s="608"/>
      <c r="B601" s="618"/>
      <c r="C601" s="618"/>
      <c r="D601" s="746" t="s">
        <v>257</v>
      </c>
      <c r="E601" s="626"/>
      <c r="F601" s="626"/>
      <c r="G601" s="762"/>
      <c r="H601" s="764" t="s">
        <v>46</v>
      </c>
      <c r="I601" s="270"/>
      <c r="J601" s="215">
        <v>37.792499999999997</v>
      </c>
      <c r="K601" s="163"/>
      <c r="L601" s="163"/>
      <c r="M601" s="163"/>
      <c r="N601" s="163"/>
      <c r="O601" s="163"/>
      <c r="P601" s="163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</row>
    <row r="602" spans="1:26" ht="18.75">
      <c r="A602" s="608"/>
      <c r="B602" s="618"/>
      <c r="C602" s="618"/>
      <c r="D602" s="618"/>
      <c r="E602" s="626"/>
      <c r="F602" s="626"/>
      <c r="G602" s="762"/>
      <c r="H602" s="764" t="s">
        <v>34</v>
      </c>
      <c r="I602" s="270"/>
      <c r="J602" s="215">
        <v>1</v>
      </c>
      <c r="K602" s="163"/>
      <c r="L602" s="163"/>
      <c r="M602" s="163"/>
      <c r="N602" s="163"/>
      <c r="O602" s="163"/>
      <c r="P602" s="163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</row>
    <row r="603" spans="1:26" ht="18.75">
      <c r="A603" s="608"/>
      <c r="B603" s="618"/>
      <c r="C603" s="705" t="s">
        <v>258</v>
      </c>
      <c r="D603" s="618"/>
      <c r="E603" s="618"/>
      <c r="F603" s="626"/>
      <c r="G603" s="762"/>
      <c r="H603" s="764" t="s">
        <v>46</v>
      </c>
      <c r="I603" s="270"/>
      <c r="J603" s="270">
        <f t="shared" ref="J603:J604" si="257">J605+J607</f>
        <v>793.80000000000007</v>
      </c>
      <c r="K603" s="163"/>
      <c r="L603" s="163"/>
      <c r="M603" s="163"/>
      <c r="N603" s="163"/>
      <c r="O603" s="163"/>
      <c r="P603" s="163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</row>
    <row r="604" spans="1:26" ht="18.75">
      <c r="A604" s="608"/>
      <c r="B604" s="618"/>
      <c r="C604" s="618"/>
      <c r="D604" s="618"/>
      <c r="E604" s="626"/>
      <c r="F604" s="626"/>
      <c r="G604" s="762"/>
      <c r="H604" s="764" t="s">
        <v>34</v>
      </c>
      <c r="I604" s="270"/>
      <c r="J604" s="270">
        <f t="shared" si="257"/>
        <v>49</v>
      </c>
      <c r="K604" s="163"/>
      <c r="L604" s="163"/>
      <c r="M604" s="163"/>
      <c r="N604" s="163"/>
      <c r="O604" s="163"/>
      <c r="P604" s="163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</row>
    <row r="605" spans="1:26" ht="18.75">
      <c r="A605" s="608"/>
      <c r="B605" s="618"/>
      <c r="C605" s="618"/>
      <c r="D605" s="705" t="s">
        <v>259</v>
      </c>
      <c r="E605" s="626"/>
      <c r="F605" s="626"/>
      <c r="G605" s="762"/>
      <c r="H605" s="764" t="s">
        <v>46</v>
      </c>
      <c r="I605" s="270"/>
      <c r="J605" s="215">
        <v>771.04250000000002</v>
      </c>
      <c r="K605" s="163"/>
      <c r="L605" s="163"/>
      <c r="M605" s="163"/>
      <c r="N605" s="163"/>
      <c r="O605" s="163"/>
      <c r="P605" s="163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</row>
    <row r="606" spans="1:26" ht="18.75">
      <c r="A606" s="608"/>
      <c r="B606" s="618"/>
      <c r="C606" s="618"/>
      <c r="D606" s="618"/>
      <c r="E606" s="618"/>
      <c r="F606" s="626"/>
      <c r="G606" s="762"/>
      <c r="H606" s="764" t="s">
        <v>34</v>
      </c>
      <c r="I606" s="270"/>
      <c r="J606" s="215">
        <v>48</v>
      </c>
      <c r="K606" s="163"/>
      <c r="L606" s="163"/>
      <c r="M606" s="163"/>
      <c r="N606" s="163"/>
      <c r="O606" s="163"/>
      <c r="P606" s="163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</row>
    <row r="607" spans="1:26" ht="18.75">
      <c r="A607" s="608"/>
      <c r="B607" s="618"/>
      <c r="C607" s="618"/>
      <c r="D607" s="705" t="s">
        <v>260</v>
      </c>
      <c r="E607" s="618"/>
      <c r="F607" s="626"/>
      <c r="G607" s="762"/>
      <c r="H607" s="764" t="s">
        <v>46</v>
      </c>
      <c r="I607" s="270"/>
      <c r="J607" s="215">
        <v>22.7575</v>
      </c>
      <c r="K607" s="163"/>
      <c r="L607" s="163"/>
      <c r="M607" s="163"/>
      <c r="N607" s="163"/>
      <c r="O607" s="163"/>
      <c r="P607" s="163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</row>
    <row r="608" spans="1:26" ht="18.75">
      <c r="A608" s="608"/>
      <c r="B608" s="618"/>
      <c r="C608" s="618"/>
      <c r="D608" s="618"/>
      <c r="E608" s="626"/>
      <c r="F608" s="626"/>
      <c r="G608" s="762"/>
      <c r="H608" s="764" t="s">
        <v>34</v>
      </c>
      <c r="I608" s="270"/>
      <c r="J608" s="215">
        <v>1</v>
      </c>
      <c r="K608" s="163"/>
      <c r="L608" s="163"/>
      <c r="M608" s="163"/>
      <c r="N608" s="163"/>
      <c r="O608" s="163"/>
      <c r="P608" s="163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</row>
    <row r="609" spans="1:26" ht="18.75">
      <c r="A609" s="608"/>
      <c r="B609" s="618"/>
      <c r="C609" s="618" t="s">
        <v>261</v>
      </c>
      <c r="D609" s="618"/>
      <c r="E609" s="618"/>
      <c r="F609" s="626"/>
      <c r="G609" s="762"/>
      <c r="H609" s="764" t="s">
        <v>46</v>
      </c>
      <c r="I609" s="270"/>
      <c r="J609" s="215">
        <v>218.9675</v>
      </c>
      <c r="K609" s="163"/>
      <c r="L609" s="163"/>
      <c r="M609" s="163"/>
      <c r="N609" s="163"/>
      <c r="O609" s="163"/>
      <c r="P609" s="163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</row>
    <row r="610" spans="1:26" ht="18.75">
      <c r="A610" s="608"/>
      <c r="B610" s="618"/>
      <c r="C610" s="618"/>
      <c r="D610" s="618"/>
      <c r="E610" s="626"/>
      <c r="F610" s="626"/>
      <c r="G610" s="762"/>
      <c r="H610" s="764" t="s">
        <v>34</v>
      </c>
      <c r="I610" s="270"/>
      <c r="J610" s="215">
        <v>16</v>
      </c>
      <c r="K610" s="163"/>
      <c r="L610" s="163"/>
      <c r="M610" s="163"/>
      <c r="N610" s="163"/>
      <c r="O610" s="163"/>
      <c r="P610" s="163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</row>
    <row r="611" spans="1:26" ht="19.5">
      <c r="A611" s="692"/>
      <c r="B611" s="706" t="s">
        <v>262</v>
      </c>
      <c r="C611" s="694"/>
      <c r="D611" s="694"/>
      <c r="E611" s="673"/>
      <c r="F611" s="673"/>
      <c r="G611" s="674"/>
      <c r="H611" s="707" t="s">
        <v>46</v>
      </c>
      <c r="I611" s="708">
        <v>0</v>
      </c>
      <c r="J611" s="708">
        <f>J614+J616</f>
        <v>0</v>
      </c>
      <c r="K611" s="677">
        <f t="shared" ref="K611:K613" si="258">IF(I611&gt;0,J611*100/I611,0)</f>
        <v>0</v>
      </c>
      <c r="L611" s="678"/>
      <c r="M611" s="678"/>
      <c r="N611" s="678"/>
      <c r="O611" s="678"/>
      <c r="P611" s="6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</row>
    <row r="612" spans="1:26" ht="19.5" hidden="1">
      <c r="A612" s="709"/>
      <c r="B612" s="719"/>
      <c r="C612" s="711" t="s">
        <v>263</v>
      </c>
      <c r="D612" s="719"/>
      <c r="E612" s="719"/>
      <c r="F612" s="712"/>
      <c r="G612" s="713"/>
      <c r="H612" s="714" t="s">
        <v>46</v>
      </c>
      <c r="I612" s="716">
        <v>0</v>
      </c>
      <c r="J612" s="716">
        <f t="shared" ref="J612:J613" si="259">J614+J616</f>
        <v>0</v>
      </c>
      <c r="K612" s="717">
        <f t="shared" si="258"/>
        <v>0</v>
      </c>
      <c r="L612" s="718"/>
      <c r="M612" s="718"/>
      <c r="N612" s="718"/>
      <c r="O612" s="718"/>
      <c r="P612" s="718"/>
      <c r="Q612" s="604"/>
      <c r="R612" s="604"/>
      <c r="S612" s="604"/>
      <c r="T612" s="604"/>
      <c r="U612" s="604"/>
      <c r="V612" s="604"/>
      <c r="W612" s="604"/>
      <c r="X612" s="604"/>
      <c r="Y612" s="604"/>
      <c r="Z612" s="604"/>
    </row>
    <row r="613" spans="1:26" ht="19.5" hidden="1">
      <c r="A613" s="709"/>
      <c r="B613" s="719"/>
      <c r="C613" s="719" t="s">
        <v>264</v>
      </c>
      <c r="D613" s="719"/>
      <c r="E613" s="719"/>
      <c r="F613" s="712"/>
      <c r="G613" s="713"/>
      <c r="H613" s="714" t="s">
        <v>34</v>
      </c>
      <c r="I613" s="716">
        <v>0</v>
      </c>
      <c r="J613" s="716">
        <f t="shared" si="259"/>
        <v>0</v>
      </c>
      <c r="K613" s="717">
        <f t="shared" si="258"/>
        <v>0</v>
      </c>
      <c r="L613" s="718"/>
      <c r="M613" s="718"/>
      <c r="N613" s="718"/>
      <c r="O613" s="718"/>
      <c r="P613" s="718"/>
      <c r="Q613" s="604"/>
      <c r="R613" s="604"/>
      <c r="S613" s="604"/>
      <c r="T613" s="604"/>
      <c r="U613" s="604"/>
      <c r="V613" s="604"/>
      <c r="W613" s="604"/>
      <c r="X613" s="604"/>
      <c r="Y613" s="604"/>
      <c r="Z613" s="604"/>
    </row>
    <row r="614" spans="1:26" ht="18.75" hidden="1">
      <c r="A614" s="614"/>
      <c r="B614" s="616"/>
      <c r="C614" s="616"/>
      <c r="D614" s="720" t="s">
        <v>265</v>
      </c>
      <c r="E614" s="616"/>
      <c r="F614" s="720"/>
      <c r="G614" s="366"/>
      <c r="H614" s="370" t="s">
        <v>46</v>
      </c>
      <c r="I614" s="617"/>
      <c r="J614" s="617">
        <v>0</v>
      </c>
      <c r="K614" s="167"/>
      <c r="L614" s="167"/>
      <c r="M614" s="167"/>
      <c r="N614" s="167"/>
      <c r="O614" s="167"/>
      <c r="P614" s="167"/>
      <c r="Q614" s="604"/>
      <c r="R614" s="604"/>
      <c r="S614" s="604"/>
      <c r="T614" s="604"/>
      <c r="U614" s="604"/>
      <c r="V614" s="604"/>
      <c r="W614" s="604"/>
      <c r="X614" s="604"/>
      <c r="Y614" s="604"/>
      <c r="Z614" s="604"/>
    </row>
    <row r="615" spans="1:26" ht="18.75" hidden="1">
      <c r="A615" s="614"/>
      <c r="B615" s="616"/>
      <c r="C615" s="616"/>
      <c r="D615" s="616"/>
      <c r="E615" s="616"/>
      <c r="F615" s="720"/>
      <c r="G615" s="366"/>
      <c r="H615" s="370" t="s">
        <v>34</v>
      </c>
      <c r="I615" s="617"/>
      <c r="J615" s="617">
        <v>0</v>
      </c>
      <c r="K615" s="167"/>
      <c r="L615" s="167"/>
      <c r="M615" s="167"/>
      <c r="N615" s="167"/>
      <c r="O615" s="167"/>
      <c r="P615" s="167"/>
      <c r="Q615" s="604"/>
      <c r="R615" s="604"/>
      <c r="S615" s="604"/>
      <c r="T615" s="604"/>
      <c r="U615" s="604"/>
      <c r="V615" s="604"/>
      <c r="W615" s="604"/>
      <c r="X615" s="604"/>
      <c r="Y615" s="604"/>
      <c r="Z615" s="604"/>
    </row>
    <row r="616" spans="1:26" ht="18.75" hidden="1">
      <c r="A616" s="614"/>
      <c r="B616" s="616"/>
      <c r="C616" s="616"/>
      <c r="D616" s="721" t="s">
        <v>265</v>
      </c>
      <c r="E616" s="720"/>
      <c r="F616" s="720"/>
      <c r="G616" s="366"/>
      <c r="H616" s="370" t="s">
        <v>46</v>
      </c>
      <c r="I616" s="617"/>
      <c r="J616" s="617">
        <v>0</v>
      </c>
      <c r="K616" s="167"/>
      <c r="L616" s="167"/>
      <c r="M616" s="167"/>
      <c r="N616" s="167"/>
      <c r="O616" s="167"/>
      <c r="P616" s="167"/>
      <c r="Q616" s="604"/>
      <c r="R616" s="604"/>
      <c r="S616" s="604"/>
      <c r="T616" s="604"/>
      <c r="U616" s="604"/>
      <c r="V616" s="604"/>
      <c r="W616" s="604"/>
      <c r="X616" s="604"/>
      <c r="Y616" s="604"/>
      <c r="Z616" s="604"/>
    </row>
    <row r="617" spans="1:26" ht="18.75" hidden="1">
      <c r="A617" s="614"/>
      <c r="B617" s="616"/>
      <c r="C617" s="616"/>
      <c r="D617" s="616"/>
      <c r="E617" s="720"/>
      <c r="F617" s="720"/>
      <c r="G617" s="366"/>
      <c r="H617" s="370" t="s">
        <v>34</v>
      </c>
      <c r="I617" s="617"/>
      <c r="J617" s="617">
        <v>0</v>
      </c>
      <c r="K617" s="167"/>
      <c r="L617" s="167"/>
      <c r="M617" s="167"/>
      <c r="N617" s="167"/>
      <c r="O617" s="167"/>
      <c r="P617" s="167"/>
      <c r="Q617" s="604"/>
      <c r="R617" s="604"/>
      <c r="S617" s="604"/>
      <c r="T617" s="604"/>
      <c r="U617" s="604"/>
      <c r="V617" s="604"/>
      <c r="W617" s="604"/>
      <c r="X617" s="604"/>
      <c r="Y617" s="604"/>
      <c r="Z617" s="604"/>
    </row>
    <row r="618" spans="1:26" ht="18.75" hidden="1">
      <c r="A618" s="614"/>
      <c r="B618" s="616"/>
      <c r="C618" s="616"/>
      <c r="D618" s="721" t="s">
        <v>266</v>
      </c>
      <c r="E618" s="720"/>
      <c r="F618" s="720"/>
      <c r="G618" s="366"/>
      <c r="H618" s="370" t="s">
        <v>46</v>
      </c>
      <c r="I618" s="617"/>
      <c r="J618" s="617">
        <v>0</v>
      </c>
      <c r="K618" s="167"/>
      <c r="L618" s="167"/>
      <c r="M618" s="167"/>
      <c r="N618" s="167"/>
      <c r="O618" s="167"/>
      <c r="P618" s="167"/>
      <c r="Q618" s="604"/>
      <c r="R618" s="604"/>
      <c r="S618" s="604"/>
      <c r="T618" s="604"/>
      <c r="U618" s="604"/>
      <c r="V618" s="604"/>
      <c r="W618" s="604"/>
      <c r="X618" s="604"/>
      <c r="Y618" s="604"/>
      <c r="Z618" s="604"/>
    </row>
    <row r="619" spans="1:26" ht="18.75" hidden="1">
      <c r="A619" s="614"/>
      <c r="B619" s="616"/>
      <c r="C619" s="616"/>
      <c r="D619" s="616"/>
      <c r="E619" s="720"/>
      <c r="F619" s="720"/>
      <c r="G619" s="366"/>
      <c r="H619" s="370" t="s">
        <v>34</v>
      </c>
      <c r="I619" s="617"/>
      <c r="J619" s="617">
        <v>0</v>
      </c>
      <c r="K619" s="167"/>
      <c r="L619" s="167"/>
      <c r="M619" s="167"/>
      <c r="N619" s="167"/>
      <c r="O619" s="167"/>
      <c r="P619" s="167"/>
      <c r="Q619" s="604"/>
      <c r="R619" s="604"/>
      <c r="S619" s="604"/>
      <c r="T619" s="604"/>
      <c r="U619" s="604"/>
      <c r="V619" s="604"/>
      <c r="W619" s="604"/>
      <c r="X619" s="604"/>
      <c r="Y619" s="604"/>
      <c r="Z619" s="604"/>
    </row>
    <row r="620" spans="1:26" ht="19.5">
      <c r="A620" s="722"/>
      <c r="B620" s="731"/>
      <c r="C620" s="724" t="s">
        <v>267</v>
      </c>
      <c r="D620" s="731"/>
      <c r="E620" s="731"/>
      <c r="F620" s="725"/>
      <c r="G620" s="726"/>
      <c r="H620" s="727" t="s">
        <v>46</v>
      </c>
      <c r="I620" s="728">
        <f ca="1">IFERROR(__xludf.DUMMYFUNCTION("IMPORTRANGE(""https://docs.google.com/spreadsheets/d/1QqKyyYR6Q21VydFLVH3TRQUabQu_ym0Zz7PgGX0-kHA/edit?usp=sharing"",""แผน!HL51"")"),0)</f>
        <v>0</v>
      </c>
      <c r="J620" s="728">
        <f t="shared" ref="J620:J621" si="260">J622+J624+J626</f>
        <v>0</v>
      </c>
      <c r="K620" s="729">
        <f t="shared" ref="K620:K621" ca="1" si="261">IF(I620&gt;0,J620*100/I620,0)</f>
        <v>0</v>
      </c>
      <c r="L620" s="730"/>
      <c r="M620" s="730"/>
      <c r="N620" s="730"/>
      <c r="O620" s="730"/>
      <c r="P620" s="730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</row>
    <row r="621" spans="1:26" ht="19.5">
      <c r="A621" s="722"/>
      <c r="B621" s="731"/>
      <c r="C621" s="731" t="s">
        <v>268</v>
      </c>
      <c r="D621" s="731"/>
      <c r="E621" s="731"/>
      <c r="F621" s="725"/>
      <c r="G621" s="726"/>
      <c r="H621" s="727" t="s">
        <v>34</v>
      </c>
      <c r="I621" s="728">
        <f ca="1">IFERROR(__xludf.DUMMYFUNCTION("IMPORTRANGE(""https://docs.google.com/spreadsheets/d/1QqKyyYR6Q21VydFLVH3TRQUabQu_ym0Zz7PgGX0-kHA/edit?usp=sharing"",""แผน!HK51"")"),0)</f>
        <v>0</v>
      </c>
      <c r="J621" s="728">
        <f t="shared" si="260"/>
        <v>0</v>
      </c>
      <c r="K621" s="729">
        <f t="shared" ca="1" si="261"/>
        <v>0</v>
      </c>
      <c r="L621" s="730"/>
      <c r="M621" s="730"/>
      <c r="N621" s="730"/>
      <c r="O621" s="730"/>
      <c r="P621" s="730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</row>
    <row r="622" spans="1:26" ht="18.75">
      <c r="A622" s="608"/>
      <c r="B622" s="618"/>
      <c r="C622" s="618"/>
      <c r="D622" s="746" t="s">
        <v>269</v>
      </c>
      <c r="E622" s="626"/>
      <c r="F622" s="626"/>
      <c r="G622" s="762"/>
      <c r="H622" s="764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</row>
    <row r="623" spans="1:26" ht="18.75">
      <c r="A623" s="608"/>
      <c r="B623" s="618"/>
      <c r="C623" s="618"/>
      <c r="D623" s="618"/>
      <c r="E623" s="626"/>
      <c r="F623" s="626"/>
      <c r="G623" s="762"/>
      <c r="H623" s="764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</row>
    <row r="624" spans="1:26" ht="18.75">
      <c r="A624" s="608"/>
      <c r="B624" s="618"/>
      <c r="C624" s="618"/>
      <c r="D624" s="746" t="s">
        <v>265</v>
      </c>
      <c r="E624" s="626"/>
      <c r="F624" s="626"/>
      <c r="G624" s="762"/>
      <c r="H624" s="764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</row>
    <row r="625" spans="1:26" ht="18.75">
      <c r="A625" s="608"/>
      <c r="B625" s="618"/>
      <c r="C625" s="618"/>
      <c r="D625" s="618"/>
      <c r="E625" s="626"/>
      <c r="F625" s="626"/>
      <c r="G625" s="762"/>
      <c r="H625" s="764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</row>
    <row r="626" spans="1:26" ht="18.75">
      <c r="A626" s="608"/>
      <c r="B626" s="618"/>
      <c r="C626" s="618"/>
      <c r="D626" s="746" t="s">
        <v>270</v>
      </c>
      <c r="E626" s="626"/>
      <c r="F626" s="626"/>
      <c r="G626" s="762"/>
      <c r="H626" s="76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</row>
    <row r="627" spans="1:26" ht="18.75">
      <c r="A627" s="732"/>
      <c r="B627" s="733"/>
      <c r="C627" s="733"/>
      <c r="D627" s="733"/>
      <c r="E627" s="734"/>
      <c r="F627" s="734"/>
      <c r="G627" s="735"/>
      <c r="H627" s="422" t="s">
        <v>34</v>
      </c>
      <c r="I627" s="506"/>
      <c r="J627" s="424">
        <v>0</v>
      </c>
      <c r="K627" s="385"/>
      <c r="L627" s="385"/>
      <c r="M627" s="385"/>
      <c r="N627" s="385"/>
      <c r="O627" s="385"/>
      <c r="P627" s="385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</row>
    <row r="628" spans="1:26" ht="19.5">
      <c r="A628" s="736">
        <v>7</v>
      </c>
      <c r="B628" s="737" t="s">
        <v>271</v>
      </c>
      <c r="C628" s="738"/>
      <c r="D628" s="738"/>
      <c r="E628" s="738"/>
      <c r="F628" s="738"/>
      <c r="G628" s="739"/>
      <c r="H628" s="740" t="s">
        <v>35</v>
      </c>
      <c r="I628" s="741">
        <f t="shared" ref="I628:J628" ca="1" si="262">I651</f>
        <v>250</v>
      </c>
      <c r="J628" s="741">
        <f t="shared" ca="1" si="262"/>
        <v>206</v>
      </c>
      <c r="K628" s="742">
        <f ca="1">IF(I628&gt;0,J628*100/I628,0)</f>
        <v>82.4</v>
      </c>
      <c r="L628" s="743"/>
      <c r="M628" s="743"/>
      <c r="N628" s="743"/>
      <c r="O628" s="743"/>
      <c r="P628" s="743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</row>
    <row r="629" spans="1:26" ht="19.5">
      <c r="A629" s="597"/>
      <c r="B629" s="763"/>
      <c r="C629" s="763" t="s">
        <v>16</v>
      </c>
      <c r="D629" s="863" t="s">
        <v>17</v>
      </c>
      <c r="E629" s="857"/>
      <c r="F629" s="857"/>
      <c r="G629" s="189"/>
      <c r="H629" s="598" t="s">
        <v>12</v>
      </c>
      <c r="I629" s="270"/>
      <c r="J629" s="270"/>
      <c r="K629" s="498"/>
      <c r="L629" s="195">
        <f t="shared" ref="L629:N629" ca="1" si="263">L630+L631</f>
        <v>507280</v>
      </c>
      <c r="M629" s="195">
        <f t="shared" ca="1" si="263"/>
        <v>434730.5</v>
      </c>
      <c r="N629" s="195">
        <f t="shared" si="263"/>
        <v>434730.5</v>
      </c>
      <c r="O629" s="195">
        <f t="shared" ref="O629:O634" ca="1" si="264">IF(L629&gt;0,N629*100/L629,0)</f>
        <v>85.698332281974459</v>
      </c>
      <c r="P629" s="195">
        <f t="shared" ref="P629:P634" ca="1" si="265">IF(M629&gt;0,N629*100/M629,0)</f>
        <v>100</v>
      </c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</row>
    <row r="630" spans="1:26" ht="18.75" hidden="1">
      <c r="A630" s="599"/>
      <c r="B630" s="759"/>
      <c r="C630" s="759"/>
      <c r="D630" s="720"/>
      <c r="E630" s="759" t="s">
        <v>185</v>
      </c>
      <c r="F630" s="759"/>
      <c r="G630" s="603"/>
      <c r="H630" s="165" t="s">
        <v>12</v>
      </c>
      <c r="I630" s="617"/>
      <c r="J630" s="617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4"/>
      <c r="R630" s="604"/>
      <c r="S630" s="604"/>
      <c r="T630" s="604"/>
      <c r="U630" s="604"/>
      <c r="V630" s="604"/>
      <c r="W630" s="604"/>
      <c r="X630" s="604"/>
      <c r="Y630" s="604"/>
      <c r="Z630" s="604"/>
    </row>
    <row r="631" spans="1:26" ht="18.75" hidden="1">
      <c r="A631" s="599"/>
      <c r="B631" s="607"/>
      <c r="C631" s="759"/>
      <c r="D631" s="720"/>
      <c r="E631" s="759" t="s">
        <v>186</v>
      </c>
      <c r="F631" s="759"/>
      <c r="G631" s="603"/>
      <c r="H631" s="165" t="s">
        <v>12</v>
      </c>
      <c r="I631" s="617"/>
      <c r="J631" s="617"/>
      <c r="K631" s="93"/>
      <c r="L631" s="93">
        <f t="shared" ca="1" si="266"/>
        <v>507280</v>
      </c>
      <c r="M631" s="93">
        <f t="shared" ca="1" si="266"/>
        <v>434730.5</v>
      </c>
      <c r="N631" s="93">
        <f t="shared" si="266"/>
        <v>434730.5</v>
      </c>
      <c r="O631" s="93">
        <f t="shared" ca="1" si="264"/>
        <v>85.698332281974459</v>
      </c>
      <c r="P631" s="93">
        <f t="shared" ca="1" si="265"/>
        <v>100</v>
      </c>
      <c r="Q631" s="604"/>
      <c r="R631" s="604"/>
      <c r="S631" s="604"/>
      <c r="T631" s="604"/>
      <c r="U631" s="604"/>
      <c r="V631" s="604"/>
      <c r="W631" s="604"/>
      <c r="X631" s="604"/>
      <c r="Y631" s="604"/>
      <c r="Z631" s="604"/>
    </row>
    <row r="632" spans="1:26" ht="18.75">
      <c r="A632" s="597"/>
      <c r="B632" s="575"/>
      <c r="C632" s="763"/>
      <c r="D632" s="606" t="s">
        <v>20</v>
      </c>
      <c r="E632" s="763"/>
      <c r="F632" s="763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507280</v>
      </c>
      <c r="M632" s="498">
        <f t="shared" ca="1" si="267"/>
        <v>434730.5</v>
      </c>
      <c r="N632" s="498">
        <f t="shared" si="267"/>
        <v>434730.5</v>
      </c>
      <c r="O632" s="498">
        <f t="shared" ca="1" si="264"/>
        <v>85.698332281974459</v>
      </c>
      <c r="P632" s="498">
        <f t="shared" ca="1" si="265"/>
        <v>100</v>
      </c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</row>
    <row r="633" spans="1:26" ht="18.75" hidden="1">
      <c r="A633" s="599"/>
      <c r="B633" s="607"/>
      <c r="C633" s="759"/>
      <c r="D633" s="720"/>
      <c r="E633" s="759" t="s">
        <v>185</v>
      </c>
      <c r="F633" s="759"/>
      <c r="G633" s="603"/>
      <c r="H633" s="165" t="s">
        <v>12</v>
      </c>
      <c r="I633" s="617"/>
      <c r="J633" s="617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4"/>
      <c r="R633" s="604"/>
      <c r="S633" s="604"/>
      <c r="T633" s="604"/>
      <c r="U633" s="604"/>
      <c r="V633" s="604"/>
      <c r="W633" s="604"/>
      <c r="X633" s="604"/>
      <c r="Y633" s="604"/>
      <c r="Z633" s="604"/>
    </row>
    <row r="634" spans="1:26" ht="18.75" hidden="1">
      <c r="A634" s="599"/>
      <c r="B634" s="607"/>
      <c r="C634" s="759"/>
      <c r="D634" s="720"/>
      <c r="E634" s="759" t="s">
        <v>186</v>
      </c>
      <c r="F634" s="759"/>
      <c r="G634" s="603"/>
      <c r="H634" s="165" t="s">
        <v>12</v>
      </c>
      <c r="I634" s="617"/>
      <c r="J634" s="617"/>
      <c r="K634" s="93"/>
      <c r="L634" s="93">
        <f ca="1">IFERROR(__xludf.DUMMYFUNCTION("IMPORTRANGE(""https://docs.google.com/spreadsheets/d/1QqKyyYR6Q21VydFLVH3TRQUabQu_ym0Zz7PgGX0-kHA/edit?usp=sharing"",""แผน!HN51"")"),507280)</f>
        <v>507280</v>
      </c>
      <c r="M634" s="93">
        <f ca="1">L634-72549.5</f>
        <v>434730.5</v>
      </c>
      <c r="N634" s="93">
        <f>N635+N636+N637+N638</f>
        <v>434730.5</v>
      </c>
      <c r="O634" s="93">
        <f t="shared" ca="1" si="264"/>
        <v>85.698332281974459</v>
      </c>
      <c r="P634" s="93">
        <f t="shared" ca="1" si="265"/>
        <v>100</v>
      </c>
      <c r="Q634" s="604"/>
      <c r="R634" s="604"/>
      <c r="S634" s="604"/>
      <c r="T634" s="604"/>
      <c r="U634" s="604"/>
      <c r="V634" s="604"/>
      <c r="W634" s="604"/>
      <c r="X634" s="604"/>
      <c r="Y634" s="604"/>
      <c r="Z634" s="604"/>
    </row>
    <row r="635" spans="1:26" ht="18.75">
      <c r="A635" s="574"/>
      <c r="B635" s="575"/>
      <c r="C635" s="763"/>
      <c r="D635" s="763"/>
      <c r="E635" s="763"/>
      <c r="F635" s="763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40">
        <v>0</v>
      </c>
      <c r="O635" s="498"/>
      <c r="P635" s="49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</row>
    <row r="636" spans="1:26" ht="18.75">
      <c r="A636" s="574"/>
      <c r="B636" s="575"/>
      <c r="C636" s="763"/>
      <c r="D636" s="763"/>
      <c r="E636" s="763"/>
      <c r="F636" s="763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40">
        <v>0</v>
      </c>
      <c r="O636" s="498"/>
      <c r="P636" s="49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</row>
    <row r="637" spans="1:26" ht="18.75">
      <c r="A637" s="574"/>
      <c r="B637" s="575"/>
      <c r="C637" s="763"/>
      <c r="D637" s="763"/>
      <c r="E637" s="763"/>
      <c r="F637" s="763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40">
        <f>126968+13000</f>
        <v>139968</v>
      </c>
      <c r="O637" s="498"/>
      <c r="P637" s="498"/>
      <c r="Q637" s="578"/>
      <c r="R637" s="578"/>
      <c r="S637" s="578"/>
      <c r="T637" s="578"/>
      <c r="U637" s="578"/>
      <c r="V637" s="578"/>
      <c r="W637" s="578"/>
      <c r="X637" s="578"/>
      <c r="Y637" s="578"/>
      <c r="Z637" s="578"/>
    </row>
    <row r="638" spans="1:26" ht="18.75">
      <c r="A638" s="574"/>
      <c r="B638" s="575"/>
      <c r="C638" s="763"/>
      <c r="D638" s="763"/>
      <c r="E638" s="763"/>
      <c r="F638" s="763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40">
        <f>87090+9892.5+15000+15000+95896+18080+24943.5+9050+5950+2033+11827.5</f>
        <v>294762.5</v>
      </c>
      <c r="O638" s="498"/>
      <c r="P638" s="49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</row>
    <row r="639" spans="1:26" ht="18.75">
      <c r="A639" s="597"/>
      <c r="B639" s="575"/>
      <c r="C639" s="763"/>
      <c r="D639" s="606" t="s">
        <v>21</v>
      </c>
      <c r="E639" s="763"/>
      <c r="F639" s="763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</row>
    <row r="640" spans="1:26" ht="18.75" hidden="1">
      <c r="A640" s="599"/>
      <c r="B640" s="607"/>
      <c r="C640" s="759"/>
      <c r="D640" s="759"/>
      <c r="E640" s="759" t="s">
        <v>18</v>
      </c>
      <c r="F640" s="759"/>
      <c r="G640" s="603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4"/>
      <c r="R640" s="604"/>
      <c r="S640" s="604"/>
      <c r="T640" s="604"/>
      <c r="U640" s="604"/>
      <c r="V640" s="604"/>
      <c r="W640" s="604"/>
      <c r="X640" s="604"/>
      <c r="Y640" s="604"/>
      <c r="Z640" s="604"/>
    </row>
    <row r="641" spans="1:26" ht="18.75" hidden="1">
      <c r="A641" s="599"/>
      <c r="B641" s="607"/>
      <c r="C641" s="759"/>
      <c r="D641" s="759"/>
      <c r="E641" s="759" t="s">
        <v>19</v>
      </c>
      <c r="F641" s="759"/>
      <c r="G641" s="603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4"/>
      <c r="R641" s="604"/>
      <c r="S641" s="604"/>
      <c r="T641" s="604"/>
      <c r="U641" s="604"/>
      <c r="V641" s="604"/>
      <c r="W641" s="604"/>
      <c r="X641" s="604"/>
      <c r="Y641" s="604"/>
      <c r="Z641" s="604"/>
    </row>
    <row r="642" spans="1:26" ht="19.5">
      <c r="A642" s="608"/>
      <c r="B642" s="618"/>
      <c r="C642" s="763" t="s">
        <v>16</v>
      </c>
      <c r="D642" s="896" t="s">
        <v>38</v>
      </c>
      <c r="E642" s="761"/>
      <c r="F642" s="761"/>
      <c r="G642" s="613"/>
      <c r="H642" s="762"/>
      <c r="I642" s="184"/>
      <c r="J642" s="184"/>
      <c r="K642" s="163"/>
      <c r="L642" s="163"/>
      <c r="M642" s="163"/>
      <c r="N642" s="163"/>
      <c r="O642" s="163"/>
      <c r="P642" s="163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</row>
    <row r="643" spans="1:26" ht="18.75">
      <c r="A643" s="744"/>
      <c r="B643" s="575"/>
      <c r="C643" s="763"/>
      <c r="D643" s="626"/>
      <c r="E643" s="746" t="s">
        <v>272</v>
      </c>
      <c r="F643" s="626"/>
      <c r="G643" s="762"/>
      <c r="H643" s="764" t="s">
        <v>273</v>
      </c>
      <c r="I643" s="270">
        <f ca="1">IFERROR(__xludf.DUMMYFUNCTION("IMPORTRANGE(""https://docs.google.com/spreadsheets/d/1QqKyyYR6Q21VydFLVH3TRQUabQu_ym0Zz7PgGX0-kHA/edit?usp=sharing"",""แผน!HR51"")"),0)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</row>
    <row r="644" spans="1:26" ht="18.75">
      <c r="A644" s="744"/>
      <c r="B644" s="575"/>
      <c r="C644" s="763"/>
      <c r="D644" s="626"/>
      <c r="E644" s="746" t="s">
        <v>274</v>
      </c>
      <c r="F644" s="626"/>
      <c r="G644" s="762"/>
      <c r="H644" s="764" t="s">
        <v>275</v>
      </c>
      <c r="I644" s="270">
        <f ca="1">IFERROR(__xludf.DUMMYFUNCTION("IMPORTRANGE(""https://docs.google.com/spreadsheets/d/1QqKyyYR6Q21VydFLVH3TRQUabQu_ym0Zz7PgGX0-kHA/edit?usp=sharing"",""แผน!HR51"")"),0)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</row>
    <row r="645" spans="1:26" ht="18.75">
      <c r="A645" s="744"/>
      <c r="B645" s="575"/>
      <c r="C645" s="763"/>
      <c r="D645" s="626"/>
      <c r="E645" s="746" t="s">
        <v>276</v>
      </c>
      <c r="F645" s="626"/>
      <c r="G645" s="762"/>
      <c r="H645" s="76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IFERROR(__xludf.DUMMYFUNCTION("IMPORTRANGE(""https://docs.google.com/spreadsheets/d/1XWAQStnk-4SwqDmLtmXYiTMKHgktTP8We1SCoS47DrQ/edit?usp=sharing"",""จัดที่ดิน!AS51"")"),289)</f>
        <v>289</v>
      </c>
      <c r="K645" s="163">
        <f t="shared" si="271"/>
        <v>0</v>
      </c>
      <c r="L645" s="163"/>
      <c r="M645" s="163"/>
      <c r="N645" s="498"/>
      <c r="O645" s="163"/>
      <c r="P645" s="163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</row>
    <row r="646" spans="1:26" ht="18.75">
      <c r="A646" s="744"/>
      <c r="B646" s="575"/>
      <c r="C646" s="763"/>
      <c r="D646" s="626"/>
      <c r="E646" s="626"/>
      <c r="F646" s="626"/>
      <c r="G646" s="762"/>
      <c r="H646" s="76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IFERROR(__xludf.DUMMYFUNCTION("IMPORTRANGE(""https://docs.google.com/spreadsheets/d/1XWAQStnk-4SwqDmLtmXYiTMKHgktTP8We1SCoS47DrQ/edit?usp=sharing"",""จัดที่ดิน!AT51"")"),126.39)</f>
        <v>126.39</v>
      </c>
      <c r="K646" s="498">
        <f t="shared" si="271"/>
        <v>0</v>
      </c>
      <c r="L646" s="163"/>
      <c r="M646" s="163"/>
      <c r="N646" s="498"/>
      <c r="O646" s="163"/>
      <c r="P646" s="163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</row>
    <row r="647" spans="1:26" ht="18.75">
      <c r="A647" s="744"/>
      <c r="B647" s="575"/>
      <c r="C647" s="763"/>
      <c r="D647" s="626"/>
      <c r="E647" s="746" t="s">
        <v>162</v>
      </c>
      <c r="F647" s="626"/>
      <c r="G647" s="762"/>
      <c r="H647" s="764" t="s">
        <v>35</v>
      </c>
      <c r="I647" s="270">
        <f ca="1">IFERROR(__xludf.DUMMYFUNCTION("IMPORTRANGE(""https://docs.google.com/spreadsheets/d/1QqKyyYR6Q21VydFLVH3TRQUabQu_ym0Zz7PgGX0-kHA/edit?usp=sharing"",""แผน!HS51"")"),250)</f>
        <v>250</v>
      </c>
      <c r="J647" s="270">
        <f ca="1">IFERROR(__xludf.DUMMYFUNCTION("IMPORTRANGE(""https://docs.google.com/spreadsheets/d/1XWAQStnk-4SwqDmLtmXYiTMKHgktTP8We1SCoS47DrQ/edit?usp=sharing"",""จัดที่ดิน!AU51"")"),281)</f>
        <v>281</v>
      </c>
      <c r="K647" s="163">
        <f t="shared" ca="1" si="271"/>
        <v>112.4</v>
      </c>
      <c r="L647" s="163"/>
      <c r="M647" s="163"/>
      <c r="N647" s="163"/>
      <c r="O647" s="163"/>
      <c r="P647" s="163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</row>
    <row r="648" spans="1:26" ht="18.75">
      <c r="A648" s="744"/>
      <c r="B648" s="575"/>
      <c r="C648" s="763"/>
      <c r="D648" s="626"/>
      <c r="E648" s="626"/>
      <c r="F648" s="626"/>
      <c r="G648" s="762"/>
      <c r="H648" s="76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IFERROR(__xludf.DUMMYFUNCTION("IMPORTRANGE(""https://docs.google.com/spreadsheets/d/1XWAQStnk-4SwqDmLtmXYiTMKHgktTP8We1SCoS47DrQ/edit?usp=sharing"",""จัดที่ดิน!AV51"")"),125.12)</f>
        <v>125.12</v>
      </c>
      <c r="K648" s="498">
        <f t="shared" si="271"/>
        <v>0</v>
      </c>
      <c r="L648" s="163"/>
      <c r="M648" s="163"/>
      <c r="N648" s="163"/>
      <c r="O648" s="163"/>
      <c r="P648" s="163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</row>
    <row r="649" spans="1:26" ht="18.75">
      <c r="A649" s="744"/>
      <c r="B649" s="575"/>
      <c r="C649" s="763"/>
      <c r="D649" s="626"/>
      <c r="E649" s="746" t="s">
        <v>277</v>
      </c>
      <c r="F649" s="626"/>
      <c r="G649" s="762"/>
      <c r="H649" s="764" t="s">
        <v>35</v>
      </c>
      <c r="I649" s="270">
        <f ca="1">IFERROR(__xludf.DUMMYFUNCTION("IMPORTRANGE(""https://docs.google.com/spreadsheets/d/1QqKyyYR6Q21VydFLVH3TRQUabQu_ym0Zz7PgGX0-kHA/edit?usp=sharing"",""แผน!HS51"")"),250)</f>
        <v>250</v>
      </c>
      <c r="J649" s="270">
        <f ca="1">IFERROR(__xludf.DUMMYFUNCTION("IMPORTRANGE(""https://docs.google.com/spreadsheets/d/1XWAQStnk-4SwqDmLtmXYiTMKHgktTP8We1SCoS47DrQ/edit?usp=sharing"",""จัดที่ดิน!AW51"")"),296)</f>
        <v>296</v>
      </c>
      <c r="K649" s="163">
        <f t="shared" ca="1" si="271"/>
        <v>118.4</v>
      </c>
      <c r="L649" s="163"/>
      <c r="M649" s="163"/>
      <c r="N649" s="163"/>
      <c r="O649" s="163"/>
      <c r="P649" s="163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</row>
    <row r="650" spans="1:26" ht="18.75">
      <c r="A650" s="744"/>
      <c r="B650" s="575"/>
      <c r="C650" s="763"/>
      <c r="D650" s="626"/>
      <c r="E650" s="626"/>
      <c r="F650" s="626"/>
      <c r="G650" s="762"/>
      <c r="H650" s="76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IFERROR(__xludf.DUMMYFUNCTION("IMPORTRANGE(""https://docs.google.com/spreadsheets/d/1XWAQStnk-4SwqDmLtmXYiTMKHgktTP8We1SCoS47DrQ/edit?usp=sharing"",""จัดที่ดิน!AX51"")"),132.19)</f>
        <v>132.19</v>
      </c>
      <c r="K650" s="498">
        <f t="shared" si="271"/>
        <v>0</v>
      </c>
      <c r="L650" s="163"/>
      <c r="M650" s="163"/>
      <c r="N650" s="163"/>
      <c r="O650" s="163"/>
      <c r="P650" s="163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</row>
    <row r="651" spans="1:26" ht="18.75">
      <c r="A651" s="744"/>
      <c r="B651" s="575"/>
      <c r="C651" s="763"/>
      <c r="D651" s="626"/>
      <c r="E651" s="746" t="s">
        <v>278</v>
      </c>
      <c r="F651" s="626"/>
      <c r="G651" s="762"/>
      <c r="H651" s="764" t="s">
        <v>35</v>
      </c>
      <c r="I651" s="270">
        <f ca="1">IFERROR(__xludf.DUMMYFUNCTION("IMPORTRANGE(""https://docs.google.com/spreadsheets/d/1QqKyyYR6Q21VydFLVH3TRQUabQu_ym0Zz7PgGX0-kHA/edit?usp=sharing"",""แผน!HS51"")"),250)</f>
        <v>250</v>
      </c>
      <c r="J651" s="270">
        <f ca="1">IFERROR(__xludf.DUMMYFUNCTION("IMPORTRANGE(""https://docs.google.com/spreadsheets/d/1XWAQStnk-4SwqDmLtmXYiTMKHgktTP8We1SCoS47DrQ/edit?usp=sharing"",""จัดที่ดิน!AY51"")"),206)</f>
        <v>206</v>
      </c>
      <c r="K651" s="163">
        <f t="shared" ca="1" si="271"/>
        <v>82.4</v>
      </c>
      <c r="L651" s="163"/>
      <c r="M651" s="163"/>
      <c r="N651" s="163"/>
      <c r="O651" s="163"/>
      <c r="P651" s="163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</row>
    <row r="652" spans="1:26" ht="18.75">
      <c r="A652" s="74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8"/>
      <c r="C652" s="749"/>
      <c r="D652" s="734"/>
      <c r="E652" s="734"/>
      <c r="F652" s="734"/>
      <c r="G652" s="735"/>
      <c r="H652" s="505" t="s">
        <v>46</v>
      </c>
      <c r="I652" s="506">
        <v>0</v>
      </c>
      <c r="J652" s="506">
        <f ca="1">IFERROR(__xludf.DUMMYFUNCTION("IMPORTRANGE(""https://docs.google.com/spreadsheets/d/1XWAQStnk-4SwqDmLtmXYiTMKHgktTP8We1SCoS47DrQ/edit?usp=sharing"",""จัดที่ดิน!AZ51"")"),90.9375)</f>
        <v>90.9375</v>
      </c>
      <c r="K652" s="507">
        <f t="shared" si="271"/>
        <v>0</v>
      </c>
      <c r="L652" s="385"/>
      <c r="M652" s="385"/>
      <c r="N652" s="385"/>
      <c r="O652" s="385"/>
      <c r="P652" s="385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</row>
    <row r="653" spans="1:26" ht="19.5">
      <c r="A653" s="750">
        <v>8</v>
      </c>
      <c r="B653" s="737" t="s">
        <v>279</v>
      </c>
      <c r="C653" s="738"/>
      <c r="D653" s="738"/>
      <c r="E653" s="738"/>
      <c r="F653" s="738"/>
      <c r="G653" s="739"/>
      <c r="H653" s="739"/>
      <c r="I653" s="751"/>
      <c r="J653" s="751"/>
      <c r="K653" s="743"/>
      <c r="L653" s="743"/>
      <c r="M653" s="743"/>
      <c r="N653" s="743"/>
      <c r="O653" s="743"/>
      <c r="P653" s="743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</row>
    <row r="654" spans="1:26" ht="19.5">
      <c r="A654" s="673"/>
      <c r="B654" s="672" t="s">
        <v>280</v>
      </c>
      <c r="C654" s="673"/>
      <c r="D654" s="673"/>
      <c r="E654" s="673"/>
      <c r="F654" s="673"/>
      <c r="G654" s="674"/>
      <c r="H654" s="707" t="s">
        <v>46</v>
      </c>
      <c r="I654" s="708">
        <f t="shared" ref="I654:J654" ca="1" si="272">I669</f>
        <v>100</v>
      </c>
      <c r="J654" s="708">
        <f t="shared" si="272"/>
        <v>80</v>
      </c>
      <c r="K654" s="677">
        <f ca="1">IF(I654&gt;0,J654*100/I654,0)</f>
        <v>80</v>
      </c>
      <c r="L654" s="678"/>
      <c r="M654" s="678"/>
      <c r="N654" s="678"/>
      <c r="O654" s="678"/>
      <c r="P654" s="6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</row>
    <row r="655" spans="1:26" ht="19.5">
      <c r="A655" s="597"/>
      <c r="B655" s="763"/>
      <c r="C655" s="763" t="s">
        <v>16</v>
      </c>
      <c r="D655" s="863" t="s">
        <v>17</v>
      </c>
      <c r="E655" s="857"/>
      <c r="F655" s="857"/>
      <c r="G655" s="189"/>
      <c r="H655" s="598" t="s">
        <v>12</v>
      </c>
      <c r="I655" s="270"/>
      <c r="J655" s="270"/>
      <c r="K655" s="498"/>
      <c r="L655" s="195">
        <f t="shared" ref="L655:N655" ca="1" si="273">L656+L657</f>
        <v>15600</v>
      </c>
      <c r="M655" s="195">
        <f t="shared" ca="1" si="273"/>
        <v>34940</v>
      </c>
      <c r="N655" s="195">
        <f t="shared" si="273"/>
        <v>34940</v>
      </c>
      <c r="O655" s="195">
        <f t="shared" ref="O655:O660" ca="1" si="274">IF(L655&gt;0,N655*100/L655,0)</f>
        <v>223.97435897435898</v>
      </c>
      <c r="P655" s="195">
        <f t="shared" ref="P655:P660" ca="1" si="275">IF(M655&gt;0,N655*100/M655,0)</f>
        <v>100</v>
      </c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</row>
    <row r="656" spans="1:26" ht="18.75" hidden="1">
      <c r="A656" s="599"/>
      <c r="B656" s="759"/>
      <c r="C656" s="759"/>
      <c r="D656" s="720"/>
      <c r="E656" s="759" t="s">
        <v>185</v>
      </c>
      <c r="F656" s="759"/>
      <c r="G656" s="603"/>
      <c r="H656" s="165" t="s">
        <v>12</v>
      </c>
      <c r="I656" s="617"/>
      <c r="J656" s="617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4"/>
      <c r="R656" s="604"/>
      <c r="S656" s="604"/>
      <c r="T656" s="604"/>
      <c r="U656" s="604"/>
      <c r="V656" s="604"/>
      <c r="W656" s="604"/>
      <c r="X656" s="604"/>
      <c r="Y656" s="604"/>
      <c r="Z656" s="604"/>
    </row>
    <row r="657" spans="1:26" ht="18.75" hidden="1">
      <c r="A657" s="599"/>
      <c r="B657" s="607"/>
      <c r="C657" s="759"/>
      <c r="D657" s="720"/>
      <c r="E657" s="759" t="s">
        <v>186</v>
      </c>
      <c r="F657" s="759"/>
      <c r="G657" s="603"/>
      <c r="H657" s="165" t="s">
        <v>12</v>
      </c>
      <c r="I657" s="617"/>
      <c r="J657" s="617"/>
      <c r="K657" s="93"/>
      <c r="L657" s="93">
        <f t="shared" ca="1" si="276"/>
        <v>15600</v>
      </c>
      <c r="M657" s="93">
        <f t="shared" ca="1" si="276"/>
        <v>34940</v>
      </c>
      <c r="N657" s="93">
        <f t="shared" si="276"/>
        <v>34940</v>
      </c>
      <c r="O657" s="93">
        <f t="shared" ca="1" si="274"/>
        <v>223.97435897435898</v>
      </c>
      <c r="P657" s="93">
        <f t="shared" ca="1" si="275"/>
        <v>100</v>
      </c>
      <c r="Q657" s="604"/>
      <c r="R657" s="604"/>
      <c r="S657" s="604"/>
      <c r="T657" s="604"/>
      <c r="U657" s="604"/>
      <c r="V657" s="604"/>
      <c r="W657" s="604"/>
      <c r="X657" s="604"/>
      <c r="Y657" s="604"/>
      <c r="Z657" s="604"/>
    </row>
    <row r="658" spans="1:26" ht="18.75">
      <c r="A658" s="597"/>
      <c r="B658" s="575"/>
      <c r="C658" s="763"/>
      <c r="D658" s="606" t="s">
        <v>20</v>
      </c>
      <c r="E658" s="763"/>
      <c r="F658" s="763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15600</v>
      </c>
      <c r="M658" s="498">
        <f t="shared" ca="1" si="277"/>
        <v>34940</v>
      </c>
      <c r="N658" s="498">
        <f t="shared" si="277"/>
        <v>34940</v>
      </c>
      <c r="O658" s="498">
        <f t="shared" ca="1" si="274"/>
        <v>223.97435897435898</v>
      </c>
      <c r="P658" s="498">
        <f t="shared" ca="1" si="275"/>
        <v>100</v>
      </c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</row>
    <row r="659" spans="1:26" ht="18.75" hidden="1">
      <c r="A659" s="599"/>
      <c r="B659" s="607"/>
      <c r="C659" s="759"/>
      <c r="D659" s="720"/>
      <c r="E659" s="759" t="s">
        <v>185</v>
      </c>
      <c r="F659" s="759"/>
      <c r="G659" s="603"/>
      <c r="H659" s="165" t="s">
        <v>12</v>
      </c>
      <c r="I659" s="617"/>
      <c r="J659" s="617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4"/>
      <c r="R659" s="604"/>
      <c r="S659" s="604"/>
      <c r="T659" s="604"/>
      <c r="U659" s="604"/>
      <c r="V659" s="604"/>
      <c r="W659" s="604"/>
      <c r="X659" s="604"/>
      <c r="Y659" s="604"/>
      <c r="Z659" s="604"/>
    </row>
    <row r="660" spans="1:26" ht="18.75" hidden="1">
      <c r="A660" s="599"/>
      <c r="B660" s="607"/>
      <c r="C660" s="759"/>
      <c r="D660" s="720"/>
      <c r="E660" s="759" t="s">
        <v>186</v>
      </c>
      <c r="F660" s="759"/>
      <c r="G660" s="603"/>
      <c r="H660" s="165" t="s">
        <v>12</v>
      </c>
      <c r="I660" s="617"/>
      <c r="J660" s="617"/>
      <c r="K660" s="93"/>
      <c r="L660" s="93">
        <f ca="1">IFERROR(__xludf.DUMMYFUNCTION("IMPORTRANGE(""https://docs.google.com/spreadsheets/d/1QqKyyYR6Q21VydFLVH3TRQUabQu_ym0Zz7PgGX0-kHA/edit?usp=sharing"",""แผน!HV51"")"),15600)</f>
        <v>15600</v>
      </c>
      <c r="M660" s="93">
        <f ca="1">L660+20340-1000</f>
        <v>34940</v>
      </c>
      <c r="N660" s="93">
        <f>N661+N662+N663+N664</f>
        <v>34940</v>
      </c>
      <c r="O660" s="93">
        <f t="shared" ca="1" si="274"/>
        <v>223.97435897435898</v>
      </c>
      <c r="P660" s="93">
        <f t="shared" ca="1" si="275"/>
        <v>100</v>
      </c>
      <c r="Q660" s="604"/>
      <c r="R660" s="604"/>
      <c r="S660" s="604"/>
      <c r="T660" s="604"/>
      <c r="U660" s="604"/>
      <c r="V660" s="604"/>
      <c r="W660" s="604"/>
      <c r="X660" s="604"/>
      <c r="Y660" s="604"/>
      <c r="Z660" s="604"/>
    </row>
    <row r="661" spans="1:26" ht="18.75">
      <c r="A661" s="574"/>
      <c r="B661" s="575"/>
      <c r="C661" s="763"/>
      <c r="D661" s="763"/>
      <c r="E661" s="763"/>
      <c r="F661" s="763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40">
        <v>0</v>
      </c>
      <c r="O661" s="498"/>
      <c r="P661" s="49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</row>
    <row r="662" spans="1:26" ht="18.75">
      <c r="A662" s="574"/>
      <c r="B662" s="575"/>
      <c r="C662" s="763"/>
      <c r="D662" s="763"/>
      <c r="E662" s="763"/>
      <c r="F662" s="763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40">
        <v>0</v>
      </c>
      <c r="O662" s="498"/>
      <c r="P662" s="49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</row>
    <row r="663" spans="1:26" ht="18.75">
      <c r="A663" s="574"/>
      <c r="B663" s="575"/>
      <c r="C663" s="575"/>
      <c r="D663" s="763"/>
      <c r="E663" s="763"/>
      <c r="F663" s="763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40">
        <v>0</v>
      </c>
      <c r="O663" s="498"/>
      <c r="P663" s="49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</row>
    <row r="664" spans="1:26" ht="18.75">
      <c r="A664" s="574"/>
      <c r="B664" s="575"/>
      <c r="C664" s="575"/>
      <c r="D664" s="575"/>
      <c r="E664" s="763"/>
      <c r="F664" s="763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40">
        <v>34940</v>
      </c>
      <c r="O664" s="498"/>
      <c r="P664" s="49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</row>
    <row r="665" spans="1:26" ht="18.75">
      <c r="A665" s="597"/>
      <c r="B665" s="575"/>
      <c r="C665" s="575"/>
      <c r="D665" s="606" t="s">
        <v>21</v>
      </c>
      <c r="E665" s="763"/>
      <c r="F665" s="763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</row>
    <row r="666" spans="1:26" ht="18.75" hidden="1">
      <c r="A666" s="599"/>
      <c r="B666" s="607"/>
      <c r="C666" s="607"/>
      <c r="D666" s="607"/>
      <c r="E666" s="759" t="s">
        <v>18</v>
      </c>
      <c r="F666" s="759"/>
      <c r="G666" s="603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4"/>
      <c r="R666" s="604"/>
      <c r="S666" s="604"/>
      <c r="T666" s="604"/>
      <c r="U666" s="604"/>
      <c r="V666" s="604"/>
      <c r="W666" s="604"/>
      <c r="X666" s="604"/>
      <c r="Y666" s="604"/>
      <c r="Z666" s="604"/>
    </row>
    <row r="667" spans="1:26" ht="18.75" hidden="1">
      <c r="A667" s="599"/>
      <c r="B667" s="607"/>
      <c r="C667" s="607"/>
      <c r="D667" s="607"/>
      <c r="E667" s="759" t="s">
        <v>19</v>
      </c>
      <c r="F667" s="759"/>
      <c r="G667" s="603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4"/>
      <c r="R667" s="604"/>
      <c r="S667" s="604"/>
      <c r="T667" s="604"/>
      <c r="U667" s="604"/>
      <c r="V667" s="604"/>
      <c r="W667" s="604"/>
      <c r="X667" s="604"/>
      <c r="Y667" s="604"/>
      <c r="Z667" s="604"/>
    </row>
    <row r="668" spans="1:26" ht="19.5">
      <c r="A668" s="608"/>
      <c r="B668" s="618"/>
      <c r="C668" s="575" t="s">
        <v>16</v>
      </c>
      <c r="D668" s="893" t="s">
        <v>38</v>
      </c>
      <c r="E668" s="761"/>
      <c r="F668" s="761"/>
      <c r="G668" s="613"/>
      <c r="H668" s="762"/>
      <c r="I668" s="184"/>
      <c r="J668" s="184"/>
      <c r="K668" s="163"/>
      <c r="L668" s="163"/>
      <c r="M668" s="163"/>
      <c r="N668" s="163"/>
      <c r="O668" s="163"/>
      <c r="P668" s="163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</row>
    <row r="669" spans="1:26" ht="19.5">
      <c r="A669" s="608"/>
      <c r="B669" s="618"/>
      <c r="C669" s="618"/>
      <c r="D669" s="618" t="s">
        <v>281</v>
      </c>
      <c r="E669" s="626"/>
      <c r="F669" s="626"/>
      <c r="G669" s="762"/>
      <c r="H669" s="767" t="s">
        <v>46</v>
      </c>
      <c r="I669" s="681">
        <f ca="1">IFERROR(__xludf.DUMMYFUNCTION("IMPORTRANGE(""https://docs.google.com/spreadsheets/d/1QqKyyYR6Q21VydFLVH3TRQUabQu_ym0Zz7PgGX0-kHA/edit?usp=sharing"",""แผน!IA51"")"),100)</f>
        <v>100</v>
      </c>
      <c r="J669" s="681">
        <f>J675</f>
        <v>80</v>
      </c>
      <c r="K669" s="195">
        <f ca="1">IF(I669&gt;0,J669*100/I669,0)</f>
        <v>80</v>
      </c>
      <c r="L669" s="163"/>
      <c r="M669" s="163"/>
      <c r="N669" s="163"/>
      <c r="O669" s="163"/>
      <c r="P669" s="163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</row>
    <row r="670" spans="1:26" ht="18.75">
      <c r="A670" s="608"/>
      <c r="B670" s="618"/>
      <c r="C670" s="618"/>
      <c r="D670" s="618"/>
      <c r="E670" s="626" t="s">
        <v>282</v>
      </c>
      <c r="F670" s="626"/>
      <c r="G670" s="762"/>
      <c r="H670" s="764" t="s">
        <v>66</v>
      </c>
      <c r="I670" s="270">
        <f ca="1">IFERROR(__xludf.DUMMYFUNCTION("IMPORTRANGE(""https://docs.google.com/spreadsheets/d/1QqKyyYR6Q21VydFLVH3TRQUabQu_ym0Zz7PgGX0-kHA/edit?usp=sharing"",""แผน!HZ51"")"),6)</f>
        <v>6</v>
      </c>
      <c r="J670" s="215">
        <v>6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</row>
    <row r="671" spans="1:26" ht="18.75">
      <c r="A671" s="608"/>
      <c r="B671" s="618"/>
      <c r="C671" s="618"/>
      <c r="D671" s="618"/>
      <c r="E671" s="626" t="s">
        <v>283</v>
      </c>
      <c r="F671" s="626"/>
      <c r="G671" s="762"/>
      <c r="H671" s="764" t="s">
        <v>66</v>
      </c>
      <c r="I671" s="270">
        <f ca="1">IFERROR(__xludf.DUMMYFUNCTION("IMPORTRANGE(""https://docs.google.com/spreadsheets/d/1QqKyyYR6Q21VydFLVH3TRQUabQu_ym0Zz7PgGX0-kHA/edit?usp=sharing"",""แผน!HZ51"")"),6)</f>
        <v>6</v>
      </c>
      <c r="J671" s="215">
        <v>6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</row>
    <row r="672" spans="1:26" ht="18.75">
      <c r="A672" s="608"/>
      <c r="B672" s="618"/>
      <c r="C672" s="618"/>
      <c r="D672" s="618"/>
      <c r="E672" s="626" t="s">
        <v>284</v>
      </c>
      <c r="F672" s="626"/>
      <c r="G672" s="762"/>
      <c r="H672" s="764" t="s">
        <v>46</v>
      </c>
      <c r="I672" s="270"/>
      <c r="J672" s="215">
        <v>711</v>
      </c>
      <c r="K672" s="498">
        <f t="shared" ref="K672:K675" ca="1" si="281">IF(I$669&gt;0,J672*100/I$669,0)</f>
        <v>711</v>
      </c>
      <c r="L672" s="163"/>
      <c r="M672" s="163"/>
      <c r="N672" s="163"/>
      <c r="O672" s="163"/>
      <c r="P672" s="163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</row>
    <row r="673" spans="1:26" ht="18.75">
      <c r="A673" s="608"/>
      <c r="B673" s="618"/>
      <c r="C673" s="618"/>
      <c r="D673" s="618"/>
      <c r="E673" s="626" t="s">
        <v>285</v>
      </c>
      <c r="F673" s="626"/>
      <c r="G673" s="762"/>
      <c r="H673" s="764" t="s">
        <v>46</v>
      </c>
      <c r="I673" s="270"/>
      <c r="J673" s="215">
        <v>711</v>
      </c>
      <c r="K673" s="498">
        <f t="shared" ca="1" si="281"/>
        <v>711</v>
      </c>
      <c r="L673" s="163"/>
      <c r="M673" s="163"/>
      <c r="N673" s="163"/>
      <c r="O673" s="163"/>
      <c r="P673" s="163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</row>
    <row r="674" spans="1:26" ht="18.75">
      <c r="A674" s="608"/>
      <c r="B674" s="618"/>
      <c r="C674" s="618"/>
      <c r="D674" s="618"/>
      <c r="E674" s="626" t="s">
        <v>286</v>
      </c>
      <c r="F674" s="626"/>
      <c r="G674" s="762"/>
      <c r="H674" s="764" t="s">
        <v>46</v>
      </c>
      <c r="I674" s="270"/>
      <c r="J674" s="215">
        <v>80</v>
      </c>
      <c r="K674" s="498">
        <f t="shared" ca="1" si="281"/>
        <v>80</v>
      </c>
      <c r="L674" s="163"/>
      <c r="M674" s="163"/>
      <c r="N674" s="163"/>
      <c r="O674" s="163"/>
      <c r="P674" s="163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</row>
    <row r="675" spans="1:26" ht="19.5">
      <c r="A675" s="608"/>
      <c r="B675" s="618"/>
      <c r="C675" s="618"/>
      <c r="D675" s="618"/>
      <c r="E675" s="626" t="s">
        <v>287</v>
      </c>
      <c r="F675" s="626"/>
      <c r="G675" s="762"/>
      <c r="H675" s="764" t="s">
        <v>46</v>
      </c>
      <c r="I675" s="270"/>
      <c r="J675" s="681">
        <f>J676+J677</f>
        <v>80</v>
      </c>
      <c r="K675" s="195">
        <f t="shared" ca="1" si="281"/>
        <v>80</v>
      </c>
      <c r="L675" s="163"/>
      <c r="M675" s="163"/>
      <c r="N675" s="163"/>
      <c r="O675" s="163"/>
      <c r="P675" s="163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</row>
    <row r="676" spans="1:26" ht="18.75">
      <c r="A676" s="608"/>
      <c r="B676" s="618"/>
      <c r="C676" s="618"/>
      <c r="D676" s="618"/>
      <c r="E676" s="626"/>
      <c r="F676" s="626" t="s">
        <v>288</v>
      </c>
      <c r="G676" s="762"/>
      <c r="H676" s="764" t="s">
        <v>46</v>
      </c>
      <c r="I676" s="270"/>
      <c r="J676" s="215">
        <v>63</v>
      </c>
      <c r="K676" s="498"/>
      <c r="L676" s="163"/>
      <c r="M676" s="163"/>
      <c r="N676" s="163"/>
      <c r="O676" s="163"/>
      <c r="P676" s="163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</row>
    <row r="677" spans="1:26" ht="18.75">
      <c r="A677" s="608"/>
      <c r="B677" s="618"/>
      <c r="C677" s="618"/>
      <c r="D677" s="618"/>
      <c r="E677" s="626"/>
      <c r="F677" s="626" t="s">
        <v>289</v>
      </c>
      <c r="G677" s="762"/>
      <c r="H677" s="764" t="s">
        <v>46</v>
      </c>
      <c r="I677" s="270"/>
      <c r="J677" s="215">
        <v>17</v>
      </c>
      <c r="K677" s="498"/>
      <c r="L677" s="163"/>
      <c r="M677" s="163"/>
      <c r="N677" s="163"/>
      <c r="O677" s="163"/>
      <c r="P677" s="163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</row>
    <row r="678" spans="1:26" ht="19.5">
      <c r="A678" s="608"/>
      <c r="B678" s="618"/>
      <c r="C678" s="618"/>
      <c r="D678" s="618" t="s">
        <v>290</v>
      </c>
      <c r="E678" s="626"/>
      <c r="F678" s="626"/>
      <c r="G678" s="762"/>
      <c r="H678" s="764" t="s">
        <v>46</v>
      </c>
      <c r="I678" s="681">
        <f ca="1">IFERROR(__xludf.DUMMYFUNCTION("IMPORTRANGE(""https://docs.google.com/spreadsheets/d/1QqKyyYR6Q21VydFLVH3TRQUabQu_ym0Zz7PgGX0-kHA/edit?usp=sharing"",""แผน!IB51"")"),0)</f>
        <v>0</v>
      </c>
      <c r="J678" s="681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</row>
    <row r="679" spans="1:26" ht="18.75">
      <c r="A679" s="608"/>
      <c r="B679" s="618"/>
      <c r="C679" s="618"/>
      <c r="D679" s="618"/>
      <c r="E679" s="626" t="s">
        <v>291</v>
      </c>
      <c r="F679" s="626"/>
      <c r="G679" s="762"/>
      <c r="H679" s="764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</row>
    <row r="680" spans="1:26" ht="18.75">
      <c r="A680" s="608"/>
      <c r="B680" s="618"/>
      <c r="C680" s="618"/>
      <c r="D680" s="618"/>
      <c r="E680" s="626"/>
      <c r="F680" s="626" t="s">
        <v>288</v>
      </c>
      <c r="G680" s="762"/>
      <c r="H680" s="764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</row>
    <row r="681" spans="1:26" ht="18.75">
      <c r="A681" s="608"/>
      <c r="B681" s="618"/>
      <c r="C681" s="618"/>
      <c r="D681" s="618"/>
      <c r="E681" s="626"/>
      <c r="F681" s="626" t="s">
        <v>289</v>
      </c>
      <c r="G681" s="762"/>
      <c r="H681" s="764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</row>
    <row r="682" spans="1:26" ht="18.75">
      <c r="A682" s="608"/>
      <c r="B682" s="618"/>
      <c r="C682" s="618"/>
      <c r="D682" s="618"/>
      <c r="E682" s="626" t="s">
        <v>292</v>
      </c>
      <c r="F682" s="626"/>
      <c r="G682" s="762"/>
      <c r="H682" s="764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</row>
    <row r="683" spans="1:26" ht="18.75">
      <c r="A683" s="608"/>
      <c r="B683" s="618"/>
      <c r="C683" s="618"/>
      <c r="D683" s="618"/>
      <c r="E683" s="626"/>
      <c r="F683" s="626" t="s">
        <v>293</v>
      </c>
      <c r="G683" s="762"/>
      <c r="H683" s="764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</row>
    <row r="684" spans="1:26" ht="19.5">
      <c r="A684" s="753"/>
      <c r="B684" s="754" t="s">
        <v>294</v>
      </c>
      <c r="C684" s="753"/>
      <c r="D684" s="753"/>
      <c r="E684" s="753"/>
      <c r="F684" s="753"/>
      <c r="G684" s="755"/>
      <c r="H684" s="755"/>
      <c r="I684" s="756"/>
      <c r="J684" s="756"/>
      <c r="K684" s="757"/>
      <c r="L684" s="757"/>
      <c r="M684" s="757"/>
      <c r="N684" s="757"/>
      <c r="O684" s="757"/>
      <c r="P684" s="757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</row>
    <row r="685" spans="1:26" ht="19.5">
      <c r="A685" s="597"/>
      <c r="B685" s="763"/>
      <c r="C685" s="763" t="s">
        <v>16</v>
      </c>
      <c r="D685" s="863" t="s">
        <v>17</v>
      </c>
      <c r="E685" s="857"/>
      <c r="F685" s="857"/>
      <c r="G685" s="189"/>
      <c r="H685" s="598" t="s">
        <v>12</v>
      </c>
      <c r="I685" s="270"/>
      <c r="J685" s="270"/>
      <c r="K685" s="498"/>
      <c r="L685" s="195">
        <f t="shared" ref="L685:N685" ca="1" si="282">L686+L687</f>
        <v>11840</v>
      </c>
      <c r="M685" s="195">
        <f t="shared" ca="1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</row>
    <row r="686" spans="1:26" ht="18.75" hidden="1">
      <c r="A686" s="599"/>
      <c r="B686" s="759"/>
      <c r="C686" s="759"/>
      <c r="D686" s="720"/>
      <c r="E686" s="759" t="s">
        <v>185</v>
      </c>
      <c r="F686" s="759"/>
      <c r="G686" s="603"/>
      <c r="H686" s="165" t="s">
        <v>12</v>
      </c>
      <c r="I686" s="617"/>
      <c r="J686" s="617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4"/>
      <c r="R686" s="604"/>
      <c r="S686" s="604"/>
      <c r="T686" s="604"/>
      <c r="U686" s="604"/>
      <c r="V686" s="604"/>
      <c r="W686" s="604"/>
      <c r="X686" s="604"/>
      <c r="Y686" s="604"/>
      <c r="Z686" s="604"/>
    </row>
    <row r="687" spans="1:26" ht="18.75" hidden="1">
      <c r="A687" s="599"/>
      <c r="B687" s="607"/>
      <c r="C687" s="759"/>
      <c r="D687" s="720"/>
      <c r="E687" s="759" t="s">
        <v>186</v>
      </c>
      <c r="F687" s="759"/>
      <c r="G687" s="603"/>
      <c r="H687" s="165" t="s">
        <v>12</v>
      </c>
      <c r="I687" s="617"/>
      <c r="J687" s="617"/>
      <c r="K687" s="93"/>
      <c r="L687" s="93">
        <f t="shared" ca="1" si="285"/>
        <v>11840</v>
      </c>
      <c r="M687" s="93">
        <f t="shared" ca="1" si="285"/>
        <v>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4"/>
      <c r="R687" s="604"/>
      <c r="S687" s="604"/>
      <c r="T687" s="604"/>
      <c r="U687" s="604"/>
      <c r="V687" s="604"/>
      <c r="W687" s="604"/>
      <c r="X687" s="604"/>
      <c r="Y687" s="604"/>
      <c r="Z687" s="604"/>
    </row>
    <row r="688" spans="1:26" ht="18.75">
      <c r="A688" s="597"/>
      <c r="B688" s="575"/>
      <c r="C688" s="763"/>
      <c r="D688" s="606" t="s">
        <v>20</v>
      </c>
      <c r="E688" s="763"/>
      <c r="F688" s="763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11840</v>
      </c>
      <c r="M688" s="498">
        <f t="shared" ca="1" si="286"/>
        <v>0</v>
      </c>
      <c r="N688" s="498">
        <f t="shared" si="286"/>
        <v>0</v>
      </c>
      <c r="O688" s="498">
        <f t="shared" ca="1" si="283"/>
        <v>0</v>
      </c>
      <c r="P688" s="498">
        <f t="shared" ca="1" si="284"/>
        <v>0</v>
      </c>
      <c r="Q688" s="578"/>
      <c r="R688" s="578"/>
      <c r="S688" s="578"/>
      <c r="T688" s="578"/>
      <c r="U688" s="578"/>
      <c r="V688" s="578"/>
      <c r="W688" s="578"/>
      <c r="X688" s="578"/>
      <c r="Y688" s="578"/>
      <c r="Z688" s="578"/>
    </row>
    <row r="689" spans="1:26" ht="18.75" hidden="1">
      <c r="A689" s="599"/>
      <c r="B689" s="607"/>
      <c r="C689" s="759"/>
      <c r="D689" s="720"/>
      <c r="E689" s="759" t="s">
        <v>185</v>
      </c>
      <c r="F689" s="759"/>
      <c r="G689" s="603"/>
      <c r="H689" s="165" t="s">
        <v>12</v>
      </c>
      <c r="I689" s="617"/>
      <c r="J689" s="617"/>
      <c r="K689" s="93"/>
      <c r="L689" s="93">
        <v>0</v>
      </c>
      <c r="M689" s="93">
        <v>0</v>
      </c>
      <c r="N689" s="93">
        <v>0</v>
      </c>
      <c r="O689" s="93"/>
      <c r="P689" s="93"/>
      <c r="Q689" s="604"/>
      <c r="R689" s="604"/>
      <c r="S689" s="604"/>
      <c r="T689" s="604"/>
      <c r="U689" s="604"/>
      <c r="V689" s="604"/>
      <c r="W689" s="604"/>
      <c r="X689" s="604"/>
      <c r="Y689" s="604"/>
      <c r="Z689" s="604"/>
    </row>
    <row r="690" spans="1:26" ht="18.75" hidden="1">
      <c r="A690" s="599"/>
      <c r="B690" s="607"/>
      <c r="C690" s="759"/>
      <c r="D690" s="720"/>
      <c r="E690" s="759" t="s">
        <v>186</v>
      </c>
      <c r="F690" s="759"/>
      <c r="G690" s="603"/>
      <c r="H690" s="165" t="s">
        <v>12</v>
      </c>
      <c r="I690" s="617"/>
      <c r="J690" s="617"/>
      <c r="K690" s="93"/>
      <c r="L690" s="93">
        <f ca="1">IFERROR(__xludf.DUMMYFUNCTION("IMPORTRANGE(""https://docs.google.com/spreadsheets/d/1QqKyyYR6Q21VydFLVH3TRQUabQu_ym0Zz7PgGX0-kHA/edit?usp=sharing"",""แผน!HW51"")"),11840)</f>
        <v>11840</v>
      </c>
      <c r="M690" s="93">
        <f ca="1">L690-11840</f>
        <v>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4"/>
      <c r="R690" s="604"/>
      <c r="S690" s="604"/>
      <c r="T690" s="604"/>
      <c r="U690" s="604"/>
      <c r="V690" s="604"/>
      <c r="W690" s="604"/>
      <c r="X690" s="604"/>
      <c r="Y690" s="604"/>
      <c r="Z690" s="604"/>
    </row>
    <row r="691" spans="1:26" ht="18.75">
      <c r="A691" s="574"/>
      <c r="B691" s="575"/>
      <c r="C691" s="763"/>
      <c r="D691" s="763"/>
      <c r="E691" s="763"/>
      <c r="F691" s="763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40">
        <v>0</v>
      </c>
      <c r="O691" s="498"/>
      <c r="P691" s="49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</row>
    <row r="692" spans="1:26" ht="18.75">
      <c r="A692" s="574"/>
      <c r="B692" s="575"/>
      <c r="C692" s="763"/>
      <c r="D692" s="763"/>
      <c r="E692" s="763"/>
      <c r="F692" s="763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40">
        <v>0</v>
      </c>
      <c r="O692" s="498"/>
      <c r="P692" s="49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</row>
    <row r="693" spans="1:26" ht="18.75">
      <c r="A693" s="574"/>
      <c r="B693" s="575"/>
      <c r="C693" s="763"/>
      <c r="D693" s="763"/>
      <c r="E693" s="763"/>
      <c r="F693" s="763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40">
        <v>0</v>
      </c>
      <c r="O693" s="498"/>
      <c r="P693" s="49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</row>
    <row r="694" spans="1:26" ht="18.75">
      <c r="A694" s="574"/>
      <c r="B694" s="575"/>
      <c r="C694" s="763"/>
      <c r="D694" s="763"/>
      <c r="E694" s="763"/>
      <c r="F694" s="763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40">
        <v>0</v>
      </c>
      <c r="O694" s="498"/>
      <c r="P694" s="49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</row>
    <row r="695" spans="1:26" ht="18.75">
      <c r="A695" s="597"/>
      <c r="B695" s="575"/>
      <c r="C695" s="763"/>
      <c r="D695" s="606" t="s">
        <v>21</v>
      </c>
      <c r="E695" s="763"/>
      <c r="F695" s="763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</row>
    <row r="696" spans="1:26" ht="18.75" hidden="1">
      <c r="A696" s="599"/>
      <c r="B696" s="607"/>
      <c r="C696" s="759"/>
      <c r="D696" s="759"/>
      <c r="E696" s="759" t="s">
        <v>18</v>
      </c>
      <c r="F696" s="759"/>
      <c r="G696" s="603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4"/>
      <c r="R696" s="604"/>
      <c r="S696" s="604"/>
      <c r="T696" s="604"/>
      <c r="U696" s="604"/>
      <c r="V696" s="604"/>
      <c r="W696" s="604"/>
      <c r="X696" s="604"/>
      <c r="Y696" s="604"/>
      <c r="Z696" s="604"/>
    </row>
    <row r="697" spans="1:26" ht="18.75" hidden="1">
      <c r="A697" s="599"/>
      <c r="B697" s="607"/>
      <c r="C697" s="759"/>
      <c r="D697" s="759"/>
      <c r="E697" s="759" t="s">
        <v>19</v>
      </c>
      <c r="F697" s="759"/>
      <c r="G697" s="603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4"/>
      <c r="R697" s="604"/>
      <c r="S697" s="604"/>
      <c r="T697" s="604"/>
      <c r="U697" s="604"/>
      <c r="V697" s="604"/>
      <c r="W697" s="604"/>
      <c r="X697" s="604"/>
      <c r="Y697" s="604"/>
      <c r="Z697" s="604"/>
    </row>
    <row r="698" spans="1:26" ht="19.5">
      <c r="A698" s="608"/>
      <c r="B698" s="618"/>
      <c r="C698" s="763" t="s">
        <v>16</v>
      </c>
      <c r="D698" s="898" t="s">
        <v>38</v>
      </c>
      <c r="E698" s="761"/>
      <c r="F698" s="761"/>
      <c r="G698" s="613"/>
      <c r="H698" s="762"/>
      <c r="I698" s="184"/>
      <c r="J698" s="184"/>
      <c r="K698" s="163"/>
      <c r="L698" s="163"/>
      <c r="M698" s="163"/>
      <c r="N698" s="163"/>
      <c r="O698" s="163"/>
      <c r="P698" s="163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</row>
    <row r="699" spans="1:26" ht="18.75">
      <c r="A699" s="744"/>
      <c r="B699" s="763"/>
      <c r="C699" s="763"/>
      <c r="D699" s="763" t="s">
        <v>295</v>
      </c>
      <c r="E699" s="763"/>
      <c r="F699" s="763"/>
      <c r="G699" s="189"/>
      <c r="H699" s="764" t="s">
        <v>46</v>
      </c>
      <c r="I699" s="765">
        <f ca="1">IFERROR(__xludf.DUMMYFUNCTION("IMPORTRANGE(""https://docs.google.com/spreadsheets/d/1QqKyyYR6Q21VydFLVH3TRQUabQu_ym0Zz7PgGX0-kHA/edit?usp=sharing"",""แผน!IC51"")"),88)</f>
        <v>88</v>
      </c>
      <c r="J699" s="270">
        <f ca="1">IFERROR(__xludf.DUMMYFUNCTION("IMPORTRANGE(""https://docs.google.com/spreadsheets/d/1XWAQStnk-4SwqDmLtmXYiTMKHgktTP8We1SCoS47DrQ/edit?usp=sharing"",""จัดที่ดิน!BB51"")"),0)</f>
        <v>0</v>
      </c>
      <c r="K699" s="498">
        <f t="shared" ref="K699:K701" ca="1" si="290">IF(I699&gt;0,J699*100/I699,0)</f>
        <v>0</v>
      </c>
      <c r="L699" s="498"/>
      <c r="M699" s="189"/>
      <c r="N699" s="766"/>
      <c r="O699" s="498"/>
      <c r="P699" s="49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</row>
    <row r="700" spans="1:26" ht="18.75">
      <c r="A700" s="744"/>
      <c r="B700" s="763"/>
      <c r="C700" s="763"/>
      <c r="D700" s="763" t="s">
        <v>296</v>
      </c>
      <c r="E700" s="763"/>
      <c r="F700" s="763"/>
      <c r="G700" s="189"/>
      <c r="H700" s="764" t="s">
        <v>35</v>
      </c>
      <c r="I700" s="765">
        <f ca="1">IFERROR(__xludf.DUMMYFUNCTION("IMPORTRANGE(""https://docs.google.com/spreadsheets/d/1QqKyyYR6Q21VydFLVH3TRQUabQu_ym0Zz7PgGX0-kHA/edit?usp=sharing"",""แผน!ID51"")"),17)</f>
        <v>17</v>
      </c>
      <c r="J700" s="270">
        <f ca="1">IFERROR(__xludf.DUMMYFUNCTION("IMPORTRANGE(""https://docs.google.com/spreadsheets/d/1XWAQStnk-4SwqDmLtmXYiTMKHgktTP8We1SCoS47DrQ/edit?usp=sharing"",""จัดที่ดิน!BD51"")"),10)</f>
        <v>10</v>
      </c>
      <c r="K700" s="498">
        <f t="shared" ca="1" si="290"/>
        <v>58.823529411764703</v>
      </c>
      <c r="L700" s="498"/>
      <c r="M700" s="189"/>
      <c r="N700" s="766"/>
      <c r="O700" s="498"/>
      <c r="P700" s="49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</row>
    <row r="701" spans="1:26" ht="19.5" hidden="1">
      <c r="A701" s="744"/>
      <c r="B701" s="763"/>
      <c r="C701" s="763"/>
      <c r="D701" s="763" t="s">
        <v>297</v>
      </c>
      <c r="E701" s="763"/>
      <c r="F701" s="763"/>
      <c r="G701" s="189"/>
      <c r="H701" s="767" t="s">
        <v>46</v>
      </c>
      <c r="I701" s="768">
        <f ca="1">IFERROR(__xludf.DUMMYFUNCTION("IMPORTRANGE(""https://docs.google.com/spreadsheets/d/1QqKyyYR6Q21VydFLVH3TRQUabQu_ym0Zz7PgGX0-kHA/edit?usp=sharing"",""แผน!IE51"")"),0)</f>
        <v>0</v>
      </c>
      <c r="J701" s="681">
        <f>J704+J707</f>
        <v>0</v>
      </c>
      <c r="K701" s="195">
        <f t="shared" ca="1" si="290"/>
        <v>0</v>
      </c>
      <c r="L701" s="498"/>
      <c r="M701" s="189"/>
      <c r="N701" s="766"/>
      <c r="O701" s="498"/>
      <c r="P701" s="49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</row>
    <row r="702" spans="1:26" ht="18.75" hidden="1">
      <c r="A702" s="744"/>
      <c r="B702" s="763"/>
      <c r="C702" s="763"/>
      <c r="D702" s="763"/>
      <c r="E702" s="763" t="s">
        <v>298</v>
      </c>
      <c r="F702" s="763"/>
      <c r="G702" s="189"/>
      <c r="H702" s="764" t="s">
        <v>35</v>
      </c>
      <c r="I702" s="765"/>
      <c r="J702" s="215">
        <v>0</v>
      </c>
      <c r="K702" s="498"/>
      <c r="L702" s="498"/>
      <c r="M702" s="189"/>
      <c r="N702" s="766"/>
      <c r="O702" s="498"/>
      <c r="P702" s="49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</row>
    <row r="703" spans="1:26" ht="18.75" hidden="1">
      <c r="A703" s="744"/>
      <c r="B703" s="763"/>
      <c r="C703" s="763"/>
      <c r="D703" s="763"/>
      <c r="E703" s="763"/>
      <c r="F703" s="763"/>
      <c r="G703" s="189"/>
      <c r="H703" s="764" t="s">
        <v>34</v>
      </c>
      <c r="I703" s="765"/>
      <c r="J703" s="215">
        <v>0</v>
      </c>
      <c r="K703" s="498"/>
      <c r="L703" s="498"/>
      <c r="M703" s="189"/>
      <c r="N703" s="766"/>
      <c r="O703" s="498"/>
      <c r="P703" s="49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</row>
    <row r="704" spans="1:26" ht="18.75" hidden="1">
      <c r="A704" s="744"/>
      <c r="B704" s="763"/>
      <c r="C704" s="763"/>
      <c r="D704" s="763"/>
      <c r="E704" s="763"/>
      <c r="F704" s="763"/>
      <c r="G704" s="189"/>
      <c r="H704" s="764" t="s">
        <v>46</v>
      </c>
      <c r="I704" s="765">
        <f ca="1">IFERROR(__xludf.DUMMYFUNCTION("IMPORTRANGE(""https://docs.google.com/spreadsheets/d/1QqKyyYR6Q21VydFLVH3TRQUabQu_ym0Zz7PgGX0-kHA/edit?usp=sharing"",""แผน!IF51"")"),0)</f>
        <v>0</v>
      </c>
      <c r="J704" s="215">
        <v>0</v>
      </c>
      <c r="K704" s="498"/>
      <c r="L704" s="498"/>
      <c r="M704" s="189"/>
      <c r="N704" s="766"/>
      <c r="O704" s="498"/>
      <c r="P704" s="49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</row>
    <row r="705" spans="1:26" ht="18.75" hidden="1">
      <c r="A705" s="744"/>
      <c r="B705" s="763"/>
      <c r="C705" s="763"/>
      <c r="D705" s="763"/>
      <c r="E705" s="763" t="s">
        <v>299</v>
      </c>
      <c r="F705" s="763"/>
      <c r="G705" s="189"/>
      <c r="H705" s="764" t="s">
        <v>35</v>
      </c>
      <c r="I705" s="765"/>
      <c r="J705" s="215">
        <v>0</v>
      </c>
      <c r="K705" s="498"/>
      <c r="L705" s="498"/>
      <c r="M705" s="189"/>
      <c r="N705" s="766"/>
      <c r="O705" s="498"/>
      <c r="P705" s="49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</row>
    <row r="706" spans="1:26" ht="18.75" hidden="1">
      <c r="A706" s="744"/>
      <c r="B706" s="763"/>
      <c r="C706" s="763"/>
      <c r="D706" s="763"/>
      <c r="E706" s="763"/>
      <c r="F706" s="763"/>
      <c r="G706" s="189"/>
      <c r="H706" s="764" t="s">
        <v>34</v>
      </c>
      <c r="I706" s="765"/>
      <c r="J706" s="215">
        <v>0</v>
      </c>
      <c r="K706" s="498"/>
      <c r="L706" s="498"/>
      <c r="M706" s="189"/>
      <c r="N706" s="766"/>
      <c r="O706" s="498"/>
      <c r="P706" s="49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</row>
    <row r="707" spans="1:26" ht="18.75" hidden="1">
      <c r="A707" s="744"/>
      <c r="B707" s="763"/>
      <c r="C707" s="763"/>
      <c r="D707" s="763"/>
      <c r="E707" s="763"/>
      <c r="F707" s="763"/>
      <c r="G707" s="189"/>
      <c r="H707" s="764" t="s">
        <v>46</v>
      </c>
      <c r="I707" s="765">
        <f ca="1">IFERROR(__xludf.DUMMYFUNCTION("IMPORTRANGE(""https://docs.google.com/spreadsheets/d/1QqKyyYR6Q21VydFLVH3TRQUabQu_ym0Zz7PgGX0-kHA/edit?usp=sharing"",""แผน!IG51"")"),0)</f>
        <v>0</v>
      </c>
      <c r="J707" s="215">
        <v>0</v>
      </c>
      <c r="K707" s="498"/>
      <c r="L707" s="498"/>
      <c r="M707" s="189"/>
      <c r="N707" s="766"/>
      <c r="O707" s="498"/>
      <c r="P707" s="49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</row>
    <row r="708" spans="1:26" ht="19.5" hidden="1">
      <c r="A708" s="744"/>
      <c r="B708" s="763"/>
      <c r="C708" s="763"/>
      <c r="D708" s="769" t="s">
        <v>300</v>
      </c>
      <c r="E708" s="763"/>
      <c r="F708" s="763"/>
      <c r="G708" s="189"/>
      <c r="H708" s="767" t="s">
        <v>46</v>
      </c>
      <c r="I708" s="768">
        <f ca="1">IFERROR(__xludf.DUMMYFUNCTION("IMPORTRANGE(""https://docs.google.com/spreadsheets/d/1QqKyyYR6Q21VydFLVH3TRQUabQu_ym0Zz7PgGX0-kHA/edit?usp=sharing"",""แผน!IH51"")"),0)</f>
        <v>0</v>
      </c>
      <c r="J708" s="681">
        <f>J714+J717</f>
        <v>0</v>
      </c>
      <c r="K708" s="195">
        <f ca="1">IF(I708&gt;0,J708*100/I708,0)</f>
        <v>0</v>
      </c>
      <c r="L708" s="498"/>
      <c r="M708" s="189"/>
      <c r="N708" s="766"/>
      <c r="O708" s="498"/>
      <c r="P708" s="49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</row>
    <row r="709" spans="1:26" ht="18.75" hidden="1">
      <c r="A709" s="744"/>
      <c r="B709" s="763"/>
      <c r="C709" s="763"/>
      <c r="D709" s="763"/>
      <c r="E709" s="763" t="s">
        <v>301</v>
      </c>
      <c r="F709" s="763"/>
      <c r="G709" s="189"/>
      <c r="H709" s="764" t="s">
        <v>34</v>
      </c>
      <c r="I709" s="765"/>
      <c r="J709" s="215">
        <v>0</v>
      </c>
      <c r="K709" s="498"/>
      <c r="L709" s="766"/>
      <c r="M709" s="189"/>
      <c r="N709" s="766"/>
      <c r="O709" s="498"/>
      <c r="P709" s="49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</row>
    <row r="710" spans="1:26" ht="18.75" hidden="1">
      <c r="A710" s="744"/>
      <c r="B710" s="763"/>
      <c r="C710" s="763"/>
      <c r="D710" s="763"/>
      <c r="E710" s="763"/>
      <c r="F710" s="763"/>
      <c r="G710" s="189"/>
      <c r="H710" s="764" t="s">
        <v>46</v>
      </c>
      <c r="I710" s="765"/>
      <c r="J710" s="215">
        <v>0</v>
      </c>
      <c r="K710" s="498"/>
      <c r="L710" s="766"/>
      <c r="M710" s="189"/>
      <c r="N710" s="766"/>
      <c r="O710" s="498"/>
      <c r="P710" s="49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</row>
    <row r="711" spans="1:26" ht="18.75" hidden="1">
      <c r="A711" s="744"/>
      <c r="B711" s="763"/>
      <c r="C711" s="763"/>
      <c r="D711" s="763"/>
      <c r="E711" s="763" t="s">
        <v>302</v>
      </c>
      <c r="F711" s="763"/>
      <c r="G711" s="189"/>
      <c r="H711" s="762"/>
      <c r="I711" s="765"/>
      <c r="J711" s="270"/>
      <c r="K711" s="498"/>
      <c r="L711" s="766"/>
      <c r="M711" s="189"/>
      <c r="N711" s="766"/>
      <c r="O711" s="498"/>
      <c r="P711" s="49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</row>
    <row r="712" spans="1:26" ht="18.75" hidden="1">
      <c r="A712" s="744"/>
      <c r="B712" s="763"/>
      <c r="C712" s="763"/>
      <c r="D712" s="763"/>
      <c r="E712" s="763"/>
      <c r="F712" s="763" t="s">
        <v>303</v>
      </c>
      <c r="G712" s="189"/>
      <c r="H712" s="764" t="s">
        <v>35</v>
      </c>
      <c r="I712" s="765"/>
      <c r="J712" s="215">
        <v>0</v>
      </c>
      <c r="K712" s="498"/>
      <c r="L712" s="766"/>
      <c r="M712" s="189"/>
      <c r="N712" s="766"/>
      <c r="O712" s="498"/>
      <c r="P712" s="49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</row>
    <row r="713" spans="1:26" ht="18.75" hidden="1">
      <c r="A713" s="744"/>
      <c r="B713" s="763"/>
      <c r="C713" s="763"/>
      <c r="D713" s="763"/>
      <c r="E713" s="763"/>
      <c r="F713" s="763"/>
      <c r="G713" s="189"/>
      <c r="H713" s="764" t="s">
        <v>34</v>
      </c>
      <c r="I713" s="765"/>
      <c r="J713" s="215">
        <v>0</v>
      </c>
      <c r="K713" s="498"/>
      <c r="L713" s="766"/>
      <c r="M713" s="189"/>
      <c r="N713" s="766"/>
      <c r="O713" s="498"/>
      <c r="P713" s="49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</row>
    <row r="714" spans="1:26" ht="18.75" hidden="1">
      <c r="A714" s="744"/>
      <c r="B714" s="763"/>
      <c r="C714" s="763"/>
      <c r="D714" s="763"/>
      <c r="E714" s="763"/>
      <c r="F714" s="763"/>
      <c r="G714" s="189"/>
      <c r="H714" s="764" t="s">
        <v>46</v>
      </c>
      <c r="I714" s="765"/>
      <c r="J714" s="215">
        <v>0</v>
      </c>
      <c r="K714" s="498"/>
      <c r="L714" s="766"/>
      <c r="M714" s="189"/>
      <c r="N714" s="766"/>
      <c r="O714" s="498"/>
      <c r="P714" s="49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</row>
    <row r="715" spans="1:26" ht="18.75" hidden="1">
      <c r="A715" s="744"/>
      <c r="B715" s="763"/>
      <c r="C715" s="763"/>
      <c r="D715" s="763"/>
      <c r="E715" s="763"/>
      <c r="F715" s="763" t="s">
        <v>304</v>
      </c>
      <c r="G715" s="189"/>
      <c r="H715" s="764" t="s">
        <v>35</v>
      </c>
      <c r="I715" s="765"/>
      <c r="J715" s="215">
        <v>0</v>
      </c>
      <c r="K715" s="498"/>
      <c r="L715" s="766"/>
      <c r="M715" s="189"/>
      <c r="N715" s="766"/>
      <c r="O715" s="498"/>
      <c r="P715" s="49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</row>
    <row r="716" spans="1:26" ht="18.75" hidden="1">
      <c r="A716" s="744"/>
      <c r="B716" s="763"/>
      <c r="C716" s="763"/>
      <c r="D716" s="763"/>
      <c r="E716" s="763"/>
      <c r="F716" s="763"/>
      <c r="G716" s="189"/>
      <c r="H716" s="764" t="s">
        <v>34</v>
      </c>
      <c r="I716" s="765"/>
      <c r="J716" s="215">
        <v>0</v>
      </c>
      <c r="K716" s="498"/>
      <c r="L716" s="766"/>
      <c r="M716" s="189"/>
      <c r="N716" s="766"/>
      <c r="O716" s="498"/>
      <c r="P716" s="49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</row>
    <row r="717" spans="1:26" ht="18.75" hidden="1">
      <c r="A717" s="744"/>
      <c r="B717" s="763"/>
      <c r="C717" s="763"/>
      <c r="D717" s="763"/>
      <c r="E717" s="763"/>
      <c r="F717" s="763"/>
      <c r="G717" s="189"/>
      <c r="H717" s="764" t="s">
        <v>46</v>
      </c>
      <c r="I717" s="765"/>
      <c r="J717" s="215">
        <v>0</v>
      </c>
      <c r="K717" s="498"/>
      <c r="L717" s="766"/>
      <c r="M717" s="189"/>
      <c r="N717" s="766"/>
      <c r="O717" s="498"/>
      <c r="P717" s="49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</row>
    <row r="718" spans="1:26" ht="18.75" hidden="1">
      <c r="A718" s="744"/>
      <c r="B718" s="763"/>
      <c r="C718" s="763"/>
      <c r="D718" s="763" t="s">
        <v>305</v>
      </c>
      <c r="E718" s="763"/>
      <c r="F718" s="763"/>
      <c r="G718" s="189"/>
      <c r="H718" s="764" t="s">
        <v>35</v>
      </c>
      <c r="I718" s="765"/>
      <c r="J718" s="270">
        <f ca="1">IFERROR(__xludf.DUMMYFUNCTION("IMPORTRANGE(""https://docs.google.com/spreadsheets/d/1XWAQStnk-4SwqDmLtmXYiTMKHgktTP8We1SCoS47DrQ/edit?usp=sharing"",""จัดที่ดิน!BF51"")"),0)</f>
        <v>0</v>
      </c>
      <c r="K718" s="498"/>
      <c r="L718" s="498"/>
      <c r="M718" s="189"/>
      <c r="N718" s="766"/>
      <c r="O718" s="498"/>
      <c r="P718" s="49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</row>
    <row r="719" spans="1:26" ht="18.75" hidden="1">
      <c r="A719" s="744"/>
      <c r="B719" s="763"/>
      <c r="C719" s="763"/>
      <c r="D719" s="763"/>
      <c r="E719" s="763"/>
      <c r="F719" s="763"/>
      <c r="G719" s="189"/>
      <c r="H719" s="764" t="s">
        <v>34</v>
      </c>
      <c r="I719" s="765"/>
      <c r="J719" s="270">
        <f ca="1">IFERROR(__xludf.DUMMYFUNCTION("IMPORTRANGE(""https://docs.google.com/spreadsheets/d/1XWAQStnk-4SwqDmLtmXYiTMKHgktTP8We1SCoS47DrQ/edit?usp=sharing"",""จัดที่ดิน!BG51"")"),0)</f>
        <v>0</v>
      </c>
      <c r="K719" s="498"/>
      <c r="L719" s="766"/>
      <c r="M719" s="189"/>
      <c r="N719" s="766"/>
      <c r="O719" s="498"/>
      <c r="P719" s="49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</row>
    <row r="720" spans="1:26" ht="18.75" hidden="1">
      <c r="A720" s="744"/>
      <c r="B720" s="763"/>
      <c r="C720" s="763"/>
      <c r="D720" s="763"/>
      <c r="E720" s="763"/>
      <c r="F720" s="763"/>
      <c r="G720" s="189"/>
      <c r="H720" s="764" t="s">
        <v>46</v>
      </c>
      <c r="I720" s="765">
        <f ca="1">IFERROR(__xludf.DUMMYFUNCTION("IMPORTRANGE(""https://docs.google.com/spreadsheets/d/1QqKyyYR6Q21VydFLVH3TRQUabQu_ym0Zz7PgGX0-kHA/edit?usp=sharing"",""แผน!II51"")"),0)</f>
        <v>0</v>
      </c>
      <c r="J720" s="270">
        <f ca="1">IFERROR(__xludf.DUMMYFUNCTION("IMPORTRANGE(""https://docs.google.com/spreadsheets/d/1XWAQStnk-4SwqDmLtmXYiTMKHgktTP8We1SCoS47DrQ/edit?usp=sharing"",""จัดที่ดิน!BH51"")"),0)</f>
        <v>0</v>
      </c>
      <c r="K720" s="498">
        <f t="shared" ref="K720:K723" ca="1" si="291">IF(I720&gt;0,J720*100/I720,0)</f>
        <v>0</v>
      </c>
      <c r="L720" s="766"/>
      <c r="M720" s="189"/>
      <c r="N720" s="766"/>
      <c r="O720" s="498"/>
      <c r="P720" s="49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</row>
    <row r="721" spans="1:26" ht="19.5" hidden="1">
      <c r="A721" s="744"/>
      <c r="B721" s="763"/>
      <c r="C721" s="763"/>
      <c r="D721" s="763" t="s">
        <v>306</v>
      </c>
      <c r="E721" s="763"/>
      <c r="F721" s="763"/>
      <c r="G721" s="189"/>
      <c r="H721" s="767" t="s">
        <v>35</v>
      </c>
      <c r="I721" s="768">
        <f ca="1">IFERROR(__xludf.DUMMYFUNCTION("IMPORTRANGE(""https://docs.google.com/spreadsheets/d/1QqKyyYR6Q21VydFLVH3TRQUabQu_ym0Zz7PgGX0-kHA/edit?usp=sharing"",""แผน!IJ51"")"),0)</f>
        <v>0</v>
      </c>
      <c r="J721" s="681">
        <f ca="1">J723+J726</f>
        <v>0</v>
      </c>
      <c r="K721" s="195">
        <f t="shared" ca="1" si="291"/>
        <v>0</v>
      </c>
      <c r="L721" s="766"/>
      <c r="M721" s="189"/>
      <c r="N721" s="766"/>
      <c r="O721" s="498"/>
      <c r="P721" s="49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</row>
    <row r="722" spans="1:26" ht="19.5" hidden="1">
      <c r="A722" s="744"/>
      <c r="B722" s="763"/>
      <c r="C722" s="763"/>
      <c r="D722" s="763"/>
      <c r="E722" s="763"/>
      <c r="F722" s="763"/>
      <c r="G722" s="189"/>
      <c r="H722" s="767" t="s">
        <v>46</v>
      </c>
      <c r="I722" s="768">
        <f ca="1">IFERROR(__xludf.DUMMYFUNCTION("IMPORTRANGE(""https://docs.google.com/spreadsheets/d/1QqKyyYR6Q21VydFLVH3TRQUabQu_ym0Zz7PgGX0-kHA/edit?usp=sharing"",""แผน!IK51"")"),0)</f>
        <v>0</v>
      </c>
      <c r="J722" s="681">
        <f ca="1">J725+J728</f>
        <v>0</v>
      </c>
      <c r="K722" s="195">
        <f t="shared" ca="1" si="291"/>
        <v>0</v>
      </c>
      <c r="L722" s="498"/>
      <c r="M722" s="189"/>
      <c r="N722" s="766"/>
      <c r="O722" s="498"/>
      <c r="P722" s="49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</row>
    <row r="723" spans="1:26" ht="18.75" hidden="1">
      <c r="A723" s="744"/>
      <c r="B723" s="763"/>
      <c r="C723" s="763"/>
      <c r="D723" s="763"/>
      <c r="E723" s="763" t="s">
        <v>307</v>
      </c>
      <c r="F723" s="763"/>
      <c r="G723" s="189"/>
      <c r="H723" s="764" t="s">
        <v>35</v>
      </c>
      <c r="I723" s="765">
        <f ca="1">IFERROR(__xludf.DUMMYFUNCTION("IMPORTRANGE(""https://docs.google.com/spreadsheets/d/1QqKyyYR6Q21VydFLVH3TRQUabQu_ym0Zz7PgGX0-kHA/edit?usp=sharing"",""แผน!IL51"")"),0)</f>
        <v>0</v>
      </c>
      <c r="J723" s="270">
        <f ca="1">IFERROR(__xludf.DUMMYFUNCTION("IMPORTRANGE(""https://docs.google.com/spreadsheets/d/1XWAQStnk-4SwqDmLtmXYiTMKHgktTP8We1SCoS47DrQ/edit?usp=sharing"",""จัดที่ดิน!BM51"")"),0)</f>
        <v>0</v>
      </c>
      <c r="K723" s="498">
        <f t="shared" ca="1" si="291"/>
        <v>0</v>
      </c>
      <c r="L723" s="498"/>
      <c r="M723" s="189"/>
      <c r="N723" s="766"/>
      <c r="O723" s="498"/>
      <c r="P723" s="49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</row>
    <row r="724" spans="1:26" ht="18.75" hidden="1">
      <c r="A724" s="744"/>
      <c r="B724" s="763"/>
      <c r="C724" s="763"/>
      <c r="D724" s="763"/>
      <c r="E724" s="763"/>
      <c r="F724" s="763"/>
      <c r="G724" s="189"/>
      <c r="H724" s="764" t="s">
        <v>34</v>
      </c>
      <c r="I724" s="765"/>
      <c r="J724" s="270">
        <f ca="1">IFERROR(__xludf.DUMMYFUNCTION("IMPORTRANGE(""https://docs.google.com/spreadsheets/d/1XWAQStnk-4SwqDmLtmXYiTMKHgktTP8We1SCoS47DrQ/edit?usp=sharing"",""จัดที่ดิน!BN51"")"),0)</f>
        <v>0</v>
      </c>
      <c r="K724" s="498"/>
      <c r="L724" s="766"/>
      <c r="M724" s="189"/>
      <c r="N724" s="766"/>
      <c r="O724" s="498"/>
      <c r="P724" s="49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</row>
    <row r="725" spans="1:26" ht="18.75" hidden="1">
      <c r="A725" s="744"/>
      <c r="B725" s="763"/>
      <c r="C725" s="763"/>
      <c r="D725" s="763"/>
      <c r="E725" s="763"/>
      <c r="F725" s="763"/>
      <c r="G725" s="189"/>
      <c r="H725" s="764" t="s">
        <v>46</v>
      </c>
      <c r="I725" s="765">
        <f ca="1">IFERROR(__xludf.DUMMYFUNCTION("IMPORTRANGE(""https://docs.google.com/spreadsheets/d/1QqKyyYR6Q21VydFLVH3TRQUabQu_ym0Zz7PgGX0-kHA/edit?usp=sharing"",""แผน!IM51"")"),0)</f>
        <v>0</v>
      </c>
      <c r="J725" s="270">
        <f ca="1">IFERROR(__xludf.DUMMYFUNCTION("IMPORTRANGE(""https://docs.google.com/spreadsheets/d/1XWAQStnk-4SwqDmLtmXYiTMKHgktTP8We1SCoS47DrQ/edit?usp=sharing"",""จัดที่ดิน!BO51"")"),0)</f>
        <v>0</v>
      </c>
      <c r="K725" s="498">
        <f t="shared" ref="K725:K726" ca="1" si="292">IF(I725&gt;0,J725*100/I725,0)</f>
        <v>0</v>
      </c>
      <c r="L725" s="766"/>
      <c r="M725" s="189"/>
      <c r="N725" s="766"/>
      <c r="O725" s="498"/>
      <c r="P725" s="49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</row>
    <row r="726" spans="1:26" ht="18.75" hidden="1">
      <c r="A726" s="744"/>
      <c r="B726" s="763"/>
      <c r="C726" s="763"/>
      <c r="D726" s="763"/>
      <c r="E726" s="763" t="s">
        <v>308</v>
      </c>
      <c r="F726" s="763"/>
      <c r="G726" s="189"/>
      <c r="H726" s="764" t="s">
        <v>35</v>
      </c>
      <c r="I726" s="765">
        <f ca="1">IFERROR(__xludf.DUMMYFUNCTION("IMPORTRANGE(""https://docs.google.com/spreadsheets/d/1QqKyyYR6Q21VydFLVH3TRQUabQu_ym0Zz7PgGX0-kHA/edit?usp=sharing"",""แผน!IN51"")"),0)</f>
        <v>0</v>
      </c>
      <c r="J726" s="270">
        <f ca="1">IFERROR(__xludf.DUMMYFUNCTION("IMPORTRANGE(""https://docs.google.com/spreadsheets/d/1XWAQStnk-4SwqDmLtmXYiTMKHgktTP8We1SCoS47DrQ/edit?usp=sharing"",""จัดที่ดิน!BR51"")"),0)</f>
        <v>0</v>
      </c>
      <c r="K726" s="498">
        <f t="shared" ca="1" si="292"/>
        <v>0</v>
      </c>
      <c r="L726" s="498"/>
      <c r="M726" s="189"/>
      <c r="N726" s="766"/>
      <c r="O726" s="498"/>
      <c r="P726" s="49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</row>
    <row r="727" spans="1:26" ht="18.75" hidden="1">
      <c r="A727" s="744"/>
      <c r="B727" s="763"/>
      <c r="C727" s="763"/>
      <c r="D727" s="763"/>
      <c r="E727" s="763"/>
      <c r="F727" s="763"/>
      <c r="G727" s="189"/>
      <c r="H727" s="764" t="s">
        <v>34</v>
      </c>
      <c r="I727" s="765"/>
      <c r="J727" s="270">
        <f ca="1">IFERROR(__xludf.DUMMYFUNCTION("IMPORTRANGE(""https://docs.google.com/spreadsheets/d/1XWAQStnk-4SwqDmLtmXYiTMKHgktTP8We1SCoS47DrQ/edit?usp=sharing"",""จัดที่ดิน!BS51"")"),0)</f>
        <v>0</v>
      </c>
      <c r="K727" s="498"/>
      <c r="L727" s="766"/>
      <c r="M727" s="189"/>
      <c r="N727" s="766"/>
      <c r="O727" s="498"/>
      <c r="P727" s="49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</row>
    <row r="728" spans="1:26" ht="18.75" hidden="1">
      <c r="A728" s="744"/>
      <c r="B728" s="763"/>
      <c r="C728" s="763"/>
      <c r="D728" s="763"/>
      <c r="E728" s="763"/>
      <c r="F728" s="763"/>
      <c r="G728" s="189"/>
      <c r="H728" s="764" t="s">
        <v>46</v>
      </c>
      <c r="I728" s="765">
        <f ca="1">IFERROR(__xludf.DUMMYFUNCTION("IMPORTRANGE(""https://docs.google.com/spreadsheets/d/1QqKyyYR6Q21VydFLVH3TRQUabQu_ym0Zz7PgGX0-kHA/edit?usp=sharing"",""แผน!IO51"")"),0)</f>
        <v>0</v>
      </c>
      <c r="J728" s="270">
        <f ca="1">IFERROR(__xludf.DUMMYFUNCTION("IMPORTRANGE(""https://docs.google.com/spreadsheets/d/1XWAQStnk-4SwqDmLtmXYiTMKHgktTP8We1SCoS47DrQ/edit?usp=sharing"",""จัดที่ดิน!BT51"")"),0)</f>
        <v>0</v>
      </c>
      <c r="K728" s="498">
        <f t="shared" ref="K728:K729" ca="1" si="293">IF(I728&gt;0,J728*100/I728,0)</f>
        <v>0</v>
      </c>
      <c r="L728" s="766"/>
      <c r="M728" s="189"/>
      <c r="N728" s="766"/>
      <c r="O728" s="498"/>
      <c r="P728" s="49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</row>
    <row r="729" spans="1:26" ht="19.5" hidden="1">
      <c r="A729" s="744"/>
      <c r="B729" s="763"/>
      <c r="C729" s="763"/>
      <c r="D729" s="763" t="s">
        <v>309</v>
      </c>
      <c r="E729" s="763"/>
      <c r="F729" s="763"/>
      <c r="G729" s="189"/>
      <c r="H729" s="767" t="s">
        <v>46</v>
      </c>
      <c r="I729" s="768">
        <f ca="1">IFERROR(__xludf.DUMMYFUNCTION("IMPORTRANGE(""https://docs.google.com/spreadsheets/d/1QqKyyYR6Q21VydFLVH3TRQUabQu_ym0Zz7PgGX0-kHA/edit?usp=sharing"",""แผน!IP51"")"),0)</f>
        <v>0</v>
      </c>
      <c r="J729" s="681">
        <f>J732+J735</f>
        <v>0</v>
      </c>
      <c r="K729" s="195">
        <f t="shared" ca="1" si="293"/>
        <v>0</v>
      </c>
      <c r="L729" s="498"/>
      <c r="M729" s="189"/>
      <c r="N729" s="766"/>
      <c r="O729" s="498"/>
      <c r="P729" s="49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</row>
    <row r="730" spans="1:26" ht="18.75" hidden="1">
      <c r="A730" s="744"/>
      <c r="B730" s="763"/>
      <c r="C730" s="763"/>
      <c r="D730" s="763"/>
      <c r="E730" s="763" t="s">
        <v>310</v>
      </c>
      <c r="F730" s="763"/>
      <c r="G730" s="189"/>
      <c r="H730" s="764" t="s">
        <v>35</v>
      </c>
      <c r="I730" s="765"/>
      <c r="J730" s="215">
        <v>0</v>
      </c>
      <c r="K730" s="498"/>
      <c r="L730" s="766"/>
      <c r="M730" s="498"/>
      <c r="N730" s="766"/>
      <c r="O730" s="498"/>
      <c r="P730" s="49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</row>
    <row r="731" spans="1:26" ht="18.75" hidden="1">
      <c r="A731" s="744"/>
      <c r="B731" s="763"/>
      <c r="C731" s="763"/>
      <c r="D731" s="763"/>
      <c r="E731" s="763"/>
      <c r="F731" s="763"/>
      <c r="G731" s="189"/>
      <c r="H731" s="764" t="s">
        <v>34</v>
      </c>
      <c r="I731" s="765"/>
      <c r="J731" s="215">
        <v>0</v>
      </c>
      <c r="K731" s="498"/>
      <c r="L731" s="766"/>
      <c r="M731" s="498"/>
      <c r="N731" s="766"/>
      <c r="O731" s="498"/>
      <c r="P731" s="49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</row>
    <row r="732" spans="1:26" ht="18.75" hidden="1">
      <c r="A732" s="744"/>
      <c r="B732" s="763"/>
      <c r="C732" s="763"/>
      <c r="D732" s="763"/>
      <c r="E732" s="763"/>
      <c r="F732" s="763"/>
      <c r="G732" s="189"/>
      <c r="H732" s="764" t="s">
        <v>46</v>
      </c>
      <c r="I732" s="765"/>
      <c r="J732" s="215">
        <v>0</v>
      </c>
      <c r="K732" s="498"/>
      <c r="L732" s="766"/>
      <c r="M732" s="498"/>
      <c r="N732" s="766"/>
      <c r="O732" s="498"/>
      <c r="P732" s="49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</row>
    <row r="733" spans="1:26" ht="18.75" hidden="1">
      <c r="A733" s="744"/>
      <c r="B733" s="763"/>
      <c r="C733" s="763"/>
      <c r="D733" s="763"/>
      <c r="E733" s="763" t="s">
        <v>311</v>
      </c>
      <c r="F733" s="763"/>
      <c r="G733" s="189"/>
      <c r="H733" s="764" t="s">
        <v>35</v>
      </c>
      <c r="I733" s="765"/>
      <c r="J733" s="215">
        <v>0</v>
      </c>
      <c r="K733" s="498"/>
      <c r="L733" s="766"/>
      <c r="M733" s="498"/>
      <c r="N733" s="766"/>
      <c r="O733" s="498"/>
      <c r="P733" s="49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</row>
    <row r="734" spans="1:26" ht="18.75" hidden="1">
      <c r="A734" s="744"/>
      <c r="B734" s="763"/>
      <c r="C734" s="763"/>
      <c r="D734" s="763"/>
      <c r="E734" s="763"/>
      <c r="F734" s="763"/>
      <c r="G734" s="189"/>
      <c r="H734" s="764" t="s">
        <v>34</v>
      </c>
      <c r="I734" s="765"/>
      <c r="J734" s="215">
        <v>0</v>
      </c>
      <c r="K734" s="498"/>
      <c r="L734" s="766"/>
      <c r="M734" s="498"/>
      <c r="N734" s="766"/>
      <c r="O734" s="498"/>
      <c r="P734" s="49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</row>
    <row r="735" spans="1:26" ht="19.5" hidden="1">
      <c r="A735" s="770"/>
      <c r="B735" s="771" t="s">
        <v>312</v>
      </c>
      <c r="C735" s="734"/>
      <c r="D735" s="734"/>
      <c r="E735" s="734"/>
      <c r="F735" s="734"/>
      <c r="G735" s="735"/>
      <c r="H735" s="422" t="s">
        <v>46</v>
      </c>
      <c r="I735" s="772"/>
      <c r="J735" s="424">
        <v>0</v>
      </c>
      <c r="K735" s="507"/>
      <c r="L735" s="773"/>
      <c r="M735" s="507"/>
      <c r="N735" s="773"/>
      <c r="O735" s="507"/>
      <c r="P735" s="507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</row>
    <row r="736" spans="1:26" ht="19.5" hidden="1">
      <c r="A736" s="774">
        <v>9</v>
      </c>
      <c r="B736" s="775" t="s">
        <v>313</v>
      </c>
      <c r="C736" s="776"/>
      <c r="D736" s="776"/>
      <c r="E736" s="776"/>
      <c r="F736" s="776"/>
      <c r="G736" s="777"/>
      <c r="H736" s="778" t="s">
        <v>46</v>
      </c>
      <c r="I736" s="779"/>
      <c r="J736" s="779">
        <f>J751</f>
        <v>0</v>
      </c>
      <c r="K736" s="780">
        <f>IF(I736&gt;0,J736*100/I736,0)</f>
        <v>0</v>
      </c>
      <c r="L736" s="781"/>
      <c r="M736" s="781"/>
      <c r="N736" s="781"/>
      <c r="O736" s="781"/>
      <c r="P736" s="781"/>
      <c r="Q736" s="604"/>
      <c r="R736" s="604"/>
      <c r="S736" s="604"/>
      <c r="T736" s="604"/>
      <c r="U736" s="604"/>
      <c r="V736" s="604"/>
      <c r="W736" s="604"/>
      <c r="X736" s="604"/>
      <c r="Y736" s="604"/>
      <c r="Z736" s="604"/>
    </row>
    <row r="737" spans="1:26" ht="19.5" hidden="1">
      <c r="A737" s="599"/>
      <c r="B737" s="759"/>
      <c r="C737" s="759" t="s">
        <v>16</v>
      </c>
      <c r="D737" s="864" t="s">
        <v>17</v>
      </c>
      <c r="E737" s="857"/>
      <c r="F737" s="857"/>
      <c r="G737" s="603"/>
      <c r="H737" s="646" t="s">
        <v>12</v>
      </c>
      <c r="I737" s="617"/>
      <c r="J737" s="617"/>
      <c r="K737" s="93"/>
      <c r="L737" s="647">
        <f t="shared" ref="L737:N737" si="294">L738+L739</f>
        <v>0</v>
      </c>
      <c r="M737" s="647">
        <f t="shared" si="294"/>
        <v>0</v>
      </c>
      <c r="N737" s="647">
        <f t="shared" si="294"/>
        <v>0</v>
      </c>
      <c r="O737" s="647">
        <f t="shared" ref="O737:O742" si="295">IF(L737&gt;0,N737*100/L737,0)</f>
        <v>0</v>
      </c>
      <c r="P737" s="647">
        <f t="shared" ref="P737:P742" si="296">IF(M737&gt;0,N737*100/M737,0)</f>
        <v>0</v>
      </c>
      <c r="Q737" s="604"/>
      <c r="R737" s="604"/>
      <c r="S737" s="604"/>
      <c r="T737" s="604"/>
      <c r="U737" s="604"/>
      <c r="V737" s="604"/>
      <c r="W737" s="604"/>
      <c r="X737" s="604"/>
      <c r="Y737" s="604"/>
      <c r="Z737" s="604"/>
    </row>
    <row r="738" spans="1:26" ht="18.75" hidden="1">
      <c r="A738" s="599"/>
      <c r="B738" s="759"/>
      <c r="C738" s="759"/>
      <c r="D738" s="720"/>
      <c r="E738" s="759" t="s">
        <v>185</v>
      </c>
      <c r="F738" s="759"/>
      <c r="G738" s="603"/>
      <c r="H738" s="165" t="s">
        <v>12</v>
      </c>
      <c r="I738" s="617"/>
      <c r="J738" s="617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4"/>
      <c r="R738" s="604"/>
      <c r="S738" s="604"/>
      <c r="T738" s="604"/>
      <c r="U738" s="604"/>
      <c r="V738" s="604"/>
      <c r="W738" s="604"/>
      <c r="X738" s="604"/>
      <c r="Y738" s="604"/>
      <c r="Z738" s="604"/>
    </row>
    <row r="739" spans="1:26" ht="18.75" hidden="1">
      <c r="A739" s="599"/>
      <c r="B739" s="607"/>
      <c r="C739" s="759"/>
      <c r="D739" s="720"/>
      <c r="E739" s="759" t="s">
        <v>186</v>
      </c>
      <c r="F739" s="759"/>
      <c r="G739" s="603"/>
      <c r="H739" s="165" t="s">
        <v>12</v>
      </c>
      <c r="I739" s="617"/>
      <c r="J739" s="617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4"/>
      <c r="R739" s="604"/>
      <c r="S739" s="604"/>
      <c r="T739" s="604"/>
      <c r="U739" s="604"/>
      <c r="V739" s="604"/>
      <c r="W739" s="604"/>
      <c r="X739" s="604"/>
      <c r="Y739" s="604"/>
      <c r="Z739" s="604"/>
    </row>
    <row r="740" spans="1:26" ht="19.5" hidden="1">
      <c r="A740" s="599"/>
      <c r="B740" s="607"/>
      <c r="C740" s="759"/>
      <c r="D740" s="645" t="s">
        <v>20</v>
      </c>
      <c r="E740" s="759"/>
      <c r="F740" s="759"/>
      <c r="G740" s="603"/>
      <c r="H740" s="646" t="s">
        <v>12</v>
      </c>
      <c r="I740" s="166"/>
      <c r="J740" s="166"/>
      <c r="K740" s="167"/>
      <c r="L740" s="647">
        <f t="shared" ref="L740:N740" si="298">L741+L742</f>
        <v>0</v>
      </c>
      <c r="M740" s="647">
        <f t="shared" si="298"/>
        <v>0</v>
      </c>
      <c r="N740" s="647">
        <f t="shared" si="298"/>
        <v>0</v>
      </c>
      <c r="O740" s="647">
        <f t="shared" si="295"/>
        <v>0</v>
      </c>
      <c r="P740" s="647">
        <f t="shared" si="296"/>
        <v>0</v>
      </c>
      <c r="Q740" s="604"/>
      <c r="R740" s="604"/>
      <c r="S740" s="604"/>
      <c r="T740" s="604"/>
      <c r="U740" s="604"/>
      <c r="V740" s="604"/>
      <c r="W740" s="604"/>
      <c r="X740" s="604"/>
      <c r="Y740" s="604"/>
      <c r="Z740" s="604"/>
    </row>
    <row r="741" spans="1:26" ht="18.75" hidden="1">
      <c r="A741" s="599"/>
      <c r="B741" s="607"/>
      <c r="C741" s="759"/>
      <c r="D741" s="720"/>
      <c r="E741" s="759" t="s">
        <v>185</v>
      </c>
      <c r="F741" s="759"/>
      <c r="G741" s="603"/>
      <c r="H741" s="165" t="s">
        <v>12</v>
      </c>
      <c r="I741" s="617"/>
      <c r="J741" s="617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4"/>
      <c r="R741" s="604"/>
      <c r="S741" s="604"/>
      <c r="T741" s="604"/>
      <c r="U741" s="604"/>
      <c r="V741" s="604"/>
      <c r="W741" s="604"/>
      <c r="X741" s="604"/>
      <c r="Y741" s="604"/>
      <c r="Z741" s="604"/>
    </row>
    <row r="742" spans="1:26" ht="18.75" hidden="1">
      <c r="A742" s="599"/>
      <c r="B742" s="607"/>
      <c r="C742" s="759"/>
      <c r="D742" s="720"/>
      <c r="E742" s="759" t="s">
        <v>186</v>
      </c>
      <c r="F742" s="759"/>
      <c r="G742" s="603"/>
      <c r="H742" s="165" t="s">
        <v>12</v>
      </c>
      <c r="I742" s="617"/>
      <c r="J742" s="617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4"/>
      <c r="R742" s="604"/>
      <c r="S742" s="604"/>
      <c r="T742" s="604"/>
      <c r="U742" s="604"/>
      <c r="V742" s="604"/>
      <c r="W742" s="604"/>
      <c r="X742" s="604"/>
      <c r="Y742" s="604"/>
      <c r="Z742" s="604"/>
    </row>
    <row r="743" spans="1:26" ht="18.75" hidden="1">
      <c r="A743" s="649"/>
      <c r="B743" s="607"/>
      <c r="C743" s="759"/>
      <c r="D743" s="759"/>
      <c r="E743" s="759"/>
      <c r="F743" s="759" t="s">
        <v>187</v>
      </c>
      <c r="G743" s="603"/>
      <c r="H743" s="165" t="s">
        <v>12</v>
      </c>
      <c r="I743" s="617"/>
      <c r="J743" s="617"/>
      <c r="K743" s="93"/>
      <c r="L743" s="93"/>
      <c r="M743" s="93"/>
      <c r="N743" s="93"/>
      <c r="O743" s="93"/>
      <c r="P743" s="93"/>
      <c r="Q743" s="604"/>
      <c r="R743" s="604"/>
      <c r="S743" s="604"/>
      <c r="T743" s="604"/>
      <c r="U743" s="604"/>
      <c r="V743" s="604"/>
      <c r="W743" s="604"/>
      <c r="X743" s="604"/>
      <c r="Y743" s="604"/>
      <c r="Z743" s="604"/>
    </row>
    <row r="744" spans="1:26" ht="18.75" hidden="1">
      <c r="A744" s="649"/>
      <c r="B744" s="607"/>
      <c r="C744" s="759"/>
      <c r="D744" s="759"/>
      <c r="E744" s="759"/>
      <c r="F744" s="759" t="s">
        <v>188</v>
      </c>
      <c r="G744" s="603"/>
      <c r="H744" s="165" t="s">
        <v>12</v>
      </c>
      <c r="I744" s="617"/>
      <c r="J744" s="617"/>
      <c r="K744" s="93"/>
      <c r="L744" s="93"/>
      <c r="M744" s="93"/>
      <c r="N744" s="93"/>
      <c r="O744" s="93"/>
      <c r="P744" s="93"/>
      <c r="Q744" s="604"/>
      <c r="R744" s="604"/>
      <c r="S744" s="604"/>
      <c r="T744" s="604"/>
      <c r="U744" s="604"/>
      <c r="V744" s="604"/>
      <c r="W744" s="604"/>
      <c r="X744" s="604"/>
      <c r="Y744" s="604"/>
      <c r="Z744" s="604"/>
    </row>
    <row r="745" spans="1:26" ht="18.75" hidden="1">
      <c r="A745" s="649"/>
      <c r="B745" s="607"/>
      <c r="C745" s="759"/>
      <c r="D745" s="759"/>
      <c r="E745" s="759"/>
      <c r="F745" s="759" t="s">
        <v>189</v>
      </c>
      <c r="G745" s="603"/>
      <c r="H745" s="165" t="s">
        <v>12</v>
      </c>
      <c r="I745" s="617"/>
      <c r="J745" s="617"/>
      <c r="K745" s="93"/>
      <c r="L745" s="93"/>
      <c r="M745" s="93"/>
      <c r="N745" s="93"/>
      <c r="O745" s="93"/>
      <c r="P745" s="93"/>
      <c r="Q745" s="604"/>
      <c r="R745" s="604"/>
      <c r="S745" s="604"/>
      <c r="T745" s="604"/>
      <c r="U745" s="604"/>
      <c r="V745" s="604"/>
      <c r="W745" s="604"/>
      <c r="X745" s="604"/>
      <c r="Y745" s="604"/>
      <c r="Z745" s="604"/>
    </row>
    <row r="746" spans="1:26" ht="18.75" hidden="1">
      <c r="A746" s="649"/>
      <c r="B746" s="607"/>
      <c r="C746" s="759"/>
      <c r="D746" s="759"/>
      <c r="E746" s="759"/>
      <c r="F746" s="759" t="s">
        <v>190</v>
      </c>
      <c r="G746" s="603"/>
      <c r="H746" s="165" t="s">
        <v>12</v>
      </c>
      <c r="I746" s="617"/>
      <c r="J746" s="617"/>
      <c r="K746" s="93"/>
      <c r="L746" s="93"/>
      <c r="M746" s="93"/>
      <c r="N746" s="93"/>
      <c r="O746" s="93"/>
      <c r="P746" s="93"/>
      <c r="Q746" s="604"/>
      <c r="R746" s="604"/>
      <c r="S746" s="604"/>
      <c r="T746" s="604"/>
      <c r="U746" s="604"/>
      <c r="V746" s="604"/>
      <c r="W746" s="604"/>
      <c r="X746" s="604"/>
      <c r="Y746" s="604"/>
      <c r="Z746" s="604"/>
    </row>
    <row r="747" spans="1:26" ht="19.5" hidden="1">
      <c r="A747" s="599"/>
      <c r="B747" s="607"/>
      <c r="C747" s="759"/>
      <c r="D747" s="645" t="s">
        <v>21</v>
      </c>
      <c r="E747" s="759"/>
      <c r="F747" s="759"/>
      <c r="G747" s="603"/>
      <c r="H747" s="783" t="s">
        <v>12</v>
      </c>
      <c r="I747" s="166"/>
      <c r="J747" s="166"/>
      <c r="K747" s="167"/>
      <c r="L747" s="647">
        <f t="shared" ref="L747:N747" si="299">L748+L749</f>
        <v>0</v>
      </c>
      <c r="M747" s="647">
        <f t="shared" si="299"/>
        <v>0</v>
      </c>
      <c r="N747" s="647">
        <f t="shared" si="299"/>
        <v>0</v>
      </c>
      <c r="O747" s="647">
        <f t="shared" ref="O747:O749" si="300">IF(L747&gt;0,N747*100/L747,0)</f>
        <v>0</v>
      </c>
      <c r="P747" s="647">
        <f t="shared" ref="P747:P749" si="301">IF(M747&gt;0,N747*100/M747,0)</f>
        <v>0</v>
      </c>
      <c r="Q747" s="604"/>
      <c r="R747" s="604"/>
      <c r="S747" s="604"/>
      <c r="T747" s="604"/>
      <c r="U747" s="604"/>
      <c r="V747" s="604"/>
      <c r="W747" s="604"/>
      <c r="X747" s="604"/>
      <c r="Y747" s="604"/>
      <c r="Z747" s="604"/>
    </row>
    <row r="748" spans="1:26" ht="18.75" hidden="1">
      <c r="A748" s="599"/>
      <c r="B748" s="607"/>
      <c r="C748" s="759"/>
      <c r="D748" s="759"/>
      <c r="E748" s="759" t="s">
        <v>18</v>
      </c>
      <c r="F748" s="759"/>
      <c r="G748" s="603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4"/>
      <c r="R748" s="604"/>
      <c r="S748" s="604"/>
      <c r="T748" s="604"/>
      <c r="U748" s="604"/>
      <c r="V748" s="604"/>
      <c r="W748" s="604"/>
      <c r="X748" s="604"/>
      <c r="Y748" s="604"/>
      <c r="Z748" s="604"/>
    </row>
    <row r="749" spans="1:26" ht="18.75" hidden="1">
      <c r="A749" s="599"/>
      <c r="B749" s="607"/>
      <c r="C749" s="759"/>
      <c r="D749" s="759"/>
      <c r="E749" s="759" t="s">
        <v>19</v>
      </c>
      <c r="F749" s="759"/>
      <c r="G749" s="603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4"/>
      <c r="R749" s="604"/>
      <c r="S749" s="604"/>
      <c r="T749" s="604"/>
      <c r="U749" s="604"/>
      <c r="V749" s="604"/>
      <c r="W749" s="604"/>
      <c r="X749" s="604"/>
      <c r="Y749" s="604"/>
      <c r="Z749" s="604"/>
    </row>
    <row r="750" spans="1:26" ht="19.5" hidden="1">
      <c r="A750" s="614"/>
      <c r="B750" s="616"/>
      <c r="C750" s="759" t="s">
        <v>16</v>
      </c>
      <c r="D750" s="899" t="s">
        <v>38</v>
      </c>
      <c r="E750" s="651"/>
      <c r="F750" s="651"/>
      <c r="G750" s="652"/>
      <c r="H750" s="366"/>
      <c r="I750" s="166"/>
      <c r="J750" s="166"/>
      <c r="K750" s="167"/>
      <c r="L750" s="167"/>
      <c r="M750" s="167"/>
      <c r="N750" s="167"/>
      <c r="O750" s="167"/>
      <c r="P750" s="167"/>
      <c r="Q750" s="604"/>
      <c r="R750" s="604"/>
      <c r="S750" s="604"/>
      <c r="T750" s="604"/>
      <c r="U750" s="604"/>
      <c r="V750" s="604"/>
      <c r="W750" s="604"/>
      <c r="X750" s="604"/>
      <c r="Y750" s="604"/>
      <c r="Z750" s="604"/>
    </row>
    <row r="751" spans="1:26" ht="18.75" hidden="1">
      <c r="A751" s="649"/>
      <c r="B751" s="607"/>
      <c r="C751" s="759"/>
      <c r="D751" s="759"/>
      <c r="E751" s="759" t="s">
        <v>314</v>
      </c>
      <c r="F751" s="759"/>
      <c r="G751" s="603"/>
      <c r="H751" s="165" t="s">
        <v>46</v>
      </c>
      <c r="I751" s="617"/>
      <c r="J751" s="617"/>
      <c r="K751" s="93"/>
      <c r="L751" s="93"/>
      <c r="M751" s="93"/>
      <c r="N751" s="93"/>
      <c r="O751" s="93"/>
      <c r="P751" s="93"/>
      <c r="Q751" s="604"/>
      <c r="R751" s="604"/>
      <c r="S751" s="604"/>
      <c r="T751" s="604"/>
      <c r="U751" s="604"/>
      <c r="V751" s="604"/>
      <c r="W751" s="604"/>
      <c r="X751" s="604"/>
      <c r="Y751" s="604"/>
      <c r="Z751" s="604"/>
    </row>
    <row r="752" spans="1:26" ht="18.75" hidden="1">
      <c r="A752" s="649"/>
      <c r="B752" s="607"/>
      <c r="C752" s="759"/>
      <c r="D752" s="759"/>
      <c r="E752" s="759"/>
      <c r="F752" s="759"/>
      <c r="G752" s="603"/>
      <c r="H752" s="165" t="s">
        <v>315</v>
      </c>
      <c r="I752" s="617"/>
      <c r="J752" s="617"/>
      <c r="K752" s="93"/>
      <c r="L752" s="93"/>
      <c r="M752" s="93"/>
      <c r="N752" s="93"/>
      <c r="O752" s="93"/>
      <c r="P752" s="93"/>
      <c r="Q752" s="604"/>
      <c r="R752" s="604"/>
      <c r="S752" s="604"/>
      <c r="T752" s="604"/>
      <c r="U752" s="604"/>
      <c r="V752" s="604"/>
      <c r="W752" s="604"/>
      <c r="X752" s="604"/>
      <c r="Y752" s="604"/>
      <c r="Z752" s="604"/>
    </row>
    <row r="753" spans="1:26" ht="19.5" hidden="1">
      <c r="A753" s="785">
        <v>10</v>
      </c>
      <c r="B753" s="786" t="s">
        <v>316</v>
      </c>
      <c r="C753" s="787"/>
      <c r="D753" s="787"/>
      <c r="E753" s="787"/>
      <c r="F753" s="787"/>
      <c r="G753" s="788"/>
      <c r="H753" s="789" t="s">
        <v>46</v>
      </c>
      <c r="I753" s="790"/>
      <c r="J753" s="790">
        <f>J768</f>
        <v>0</v>
      </c>
      <c r="K753" s="791">
        <f>IF(I753&gt;0,J753*100/I753,0)</f>
        <v>0</v>
      </c>
      <c r="L753" s="792"/>
      <c r="M753" s="792"/>
      <c r="N753" s="792"/>
      <c r="O753" s="792"/>
      <c r="P753" s="792"/>
      <c r="Q753" s="604"/>
      <c r="R753" s="604"/>
      <c r="S753" s="604"/>
      <c r="T753" s="604"/>
      <c r="U753" s="604"/>
      <c r="V753" s="604"/>
      <c r="W753" s="604"/>
      <c r="X753" s="604"/>
      <c r="Y753" s="604"/>
      <c r="Z753" s="604"/>
    </row>
    <row r="754" spans="1:26" ht="19.5" hidden="1">
      <c r="A754" s="599"/>
      <c r="B754" s="759"/>
      <c r="C754" s="759" t="s">
        <v>16</v>
      </c>
      <c r="D754" s="864" t="s">
        <v>17</v>
      </c>
      <c r="E754" s="857"/>
      <c r="F754" s="857"/>
      <c r="G754" s="603"/>
      <c r="H754" s="646" t="s">
        <v>12</v>
      </c>
      <c r="I754" s="617"/>
      <c r="J754" s="617"/>
      <c r="K754" s="93"/>
      <c r="L754" s="647">
        <f t="shared" ref="L754:N754" si="302">L755+L756</f>
        <v>0</v>
      </c>
      <c r="M754" s="647">
        <f t="shared" si="302"/>
        <v>0</v>
      </c>
      <c r="N754" s="647">
        <f t="shared" si="302"/>
        <v>0</v>
      </c>
      <c r="O754" s="647">
        <f t="shared" ref="O754:O759" si="303">IF(L754&gt;0,N754*100/L754,0)</f>
        <v>0</v>
      </c>
      <c r="P754" s="647">
        <f t="shared" ref="P754:P759" si="304">IF(M754&gt;0,N754*100/M754,0)</f>
        <v>0</v>
      </c>
      <c r="Q754" s="604"/>
      <c r="R754" s="604"/>
      <c r="S754" s="604"/>
      <c r="T754" s="604"/>
      <c r="U754" s="604"/>
      <c r="V754" s="604"/>
      <c r="W754" s="604"/>
      <c r="X754" s="604"/>
      <c r="Y754" s="604"/>
      <c r="Z754" s="604"/>
    </row>
    <row r="755" spans="1:26" ht="18.75" hidden="1">
      <c r="A755" s="599"/>
      <c r="B755" s="759"/>
      <c r="C755" s="759"/>
      <c r="D755" s="720"/>
      <c r="E755" s="759" t="s">
        <v>185</v>
      </c>
      <c r="F755" s="759"/>
      <c r="G755" s="603"/>
      <c r="H755" s="165" t="s">
        <v>12</v>
      </c>
      <c r="I755" s="617"/>
      <c r="J755" s="617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4"/>
      <c r="R755" s="604"/>
      <c r="S755" s="604"/>
      <c r="T755" s="604"/>
      <c r="U755" s="604"/>
      <c r="V755" s="604"/>
      <c r="W755" s="604"/>
      <c r="X755" s="604"/>
      <c r="Y755" s="604"/>
      <c r="Z755" s="604"/>
    </row>
    <row r="756" spans="1:26" ht="18.75" hidden="1">
      <c r="A756" s="599"/>
      <c r="B756" s="607"/>
      <c r="C756" s="759"/>
      <c r="D756" s="720"/>
      <c r="E756" s="759" t="s">
        <v>186</v>
      </c>
      <c r="F756" s="759"/>
      <c r="G756" s="603"/>
      <c r="H756" s="165" t="s">
        <v>12</v>
      </c>
      <c r="I756" s="617"/>
      <c r="J756" s="617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4"/>
      <c r="R756" s="604"/>
      <c r="S756" s="604"/>
      <c r="T756" s="604"/>
      <c r="U756" s="604"/>
      <c r="V756" s="604"/>
      <c r="W756" s="604"/>
      <c r="X756" s="604"/>
      <c r="Y756" s="604"/>
      <c r="Z756" s="604"/>
    </row>
    <row r="757" spans="1:26" ht="19.5" hidden="1">
      <c r="A757" s="599"/>
      <c r="B757" s="607"/>
      <c r="C757" s="759"/>
      <c r="D757" s="645" t="s">
        <v>20</v>
      </c>
      <c r="E757" s="759"/>
      <c r="F757" s="759"/>
      <c r="G757" s="603"/>
      <c r="H757" s="646" t="s">
        <v>12</v>
      </c>
      <c r="I757" s="166"/>
      <c r="J757" s="166"/>
      <c r="K757" s="167"/>
      <c r="L757" s="647">
        <f t="shared" ref="L757:N757" si="306">L758+L759</f>
        <v>0</v>
      </c>
      <c r="M757" s="647">
        <f t="shared" si="306"/>
        <v>0</v>
      </c>
      <c r="N757" s="647">
        <f t="shared" si="306"/>
        <v>0</v>
      </c>
      <c r="O757" s="647">
        <f t="shared" si="303"/>
        <v>0</v>
      </c>
      <c r="P757" s="647">
        <f t="shared" si="304"/>
        <v>0</v>
      </c>
      <c r="Q757" s="604"/>
      <c r="R757" s="604"/>
      <c r="S757" s="604"/>
      <c r="T757" s="604"/>
      <c r="U757" s="604"/>
      <c r="V757" s="604"/>
      <c r="W757" s="604"/>
      <c r="X757" s="604"/>
      <c r="Y757" s="604"/>
      <c r="Z757" s="604"/>
    </row>
    <row r="758" spans="1:26" ht="18.75" hidden="1">
      <c r="A758" s="599"/>
      <c r="B758" s="607"/>
      <c r="C758" s="759"/>
      <c r="D758" s="720"/>
      <c r="E758" s="759" t="s">
        <v>185</v>
      </c>
      <c r="F758" s="759"/>
      <c r="G758" s="603"/>
      <c r="H758" s="165" t="s">
        <v>12</v>
      </c>
      <c r="I758" s="617"/>
      <c r="J758" s="617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4"/>
      <c r="R758" s="604"/>
      <c r="S758" s="604"/>
      <c r="T758" s="604"/>
      <c r="U758" s="604"/>
      <c r="V758" s="604"/>
      <c r="W758" s="604"/>
      <c r="X758" s="604"/>
      <c r="Y758" s="604"/>
      <c r="Z758" s="604"/>
    </row>
    <row r="759" spans="1:26" ht="18.75" hidden="1">
      <c r="A759" s="599"/>
      <c r="B759" s="607"/>
      <c r="C759" s="759"/>
      <c r="D759" s="720"/>
      <c r="E759" s="759" t="s">
        <v>186</v>
      </c>
      <c r="F759" s="759"/>
      <c r="G759" s="603"/>
      <c r="H759" s="165" t="s">
        <v>12</v>
      </c>
      <c r="I759" s="617"/>
      <c r="J759" s="617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4"/>
      <c r="R759" s="604"/>
      <c r="S759" s="604"/>
      <c r="T759" s="604"/>
      <c r="U759" s="604"/>
      <c r="V759" s="604"/>
      <c r="W759" s="604"/>
      <c r="X759" s="604"/>
      <c r="Y759" s="604"/>
      <c r="Z759" s="604"/>
    </row>
    <row r="760" spans="1:26" ht="18.75" hidden="1">
      <c r="A760" s="649"/>
      <c r="B760" s="607"/>
      <c r="C760" s="759"/>
      <c r="D760" s="759"/>
      <c r="E760" s="759"/>
      <c r="F760" s="759" t="s">
        <v>187</v>
      </c>
      <c r="G760" s="603"/>
      <c r="H760" s="165" t="s">
        <v>12</v>
      </c>
      <c r="I760" s="617"/>
      <c r="J760" s="617"/>
      <c r="K760" s="93"/>
      <c r="L760" s="93"/>
      <c r="M760" s="93"/>
      <c r="N760" s="93"/>
      <c r="O760" s="93"/>
      <c r="P760" s="93"/>
      <c r="Q760" s="604"/>
      <c r="R760" s="604"/>
      <c r="S760" s="604"/>
      <c r="T760" s="604"/>
      <c r="U760" s="604"/>
      <c r="V760" s="604"/>
      <c r="W760" s="604"/>
      <c r="X760" s="604"/>
      <c r="Y760" s="604"/>
      <c r="Z760" s="604"/>
    </row>
    <row r="761" spans="1:26" ht="18.75" hidden="1">
      <c r="A761" s="649"/>
      <c r="B761" s="607"/>
      <c r="C761" s="759"/>
      <c r="D761" s="759"/>
      <c r="E761" s="759"/>
      <c r="F761" s="759" t="s">
        <v>188</v>
      </c>
      <c r="G761" s="603"/>
      <c r="H761" s="165" t="s">
        <v>12</v>
      </c>
      <c r="I761" s="617"/>
      <c r="J761" s="617"/>
      <c r="K761" s="93"/>
      <c r="L761" s="93"/>
      <c r="M761" s="93"/>
      <c r="N761" s="93"/>
      <c r="O761" s="93"/>
      <c r="P761" s="93"/>
      <c r="Q761" s="604"/>
      <c r="R761" s="604"/>
      <c r="S761" s="604"/>
      <c r="T761" s="604"/>
      <c r="U761" s="604"/>
      <c r="V761" s="604"/>
      <c r="W761" s="604"/>
      <c r="X761" s="604"/>
      <c r="Y761" s="604"/>
      <c r="Z761" s="604"/>
    </row>
    <row r="762" spans="1:26" ht="18.75" hidden="1">
      <c r="A762" s="649"/>
      <c r="B762" s="607"/>
      <c r="C762" s="759"/>
      <c r="D762" s="759"/>
      <c r="E762" s="759"/>
      <c r="F762" s="759" t="s">
        <v>189</v>
      </c>
      <c r="G762" s="603"/>
      <c r="H762" s="165" t="s">
        <v>12</v>
      </c>
      <c r="I762" s="617"/>
      <c r="J762" s="617"/>
      <c r="K762" s="93"/>
      <c r="L762" s="93"/>
      <c r="M762" s="93"/>
      <c r="N762" s="93"/>
      <c r="O762" s="93"/>
      <c r="P762" s="93"/>
      <c r="Q762" s="604"/>
      <c r="R762" s="604"/>
      <c r="S762" s="604"/>
      <c r="T762" s="604"/>
      <c r="U762" s="604"/>
      <c r="V762" s="604"/>
      <c r="W762" s="604"/>
      <c r="X762" s="604"/>
      <c r="Y762" s="604"/>
      <c r="Z762" s="604"/>
    </row>
    <row r="763" spans="1:26" ht="18.75" hidden="1">
      <c r="A763" s="649"/>
      <c r="B763" s="607"/>
      <c r="C763" s="759"/>
      <c r="D763" s="759"/>
      <c r="E763" s="759"/>
      <c r="F763" s="759" t="s">
        <v>190</v>
      </c>
      <c r="G763" s="603"/>
      <c r="H763" s="165" t="s">
        <v>12</v>
      </c>
      <c r="I763" s="617"/>
      <c r="J763" s="617"/>
      <c r="K763" s="93"/>
      <c r="L763" s="93"/>
      <c r="M763" s="93"/>
      <c r="N763" s="93"/>
      <c r="O763" s="93"/>
      <c r="P763" s="93"/>
      <c r="Q763" s="604"/>
      <c r="R763" s="604"/>
      <c r="S763" s="604"/>
      <c r="T763" s="604"/>
      <c r="U763" s="604"/>
      <c r="V763" s="604"/>
      <c r="W763" s="604"/>
      <c r="X763" s="604"/>
      <c r="Y763" s="604"/>
      <c r="Z763" s="604"/>
    </row>
    <row r="764" spans="1:26" ht="19.5" hidden="1">
      <c r="A764" s="599"/>
      <c r="B764" s="607"/>
      <c r="C764" s="759"/>
      <c r="D764" s="645" t="s">
        <v>21</v>
      </c>
      <c r="E764" s="759"/>
      <c r="F764" s="759"/>
      <c r="G764" s="603"/>
      <c r="H764" s="783" t="s">
        <v>12</v>
      </c>
      <c r="I764" s="166"/>
      <c r="J764" s="166"/>
      <c r="K764" s="167"/>
      <c r="L764" s="647">
        <f t="shared" ref="L764:N764" si="307">L765+L766</f>
        <v>0</v>
      </c>
      <c r="M764" s="647">
        <f t="shared" si="307"/>
        <v>0</v>
      </c>
      <c r="N764" s="647">
        <f t="shared" si="307"/>
        <v>0</v>
      </c>
      <c r="O764" s="647">
        <f t="shared" ref="O764:O766" si="308">IF(L764&gt;0,N764*100/L764,0)</f>
        <v>0</v>
      </c>
      <c r="P764" s="647">
        <f t="shared" ref="P764:P766" si="309">IF(M764&gt;0,N764*100/M764,0)</f>
        <v>0</v>
      </c>
      <c r="Q764" s="604"/>
      <c r="R764" s="604"/>
      <c r="S764" s="604"/>
      <c r="T764" s="604"/>
      <c r="U764" s="604"/>
      <c r="V764" s="604"/>
      <c r="W764" s="604"/>
      <c r="X764" s="604"/>
      <c r="Y764" s="604"/>
      <c r="Z764" s="604"/>
    </row>
    <row r="765" spans="1:26" ht="18.75" hidden="1">
      <c r="A765" s="599"/>
      <c r="B765" s="607"/>
      <c r="C765" s="759"/>
      <c r="D765" s="759"/>
      <c r="E765" s="759" t="s">
        <v>18</v>
      </c>
      <c r="F765" s="759"/>
      <c r="G765" s="603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4"/>
      <c r="R765" s="604"/>
      <c r="S765" s="604"/>
      <c r="T765" s="604"/>
      <c r="U765" s="604"/>
      <c r="V765" s="604"/>
      <c r="W765" s="604"/>
      <c r="X765" s="604"/>
      <c r="Y765" s="604"/>
      <c r="Z765" s="604"/>
    </row>
    <row r="766" spans="1:26" ht="18.75" hidden="1">
      <c r="A766" s="599"/>
      <c r="B766" s="607"/>
      <c r="C766" s="759"/>
      <c r="D766" s="759"/>
      <c r="E766" s="759" t="s">
        <v>19</v>
      </c>
      <c r="F766" s="759"/>
      <c r="G766" s="603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4"/>
      <c r="R766" s="604"/>
      <c r="S766" s="604"/>
      <c r="T766" s="604"/>
      <c r="U766" s="604"/>
      <c r="V766" s="604"/>
      <c r="W766" s="604"/>
      <c r="X766" s="604"/>
      <c r="Y766" s="604"/>
      <c r="Z766" s="604"/>
    </row>
    <row r="767" spans="1:26" ht="19.5" hidden="1">
      <c r="A767" s="614"/>
      <c r="B767" s="616"/>
      <c r="C767" s="759" t="s">
        <v>16</v>
      </c>
      <c r="D767" s="899" t="s">
        <v>38</v>
      </c>
      <c r="E767" s="651"/>
      <c r="F767" s="651"/>
      <c r="G767" s="652"/>
      <c r="H767" s="366"/>
      <c r="I767" s="166"/>
      <c r="J767" s="166"/>
      <c r="K767" s="167"/>
      <c r="L767" s="167"/>
      <c r="M767" s="167"/>
      <c r="N767" s="167"/>
      <c r="O767" s="167"/>
      <c r="P767" s="167"/>
      <c r="Q767" s="604"/>
      <c r="R767" s="604"/>
      <c r="S767" s="604"/>
      <c r="T767" s="604"/>
      <c r="U767" s="604"/>
      <c r="V767" s="604"/>
      <c r="W767" s="604"/>
      <c r="X767" s="604"/>
      <c r="Y767" s="604"/>
      <c r="Z767" s="604"/>
    </row>
    <row r="768" spans="1:26" ht="18.75" hidden="1">
      <c r="A768" s="649"/>
      <c r="B768" s="607"/>
      <c r="C768" s="759"/>
      <c r="D768" s="759"/>
      <c r="E768" s="759" t="s">
        <v>317</v>
      </c>
      <c r="F768" s="759"/>
      <c r="G768" s="603"/>
      <c r="H768" s="165" t="s">
        <v>46</v>
      </c>
      <c r="I768" s="617"/>
      <c r="J768" s="617"/>
      <c r="K768" s="93"/>
      <c r="L768" s="93"/>
      <c r="M768" s="93"/>
      <c r="N768" s="93"/>
      <c r="O768" s="93"/>
      <c r="P768" s="93"/>
      <c r="Q768" s="604"/>
      <c r="R768" s="604"/>
      <c r="S768" s="604"/>
      <c r="T768" s="604"/>
      <c r="U768" s="604"/>
      <c r="V768" s="604"/>
      <c r="W768" s="604"/>
      <c r="X768" s="604"/>
      <c r="Y768" s="604"/>
      <c r="Z768" s="604"/>
    </row>
    <row r="769" spans="1:26" ht="19.5" hidden="1">
      <c r="A769" s="793">
        <v>11</v>
      </c>
      <c r="B769" s="794" t="s">
        <v>318</v>
      </c>
      <c r="C769" s="795"/>
      <c r="D769" s="795"/>
      <c r="E769" s="795"/>
      <c r="F769" s="795"/>
      <c r="G769" s="796"/>
      <c r="H769" s="797" t="s">
        <v>46</v>
      </c>
      <c r="I769" s="798"/>
      <c r="J769" s="798">
        <f>J784</f>
        <v>0</v>
      </c>
      <c r="K769" s="799">
        <f>IF(I769&gt;0,J769*100/I769,0)</f>
        <v>0</v>
      </c>
      <c r="L769" s="800"/>
      <c r="M769" s="800"/>
      <c r="N769" s="800"/>
      <c r="O769" s="800"/>
      <c r="P769" s="800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</row>
    <row r="770" spans="1:26" ht="19.5" hidden="1">
      <c r="A770" s="599"/>
      <c r="B770" s="759"/>
      <c r="C770" s="759" t="s">
        <v>16</v>
      </c>
      <c r="D770" s="864" t="s">
        <v>17</v>
      </c>
      <c r="E770" s="857"/>
      <c r="F770" s="857"/>
      <c r="G770" s="603"/>
      <c r="H770" s="646" t="s">
        <v>12</v>
      </c>
      <c r="I770" s="617"/>
      <c r="J770" s="617"/>
      <c r="K770" s="93"/>
      <c r="L770" s="647">
        <f t="shared" ref="L770:N770" si="310">L771+L772</f>
        <v>0</v>
      </c>
      <c r="M770" s="647">
        <f t="shared" si="310"/>
        <v>0</v>
      </c>
      <c r="N770" s="647">
        <f t="shared" si="310"/>
        <v>0</v>
      </c>
      <c r="O770" s="647">
        <f t="shared" ref="O770:O775" si="311">IF(L770&gt;0,N770*100/L770,0)</f>
        <v>0</v>
      </c>
      <c r="P770" s="647">
        <f t="shared" ref="P770:P775" si="312">IF(M770&gt;0,N770*100/M770,0)</f>
        <v>0</v>
      </c>
      <c r="Q770" s="604"/>
      <c r="R770" s="604"/>
      <c r="S770" s="604"/>
      <c r="T770" s="604"/>
      <c r="U770" s="604"/>
      <c r="V770" s="604"/>
      <c r="W770" s="604"/>
      <c r="X770" s="604"/>
      <c r="Y770" s="604"/>
      <c r="Z770" s="604"/>
    </row>
    <row r="771" spans="1:26" ht="18.75" hidden="1">
      <c r="A771" s="599"/>
      <c r="B771" s="759"/>
      <c r="C771" s="759"/>
      <c r="D771" s="720"/>
      <c r="E771" s="759" t="s">
        <v>185</v>
      </c>
      <c r="F771" s="759"/>
      <c r="G771" s="603"/>
      <c r="H771" s="165" t="s">
        <v>12</v>
      </c>
      <c r="I771" s="617"/>
      <c r="J771" s="617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4"/>
      <c r="R771" s="604"/>
      <c r="S771" s="604"/>
      <c r="T771" s="604"/>
      <c r="U771" s="604"/>
      <c r="V771" s="604"/>
      <c r="W771" s="604"/>
      <c r="X771" s="604"/>
      <c r="Y771" s="604"/>
      <c r="Z771" s="604"/>
    </row>
    <row r="772" spans="1:26" ht="18.75" hidden="1">
      <c r="A772" s="599"/>
      <c r="B772" s="607"/>
      <c r="C772" s="759"/>
      <c r="D772" s="720"/>
      <c r="E772" s="759" t="s">
        <v>186</v>
      </c>
      <c r="F772" s="759"/>
      <c r="G772" s="603"/>
      <c r="H772" s="165" t="s">
        <v>12</v>
      </c>
      <c r="I772" s="617"/>
      <c r="J772" s="617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4"/>
      <c r="R772" s="604"/>
      <c r="S772" s="604"/>
      <c r="T772" s="604"/>
      <c r="U772" s="604"/>
      <c r="V772" s="604"/>
      <c r="W772" s="604"/>
      <c r="X772" s="604"/>
      <c r="Y772" s="604"/>
      <c r="Z772" s="604"/>
    </row>
    <row r="773" spans="1:26" ht="19.5" hidden="1">
      <c r="A773" s="599"/>
      <c r="B773" s="607"/>
      <c r="C773" s="759"/>
      <c r="D773" s="645" t="s">
        <v>20</v>
      </c>
      <c r="E773" s="759"/>
      <c r="F773" s="759"/>
      <c r="G773" s="603"/>
      <c r="H773" s="646" t="s">
        <v>12</v>
      </c>
      <c r="I773" s="166"/>
      <c r="J773" s="166"/>
      <c r="K773" s="167"/>
      <c r="L773" s="647">
        <f t="shared" ref="L773:N773" si="314">L774+L775</f>
        <v>0</v>
      </c>
      <c r="M773" s="647">
        <f t="shared" si="314"/>
        <v>0</v>
      </c>
      <c r="N773" s="647">
        <f t="shared" si="314"/>
        <v>0</v>
      </c>
      <c r="O773" s="647">
        <f t="shared" si="311"/>
        <v>0</v>
      </c>
      <c r="P773" s="647">
        <f t="shared" si="312"/>
        <v>0</v>
      </c>
      <c r="Q773" s="604"/>
      <c r="R773" s="604"/>
      <c r="S773" s="604"/>
      <c r="T773" s="604"/>
      <c r="U773" s="604"/>
      <c r="V773" s="604"/>
      <c r="W773" s="604"/>
      <c r="X773" s="604"/>
      <c r="Y773" s="604"/>
      <c r="Z773" s="604"/>
    </row>
    <row r="774" spans="1:26" ht="18.75" hidden="1">
      <c r="A774" s="599"/>
      <c r="B774" s="607"/>
      <c r="C774" s="759"/>
      <c r="D774" s="720"/>
      <c r="E774" s="759" t="s">
        <v>185</v>
      </c>
      <c r="F774" s="759"/>
      <c r="G774" s="603"/>
      <c r="H774" s="165" t="s">
        <v>12</v>
      </c>
      <c r="I774" s="617"/>
      <c r="J774" s="617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4"/>
      <c r="R774" s="604"/>
      <c r="S774" s="604"/>
      <c r="T774" s="604"/>
      <c r="U774" s="604"/>
      <c r="V774" s="604"/>
      <c r="W774" s="604"/>
      <c r="X774" s="604"/>
      <c r="Y774" s="604"/>
      <c r="Z774" s="604"/>
    </row>
    <row r="775" spans="1:26" ht="18.75" hidden="1">
      <c r="A775" s="599"/>
      <c r="B775" s="607"/>
      <c r="C775" s="759"/>
      <c r="D775" s="720"/>
      <c r="E775" s="759" t="s">
        <v>186</v>
      </c>
      <c r="F775" s="759"/>
      <c r="G775" s="603"/>
      <c r="H775" s="165" t="s">
        <v>12</v>
      </c>
      <c r="I775" s="617"/>
      <c r="J775" s="617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4"/>
      <c r="R775" s="604"/>
      <c r="S775" s="604"/>
      <c r="T775" s="604"/>
      <c r="U775" s="604"/>
      <c r="V775" s="604"/>
      <c r="W775" s="604"/>
      <c r="X775" s="604"/>
      <c r="Y775" s="604"/>
      <c r="Z775" s="604"/>
    </row>
    <row r="776" spans="1:26" ht="18.75" hidden="1">
      <c r="A776" s="649"/>
      <c r="B776" s="607"/>
      <c r="C776" s="759"/>
      <c r="D776" s="759"/>
      <c r="E776" s="759"/>
      <c r="F776" s="759" t="s">
        <v>187</v>
      </c>
      <c r="G776" s="603"/>
      <c r="H776" s="165" t="s">
        <v>12</v>
      </c>
      <c r="I776" s="617"/>
      <c r="J776" s="617"/>
      <c r="K776" s="93"/>
      <c r="L776" s="93"/>
      <c r="M776" s="93"/>
      <c r="N776" s="93"/>
      <c r="O776" s="93"/>
      <c r="P776" s="93"/>
      <c r="Q776" s="604"/>
      <c r="R776" s="604"/>
      <c r="S776" s="604"/>
      <c r="T776" s="604"/>
      <c r="U776" s="604"/>
      <c r="V776" s="604"/>
      <c r="W776" s="604"/>
      <c r="X776" s="604"/>
      <c r="Y776" s="604"/>
      <c r="Z776" s="604"/>
    </row>
    <row r="777" spans="1:26" ht="18.75" hidden="1">
      <c r="A777" s="649"/>
      <c r="B777" s="607"/>
      <c r="C777" s="759"/>
      <c r="D777" s="759"/>
      <c r="E777" s="759"/>
      <c r="F777" s="759" t="s">
        <v>188</v>
      </c>
      <c r="G777" s="603"/>
      <c r="H777" s="165" t="s">
        <v>12</v>
      </c>
      <c r="I777" s="617"/>
      <c r="J777" s="617"/>
      <c r="K777" s="93"/>
      <c r="L777" s="93"/>
      <c r="M777" s="93"/>
      <c r="N777" s="93"/>
      <c r="O777" s="93"/>
      <c r="P777" s="93"/>
      <c r="Q777" s="604"/>
      <c r="R777" s="604"/>
      <c r="S777" s="604"/>
      <c r="T777" s="604"/>
      <c r="U777" s="604"/>
      <c r="V777" s="604"/>
      <c r="W777" s="604"/>
      <c r="X777" s="604"/>
      <c r="Y777" s="604"/>
      <c r="Z777" s="604"/>
    </row>
    <row r="778" spans="1:26" ht="18.75" hidden="1">
      <c r="A778" s="649"/>
      <c r="B778" s="607"/>
      <c r="C778" s="759"/>
      <c r="D778" s="759"/>
      <c r="E778" s="759"/>
      <c r="F778" s="759" t="s">
        <v>189</v>
      </c>
      <c r="G778" s="603"/>
      <c r="H778" s="165" t="s">
        <v>12</v>
      </c>
      <c r="I778" s="617"/>
      <c r="J778" s="617"/>
      <c r="K778" s="93"/>
      <c r="L778" s="93"/>
      <c r="M778" s="93"/>
      <c r="N778" s="93"/>
      <c r="O778" s="93"/>
      <c r="P778" s="93"/>
      <c r="Q778" s="604"/>
      <c r="R778" s="604"/>
      <c r="S778" s="604"/>
      <c r="T778" s="604"/>
      <c r="U778" s="604"/>
      <c r="V778" s="604"/>
      <c r="W778" s="604"/>
      <c r="X778" s="604"/>
      <c r="Y778" s="604"/>
      <c r="Z778" s="604"/>
    </row>
    <row r="779" spans="1:26" ht="18.75" hidden="1">
      <c r="A779" s="649"/>
      <c r="B779" s="607"/>
      <c r="C779" s="759"/>
      <c r="D779" s="759"/>
      <c r="E779" s="759"/>
      <c r="F779" s="759" t="s">
        <v>190</v>
      </c>
      <c r="G779" s="603"/>
      <c r="H779" s="165" t="s">
        <v>12</v>
      </c>
      <c r="I779" s="617"/>
      <c r="J779" s="617"/>
      <c r="K779" s="93"/>
      <c r="L779" s="93"/>
      <c r="M779" s="93"/>
      <c r="N779" s="93"/>
      <c r="O779" s="93"/>
      <c r="P779" s="93"/>
      <c r="Q779" s="604"/>
      <c r="R779" s="604"/>
      <c r="S779" s="604"/>
      <c r="T779" s="604"/>
      <c r="U779" s="604"/>
      <c r="V779" s="604"/>
      <c r="W779" s="604"/>
      <c r="X779" s="604"/>
      <c r="Y779" s="604"/>
      <c r="Z779" s="604"/>
    </row>
    <row r="780" spans="1:26" ht="19.5" hidden="1">
      <c r="A780" s="599"/>
      <c r="B780" s="607"/>
      <c r="C780" s="759"/>
      <c r="D780" s="645" t="s">
        <v>21</v>
      </c>
      <c r="E780" s="759"/>
      <c r="F780" s="759"/>
      <c r="G780" s="603"/>
      <c r="H780" s="783" t="s">
        <v>12</v>
      </c>
      <c r="I780" s="166"/>
      <c r="J780" s="166"/>
      <c r="K780" s="167"/>
      <c r="L780" s="647">
        <f t="shared" ref="L780:N780" si="315">L781+L782</f>
        <v>0</v>
      </c>
      <c r="M780" s="647">
        <f t="shared" si="315"/>
        <v>0</v>
      </c>
      <c r="N780" s="647">
        <f t="shared" si="315"/>
        <v>0</v>
      </c>
      <c r="O780" s="647">
        <f t="shared" ref="O780:O782" si="316">IF(L780&gt;0,N780*100/L780,0)</f>
        <v>0</v>
      </c>
      <c r="P780" s="647">
        <f t="shared" ref="P780:P782" si="317">IF(M780&gt;0,N780*100/M780,0)</f>
        <v>0</v>
      </c>
      <c r="Q780" s="604"/>
      <c r="R780" s="604"/>
      <c r="S780" s="604"/>
      <c r="T780" s="604"/>
      <c r="U780" s="604"/>
      <c r="V780" s="604"/>
      <c r="W780" s="604"/>
      <c r="X780" s="604"/>
      <c r="Y780" s="604"/>
      <c r="Z780" s="604"/>
    </row>
    <row r="781" spans="1:26" ht="18.75" hidden="1">
      <c r="A781" s="599"/>
      <c r="B781" s="607"/>
      <c r="C781" s="759"/>
      <c r="D781" s="759"/>
      <c r="E781" s="759" t="s">
        <v>18</v>
      </c>
      <c r="F781" s="759"/>
      <c r="G781" s="603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4"/>
      <c r="R781" s="604"/>
      <c r="S781" s="604"/>
      <c r="T781" s="604"/>
      <c r="U781" s="604"/>
      <c r="V781" s="604"/>
      <c r="W781" s="604"/>
      <c r="X781" s="604"/>
      <c r="Y781" s="604"/>
      <c r="Z781" s="604"/>
    </row>
    <row r="782" spans="1:26" ht="18.75" hidden="1">
      <c r="A782" s="599"/>
      <c r="B782" s="607"/>
      <c r="C782" s="759"/>
      <c r="D782" s="759"/>
      <c r="E782" s="759" t="s">
        <v>19</v>
      </c>
      <c r="F782" s="759"/>
      <c r="G782" s="603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4"/>
      <c r="R782" s="604"/>
      <c r="S782" s="604"/>
      <c r="T782" s="604"/>
      <c r="U782" s="604"/>
      <c r="V782" s="604"/>
      <c r="W782" s="604"/>
      <c r="X782" s="604"/>
      <c r="Y782" s="604"/>
      <c r="Z782" s="604"/>
    </row>
    <row r="783" spans="1:26" ht="19.5" hidden="1">
      <c r="A783" s="614"/>
      <c r="B783" s="616"/>
      <c r="C783" s="759" t="s">
        <v>16</v>
      </c>
      <c r="D783" s="899" t="s">
        <v>38</v>
      </c>
      <c r="E783" s="651"/>
      <c r="F783" s="651"/>
      <c r="G783" s="652"/>
      <c r="H783" s="801"/>
      <c r="I783" s="166"/>
      <c r="J783" s="166"/>
      <c r="K783" s="167"/>
      <c r="L783" s="167"/>
      <c r="M783" s="167"/>
      <c r="N783" s="167"/>
      <c r="O783" s="167"/>
      <c r="P783" s="167"/>
      <c r="Q783" s="604"/>
      <c r="R783" s="604"/>
      <c r="S783" s="604"/>
      <c r="T783" s="604"/>
      <c r="U783" s="604"/>
      <c r="V783" s="604"/>
      <c r="W783" s="604"/>
      <c r="X783" s="604"/>
      <c r="Y783" s="604"/>
      <c r="Z783" s="604"/>
    </row>
    <row r="784" spans="1:26" ht="18.75" hidden="1">
      <c r="A784" s="649"/>
      <c r="B784" s="607"/>
      <c r="C784" s="759"/>
      <c r="D784" s="759"/>
      <c r="E784" s="759" t="s">
        <v>319</v>
      </c>
      <c r="F784" s="759"/>
      <c r="G784" s="603"/>
      <c r="H784" s="165" t="s">
        <v>46</v>
      </c>
      <c r="I784" s="617"/>
      <c r="J784" s="617"/>
      <c r="K784" s="93"/>
      <c r="L784" s="93"/>
      <c r="M784" s="93"/>
      <c r="N784" s="93"/>
      <c r="O784" s="93"/>
      <c r="P784" s="93"/>
      <c r="Q784" s="604"/>
      <c r="R784" s="604"/>
      <c r="S784" s="604"/>
      <c r="T784" s="604"/>
      <c r="U784" s="604"/>
      <c r="V784" s="604"/>
      <c r="W784" s="604"/>
      <c r="X784" s="604"/>
      <c r="Y784" s="604"/>
      <c r="Z784" s="604"/>
    </row>
    <row r="785" spans="1:26" ht="19.5">
      <c r="A785" s="802">
        <v>12</v>
      </c>
      <c r="B785" s="803" t="s">
        <v>320</v>
      </c>
      <c r="C785" s="804"/>
      <c r="D785" s="804"/>
      <c r="E785" s="804"/>
      <c r="F785" s="804"/>
      <c r="G785" s="805"/>
      <c r="H785" s="806" t="s">
        <v>46</v>
      </c>
      <c r="I785" s="807">
        <f t="shared" ref="I785:J785" ca="1" si="318">I801+I803</f>
        <v>5000</v>
      </c>
      <c r="J785" s="807">
        <f t="shared" ca="1" si="318"/>
        <v>5032</v>
      </c>
      <c r="K785" s="808">
        <f ca="1">IF(I785&gt;0,J785*100/I785,0)</f>
        <v>100.64</v>
      </c>
      <c r="L785" s="809"/>
      <c r="M785" s="809"/>
      <c r="N785" s="809"/>
      <c r="O785" s="809"/>
      <c r="P785" s="809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</row>
    <row r="786" spans="1:26" ht="19.5">
      <c r="A786" s="597"/>
      <c r="B786" s="575"/>
      <c r="C786" s="763" t="s">
        <v>16</v>
      </c>
      <c r="D786" s="863" t="s">
        <v>17</v>
      </c>
      <c r="E786" s="857"/>
      <c r="F786" s="857"/>
      <c r="G786" s="189"/>
      <c r="H786" s="810" t="s">
        <v>12</v>
      </c>
      <c r="I786" s="811"/>
      <c r="J786" s="811"/>
      <c r="K786" s="812"/>
      <c r="L786" s="195">
        <f t="shared" ref="L786:N786" ca="1" si="319">L787+L788</f>
        <v>335200</v>
      </c>
      <c r="M786" s="195">
        <f t="shared" ca="1" si="319"/>
        <v>354996.05</v>
      </c>
      <c r="N786" s="195">
        <f t="shared" si="319"/>
        <v>354996.05000000005</v>
      </c>
      <c r="O786" s="195">
        <f t="shared" ref="O786:O791" ca="1" si="320">IF(L786&gt;0,N786*100/L786,0)</f>
        <v>105.90574284009548</v>
      </c>
      <c r="P786" s="195">
        <f t="shared" ref="P786:P791" ca="1" si="321">IF(M786&gt;0,N786*100/M786,0)</f>
        <v>100.00000000000003</v>
      </c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</row>
    <row r="787" spans="1:26" ht="18.75" hidden="1">
      <c r="A787" s="599"/>
      <c r="B787" s="607"/>
      <c r="C787" s="759"/>
      <c r="D787" s="720"/>
      <c r="E787" s="759" t="s">
        <v>185</v>
      </c>
      <c r="F787" s="759"/>
      <c r="G787" s="603"/>
      <c r="H787" s="813" t="s">
        <v>12</v>
      </c>
      <c r="I787" s="811"/>
      <c r="J787" s="811"/>
      <c r="K787" s="812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4"/>
      <c r="R787" s="604"/>
      <c r="S787" s="604"/>
      <c r="T787" s="604"/>
      <c r="U787" s="604"/>
      <c r="V787" s="604"/>
      <c r="W787" s="604"/>
      <c r="X787" s="604"/>
      <c r="Y787" s="604"/>
      <c r="Z787" s="604"/>
    </row>
    <row r="788" spans="1:26" ht="18.75" hidden="1">
      <c r="A788" s="599"/>
      <c r="B788" s="607"/>
      <c r="C788" s="607"/>
      <c r="D788" s="616"/>
      <c r="E788" s="759" t="s">
        <v>186</v>
      </c>
      <c r="F788" s="759"/>
      <c r="G788" s="603"/>
      <c r="H788" s="813" t="s">
        <v>12</v>
      </c>
      <c r="I788" s="811"/>
      <c r="J788" s="811"/>
      <c r="K788" s="812"/>
      <c r="L788" s="93">
        <f t="shared" ca="1" si="322"/>
        <v>335200</v>
      </c>
      <c r="M788" s="93">
        <f t="shared" ca="1" si="322"/>
        <v>354996.05</v>
      </c>
      <c r="N788" s="93">
        <f t="shared" si="322"/>
        <v>354996.05000000005</v>
      </c>
      <c r="O788" s="93">
        <f t="shared" ca="1" si="320"/>
        <v>105.90574284009548</v>
      </c>
      <c r="P788" s="93">
        <f t="shared" ca="1" si="321"/>
        <v>100.00000000000003</v>
      </c>
      <c r="Q788" s="604"/>
      <c r="R788" s="604"/>
      <c r="S788" s="604"/>
      <c r="T788" s="604"/>
      <c r="U788" s="604"/>
      <c r="V788" s="604"/>
      <c r="W788" s="604"/>
      <c r="X788" s="604"/>
      <c r="Y788" s="604"/>
      <c r="Z788" s="604"/>
    </row>
    <row r="789" spans="1:26" ht="18.75">
      <c r="A789" s="597"/>
      <c r="B789" s="575"/>
      <c r="C789" s="575"/>
      <c r="D789" s="606" t="s">
        <v>20</v>
      </c>
      <c r="E789" s="763"/>
      <c r="F789" s="763"/>
      <c r="G789" s="189"/>
      <c r="H789" s="814" t="s">
        <v>12</v>
      </c>
      <c r="I789" s="815"/>
      <c r="J789" s="815"/>
      <c r="K789" s="816"/>
      <c r="L789" s="498">
        <f t="shared" ref="L789:N789" ca="1" si="323">L790+L791</f>
        <v>335200</v>
      </c>
      <c r="M789" s="498">
        <f t="shared" ca="1" si="323"/>
        <v>354996.05</v>
      </c>
      <c r="N789" s="498">
        <f t="shared" si="323"/>
        <v>354996.05000000005</v>
      </c>
      <c r="O789" s="498">
        <f t="shared" ca="1" si="320"/>
        <v>105.90574284009548</v>
      </c>
      <c r="P789" s="498">
        <f t="shared" ca="1" si="321"/>
        <v>100.00000000000003</v>
      </c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</row>
    <row r="790" spans="1:26" ht="18.75" hidden="1">
      <c r="A790" s="599"/>
      <c r="B790" s="607"/>
      <c r="C790" s="607"/>
      <c r="D790" s="616"/>
      <c r="E790" s="759" t="s">
        <v>185</v>
      </c>
      <c r="F790" s="759"/>
      <c r="G790" s="603"/>
      <c r="H790" s="813" t="s">
        <v>12</v>
      </c>
      <c r="I790" s="811"/>
      <c r="J790" s="811"/>
      <c r="K790" s="812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4"/>
      <c r="R790" s="604"/>
      <c r="S790" s="604"/>
      <c r="T790" s="604"/>
      <c r="U790" s="604"/>
      <c r="V790" s="604"/>
      <c r="W790" s="604"/>
      <c r="X790" s="604"/>
      <c r="Y790" s="604"/>
      <c r="Z790" s="604"/>
    </row>
    <row r="791" spans="1:26" ht="18.75" hidden="1">
      <c r="A791" s="599"/>
      <c r="B791" s="607"/>
      <c r="C791" s="607"/>
      <c r="D791" s="616"/>
      <c r="E791" s="759" t="s">
        <v>186</v>
      </c>
      <c r="F791" s="759"/>
      <c r="G791" s="603"/>
      <c r="H791" s="813" t="s">
        <v>12</v>
      </c>
      <c r="I791" s="811"/>
      <c r="J791" s="811"/>
      <c r="K791" s="812"/>
      <c r="L791" s="93">
        <f ca="1">IFERROR(__xludf.DUMMYFUNCTION("IMPORTRANGE(""https://docs.google.com/spreadsheets/d/1QqKyyYR6Q21VydFLVH3TRQUabQu_ym0Zz7PgGX0-kHA/edit?usp=sharing"",""แผน!JJ51"")"),335200)</f>
        <v>335200</v>
      </c>
      <c r="M791" s="93">
        <f ca="1">L791+30000-10203.95</f>
        <v>354996.05</v>
      </c>
      <c r="N791" s="93">
        <f>N792+N793+N794+N795</f>
        <v>354996.05000000005</v>
      </c>
      <c r="O791" s="93">
        <f t="shared" ca="1" si="320"/>
        <v>105.90574284009548</v>
      </c>
      <c r="P791" s="93">
        <f t="shared" ca="1" si="321"/>
        <v>100.00000000000003</v>
      </c>
      <c r="Q791" s="604"/>
      <c r="R791" s="604"/>
      <c r="S791" s="604"/>
      <c r="T791" s="604"/>
      <c r="U791" s="604"/>
      <c r="V791" s="604"/>
      <c r="W791" s="604"/>
      <c r="X791" s="604"/>
      <c r="Y791" s="604"/>
      <c r="Z791" s="604"/>
    </row>
    <row r="792" spans="1:26" ht="18.75">
      <c r="A792" s="574"/>
      <c r="B792" s="575"/>
      <c r="C792" s="763"/>
      <c r="D792" s="763"/>
      <c r="E792" s="763"/>
      <c r="F792" s="763" t="s">
        <v>187</v>
      </c>
      <c r="G792" s="189"/>
      <c r="H792" s="814" t="s">
        <v>12</v>
      </c>
      <c r="I792" s="811"/>
      <c r="J792" s="811"/>
      <c r="K792" s="812"/>
      <c r="L792" s="498"/>
      <c r="M792" s="498"/>
      <c r="N792" s="840">
        <v>0</v>
      </c>
      <c r="O792" s="498"/>
      <c r="P792" s="49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</row>
    <row r="793" spans="1:26" ht="18.75">
      <c r="A793" s="574"/>
      <c r="B793" s="575"/>
      <c r="C793" s="763"/>
      <c r="D793" s="763"/>
      <c r="E793" s="763"/>
      <c r="F793" s="763" t="s">
        <v>188</v>
      </c>
      <c r="G793" s="189"/>
      <c r="H793" s="814" t="s">
        <v>12</v>
      </c>
      <c r="I793" s="811"/>
      <c r="J793" s="811"/>
      <c r="K793" s="812"/>
      <c r="L793" s="498"/>
      <c r="M793" s="498"/>
      <c r="N793" s="840">
        <v>0</v>
      </c>
      <c r="O793" s="498"/>
      <c r="P793" s="49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</row>
    <row r="794" spans="1:26" ht="18.75">
      <c r="A794" s="574"/>
      <c r="B794" s="575"/>
      <c r="C794" s="763"/>
      <c r="D794" s="763"/>
      <c r="E794" s="763"/>
      <c r="F794" s="763" t="s">
        <v>189</v>
      </c>
      <c r="G794" s="189"/>
      <c r="H794" s="814" t="s">
        <v>12</v>
      </c>
      <c r="I794" s="811"/>
      <c r="J794" s="811"/>
      <c r="K794" s="812"/>
      <c r="L794" s="498"/>
      <c r="M794" s="498"/>
      <c r="N794" s="840">
        <v>133647</v>
      </c>
      <c r="O794" s="498"/>
      <c r="P794" s="49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</row>
    <row r="795" spans="1:26" ht="18.75">
      <c r="A795" s="574"/>
      <c r="B795" s="575"/>
      <c r="C795" s="763"/>
      <c r="D795" s="763"/>
      <c r="E795" s="763"/>
      <c r="F795" s="763" t="s">
        <v>190</v>
      </c>
      <c r="G795" s="189"/>
      <c r="H795" s="814" t="s">
        <v>12</v>
      </c>
      <c r="I795" s="811"/>
      <c r="J795" s="811"/>
      <c r="K795" s="812"/>
      <c r="L795" s="498"/>
      <c r="M795" s="498"/>
      <c r="N795" s="840">
        <f>216861.47+2243.79+2243.79</f>
        <v>221349.05000000002</v>
      </c>
      <c r="O795" s="498"/>
      <c r="P795" s="49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</row>
    <row r="796" spans="1:26" ht="18.75">
      <c r="A796" s="597"/>
      <c r="B796" s="575"/>
      <c r="C796" s="763"/>
      <c r="D796" s="606" t="s">
        <v>21</v>
      </c>
      <c r="E796" s="763"/>
      <c r="F796" s="763"/>
      <c r="G796" s="189"/>
      <c r="H796" s="817" t="s">
        <v>12</v>
      </c>
      <c r="I796" s="815"/>
      <c r="J796" s="815"/>
      <c r="K796" s="816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</row>
    <row r="797" spans="1:26" ht="18.75" hidden="1">
      <c r="A797" s="599"/>
      <c r="B797" s="607"/>
      <c r="C797" s="759"/>
      <c r="D797" s="759"/>
      <c r="E797" s="759" t="s">
        <v>18</v>
      </c>
      <c r="F797" s="759"/>
      <c r="G797" s="603"/>
      <c r="H797" s="813" t="s">
        <v>12</v>
      </c>
      <c r="I797" s="815"/>
      <c r="J797" s="815"/>
      <c r="K797" s="816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4"/>
      <c r="R797" s="604"/>
      <c r="S797" s="604"/>
      <c r="T797" s="604"/>
      <c r="U797" s="604"/>
      <c r="V797" s="604"/>
      <c r="W797" s="604"/>
      <c r="X797" s="604"/>
      <c r="Y797" s="604"/>
      <c r="Z797" s="604"/>
    </row>
    <row r="798" spans="1:26" ht="18.75" hidden="1">
      <c r="A798" s="599"/>
      <c r="B798" s="607"/>
      <c r="C798" s="759"/>
      <c r="D798" s="759"/>
      <c r="E798" s="759" t="s">
        <v>19</v>
      </c>
      <c r="F798" s="759"/>
      <c r="G798" s="603"/>
      <c r="H798" s="818" t="s">
        <v>12</v>
      </c>
      <c r="I798" s="815"/>
      <c r="J798" s="815"/>
      <c r="K798" s="816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4"/>
      <c r="R798" s="604"/>
      <c r="S798" s="604"/>
      <c r="T798" s="604"/>
      <c r="U798" s="604"/>
      <c r="V798" s="604"/>
      <c r="W798" s="604"/>
      <c r="X798" s="604"/>
      <c r="Y798" s="604"/>
      <c r="Z798" s="604"/>
    </row>
    <row r="799" spans="1:26" ht="19.5">
      <c r="A799" s="608"/>
      <c r="B799" s="618"/>
      <c r="C799" s="763" t="s">
        <v>16</v>
      </c>
      <c r="D799" s="898" t="s">
        <v>38</v>
      </c>
      <c r="E799" s="761"/>
      <c r="F799" s="761"/>
      <c r="G799" s="613"/>
      <c r="H799" s="819"/>
      <c r="I799" s="815"/>
      <c r="J799" s="815"/>
      <c r="K799" s="816"/>
      <c r="L799" s="163"/>
      <c r="M799" s="163"/>
      <c r="N799" s="163"/>
      <c r="O799" s="163"/>
      <c r="P799" s="163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</row>
    <row r="800" spans="1:26" ht="18.75">
      <c r="A800" s="608"/>
      <c r="B800" s="618"/>
      <c r="C800" s="618"/>
      <c r="D800" s="618"/>
      <c r="E800" s="626"/>
      <c r="F800" s="626" t="s">
        <v>321</v>
      </c>
      <c r="G800" s="762"/>
      <c r="H800" s="820" t="s">
        <v>34</v>
      </c>
      <c r="I800" s="815"/>
      <c r="J800" s="821">
        <f ca="1">IFERROR(__xludf.DUMMYFUNCTION("IMPORTRANGE(""https://docs.google.com/spreadsheets/d/1MaWodYyGHDf7siQLGxnXhG4mBNTNIuy296niS2xXulU/edit?usp=sharing"",""RTK!H51"")"),300)</f>
        <v>300</v>
      </c>
      <c r="K800" s="812"/>
      <c r="L800" s="498"/>
      <c r="M800" s="498"/>
      <c r="N800" s="498"/>
      <c r="O800" s="163"/>
      <c r="P800" s="163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</row>
    <row r="801" spans="1:26" ht="18.75">
      <c r="A801" s="608"/>
      <c r="B801" s="618"/>
      <c r="C801" s="618"/>
      <c r="D801" s="618"/>
      <c r="E801" s="626"/>
      <c r="F801" s="626"/>
      <c r="G801" s="762"/>
      <c r="H801" s="814" t="s">
        <v>46</v>
      </c>
      <c r="I801" s="821">
        <f ca="1">IFERROR(__xludf.DUMMYFUNCTION("IMPORTRANGE(""https://docs.google.com/spreadsheets/d/1MaWodYyGHDf7siQLGxnXhG4mBNTNIuy296niS2xXulU/edit?usp=sharing"",""RTK!G51"")"),5000)</f>
        <v>5000</v>
      </c>
      <c r="J801" s="822">
        <f ca="1">IFERROR(__xludf.DUMMYFUNCTION("IMPORTRANGE(""https://docs.google.com/spreadsheets/d/1MaWodYyGHDf7siQLGxnXhG4mBNTNIuy296niS2xXulU/edit?usp=sharing"",""RTK!I51"")"),5032)</f>
        <v>5032</v>
      </c>
      <c r="K801" s="823">
        <f ca="1">IF(I801&gt;0,J801*100/I801,0)</f>
        <v>100.64</v>
      </c>
      <c r="L801" s="498"/>
      <c r="M801" s="498"/>
      <c r="N801" s="498"/>
      <c r="O801" s="163"/>
      <c r="P801" s="163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</row>
    <row r="802" spans="1:26" ht="18.75">
      <c r="A802" s="925"/>
      <c r="B802" s="926"/>
      <c r="C802" s="926"/>
      <c r="D802" s="926"/>
      <c r="E802" s="824"/>
      <c r="F802" s="824" t="s">
        <v>322</v>
      </c>
      <c r="G802" s="333"/>
      <c r="H802" s="820" t="s">
        <v>34</v>
      </c>
      <c r="I802" s="815"/>
      <c r="J802" s="821">
        <f ca="1">IFERROR(__xludf.DUMMYFUNCTION("IMPORTRANGE(""https://docs.google.com/spreadsheets/d/1MaWodYyGHDf7siQLGxnXhG4mBNTNIuy296niS2xXulU/edit?usp=sharing"",""RTK!L51"")"),0)</f>
        <v>0</v>
      </c>
      <c r="K802" s="812"/>
      <c r="L802" s="321"/>
      <c r="M802" s="321"/>
      <c r="N802" s="321"/>
      <c r="O802" s="321"/>
      <c r="P802" s="321"/>
      <c r="Q802" s="927"/>
      <c r="R802" s="927"/>
      <c r="S802" s="927"/>
      <c r="T802" s="927"/>
      <c r="U802" s="927"/>
      <c r="V802" s="927"/>
      <c r="W802" s="927"/>
      <c r="X802" s="927"/>
      <c r="Y802" s="927"/>
      <c r="Z802" s="927"/>
    </row>
    <row r="803" spans="1:26" ht="18.75">
      <c r="A803" s="925"/>
      <c r="B803" s="926"/>
      <c r="C803" s="926"/>
      <c r="D803" s="926"/>
      <c r="E803" s="824"/>
      <c r="F803" s="824"/>
      <c r="G803" s="333"/>
      <c r="H803" s="820" t="s">
        <v>46</v>
      </c>
      <c r="I803" s="821">
        <f ca="1">IFERROR(__xludf.DUMMYFUNCTION("IMPORTRANGE(""https://docs.google.com/spreadsheets/d/1MaWodYyGHDf7siQLGxnXhG4mBNTNIuy296niS2xXulU/edit?usp=sharing"",""RTK!K51"")"),0)</f>
        <v>0</v>
      </c>
      <c r="J803" s="822">
        <f ca="1">IFERROR(__xludf.DUMMYFUNCTION("IMPORTRANGE(""https://docs.google.com/spreadsheets/d/1MaWodYyGHDf7siQLGxnXhG4mBNTNIuy296niS2xXulU/edit?usp=sharing"",""RTK!M51"")"),0)</f>
        <v>0</v>
      </c>
      <c r="K803" s="823">
        <f t="shared" ref="K803:K804" ca="1" si="327">IF(I803&gt;0,J803*100/I803,0)</f>
        <v>0</v>
      </c>
      <c r="L803" s="321"/>
      <c r="M803" s="321"/>
      <c r="N803" s="321"/>
      <c r="O803" s="321"/>
      <c r="P803" s="321"/>
      <c r="Q803" s="927"/>
      <c r="R803" s="927"/>
      <c r="S803" s="927"/>
      <c r="T803" s="927"/>
      <c r="U803" s="927"/>
      <c r="V803" s="927"/>
      <c r="W803" s="927"/>
      <c r="X803" s="927"/>
      <c r="Y803" s="927"/>
      <c r="Z803" s="927"/>
    </row>
    <row r="804" spans="1:26" ht="19.5" hidden="1">
      <c r="A804" s="793">
        <v>13</v>
      </c>
      <c r="B804" s="794" t="s">
        <v>323</v>
      </c>
      <c r="C804" s="795"/>
      <c r="D804" s="825"/>
      <c r="E804" s="795"/>
      <c r="F804" s="795"/>
      <c r="G804" s="796"/>
      <c r="H804" s="797" t="s">
        <v>46</v>
      </c>
      <c r="I804" s="798"/>
      <c r="J804" s="798">
        <f>J819</f>
        <v>0</v>
      </c>
      <c r="K804" s="799">
        <f t="shared" si="327"/>
        <v>0</v>
      </c>
      <c r="L804" s="800"/>
      <c r="M804" s="800"/>
      <c r="N804" s="800"/>
      <c r="O804" s="800"/>
      <c r="P804" s="800"/>
      <c r="Q804" s="604"/>
      <c r="R804" s="604"/>
      <c r="S804" s="604"/>
      <c r="T804" s="604"/>
      <c r="U804" s="604"/>
      <c r="V804" s="604"/>
      <c r="W804" s="604"/>
      <c r="X804" s="604"/>
      <c r="Y804" s="604"/>
      <c r="Z804" s="604"/>
    </row>
    <row r="805" spans="1:26" ht="19.5" hidden="1">
      <c r="A805" s="599"/>
      <c r="B805" s="759"/>
      <c r="C805" s="759" t="s">
        <v>16</v>
      </c>
      <c r="D805" s="864" t="s">
        <v>17</v>
      </c>
      <c r="E805" s="857"/>
      <c r="F805" s="857"/>
      <c r="G805" s="603"/>
      <c r="H805" s="646" t="s">
        <v>12</v>
      </c>
      <c r="I805" s="617"/>
      <c r="J805" s="617"/>
      <c r="K805" s="93"/>
      <c r="L805" s="647">
        <f t="shared" ref="L805:N805" si="328">L806+L807</f>
        <v>0</v>
      </c>
      <c r="M805" s="647">
        <f t="shared" si="328"/>
        <v>0</v>
      </c>
      <c r="N805" s="647">
        <f t="shared" si="328"/>
        <v>0</v>
      </c>
      <c r="O805" s="647">
        <f t="shared" ref="O805:O810" si="329">IF(L805&gt;0,N805*100/L805,0)</f>
        <v>0</v>
      </c>
      <c r="P805" s="647">
        <f t="shared" ref="P805:P810" si="330">IF(M805&gt;0,N805*100/M805,0)</f>
        <v>0</v>
      </c>
      <c r="Q805" s="604"/>
      <c r="R805" s="604"/>
      <c r="S805" s="604"/>
      <c r="T805" s="604"/>
      <c r="U805" s="604"/>
      <c r="V805" s="604"/>
      <c r="W805" s="604"/>
      <c r="X805" s="604"/>
      <c r="Y805" s="604"/>
      <c r="Z805" s="604"/>
    </row>
    <row r="806" spans="1:26" ht="18.75" hidden="1">
      <c r="A806" s="599"/>
      <c r="B806" s="759"/>
      <c r="C806" s="759"/>
      <c r="D806" s="616"/>
      <c r="E806" s="759" t="s">
        <v>185</v>
      </c>
      <c r="F806" s="759"/>
      <c r="G806" s="603"/>
      <c r="H806" s="165" t="s">
        <v>12</v>
      </c>
      <c r="I806" s="617"/>
      <c r="J806" s="617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4"/>
      <c r="R806" s="604"/>
      <c r="S806" s="604"/>
      <c r="T806" s="604"/>
      <c r="U806" s="604"/>
      <c r="V806" s="604"/>
      <c r="W806" s="604"/>
      <c r="X806" s="604"/>
      <c r="Y806" s="604"/>
      <c r="Z806" s="604"/>
    </row>
    <row r="807" spans="1:26" ht="18.75" hidden="1">
      <c r="A807" s="599"/>
      <c r="B807" s="759"/>
      <c r="C807" s="759"/>
      <c r="D807" s="616"/>
      <c r="E807" s="759" t="s">
        <v>186</v>
      </c>
      <c r="F807" s="759"/>
      <c r="G807" s="603"/>
      <c r="H807" s="165" t="s">
        <v>12</v>
      </c>
      <c r="I807" s="617"/>
      <c r="J807" s="617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4"/>
      <c r="R807" s="604"/>
      <c r="S807" s="604"/>
      <c r="T807" s="604"/>
      <c r="U807" s="604"/>
      <c r="V807" s="604"/>
      <c r="W807" s="604"/>
      <c r="X807" s="604"/>
      <c r="Y807" s="604"/>
      <c r="Z807" s="604"/>
    </row>
    <row r="808" spans="1:26" ht="19.5" hidden="1">
      <c r="A808" s="599"/>
      <c r="B808" s="607"/>
      <c r="C808" s="759"/>
      <c r="D808" s="905" t="s">
        <v>20</v>
      </c>
      <c r="E808" s="857"/>
      <c r="F808" s="857"/>
      <c r="G808" s="603"/>
      <c r="H808" s="646" t="s">
        <v>12</v>
      </c>
      <c r="I808" s="166"/>
      <c r="J808" s="166"/>
      <c r="K808" s="167"/>
      <c r="L808" s="647">
        <f t="shared" ref="L808:N808" si="332">L809+L810</f>
        <v>0</v>
      </c>
      <c r="M808" s="647">
        <f t="shared" si="332"/>
        <v>0</v>
      </c>
      <c r="N808" s="647">
        <f t="shared" si="332"/>
        <v>0</v>
      </c>
      <c r="O808" s="647">
        <f t="shared" si="329"/>
        <v>0</v>
      </c>
      <c r="P808" s="647">
        <f t="shared" si="330"/>
        <v>0</v>
      </c>
      <c r="Q808" s="604"/>
      <c r="R808" s="604"/>
      <c r="S808" s="604"/>
      <c r="T808" s="604"/>
      <c r="U808" s="604"/>
      <c r="V808" s="604"/>
      <c r="W808" s="604"/>
      <c r="X808" s="604"/>
      <c r="Y808" s="604"/>
      <c r="Z808" s="604"/>
    </row>
    <row r="809" spans="1:26" ht="18.75" hidden="1">
      <c r="A809" s="599"/>
      <c r="B809" s="759"/>
      <c r="C809" s="759"/>
      <c r="D809" s="616"/>
      <c r="E809" s="759" t="s">
        <v>185</v>
      </c>
      <c r="F809" s="759"/>
      <c r="G809" s="603"/>
      <c r="H809" s="165" t="s">
        <v>12</v>
      </c>
      <c r="I809" s="617"/>
      <c r="J809" s="617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4"/>
      <c r="R809" s="604"/>
      <c r="S809" s="604"/>
      <c r="T809" s="604"/>
      <c r="U809" s="604"/>
      <c r="V809" s="604"/>
      <c r="W809" s="604"/>
      <c r="X809" s="604"/>
      <c r="Y809" s="604"/>
      <c r="Z809" s="604"/>
    </row>
    <row r="810" spans="1:26" ht="18.75" hidden="1">
      <c r="A810" s="599"/>
      <c r="B810" s="759"/>
      <c r="C810" s="759"/>
      <c r="D810" s="616"/>
      <c r="E810" s="759" t="s">
        <v>186</v>
      </c>
      <c r="F810" s="759"/>
      <c r="G810" s="603"/>
      <c r="H810" s="165" t="s">
        <v>12</v>
      </c>
      <c r="I810" s="617"/>
      <c r="J810" s="617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4"/>
      <c r="R810" s="604"/>
      <c r="S810" s="604"/>
      <c r="T810" s="604"/>
      <c r="U810" s="604"/>
      <c r="V810" s="604"/>
      <c r="W810" s="604"/>
      <c r="X810" s="604"/>
      <c r="Y810" s="604"/>
      <c r="Z810" s="604"/>
    </row>
    <row r="811" spans="1:26" ht="18.75" hidden="1">
      <c r="A811" s="649"/>
      <c r="B811" s="607"/>
      <c r="C811" s="759"/>
      <c r="D811" s="607"/>
      <c r="E811" s="759"/>
      <c r="F811" s="759" t="s">
        <v>187</v>
      </c>
      <c r="G811" s="603"/>
      <c r="H811" s="165" t="s">
        <v>12</v>
      </c>
      <c r="I811" s="617"/>
      <c r="J811" s="617"/>
      <c r="K811" s="93"/>
      <c r="L811" s="93"/>
      <c r="M811" s="93"/>
      <c r="N811" s="93"/>
      <c r="O811" s="93"/>
      <c r="P811" s="93"/>
      <c r="Q811" s="604"/>
      <c r="R811" s="604"/>
      <c r="S811" s="604"/>
      <c r="T811" s="604"/>
      <c r="U811" s="604"/>
      <c r="V811" s="604"/>
      <c r="W811" s="604"/>
      <c r="X811" s="604"/>
      <c r="Y811" s="604"/>
      <c r="Z811" s="604"/>
    </row>
    <row r="812" spans="1:26" ht="18.75" hidden="1">
      <c r="A812" s="649"/>
      <c r="B812" s="607"/>
      <c r="C812" s="759"/>
      <c r="D812" s="607"/>
      <c r="E812" s="759"/>
      <c r="F812" s="759" t="s">
        <v>188</v>
      </c>
      <c r="G812" s="603"/>
      <c r="H812" s="165" t="s">
        <v>12</v>
      </c>
      <c r="I812" s="617"/>
      <c r="J812" s="617"/>
      <c r="K812" s="93"/>
      <c r="L812" s="93"/>
      <c r="M812" s="93"/>
      <c r="N812" s="93"/>
      <c r="O812" s="93"/>
      <c r="P812" s="93"/>
      <c r="Q812" s="604"/>
      <c r="R812" s="604"/>
      <c r="S812" s="604"/>
      <c r="T812" s="604"/>
      <c r="U812" s="604"/>
      <c r="V812" s="604"/>
      <c r="W812" s="604"/>
      <c r="X812" s="604"/>
      <c r="Y812" s="604"/>
      <c r="Z812" s="604"/>
    </row>
    <row r="813" spans="1:26" ht="18.75" hidden="1">
      <c r="A813" s="649"/>
      <c r="B813" s="607"/>
      <c r="C813" s="759"/>
      <c r="D813" s="607"/>
      <c r="E813" s="759"/>
      <c r="F813" s="759" t="s">
        <v>189</v>
      </c>
      <c r="G813" s="603"/>
      <c r="H813" s="165" t="s">
        <v>12</v>
      </c>
      <c r="I813" s="617"/>
      <c r="J813" s="617"/>
      <c r="K813" s="93"/>
      <c r="L813" s="93"/>
      <c r="M813" s="93"/>
      <c r="N813" s="93"/>
      <c r="O813" s="93"/>
      <c r="P813" s="93"/>
      <c r="Q813" s="604"/>
      <c r="R813" s="604"/>
      <c r="S813" s="604"/>
      <c r="T813" s="604"/>
      <c r="U813" s="604"/>
      <c r="V813" s="604"/>
      <c r="W813" s="604"/>
      <c r="X813" s="604"/>
      <c r="Y813" s="604"/>
      <c r="Z813" s="604"/>
    </row>
    <row r="814" spans="1:26" ht="18.75" hidden="1">
      <c r="A814" s="649"/>
      <c r="B814" s="607"/>
      <c r="C814" s="759"/>
      <c r="D814" s="607"/>
      <c r="E814" s="759"/>
      <c r="F814" s="759" t="s">
        <v>190</v>
      </c>
      <c r="G814" s="603"/>
      <c r="H814" s="165" t="s">
        <v>12</v>
      </c>
      <c r="I814" s="617"/>
      <c r="J814" s="617"/>
      <c r="K814" s="93"/>
      <c r="L814" s="93"/>
      <c r="M814" s="93"/>
      <c r="N814" s="93"/>
      <c r="O814" s="93"/>
      <c r="P814" s="93"/>
      <c r="Q814" s="604"/>
      <c r="R814" s="604"/>
      <c r="S814" s="604"/>
      <c r="T814" s="604"/>
      <c r="U814" s="604"/>
      <c r="V814" s="604"/>
      <c r="W814" s="604"/>
      <c r="X814" s="604"/>
      <c r="Y814" s="604"/>
      <c r="Z814" s="604"/>
    </row>
    <row r="815" spans="1:26" ht="19.5" hidden="1">
      <c r="A815" s="599"/>
      <c r="B815" s="607"/>
      <c r="C815" s="759"/>
      <c r="D815" s="905" t="s">
        <v>21</v>
      </c>
      <c r="E815" s="857"/>
      <c r="F815" s="857"/>
      <c r="G815" s="603"/>
      <c r="H815" s="783" t="s">
        <v>12</v>
      </c>
      <c r="I815" s="166"/>
      <c r="J815" s="166"/>
      <c r="K815" s="167"/>
      <c r="L815" s="647">
        <f t="shared" ref="L815:N815" si="333">L816+L817</f>
        <v>0</v>
      </c>
      <c r="M815" s="647">
        <f t="shared" si="333"/>
        <v>0</v>
      </c>
      <c r="N815" s="647">
        <f t="shared" si="333"/>
        <v>0</v>
      </c>
      <c r="O815" s="647">
        <f t="shared" ref="O815:O817" si="334">IF(L815&gt;0,N815*100/L815,0)</f>
        <v>0</v>
      </c>
      <c r="P815" s="647">
        <f t="shared" ref="P815:P817" si="335">IF(M815&gt;0,N815*100/M815,0)</f>
        <v>0</v>
      </c>
      <c r="Q815" s="604"/>
      <c r="R815" s="604"/>
      <c r="S815" s="604"/>
      <c r="T815" s="604"/>
      <c r="U815" s="604"/>
      <c r="V815" s="604"/>
      <c r="W815" s="604"/>
      <c r="X815" s="604"/>
      <c r="Y815" s="604"/>
      <c r="Z815" s="604"/>
    </row>
    <row r="816" spans="1:26" ht="18.75" hidden="1">
      <c r="A816" s="599"/>
      <c r="B816" s="607"/>
      <c r="C816" s="759"/>
      <c r="D816" s="607"/>
      <c r="E816" s="759" t="s">
        <v>18</v>
      </c>
      <c r="F816" s="759"/>
      <c r="G816" s="603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4"/>
      <c r="R816" s="604"/>
      <c r="S816" s="604"/>
      <c r="T816" s="604"/>
      <c r="U816" s="604"/>
      <c r="V816" s="604"/>
      <c r="W816" s="604"/>
      <c r="X816" s="604"/>
      <c r="Y816" s="604"/>
      <c r="Z816" s="604"/>
    </row>
    <row r="817" spans="1:26" ht="18.75" hidden="1">
      <c r="A817" s="599"/>
      <c r="B817" s="607"/>
      <c r="C817" s="759"/>
      <c r="D817" s="607"/>
      <c r="E817" s="759" t="s">
        <v>19</v>
      </c>
      <c r="F817" s="759"/>
      <c r="G817" s="603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4"/>
      <c r="R817" s="604"/>
      <c r="S817" s="604"/>
      <c r="T817" s="604"/>
      <c r="U817" s="604"/>
      <c r="V817" s="604"/>
      <c r="W817" s="604"/>
      <c r="X817" s="604"/>
      <c r="Y817" s="604"/>
      <c r="Z817" s="604"/>
    </row>
    <row r="818" spans="1:26" ht="19.5" hidden="1">
      <c r="A818" s="614"/>
      <c r="B818" s="616"/>
      <c r="C818" s="759" t="s">
        <v>16</v>
      </c>
      <c r="D818" s="906" t="s">
        <v>38</v>
      </c>
      <c r="E818" s="651"/>
      <c r="F818" s="651"/>
      <c r="G818" s="652"/>
      <c r="H818" s="366"/>
      <c r="I818" s="166"/>
      <c r="J818" s="166"/>
      <c r="K818" s="167"/>
      <c r="L818" s="167"/>
      <c r="M818" s="167"/>
      <c r="N818" s="167"/>
      <c r="O818" s="167"/>
      <c r="P818" s="167"/>
      <c r="Q818" s="604"/>
      <c r="R818" s="604"/>
      <c r="S818" s="604"/>
      <c r="T818" s="604"/>
      <c r="U818" s="604"/>
      <c r="V818" s="604"/>
      <c r="W818" s="604"/>
      <c r="X818" s="604"/>
      <c r="Y818" s="604"/>
      <c r="Z818" s="604"/>
    </row>
    <row r="819" spans="1:26" ht="19.5" hidden="1" thickBot="1">
      <c r="A819" s="827"/>
      <c r="B819" s="828"/>
      <c r="C819" s="830"/>
      <c r="D819" s="828"/>
      <c r="E819" s="830" t="s">
        <v>324</v>
      </c>
      <c r="F819" s="830"/>
      <c r="G819" s="831"/>
      <c r="H819" s="832" t="s">
        <v>46</v>
      </c>
      <c r="I819" s="833"/>
      <c r="J819" s="833"/>
      <c r="K819" s="834"/>
      <c r="L819" s="834"/>
      <c r="M819" s="834"/>
      <c r="N819" s="834"/>
      <c r="O819" s="834"/>
      <c r="P819" s="834"/>
      <c r="Q819" s="604"/>
      <c r="R819" s="604"/>
      <c r="S819" s="604"/>
      <c r="T819" s="604"/>
      <c r="U819" s="604"/>
      <c r="V819" s="604"/>
      <c r="W819" s="604"/>
      <c r="X819" s="604"/>
      <c r="Y819" s="604"/>
      <c r="Z819" s="604"/>
    </row>
    <row r="820" spans="1:26" ht="19.5">
      <c r="A820" s="907" t="s">
        <v>337</v>
      </c>
      <c r="B820" s="908"/>
      <c r="C820" s="908"/>
      <c r="D820" s="909"/>
      <c r="E820" s="908"/>
      <c r="F820" s="908"/>
      <c r="G820" s="910"/>
      <c r="H820" s="91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912"/>
      <c r="J820" s="912"/>
      <c r="K820" s="913"/>
      <c r="L820" s="913"/>
      <c r="M820" s="913"/>
      <c r="N820" s="913"/>
      <c r="O820" s="913"/>
      <c r="P820" s="913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</row>
    <row r="821" spans="1:26" ht="18.75">
      <c r="A821" s="744"/>
      <c r="B821" s="763" t="s">
        <v>326</v>
      </c>
      <c r="C821" s="763"/>
      <c r="D821" s="575"/>
      <c r="E821" s="763"/>
      <c r="F821" s="763"/>
      <c r="G821" s="189"/>
      <c r="H821" s="623" t="s">
        <v>12</v>
      </c>
      <c r="I821" s="270">
        <f ca="1">IFERROR(__xludf.DUMMYFUNCTION("IMPORTRANGE(""https://docs.google.com/spreadsheets/d/19vJNZY_5yjcGF2XGBMNZRCAIB0Kwfpjp8YEOfu-bneM/edit?usp=sharing"",""งานกองทุน!D51"")"),6087179.96)</f>
        <v>6087179.96</v>
      </c>
      <c r="J821" s="270">
        <f ca="1">IFERROR(__xludf.DUMMYFUNCTION("IMPORTRANGE(""https://docs.google.com/spreadsheets/d/19vJNZY_5yjcGF2XGBMNZRCAIB0Kwfpjp8YEOfu-bneM/edit?usp=sharing"",""งานกองทุน!F51"")"),6187739.19)</f>
        <v>6187739.1900000004</v>
      </c>
      <c r="K821" s="498">
        <f t="shared" ref="K821:K828" ca="1" si="336">IF(I821&gt;0,J821*100/I821,0)</f>
        <v>101.65198385230589</v>
      </c>
      <c r="L821" s="498"/>
      <c r="M821" s="498"/>
      <c r="N821" s="498"/>
      <c r="O821" s="498"/>
      <c r="P821" s="49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</row>
    <row r="822" spans="1:26" ht="18.75">
      <c r="A822" s="744"/>
      <c r="B822" s="763"/>
      <c r="C822" s="763"/>
      <c r="D822" s="575"/>
      <c r="E822" s="763"/>
      <c r="F822" s="763"/>
      <c r="G822" s="189"/>
      <c r="H822" s="623" t="s">
        <v>35</v>
      </c>
      <c r="I822" s="270">
        <f ca="1">IFERROR(__xludf.DUMMYFUNCTION("IMPORTRANGE(""https://docs.google.com/spreadsheets/d/19vJNZY_5yjcGF2XGBMNZRCAIB0Kwfpjp8YEOfu-bneM/edit?usp=sharing"",""งานกองทุน!C51"")"),301)</f>
        <v>301</v>
      </c>
      <c r="J822" s="270">
        <f ca="1">IFERROR(__xludf.DUMMYFUNCTION("IMPORTRANGE(""https://docs.google.com/spreadsheets/d/19vJNZY_5yjcGF2XGBMNZRCAIB0Kwfpjp8YEOfu-bneM/edit?usp=sharing"",""งานกองทุน!E51"")"),303)</f>
        <v>303</v>
      </c>
      <c r="K822" s="498">
        <f t="shared" ca="1" si="336"/>
        <v>100.66445182724253</v>
      </c>
      <c r="L822" s="498"/>
      <c r="M822" s="498"/>
      <c r="N822" s="498"/>
      <c r="O822" s="498"/>
      <c r="P822" s="49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</row>
    <row r="823" spans="1:26" ht="18.75">
      <c r="A823" s="744"/>
      <c r="B823" s="763" t="s">
        <v>327</v>
      </c>
      <c r="C823" s="763"/>
      <c r="D823" s="575"/>
      <c r="E823" s="763"/>
      <c r="F823" s="763"/>
      <c r="G823" s="189"/>
      <c r="H823" s="623" t="s">
        <v>12</v>
      </c>
      <c r="I823" s="270">
        <f ca="1">IFERROR(__xludf.DUMMYFUNCTION("IMPORTRANGE(""https://docs.google.com/spreadsheets/d/19vJNZY_5yjcGF2XGBMNZRCAIB0Kwfpjp8YEOfu-bneM/edit?usp=sharing"",""งานกองทุน!I51"")"),4170878.9)</f>
        <v>4170878.9</v>
      </c>
      <c r="J823" s="270">
        <f ca="1">IFERROR(__xludf.DUMMYFUNCTION("IMPORTRANGE(""https://docs.google.com/spreadsheets/d/19vJNZY_5yjcGF2XGBMNZRCAIB0Kwfpjp8YEOfu-bneM/edit?usp=sharing"",""งานกองทุน!K51"")"),593800.45)</f>
        <v>593800.44999999995</v>
      </c>
      <c r="K823" s="498">
        <f t="shared" ca="1" si="336"/>
        <v>14.236818287867335</v>
      </c>
      <c r="L823" s="498"/>
      <c r="M823" s="498"/>
      <c r="N823" s="498"/>
      <c r="O823" s="498"/>
      <c r="P823" s="49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</row>
    <row r="824" spans="1:26" ht="18.75">
      <c r="A824" s="744"/>
      <c r="B824" s="763"/>
      <c r="C824" s="763"/>
      <c r="D824" s="575"/>
      <c r="E824" s="763"/>
      <c r="F824" s="763"/>
      <c r="G824" s="189"/>
      <c r="H824" s="623" t="s">
        <v>35</v>
      </c>
      <c r="I824" s="270">
        <f ca="1">IFERROR(__xludf.DUMMYFUNCTION("IMPORTRANGE(""https://docs.google.com/spreadsheets/d/19vJNZY_5yjcGF2XGBMNZRCAIB0Kwfpjp8YEOfu-bneM/edit?usp=sharing"",""งานกองทุน!H51"")"),239)</f>
        <v>239</v>
      </c>
      <c r="J824" s="270">
        <f ca="1">IFERROR(__xludf.DUMMYFUNCTION("IMPORTRANGE(""https://docs.google.com/spreadsheets/d/19vJNZY_5yjcGF2XGBMNZRCAIB0Kwfpjp8YEOfu-bneM/edit?usp=sharing"",""งานกองทุน!J51"")"),82)</f>
        <v>82</v>
      </c>
      <c r="K824" s="498">
        <f t="shared" ca="1" si="336"/>
        <v>34.30962343096234</v>
      </c>
      <c r="L824" s="498"/>
      <c r="M824" s="498"/>
      <c r="N824" s="498"/>
      <c r="O824" s="498"/>
      <c r="P824" s="49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</row>
    <row r="825" spans="1:26" ht="18.75">
      <c r="A825" s="744"/>
      <c r="B825" s="763" t="s">
        <v>328</v>
      </c>
      <c r="C825" s="763"/>
      <c r="D825" s="575"/>
      <c r="E825" s="763"/>
      <c r="F825" s="763"/>
      <c r="G825" s="189"/>
      <c r="H825" s="623" t="s">
        <v>12</v>
      </c>
      <c r="I825" s="270">
        <f ca="1">IFERROR(__xludf.DUMMYFUNCTION("IMPORTRANGE(""https://docs.google.com/spreadsheets/d/19vJNZY_5yjcGF2XGBMNZRCAIB0Kwfpjp8YEOfu-bneM/edit?usp=sharing"",""งานกองทุน!N51"")"),335441.95)</f>
        <v>335441.95</v>
      </c>
      <c r="J825" s="270">
        <f ca="1">IFERROR(__xludf.DUMMYFUNCTION("IMPORTRANGE(""https://docs.google.com/spreadsheets/d/19vJNZY_5yjcGF2XGBMNZRCAIB0Kwfpjp8YEOfu-bneM/edit?usp=sharing"",""งานกองทุน!P51"")"),204392.99)</f>
        <v>204392.99</v>
      </c>
      <c r="K825" s="498">
        <f t="shared" ca="1" si="336"/>
        <v>60.932447477126814</v>
      </c>
      <c r="L825" s="498"/>
      <c r="M825" s="498"/>
      <c r="N825" s="498"/>
      <c r="O825" s="498"/>
      <c r="P825" s="49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</row>
    <row r="826" spans="1:26" ht="18.75">
      <c r="A826" s="744"/>
      <c r="B826" s="763"/>
      <c r="C826" s="763"/>
      <c r="D826" s="575"/>
      <c r="E826" s="763"/>
      <c r="F826" s="763"/>
      <c r="G826" s="189"/>
      <c r="H826" s="623" t="s">
        <v>35</v>
      </c>
      <c r="I826" s="270">
        <f ca="1">IFERROR(__xludf.DUMMYFUNCTION("IMPORTRANGE(""https://docs.google.com/spreadsheets/d/19vJNZY_5yjcGF2XGBMNZRCAIB0Kwfpjp8YEOfu-bneM/edit?usp=sharing"",""งานกองทุน!M51"")"),164)</f>
        <v>164</v>
      </c>
      <c r="J826" s="270">
        <f ca="1">IFERROR(__xludf.DUMMYFUNCTION("IMPORTRANGE(""https://docs.google.com/spreadsheets/d/19vJNZY_5yjcGF2XGBMNZRCAIB0Kwfpjp8YEOfu-bneM/edit?usp=sharing"",""งานกองทุน!O51"")"),194)</f>
        <v>194</v>
      </c>
      <c r="K826" s="498">
        <f t="shared" ca="1" si="336"/>
        <v>118.29268292682927</v>
      </c>
      <c r="L826" s="498"/>
      <c r="M826" s="498"/>
      <c r="N826" s="498"/>
      <c r="O826" s="498"/>
      <c r="P826" s="49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</row>
    <row r="827" spans="1:26" ht="18.75">
      <c r="A827" s="744"/>
      <c r="B827" s="763" t="s">
        <v>329</v>
      </c>
      <c r="C827" s="763"/>
      <c r="D827" s="575"/>
      <c r="E827" s="763"/>
      <c r="F827" s="763"/>
      <c r="G827" s="189"/>
      <c r="H827" s="623" t="s">
        <v>12</v>
      </c>
      <c r="I827" s="270">
        <f ca="1">IFERROR(__xludf.DUMMYFUNCTION("IMPORTRANGE(""https://docs.google.com/spreadsheets/d/19vJNZY_5yjcGF2XGBMNZRCAIB0Kwfpjp8YEOfu-bneM/edit?usp=sharing"",""งานกองทุน!S51"")"),8640000)</f>
        <v>8640000</v>
      </c>
      <c r="J827" s="270">
        <f ca="1">IFERROR(__xludf.DUMMYFUNCTION("IMPORTRANGE(""https://docs.google.com/spreadsheets/d/19vJNZY_5yjcGF2XGBMNZRCAIB0Kwfpjp8YEOfu-bneM/edit?usp=sharing"",""งานกองทุน!U51"")"),8640000)</f>
        <v>8640000</v>
      </c>
      <c r="K827" s="498">
        <f t="shared" ca="1" si="336"/>
        <v>100</v>
      </c>
      <c r="L827" s="498"/>
      <c r="M827" s="498"/>
      <c r="N827" s="498"/>
      <c r="O827" s="498"/>
      <c r="P827" s="49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</row>
    <row r="828" spans="1:26" ht="18.75">
      <c r="A828" s="841"/>
      <c r="B828" s="749"/>
      <c r="C828" s="749"/>
      <c r="D828" s="748"/>
      <c r="E828" s="749"/>
      <c r="F828" s="749"/>
      <c r="G828" s="842"/>
      <c r="H828" s="843" t="s">
        <v>35</v>
      </c>
      <c r="I828" s="506">
        <f ca="1">IFERROR(__xludf.DUMMYFUNCTION("IMPORTRANGE(""https://docs.google.com/spreadsheets/d/19vJNZY_5yjcGF2XGBMNZRCAIB0Kwfpjp8YEOfu-bneM/edit?usp=sharing"",""งานกองทุน!R51"")"),267)</f>
        <v>267</v>
      </c>
      <c r="J828" s="506">
        <f ca="1">IFERROR(__xludf.DUMMYFUNCTION("IMPORTRANGE(""https://docs.google.com/spreadsheets/d/19vJNZY_5yjcGF2XGBMNZRCAIB0Kwfpjp8YEOfu-bneM/edit?usp=sharing"",""งานกองทุน!T51"")"),268)</f>
        <v>268</v>
      </c>
      <c r="K828" s="507">
        <f t="shared" ca="1" si="336"/>
        <v>100.37453183520599</v>
      </c>
      <c r="L828" s="507"/>
      <c r="M828" s="507"/>
      <c r="N828" s="507"/>
      <c r="O828" s="507"/>
      <c r="P828" s="507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0C19A-88C9-43D1-8E3E-C6282C886512}">
  <sheetPr>
    <outlinePr summaryBelow="0" summaryRight="0"/>
    <pageSetUpPr fitToPage="1"/>
  </sheetPr>
  <dimension ref="A1:Z1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336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364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6219167</v>
      </c>
      <c r="M8" s="22">
        <f t="shared" ca="1" si="0"/>
        <v>6684336.0800000001</v>
      </c>
      <c r="N8" s="22">
        <f t="shared" ca="1" si="0"/>
        <v>6715176.0800000001</v>
      </c>
      <c r="O8" s="22">
        <f t="shared" ref="O8:O16" ca="1" si="1">IF(L8&gt;0,N8*100/L8,0)</f>
        <v>107.97549060830815</v>
      </c>
      <c r="P8" s="22">
        <f t="shared" ref="P8:P16" ca="1" si="2">IF(M8&gt;0,N8*100/M8,0)</f>
        <v>100.46137716043745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6219167</v>
      </c>
      <c r="M10" s="30">
        <f t="shared" ca="1" si="3"/>
        <v>6684336.0800000001</v>
      </c>
      <c r="N10" s="30">
        <f t="shared" ca="1" si="3"/>
        <v>6715176.0800000001</v>
      </c>
      <c r="O10" s="30">
        <f t="shared" ca="1" si="1"/>
        <v>107.97549060830815</v>
      </c>
      <c r="P10" s="30">
        <f t="shared" ca="1" si="2"/>
        <v>100.46137716043745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3" t="s">
        <v>12</v>
      </c>
      <c r="I11" s="270"/>
      <c r="J11" s="270"/>
      <c r="K11" s="498"/>
      <c r="L11" s="498">
        <f t="shared" ref="L11:N11" ca="1" si="4">L12+L13</f>
        <v>6089167</v>
      </c>
      <c r="M11" s="498">
        <f t="shared" ca="1" si="4"/>
        <v>6554936.0800000001</v>
      </c>
      <c r="N11" s="498">
        <f t="shared" ca="1" si="4"/>
        <v>6554936.0800000001</v>
      </c>
      <c r="O11" s="498">
        <f t="shared" ca="1" si="1"/>
        <v>107.64914281378718</v>
      </c>
      <c r="P11" s="498">
        <f t="shared" ca="1" si="2"/>
        <v>100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7"/>
      <c r="J12" s="617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7"/>
      <c r="J13" s="617"/>
      <c r="K13" s="93"/>
      <c r="L13" s="93">
        <f t="shared" ca="1" si="5"/>
        <v>6089167</v>
      </c>
      <c r="M13" s="93">
        <f t="shared" ca="1" si="5"/>
        <v>6554936.0800000001</v>
      </c>
      <c r="N13" s="93">
        <f t="shared" ca="1" si="5"/>
        <v>6554936.0800000001</v>
      </c>
      <c r="O13" s="93">
        <f t="shared" ca="1" si="1"/>
        <v>107.64914281378718</v>
      </c>
      <c r="P13" s="93">
        <f t="shared" ca="1" si="2"/>
        <v>100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3" t="s">
        <v>12</v>
      </c>
      <c r="I14" s="270"/>
      <c r="J14" s="270"/>
      <c r="K14" s="498"/>
      <c r="L14" s="498">
        <f t="shared" ref="L14:N14" ca="1" si="6">L15+L16</f>
        <v>130000</v>
      </c>
      <c r="M14" s="498">
        <f t="shared" ca="1" si="6"/>
        <v>129400</v>
      </c>
      <c r="N14" s="498">
        <f t="shared" ca="1" si="6"/>
        <v>160240</v>
      </c>
      <c r="O14" s="498">
        <f t="shared" ca="1" si="1"/>
        <v>123.26153846153846</v>
      </c>
      <c r="P14" s="498">
        <f t="shared" ca="1" si="2"/>
        <v>123.83307573415765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7"/>
      <c r="J15" s="617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130000</v>
      </c>
      <c r="M16" s="52">
        <f t="shared" ca="1" si="7"/>
        <v>129400</v>
      </c>
      <c r="N16" s="52">
        <f t="shared" ca="1" si="7"/>
        <v>160240</v>
      </c>
      <c r="O16" s="52">
        <f t="shared" ca="1" si="1"/>
        <v>123.26153846153846</v>
      </c>
      <c r="P16" s="52">
        <f t="shared" ca="1" si="2"/>
        <v>123.83307573415765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4585736</v>
      </c>
      <c r="M18" s="22">
        <f t="shared" ca="1" si="8"/>
        <v>5032106.91</v>
      </c>
      <c r="N18" s="22">
        <f t="shared" ca="1" si="8"/>
        <v>5062946.91</v>
      </c>
      <c r="O18" s="22">
        <f t="shared" ref="O18:O26" ca="1" si="9">IF(L18&gt;0,N18*100/L18,0)</f>
        <v>110.40641916586563</v>
      </c>
      <c r="P18" s="22">
        <f t="shared" ref="P18:P26" ca="1" si="10">IF(M18&gt;0,N18*100/M18,0)</f>
        <v>100.61286456252974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4585736</v>
      </c>
      <c r="M20" s="30">
        <f t="shared" ca="1" si="11"/>
        <v>5032106.91</v>
      </c>
      <c r="N20" s="30">
        <f t="shared" ca="1" si="11"/>
        <v>5062946.91</v>
      </c>
      <c r="O20" s="30">
        <f t="shared" ca="1" si="9"/>
        <v>110.40641916586563</v>
      </c>
      <c r="P20" s="30">
        <f t="shared" ca="1" si="10"/>
        <v>100.61286456252974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3" t="s">
        <v>12</v>
      </c>
      <c r="I21" s="270"/>
      <c r="J21" s="270"/>
      <c r="K21" s="498"/>
      <c r="L21" s="498">
        <f t="shared" ref="L21:N21" ca="1" si="12">L22+L23</f>
        <v>4455736</v>
      </c>
      <c r="M21" s="498">
        <f t="shared" ca="1" si="12"/>
        <v>4902706.91</v>
      </c>
      <c r="N21" s="498">
        <f t="shared" ca="1" si="12"/>
        <v>4902706.91</v>
      </c>
      <c r="O21" s="498">
        <f t="shared" ca="1" si="9"/>
        <v>110.03135980228632</v>
      </c>
      <c r="P21" s="498">
        <f t="shared" ca="1" si="10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7"/>
      <c r="J22" s="617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7"/>
      <c r="J23" s="617"/>
      <c r="K23" s="93"/>
      <c r="L23" s="93">
        <f t="shared" ca="1" si="13"/>
        <v>4455736</v>
      </c>
      <c r="M23" s="93">
        <f t="shared" ca="1" si="13"/>
        <v>4902706.91</v>
      </c>
      <c r="N23" s="93">
        <f t="shared" ca="1" si="13"/>
        <v>4902706.91</v>
      </c>
      <c r="O23" s="93">
        <f t="shared" ca="1" si="9"/>
        <v>110.03135980228632</v>
      </c>
      <c r="P23" s="93">
        <f t="shared" ca="1" si="10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3" t="s">
        <v>12</v>
      </c>
      <c r="I24" s="270"/>
      <c r="J24" s="270"/>
      <c r="K24" s="498"/>
      <c r="L24" s="498">
        <f t="shared" ref="L24:N24" ca="1" si="14">L25+L26</f>
        <v>130000</v>
      </c>
      <c r="M24" s="498">
        <f t="shared" ca="1" si="14"/>
        <v>129400</v>
      </c>
      <c r="N24" s="498">
        <f t="shared" ca="1" si="14"/>
        <v>160240</v>
      </c>
      <c r="O24" s="498">
        <f t="shared" ca="1" si="9"/>
        <v>123.26153846153846</v>
      </c>
      <c r="P24" s="498">
        <f t="shared" ca="1" si="10"/>
        <v>123.83307573415765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7"/>
      <c r="J25" s="617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130000</v>
      </c>
      <c r="M26" s="52">
        <f t="shared" ca="1" si="15"/>
        <v>129400</v>
      </c>
      <c r="N26" s="52">
        <f t="shared" ca="1" si="15"/>
        <v>160240</v>
      </c>
      <c r="O26" s="52">
        <f t="shared" ca="1" si="9"/>
        <v>123.26153846153846</v>
      </c>
      <c r="P26" s="52">
        <f t="shared" ca="1" si="10"/>
        <v>123.83307573415765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1633431</v>
      </c>
      <c r="M28" s="22">
        <f t="shared" ca="1" si="16"/>
        <v>1652229.17</v>
      </c>
      <c r="N28" s="22">
        <f t="shared" si="16"/>
        <v>1652229.17</v>
      </c>
      <c r="O28" s="22">
        <f t="shared" ref="O28:O37" ca="1" si="17">IF(L28&gt;0,N28*100/L28,0)</f>
        <v>101.15083955183904</v>
      </c>
      <c r="P28" s="22">
        <f t="shared" ref="P28:P37" ca="1" si="18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1633431</v>
      </c>
      <c r="M30" s="30">
        <f t="shared" ca="1" si="19"/>
        <v>1652229.17</v>
      </c>
      <c r="N30" s="30">
        <f t="shared" si="19"/>
        <v>1652229.17</v>
      </c>
      <c r="O30" s="30">
        <f t="shared" ca="1" si="17"/>
        <v>101.15083955183904</v>
      </c>
      <c r="P30" s="30">
        <f t="shared" ca="1" si="18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3" t="s">
        <v>12</v>
      </c>
      <c r="I31" s="270"/>
      <c r="J31" s="270"/>
      <c r="K31" s="498"/>
      <c r="L31" s="498">
        <f t="shared" ref="L31:N31" ca="1" si="20">L32+L33</f>
        <v>1633431</v>
      </c>
      <c r="M31" s="498">
        <f t="shared" ca="1" si="20"/>
        <v>1652229.17</v>
      </c>
      <c r="N31" s="498">
        <f t="shared" si="20"/>
        <v>1652229.17</v>
      </c>
      <c r="O31" s="498">
        <f t="shared" ca="1" si="17"/>
        <v>101.15083955183904</v>
      </c>
      <c r="P31" s="498">
        <f t="shared" ca="1" si="18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7"/>
      <c r="J32" s="617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7"/>
      <c r="J33" s="617"/>
      <c r="K33" s="93"/>
      <c r="L33" s="93">
        <f t="shared" ca="1" si="21"/>
        <v>1633431</v>
      </c>
      <c r="M33" s="93">
        <f t="shared" ca="1" si="21"/>
        <v>1652229.17</v>
      </c>
      <c r="N33" s="93">
        <f t="shared" si="21"/>
        <v>1652229.17</v>
      </c>
      <c r="O33" s="93">
        <f t="shared" ca="1" si="17"/>
        <v>101.15083955183904</v>
      </c>
      <c r="P33" s="93">
        <f t="shared" ca="1" si="18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3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7"/>
      <c r="J35" s="617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7" t="s">
        <v>24</v>
      </c>
      <c r="B37" s="868"/>
      <c r="C37" s="868"/>
      <c r="D37" s="868"/>
      <c r="E37" s="868"/>
      <c r="F37" s="868"/>
      <c r="G37" s="869"/>
      <c r="H37" s="870"/>
      <c r="I37" s="871"/>
      <c r="J37" s="871"/>
      <c r="K37" s="872"/>
      <c r="L37" s="873">
        <f t="shared" ref="L37:N37" ca="1" si="24">L41+L53+L66+L88+L119+L132+L149+L165+L181+L261+L277+L298+L315+L328+L345+L389+L402</f>
        <v>4585736</v>
      </c>
      <c r="M37" s="873">
        <f t="shared" ca="1" si="24"/>
        <v>5032106.91</v>
      </c>
      <c r="N37" s="873">
        <f t="shared" ca="1" si="24"/>
        <v>5062946.91</v>
      </c>
      <c r="O37" s="873">
        <f t="shared" ca="1" si="17"/>
        <v>110.40641916586563</v>
      </c>
      <c r="P37" s="873">
        <f t="shared" ca="1" si="18"/>
        <v>100.61286456252974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789046</v>
      </c>
      <c r="M41" s="85">
        <f t="shared" ca="1" si="25"/>
        <v>885045.02</v>
      </c>
      <c r="N41" s="85">
        <f t="shared" ca="1" si="25"/>
        <v>885045.02</v>
      </c>
      <c r="O41" s="85">
        <f t="shared" ref="O41:O49" ca="1" si="26">IF(L41&gt;0,N41*100/L41,0)</f>
        <v>112.16646684730675</v>
      </c>
      <c r="P41" s="85">
        <f t="shared" ref="P41:P49" ca="1" si="27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789046</v>
      </c>
      <c r="M43" s="92">
        <f t="shared" ca="1" si="28"/>
        <v>885045.02</v>
      </c>
      <c r="N43" s="92">
        <f t="shared" ca="1" si="28"/>
        <v>885045.02</v>
      </c>
      <c r="O43" s="92">
        <f t="shared" ca="1" si="26"/>
        <v>112.16646684730675</v>
      </c>
      <c r="P43" s="92">
        <f t="shared" ca="1" si="27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3" t="s">
        <v>12</v>
      </c>
      <c r="I44" s="270"/>
      <c r="J44" s="270"/>
      <c r="K44" s="498"/>
      <c r="L44" s="498">
        <f t="shared" ref="L44:N44" ca="1" si="29">L45+L46</f>
        <v>789046</v>
      </c>
      <c r="M44" s="498">
        <f t="shared" ca="1" si="29"/>
        <v>885045.02</v>
      </c>
      <c r="N44" s="498">
        <f t="shared" ca="1" si="29"/>
        <v>885045.02</v>
      </c>
      <c r="O44" s="498">
        <f t="shared" ca="1" si="26"/>
        <v>112.16646684730675</v>
      </c>
      <c r="P44" s="498">
        <f t="shared" ca="1" si="27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7"/>
      <c r="J45" s="617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7"/>
      <c r="J46" s="617"/>
      <c r="K46" s="93"/>
      <c r="L46" s="93">
        <f ca="1">IFERROR(__xludf.DUMMYFUNCTION("IMPORTRANGE(""https://docs.google.com/spreadsheets/d/1MeEWN-I1oV_STSDYn1IFDPWt_1FKiwhDph83XaGc0o0/edit?usp=sharing"",""งบพรบ!M33"")"),789046)</f>
        <v>789046</v>
      </c>
      <c r="M46" s="93">
        <f ca="1">IFERROR(__xludf.DUMMYFUNCTION("IMPORTRANGE(""https://docs.google.com/spreadsheets/d/1MeEWN-I1oV_STSDYn1IFDPWt_1FKiwhDph83XaGc0o0/edit?usp=sharing"",""งบพรบ!R33"")"),885045.02)</f>
        <v>885045.02</v>
      </c>
      <c r="N46" s="93">
        <f ca="1">IFERROR(__xludf.DUMMYFUNCTION("IMPORTRANGE(""https://docs.google.com/spreadsheets/d/1MeEWN-I1oV_STSDYn1IFDPWt_1FKiwhDph83XaGc0o0/edit?usp=sharing"",""งบพรบ!T33"")"),885045.02)</f>
        <v>885045.02</v>
      </c>
      <c r="O46" s="93">
        <f t="shared" ca="1" si="26"/>
        <v>112.16646684730675</v>
      </c>
      <c r="P46" s="93">
        <f t="shared" ca="1" si="27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3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7"/>
      <c r="J48" s="617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IFERROR(__xludf.DUMMYFUNCTION("IMPORTRANGE(""https://docs.google.com/spreadsheets/d/1MeEWN-I1oV_STSDYn1IFDPWt_1FKiwhDph83XaGc0o0/edit?usp=sharing"",""งบพรบ!P33"")"),0)</f>
        <v>0</v>
      </c>
      <c r="M49" s="52">
        <f ca="1">IFERROR(__xludf.DUMMYFUNCTION("IMPORTRANGE(""https://docs.google.com/spreadsheets/d/1MeEWN-I1oV_STSDYn1IFDPWt_1FKiwhDph83XaGc0o0/edit?usp=sharing"",""งบพรบ!S33"")"),0)</f>
        <v>0</v>
      </c>
      <c r="N49" s="52">
        <f ca="1">IFERROR(__xludf.DUMMYFUNCTION("IMPORTRANGE(""https://docs.google.com/spreadsheets/d/1MeEWN-I1oV_STSDYn1IFDPWt_1FKiwhDph83XaGc0o0/edit?usp=sharing"",""งบพรบ!U33"")"),0)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921900</v>
      </c>
      <c r="M53" s="116">
        <f t="shared" ca="1" si="31"/>
        <v>1017911.89</v>
      </c>
      <c r="N53" s="116">
        <f t="shared" ca="1" si="31"/>
        <v>1048751.8900000001</v>
      </c>
      <c r="O53" s="116">
        <f t="shared" ref="O53:O61" ca="1" si="32">IF(L53&gt;0,N53*100/L53,0)</f>
        <v>113.75983186896629</v>
      </c>
      <c r="P53" s="116">
        <f t="shared" ref="P53:P61" ca="1" si="33">IF(M53&gt;0,N53*100/M53,0)</f>
        <v>103.0297317776689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921900</v>
      </c>
      <c r="M55" s="123">
        <f t="shared" ca="1" si="34"/>
        <v>1017911.89</v>
      </c>
      <c r="N55" s="123">
        <f t="shared" ca="1" si="34"/>
        <v>1048751.8900000001</v>
      </c>
      <c r="O55" s="123">
        <f t="shared" ca="1" si="32"/>
        <v>113.75983186896629</v>
      </c>
      <c r="P55" s="123">
        <f t="shared" ca="1" si="33"/>
        <v>103.0297317776689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3" t="s">
        <v>12</v>
      </c>
      <c r="I56" s="270"/>
      <c r="J56" s="270"/>
      <c r="K56" s="498"/>
      <c r="L56" s="498">
        <f t="shared" ref="L56:N56" ca="1" si="35">L57+L58</f>
        <v>889700</v>
      </c>
      <c r="M56" s="498">
        <f t="shared" ca="1" si="35"/>
        <v>985711.89</v>
      </c>
      <c r="N56" s="498">
        <f t="shared" ca="1" si="35"/>
        <v>985711.89</v>
      </c>
      <c r="O56" s="498">
        <f t="shared" ca="1" si="32"/>
        <v>110.79149039001911</v>
      </c>
      <c r="P56" s="498">
        <f t="shared" ca="1" si="33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7"/>
      <c r="J57" s="617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7"/>
      <c r="J58" s="617"/>
      <c r="K58" s="93"/>
      <c r="L58" s="93">
        <f ca="1">IFERROR(__xludf.DUMMYFUNCTION("IMPORTRANGE(""https://docs.google.com/spreadsheets/d/1MeEWN-I1oV_STSDYn1IFDPWt_1FKiwhDph83XaGc0o0/edit?usp=sharing"",""งบพรบ!W33"")"),889700)</f>
        <v>889700</v>
      </c>
      <c r="M58" s="93">
        <f ca="1">IFERROR(__xludf.DUMMYFUNCTION("IMPORTRANGE(""https://docs.google.com/spreadsheets/d/1MeEWN-I1oV_STSDYn1IFDPWt_1FKiwhDph83XaGc0o0/edit?usp=sharing"",""งบพรบ!AB33"")"),985711.89)</f>
        <v>985711.89</v>
      </c>
      <c r="N58" s="93">
        <f ca="1">IFERROR(__xludf.DUMMYFUNCTION("IMPORTRANGE(""https://docs.google.com/spreadsheets/d/1MeEWN-I1oV_STSDYn1IFDPWt_1FKiwhDph83XaGc0o0/edit?usp=sharing"",""งบพรบ!AD33"")"),985711.89)</f>
        <v>985711.89</v>
      </c>
      <c r="O58" s="93">
        <f t="shared" ca="1" si="32"/>
        <v>110.79149039001911</v>
      </c>
      <c r="P58" s="93">
        <f t="shared" ca="1" si="33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3" t="s">
        <v>12</v>
      </c>
      <c r="I59" s="270"/>
      <c r="J59" s="270"/>
      <c r="K59" s="498"/>
      <c r="L59" s="498">
        <f t="shared" ref="L59:N59" ca="1" si="36">L60+L61</f>
        <v>32200</v>
      </c>
      <c r="M59" s="498">
        <f t="shared" ca="1" si="36"/>
        <v>32200</v>
      </c>
      <c r="N59" s="498">
        <f t="shared" ca="1" si="36"/>
        <v>63040</v>
      </c>
      <c r="O59" s="498">
        <f t="shared" ca="1" si="32"/>
        <v>195.77639751552795</v>
      </c>
      <c r="P59" s="498">
        <f t="shared" ca="1" si="33"/>
        <v>195.77639751552795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7"/>
      <c r="J60" s="617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IFERROR(__xludf.DUMMYFUNCTION("IMPORTRANGE(""https://docs.google.com/spreadsheets/d/1MeEWN-I1oV_STSDYn1IFDPWt_1FKiwhDph83XaGc0o0/edit?usp=sharing"",""งบพรบ!Z33"")"),32200)</f>
        <v>32200</v>
      </c>
      <c r="M61" s="52">
        <f ca="1">IFERROR(__xludf.DUMMYFUNCTION("IMPORTRANGE(""https://docs.google.com/spreadsheets/d/1MeEWN-I1oV_STSDYn1IFDPWt_1FKiwhDph83XaGc0o0/edit?usp=sharing"",""งบพรบ!AC33"")"),32200)</f>
        <v>32200</v>
      </c>
      <c r="N61" s="52">
        <f ca="1">IFERROR(__xludf.DUMMYFUNCTION("IMPORTRANGE(""https://docs.google.com/spreadsheets/d/1MeEWN-I1oV_STSDYn1IFDPWt_1FKiwhDph83XaGc0o0/edit?usp=sharing"",""งบพรบ!AE33"")"),63040)</f>
        <v>63040</v>
      </c>
      <c r="O61" s="52">
        <f t="shared" ca="1" si="32"/>
        <v>195.77639751552795</v>
      </c>
      <c r="P61" s="52">
        <f t="shared" ca="1" si="33"/>
        <v>195.77639751552795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1012000</v>
      </c>
      <c r="M66" s="155">
        <f t="shared" ca="1" si="39"/>
        <v>1049980</v>
      </c>
      <c r="N66" s="155">
        <f t="shared" ca="1" si="39"/>
        <v>1049980</v>
      </c>
      <c r="O66" s="155">
        <f t="shared" ref="O66:O74" ca="1" si="40">IF(L66&gt;0,N66*100/L66,0)</f>
        <v>103.75296442687747</v>
      </c>
      <c r="P66" s="155">
        <f t="shared" ref="P66:P74" ca="1" si="41">IF(M66&gt;0,N66*100/M66,0)</f>
        <v>100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7"/>
      <c r="J67" s="617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7"/>
      <c r="J68" s="617"/>
      <c r="K68" s="93"/>
      <c r="L68" s="93">
        <f t="shared" ca="1" si="42"/>
        <v>1012000</v>
      </c>
      <c r="M68" s="93">
        <f t="shared" ca="1" si="42"/>
        <v>1049980</v>
      </c>
      <c r="N68" s="93">
        <f t="shared" ca="1" si="42"/>
        <v>1049980</v>
      </c>
      <c r="O68" s="93">
        <f t="shared" ca="1" si="40"/>
        <v>103.75296442687747</v>
      </c>
      <c r="P68" s="93">
        <f t="shared" ca="1" si="41"/>
        <v>100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1012000</v>
      </c>
      <c r="M69" s="498">
        <f t="shared" ca="1" si="43"/>
        <v>1049980</v>
      </c>
      <c r="N69" s="498">
        <f t="shared" ca="1" si="43"/>
        <v>1049980</v>
      </c>
      <c r="O69" s="498">
        <f t="shared" ca="1" si="40"/>
        <v>103.75296442687747</v>
      </c>
      <c r="P69" s="498">
        <f t="shared" ca="1" si="41"/>
        <v>100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IFERROR(__xludf.DUMMYFUNCTION("IMPORTRANGE(""https://docs.google.com/spreadsheets/d/1MeEWN-I1oV_STSDYn1IFDPWt_1FKiwhDph83XaGc0o0/edit?usp=sharing"",""งบพรบ!AG33"")"),1012000)</f>
        <v>1012000</v>
      </c>
      <c r="M71" s="93">
        <f ca="1">IFERROR(__xludf.DUMMYFUNCTION("IMPORTRANGE(""https://docs.google.com/spreadsheets/d/1MeEWN-I1oV_STSDYn1IFDPWt_1FKiwhDph83XaGc0o0/edit?usp=sharing"",""งบพรบ!AL33"")"),1049980)</f>
        <v>1049980</v>
      </c>
      <c r="N71" s="93">
        <f ca="1">IFERROR(__xludf.DUMMYFUNCTION("IMPORTRANGE(""https://docs.google.com/spreadsheets/d/1MeEWN-I1oV_STSDYn1IFDPWt_1FKiwhDph83XaGc0o0/edit?usp=sharing"",""งบพรบ!AN33"")"),1049980)</f>
        <v>1049980</v>
      </c>
      <c r="O71" s="93">
        <f t="shared" ca="1" si="40"/>
        <v>103.75296442687747</v>
      </c>
      <c r="P71" s="93">
        <f t="shared" ca="1" si="41"/>
        <v>100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IFERROR(__xludf.DUMMYFUNCTION("IMPORTRANGE(""https://docs.google.com/spreadsheets/d/1MeEWN-I1oV_STSDYn1IFDPWt_1FKiwhDph83XaGc0o0/edit?usp=sharing"",""งบพรบ!AJ33"")"),0)</f>
        <v>0</v>
      </c>
      <c r="M74" s="93">
        <f ca="1">IFERROR(__xludf.DUMMYFUNCTION("IMPORTRANGE(""https://docs.google.com/spreadsheets/d/1MeEWN-I1oV_STSDYn1IFDPWt_1FKiwhDph83XaGc0o0/edit?usp=sharing"",""งบพรบ!AM33"")"),0)</f>
        <v>0</v>
      </c>
      <c r="N74" s="93">
        <f ca="1">IFERROR(__xludf.DUMMYFUNCTION("IMPORTRANGE(""https://docs.google.com/spreadsheets/d/1MeEWN-I1oV_STSDYn1IFDPWt_1FKiwhDph83XaGc0o0/edit?usp=sharing"",""งบพรบ!AO33"")"),0)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7" t="s">
        <v>38</v>
      </c>
      <c r="E75" s="173"/>
      <c r="F75" s="173"/>
      <c r="G75" s="174"/>
      <c r="H75" s="76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4" t="s">
        <v>34</v>
      </c>
      <c r="I78" s="184">
        <f ca="1">IFERROR(__xludf.DUMMYFUNCTION("IMPORTRANGE(""https://docs.google.com/spreadsheets/d/1QqKyyYR6Q21VydFLVH3TRQUabQu_ym0Zz7PgGX0-kHA/edit?usp=sharing"",""แผน!H33"")"),0)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4" t="s">
        <v>35</v>
      </c>
      <c r="I79" s="184">
        <f ca="1">IFERROR(__xludf.DUMMYFUNCTION("IMPORTRANGE(""https://docs.google.com/spreadsheets/d/1QqKyyYR6Q21VydFLVH3TRQUabQu_ym0Zz7PgGX0-kHA/edit?usp=sharing"",""แผน!I33"")"),0)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4" t="s">
        <v>34</v>
      </c>
      <c r="I80" s="184">
        <f ca="1">IFERROR(__xludf.DUMMYFUNCTION("IMPORTRANGE(""https://docs.google.com/spreadsheets/d/1QqKyyYR6Q21VydFLVH3TRQUabQu_ym0Zz7PgGX0-kHA/edit?usp=sharing"",""แผน!F33"")"),1)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4" t="s">
        <v>35</v>
      </c>
      <c r="I81" s="184">
        <f ca="1">IFERROR(__xludf.DUMMYFUNCTION("IMPORTRANGE(""https://docs.google.com/spreadsheets/d/1QqKyyYR6Q21VydFLVH3TRQUabQu_ym0Zz7PgGX0-kHA/edit?usp=sharing"",""แผน!G33"")"),30)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4" t="s">
        <v>34</v>
      </c>
      <c r="I82" s="184">
        <f ca="1">IFERROR(__xludf.DUMMYFUNCTION("IMPORTRANGE(""https://docs.google.com/spreadsheets/d/1QqKyyYR6Q21VydFLVH3TRQUabQu_ym0Zz7PgGX0-kHA/edit?usp=sharing"",""แผน!D33"")"),0)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4" t="s">
        <v>35</v>
      </c>
      <c r="I83" s="184">
        <f ca="1">IFERROR(__xludf.DUMMYFUNCTION("IMPORTRANGE(""https://docs.google.com/spreadsheets/d/1QqKyyYR6Q21VydFLVH3TRQUabQu_ym0Zz7PgGX0-kHA/edit?usp=sharing"",""แผน!E33"")"),0)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IFERROR(__xludf.DUMMYFUNCTION("IMPORTRANGE(""https://docs.google.com/spreadsheets/d/1QqKyyYR6Q21VydFLVH3TRQUabQu_ym0Zz7PgGX0-kHA/edit?usp=sharing"",""แผน!J33"")"),1)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111180</v>
      </c>
      <c r="M88" s="155">
        <f t="shared" ca="1" si="49"/>
        <v>125680</v>
      </c>
      <c r="N88" s="155">
        <f t="shared" ca="1" si="49"/>
        <v>125680</v>
      </c>
      <c r="O88" s="155">
        <f t="shared" ref="O88:O96" ca="1" si="50">IF(L88&gt;0,N88*100/L88,0)</f>
        <v>113.04191401331175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7"/>
      <c r="J89" s="617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7"/>
      <c r="J90" s="617"/>
      <c r="K90" s="93"/>
      <c r="L90" s="93">
        <f t="shared" ca="1" si="52"/>
        <v>111180</v>
      </c>
      <c r="M90" s="93">
        <f t="shared" ca="1" si="52"/>
        <v>125680</v>
      </c>
      <c r="N90" s="93">
        <f t="shared" ca="1" si="52"/>
        <v>125680</v>
      </c>
      <c r="O90" s="93">
        <f t="shared" ca="1" si="50"/>
        <v>113.04191401331175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111180</v>
      </c>
      <c r="M91" s="498">
        <f t="shared" ca="1" si="53"/>
        <v>125680</v>
      </c>
      <c r="N91" s="498">
        <f t="shared" ca="1" si="53"/>
        <v>125680</v>
      </c>
      <c r="O91" s="498">
        <f t="shared" ca="1" si="50"/>
        <v>113.04191401331175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IFERROR(__xludf.DUMMYFUNCTION("IMPORTRANGE(""https://docs.google.com/spreadsheets/d/1MeEWN-I1oV_STSDYn1IFDPWt_1FKiwhDph83XaGc0o0/edit?usp=sharing"",""งบพรบ!AQ33"")"),111180)</f>
        <v>111180</v>
      </c>
      <c r="M93" s="93">
        <f ca="1">IFERROR(__xludf.DUMMYFUNCTION("IMPORTRANGE(""https://docs.google.com/spreadsheets/d/1MeEWN-I1oV_STSDYn1IFDPWt_1FKiwhDph83XaGc0o0/edit?usp=sharing"",""งบพรบ!AV33"")"),125680)</f>
        <v>125680</v>
      </c>
      <c r="N93" s="93">
        <f ca="1">IFERROR(__xludf.DUMMYFUNCTION("IMPORTRANGE(""https://docs.google.com/spreadsheets/d/1MeEWN-I1oV_STSDYn1IFDPWt_1FKiwhDph83XaGc0o0/edit?usp=sharing"",""งบพรบ!AX33"")"),125680)</f>
        <v>125680</v>
      </c>
      <c r="O93" s="93">
        <f t="shared" ca="1" si="50"/>
        <v>113.04191401331175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IFERROR(__xludf.DUMMYFUNCTION("IMPORTRANGE(""https://docs.google.com/spreadsheets/d/1MeEWN-I1oV_STSDYn1IFDPWt_1FKiwhDph83XaGc0o0/edit?usp=sharing"",""งบพรบ!AT33"")"),0)</f>
        <v>0</v>
      </c>
      <c r="M96" s="93">
        <f ca="1">IFERROR(__xludf.DUMMYFUNCTION("IMPORTRANGE(""https://docs.google.com/spreadsheets/d/1MeEWN-I1oV_STSDYn1IFDPWt_1FKiwhDph83XaGc0o0/edit?usp=sharing"",""งบพรบ!AW33"")"),0)</f>
        <v>0</v>
      </c>
      <c r="N96" s="93">
        <f ca="1">IFERROR(__xludf.DUMMYFUNCTION("IMPORTRANGE(""https://docs.google.com/spreadsheets/d/1MeEWN-I1oV_STSDYn1IFDPWt_1FKiwhDph83XaGc0o0/edit?usp=sharing"",""งบพรบ!AY33"")"),0)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7" t="s">
        <v>38</v>
      </c>
      <c r="E97" s="173"/>
      <c r="F97" s="173"/>
      <c r="G97" s="174"/>
      <c r="H97" s="762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3" t="s">
        <v>46</v>
      </c>
      <c r="I98" s="270">
        <f ca="1">IFERROR(__xludf.DUMMYFUNCTION("IMPORTRANGE(""https://docs.google.com/spreadsheets/d/1QqKyyYR6Q21VydFLVH3TRQUabQu_ym0Zz7PgGX0-kHA/edit?usp=sharing"",""แผน!K33"")"),60)</f>
        <v>60</v>
      </c>
      <c r="J98" s="270">
        <f>J102</f>
        <v>60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3" t="s">
        <v>35</v>
      </c>
      <c r="I99" s="270">
        <f ca="1">IFERROR(__xludf.DUMMYFUNCTION("IMPORTRANGE(""https://docs.google.com/spreadsheets/d/1QqKyyYR6Q21VydFLVH3TRQUabQu_ym0Zz7PgGX0-kHA/edit?usp=sharing"",""แผน!L33"")"),20)</f>
        <v>20</v>
      </c>
      <c r="J99" s="270">
        <f>J104</f>
        <v>20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3" t="s">
        <v>49</v>
      </c>
      <c r="I100" s="270">
        <f ca="1">IFERROR(__xludf.DUMMYFUNCTION("IMPORTRANGE(""https://docs.google.com/spreadsheets/d/1QqKyyYR6Q21VydFLVH3TRQUabQu_ym0Zz7PgGX0-kHA/edit?usp=sharing"",""แผน!M33"")"),2)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3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6" t="s">
        <v>47</v>
      </c>
      <c r="F102" s="178"/>
      <c r="G102" s="179"/>
      <c r="H102" s="623" t="s">
        <v>46</v>
      </c>
      <c r="I102" s="270">
        <f ca="1">IFERROR(__xludf.DUMMYFUNCTION("IMPORTRANGE(""https://docs.google.com/spreadsheets/d/1QqKyyYR6Q21VydFLVH3TRQUabQu_ym0Zz7PgGX0-kHA/edit?usp=sharing"",""แผน!N33"")"),60)</f>
        <v>60</v>
      </c>
      <c r="J102" s="215">
        <v>60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3" t="s">
        <v>35</v>
      </c>
      <c r="I103" s="270">
        <f ca="1">IFERROR(__xludf.DUMMYFUNCTION("IMPORTRANGE(""https://docs.google.com/spreadsheets/d/1QqKyyYR6Q21VydFLVH3TRQUabQu_ym0Zz7PgGX0-kHA/edit?usp=sharing"",""แผน!O33"")"),20)</f>
        <v>20</v>
      </c>
      <c r="J103" s="215">
        <v>20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3" t="s">
        <v>35</v>
      </c>
      <c r="I104" s="270">
        <f ca="1">IFERROR(__xludf.DUMMYFUNCTION("IMPORTRANGE(""https://docs.google.com/spreadsheets/d/1QqKyyYR6Q21VydFLVH3TRQUabQu_ym0Zz7PgGX0-kHA/edit?usp=sharing"",""แผน!O33"")"),20)</f>
        <v>20</v>
      </c>
      <c r="J104" s="215">
        <v>20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3" t="s">
        <v>49</v>
      </c>
      <c r="I106" s="270">
        <f ca="1">IFERROR(__xludf.DUMMYFUNCTION("IMPORTRANGE(""https://docs.google.com/spreadsheets/d/1QqKyyYR6Q21VydFLVH3TRQUabQu_ym0Zz7PgGX0-kHA/edit?usp=sharing"",""แผน!P33"")"),1)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3" t="s">
        <v>49</v>
      </c>
      <c r="I107" s="270">
        <f ca="1">IFERROR(__xludf.DUMMYFUNCTION("IMPORTRANGE(""https://docs.google.com/spreadsheets/d/1QqKyyYR6Q21VydFLVH3TRQUabQu_ym0Zz7PgGX0-kHA/edit?usp=sharing"",""แผน!P33"")"),1)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3" t="s">
        <v>49</v>
      </c>
      <c r="I109" s="270">
        <f ca="1">IFERROR(__xludf.DUMMYFUNCTION("IMPORTRANGE(""https://docs.google.com/spreadsheets/d/1QqKyyYR6Q21VydFLVH3TRQUabQu_ym0Zz7PgGX0-kHA/edit?usp=sharing"",""แผน!Q33"")"),1)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3" t="s">
        <v>49</v>
      </c>
      <c r="I110" s="270">
        <f ca="1">IFERROR(__xludf.DUMMYFUNCTION("IMPORTRANGE(""https://docs.google.com/spreadsheets/d/1QqKyyYR6Q21VydFLVH3TRQUabQu_ym0Zz7PgGX0-kHA/edit?usp=sharing"",""แผน!Q33"")"),1)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7" t="s">
        <v>35</v>
      </c>
      <c r="I111" s="193">
        <f ca="1">IFERROR(__xludf.DUMMYFUNCTION("IMPORTRANGE(""https://docs.google.com/spreadsheets/d/1QqKyyYR6Q21VydFLVH3TRQUabQu_ym0Zz7PgGX0-kHA/edit?usp=sharing"",""แผน!R33"")"),20)</f>
        <v>20</v>
      </c>
      <c r="J111" s="681">
        <f>J114</f>
        <v>20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1">
        <f t="shared" si="59"/>
        <v>2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2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IFERROR(__xludf.DUMMYFUNCTION("IMPORTRANGE(""https://docs.google.com/spreadsheets/d/1QqKyyYR6Q21VydFLVH3TRQUabQu_ym0Zz7PgGX0-kHA/edit?usp=sharing"",""แผน!R33"")"),20)</f>
        <v>20</v>
      </c>
      <c r="J113" s="215">
        <v>20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IFERROR(__xludf.DUMMYFUNCTION("IMPORTRANGE(""https://docs.google.com/spreadsheets/d/1QqKyyYR6Q21VydFLVH3TRQUabQu_ym0Zz7PgGX0-kHA/edit?usp=sharing"",""แผน!R33"")"),20)</f>
        <v>20</v>
      </c>
      <c r="J114" s="215">
        <v>20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IFERROR(__xludf.DUMMYFUNCTION("IMPORTRANGE(""https://docs.google.com/spreadsheets/d/1QqKyyYR6Q21VydFLVH3TRQUabQu_ym0Zz7PgGX0-kHA/edit?usp=sharing"",""แผน!S33"")"),1)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IFERROR(__xludf.DUMMYFUNCTION("IMPORTRANGE(""https://docs.google.com/spreadsheets/d/1QqKyyYR6Q21VydFLVH3TRQUabQu_ym0Zz7PgGX0-kHA/edit?usp=sharing"",""แผน!T33"")"),1)</f>
        <v>1</v>
      </c>
      <c r="J116" s="215">
        <v>1</v>
      </c>
      <c r="K116" s="498">
        <f t="shared" ca="1" si="5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7"/>
      <c r="J120" s="617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7"/>
      <c r="J121" s="617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IFERROR(__xludf.DUMMYFUNCTION("IMPORTRANGE(""https://docs.google.com/spreadsheets/d/1MeEWN-I1oV_STSDYn1IFDPWt_1FKiwhDph83XaGc0o0/edit?usp=sharing"",""งบพรบ!BA33"")"),0)</f>
        <v>0</v>
      </c>
      <c r="M124" s="93">
        <f ca="1">IFERROR(__xludf.DUMMYFUNCTION("IMPORTRANGE(""https://docs.google.com/spreadsheets/d/1MeEWN-I1oV_STSDYn1IFDPWt_1FKiwhDph83XaGc0o0/edit?usp=sharing"",""งบพรบ!BF33"")"),0)</f>
        <v>0</v>
      </c>
      <c r="N124" s="93">
        <f ca="1">IFERROR(__xludf.DUMMYFUNCTION("IMPORTRANGE(""https://docs.google.com/spreadsheets/d/1MeEWN-I1oV_STSDYn1IFDPWt_1FKiwhDph83XaGc0o0/edit?usp=sharing"",""งบพรบ!BH33"")"),0)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IFERROR(__xludf.DUMMYFUNCTION("IMPORTRANGE(""https://docs.google.com/spreadsheets/d/1MeEWN-I1oV_STSDYn1IFDPWt_1FKiwhDph83XaGc0o0/edit?usp=sharing"",""งบพรบ!BD33"")"),0)</f>
        <v>0</v>
      </c>
      <c r="M127" s="93">
        <f ca="1">IFERROR(__xludf.DUMMYFUNCTION("IMPORTRANGE(""https://docs.google.com/spreadsheets/d/1MeEWN-I1oV_STSDYn1IFDPWt_1FKiwhDph83XaGc0o0/edit?usp=sharing"",""งบพรบ!BG33"")"),0)</f>
        <v>0</v>
      </c>
      <c r="N127" s="93">
        <f ca="1">IFERROR(__xludf.DUMMYFUNCTION("IMPORTRANGE(""https://docs.google.com/spreadsheets/d/1MeEWN-I1oV_STSDYn1IFDPWt_1FKiwhDph83XaGc0o0/edit?usp=sharing"",""งบพรบ!BI33"")"),0)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7"/>
      <c r="J133" s="617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7"/>
      <c r="J134" s="617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IFERROR(__xludf.DUMMYFUNCTION("IMPORTRANGE(""https://docs.google.com/spreadsheets/d/1MeEWN-I1oV_STSDYn1IFDPWt_1FKiwhDph83XaGc0o0/edit?usp=sharing"",""งบพรบ!BK33"")"),0)</f>
        <v>0</v>
      </c>
      <c r="M137" s="93">
        <f ca="1">IFERROR(__xludf.DUMMYFUNCTION("IMPORTRANGE(""https://docs.google.com/spreadsheets/d/1MeEWN-I1oV_STSDYn1IFDPWt_1FKiwhDph83XaGc0o0/edit?usp=sharing"",""งบพรบ!BP33"")"),0)</f>
        <v>0</v>
      </c>
      <c r="N137" s="93">
        <f ca="1">IFERROR(__xludf.DUMMYFUNCTION("IMPORTRANGE(""https://docs.google.com/spreadsheets/d/1MeEWN-I1oV_STSDYn1IFDPWt_1FKiwhDph83XaGc0o0/edit?usp=sharing"",""งบพรบ!BR33"")"),0)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IFERROR(__xludf.DUMMYFUNCTION("IMPORTRANGE(""https://docs.google.com/spreadsheets/d/1MeEWN-I1oV_STSDYn1IFDPWt_1FKiwhDph83XaGc0o0/edit?usp=sharing"",""งบพรบ!BN33"")"),0)</f>
        <v>0</v>
      </c>
      <c r="M140" s="93">
        <f ca="1">IFERROR(__xludf.DUMMYFUNCTION("IMPORTRANGE(""https://docs.google.com/spreadsheets/d/1MeEWN-I1oV_STSDYn1IFDPWt_1FKiwhDph83XaGc0o0/edit?usp=sharing"",""งบพรบ!BQ33"")"),0)</f>
        <v>0</v>
      </c>
      <c r="N140" s="93">
        <f ca="1">IFERROR(__xludf.DUMMYFUNCTION("IMPORTRANGE(""https://docs.google.com/spreadsheets/d/1MeEWN-I1oV_STSDYn1IFDPWt_1FKiwhDph83XaGc0o0/edit?usp=sharing"",""งบพรบ!BS33"")"),0)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IFERROR(__xludf.DUMMYFUNCTION("IMPORTRANGE(""https://docs.google.com/spreadsheets/d/1QqKyyYR6Q21VydFLVH3TRQUabQu_ym0Zz7PgGX0-kHA/edit?usp=sharing"",""แผน!U33"")"),0)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IFERROR(__xludf.DUMMYFUNCTION("IMPORTRANGE(""https://docs.google.com/spreadsheets/d/1QqKyyYR6Q21VydFLVH3TRQUabQu_ym0Zz7PgGX0-kHA/edit?usp=sharing"",""แผน!V33"")"),0)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IFERROR(__xludf.DUMMYFUNCTION("IMPORTRANGE(""https://docs.google.com/spreadsheets/d/1QqKyyYR6Q21VydFLVH3TRQUabQu_ym0Zz7PgGX0-kHA/edit?usp=sharing"",""แผน!W33"")"),0)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7"/>
      <c r="J150" s="617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7"/>
      <c r="J151" s="617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IFERROR(__xludf.DUMMYFUNCTION("IMPORTRANGE(""https://docs.google.com/spreadsheets/d/1MeEWN-I1oV_STSDYn1IFDPWt_1FKiwhDph83XaGc0o0/edit?usp=sharing"",""งบพรบ!BU33"")"),0)</f>
        <v>0</v>
      </c>
      <c r="M154" s="93">
        <f ca="1">IFERROR(__xludf.DUMMYFUNCTION("IMPORTRANGE(""https://docs.google.com/spreadsheets/d/1MeEWN-I1oV_STSDYn1IFDPWt_1FKiwhDph83XaGc0o0/edit?usp=sharing"",""งบพรบ!BZ33"")"),0)</f>
        <v>0</v>
      </c>
      <c r="N154" s="93">
        <f ca="1">IFERROR(__xludf.DUMMYFUNCTION("IMPORTRANGE(""https://docs.google.com/spreadsheets/d/1MeEWN-I1oV_STSDYn1IFDPWt_1FKiwhDph83XaGc0o0/edit?usp=sharing"",""งบพรบ!CB33"")"),0)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IFERROR(__xludf.DUMMYFUNCTION("IMPORTRANGE(""https://docs.google.com/spreadsheets/d/1MeEWN-I1oV_STSDYn1IFDPWt_1FKiwhDph83XaGc0o0/edit?usp=sharing"",""งบพรบ!BX33"")"),0)</f>
        <v>0</v>
      </c>
      <c r="M157" s="93">
        <f ca="1">IFERROR(__xludf.DUMMYFUNCTION("IMPORTRANGE(""https://docs.google.com/spreadsheets/d/1MeEWN-I1oV_STSDYn1IFDPWt_1FKiwhDph83XaGc0o0/edit?usp=sharing"",""งบพรบ!CA33"")"),0)</f>
        <v>0</v>
      </c>
      <c r="N157" s="93">
        <f ca="1">IFERROR(__xludf.DUMMYFUNCTION("IMPORTRANGE(""https://docs.google.com/spreadsheets/d/1MeEWN-I1oV_STSDYn1IFDPWt_1FKiwhDph83XaGc0o0/edit?usp=sharing"",""งบพรบ!CC33"")"),0)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IFERROR(__xludf.DUMMYFUNCTION("IMPORTRANGE(""https://docs.google.com/spreadsheets/d/1QqKyyYR6Q21VydFLVH3TRQUabQu_ym0Zz7PgGX0-kHA/edit?usp=sharing"",""แผน!X33"")"),0)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7"/>
      <c r="J160" s="617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33950</v>
      </c>
      <c r="N165" s="155">
        <f t="shared" ca="1" si="84"/>
        <v>33950</v>
      </c>
      <c r="O165" s="155">
        <f t="shared" ref="O165:O173" ca="1" si="85">IF(L165&gt;0,N165*100/L165,0)</f>
        <v>161.28266033254158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7"/>
      <c r="J166" s="617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7"/>
      <c r="J167" s="617"/>
      <c r="K167" s="93"/>
      <c r="L167" s="93">
        <f t="shared" ca="1" si="87"/>
        <v>21050</v>
      </c>
      <c r="M167" s="93">
        <f t="shared" ca="1" si="87"/>
        <v>33950</v>
      </c>
      <c r="N167" s="93">
        <f t="shared" ca="1" si="87"/>
        <v>33950</v>
      </c>
      <c r="O167" s="93">
        <f t="shared" ca="1" si="85"/>
        <v>161.28266033254158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33950</v>
      </c>
      <c r="N168" s="498">
        <f t="shared" ca="1" si="88"/>
        <v>33950</v>
      </c>
      <c r="O168" s="498">
        <f t="shared" ca="1" si="85"/>
        <v>161.28266033254158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IFERROR(__xludf.DUMMYFUNCTION("IMPORTRANGE(""https://docs.google.com/spreadsheets/d/1MeEWN-I1oV_STSDYn1IFDPWt_1FKiwhDph83XaGc0o0/edit?usp=sharing"",""งบพรบ!CE33"")"),21050)</f>
        <v>21050</v>
      </c>
      <c r="M170" s="93">
        <f ca="1">IFERROR(__xludf.DUMMYFUNCTION("IMPORTRANGE(""https://docs.google.com/spreadsheets/d/1MeEWN-I1oV_STSDYn1IFDPWt_1FKiwhDph83XaGc0o0/edit?usp=sharing"",""งบพรบ!CJ33"")"),33950)</f>
        <v>33950</v>
      </c>
      <c r="N170" s="93">
        <f ca="1">IFERROR(__xludf.DUMMYFUNCTION("IMPORTRANGE(""https://docs.google.com/spreadsheets/d/1MeEWN-I1oV_STSDYn1IFDPWt_1FKiwhDph83XaGc0o0/edit?usp=sharing"",""งบพรบ!CL33"")"),33950)</f>
        <v>33950</v>
      </c>
      <c r="O170" s="93">
        <f t="shared" ca="1" si="85"/>
        <v>161.28266033254158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IFERROR(__xludf.DUMMYFUNCTION("IMPORTRANGE(""https://docs.google.com/spreadsheets/d/1MeEWN-I1oV_STSDYn1IFDPWt_1FKiwhDph83XaGc0o0/edit?usp=sharing"",""งบพรบ!CH33"")"),0)</f>
        <v>0</v>
      </c>
      <c r="M173" s="93">
        <f ca="1">IFERROR(__xludf.DUMMYFUNCTION("IMPORTRANGE(""https://docs.google.com/spreadsheets/d/1MeEWN-I1oV_STSDYn1IFDPWt_1FKiwhDph83XaGc0o0/edit?usp=sharing"",""งบพรบ!CK33"")"),0)</f>
        <v>0</v>
      </c>
      <c r="N173" s="93">
        <f ca="1">IFERROR(__xludf.DUMMYFUNCTION("IMPORTRANGE(""https://docs.google.com/spreadsheets/d/1MeEWN-I1oV_STSDYn1IFDPWt_1FKiwhDph83XaGc0o0/edit?usp=sharing"",""งบพรบ!CM33"")"),0)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7" t="s">
        <v>38</v>
      </c>
      <c r="E175" s="173"/>
      <c r="F175" s="173"/>
      <c r="G175" s="174"/>
      <c r="H175" s="76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6" t="s">
        <v>85</v>
      </c>
      <c r="E176" s="178"/>
      <c r="F176" s="178"/>
      <c r="G176" s="179"/>
      <c r="H176" s="623" t="s">
        <v>35</v>
      </c>
      <c r="I176" s="270">
        <f ca="1">IFERROR(__xludf.DUMMYFUNCTION("IMPORTRANGE(""https://docs.google.com/spreadsheets/d/1QqKyyYR6Q21VydFLVH3TRQUabQu_ym0Zz7PgGX0-kHA/edit?usp=sharing"",""แผน!Y33"")"),10)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63500</v>
      </c>
      <c r="M181" s="155">
        <f t="shared" ca="1" si="92"/>
        <v>121300</v>
      </c>
      <c r="N181" s="155">
        <f t="shared" ca="1" si="92"/>
        <v>121300</v>
      </c>
      <c r="O181" s="155">
        <f t="shared" ref="O181:O189" ca="1" si="93">IF(L181&gt;0,N181*100/L181,0)</f>
        <v>191.02362204724409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7"/>
      <c r="J182" s="617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7"/>
      <c r="J183" s="617"/>
      <c r="K183" s="93"/>
      <c r="L183" s="93">
        <f t="shared" ca="1" si="95"/>
        <v>63500</v>
      </c>
      <c r="M183" s="93">
        <f t="shared" ca="1" si="95"/>
        <v>121300</v>
      </c>
      <c r="N183" s="93">
        <f t="shared" ca="1" si="95"/>
        <v>121300</v>
      </c>
      <c r="O183" s="93">
        <f t="shared" ca="1" si="93"/>
        <v>191.02362204724409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63500</v>
      </c>
      <c r="M184" s="498">
        <f t="shared" ca="1" si="96"/>
        <v>121300</v>
      </c>
      <c r="N184" s="498">
        <f t="shared" ca="1" si="96"/>
        <v>121300</v>
      </c>
      <c r="O184" s="498">
        <f t="shared" ca="1" si="93"/>
        <v>191.02362204724409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IFERROR(__xludf.DUMMYFUNCTION("IMPORTRANGE(""https://docs.google.com/spreadsheets/d/1MeEWN-I1oV_STSDYn1IFDPWt_1FKiwhDph83XaGc0o0/edit?usp=sharing"",""งบพรบ!CO33"")"),63500)</f>
        <v>63500</v>
      </c>
      <c r="M186" s="93">
        <f ca="1">IFERROR(__xludf.DUMMYFUNCTION("IMPORTRANGE(""https://docs.google.com/spreadsheets/d/1MeEWN-I1oV_STSDYn1IFDPWt_1FKiwhDph83XaGc0o0/edit?usp=sharing"",""งบพรบ!CT33"")"),121300)</f>
        <v>121300</v>
      </c>
      <c r="N186" s="93">
        <f ca="1">IFERROR(__xludf.DUMMYFUNCTION("IMPORTRANGE(""https://docs.google.com/spreadsheets/d/1MeEWN-I1oV_STSDYn1IFDPWt_1FKiwhDph83XaGc0o0/edit?usp=sharing"",""งบพรบ!CV33"")"),121300)</f>
        <v>121300</v>
      </c>
      <c r="O186" s="93">
        <f t="shared" ca="1" si="93"/>
        <v>191.02362204724409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IFERROR(__xludf.DUMMYFUNCTION("IMPORTRANGE(""https://docs.google.com/spreadsheets/d/1MeEWN-I1oV_STSDYn1IFDPWt_1FKiwhDph83XaGc0o0/edit?usp=sharing"",""งบพรบ!CR33"")"),0)</f>
        <v>0</v>
      </c>
      <c r="M189" s="93">
        <f ca="1">IFERROR(__xludf.DUMMYFUNCTION("IMPORTRANGE(""https://docs.google.com/spreadsheets/d/1MeEWN-I1oV_STSDYn1IFDPWt_1FKiwhDph83XaGc0o0/edit?usp=sharing"",""งบพรบ!CU33"")"),0)</f>
        <v>0</v>
      </c>
      <c r="N189" s="93">
        <f ca="1">IFERROR(__xludf.DUMMYFUNCTION("IMPORTRANGE(""https://docs.google.com/spreadsheets/d/1MeEWN-I1oV_STSDYn1IFDPWt_1FKiwhDph83XaGc0o0/edit?usp=sharing"",""งบพรบ!CW33"")"),0)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8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IFERROR(__xludf.DUMMYFUNCTION("IMPORTRANGE(""https://docs.google.com/spreadsheets/d/1QqKyyYR6Q21VydFLVH3TRQUabQu_ym0Zz7PgGX0-kHA/edit?usp=sharing"",""แผน!Z33"")"),6000)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7" t="s">
        <v>38</v>
      </c>
      <c r="E192" s="173"/>
      <c r="F192" s="173"/>
      <c r="G192" s="174"/>
      <c r="H192" s="762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4" t="s">
        <v>90</v>
      </c>
      <c r="I193" s="270">
        <f ca="1">IFERROR(__xludf.DUMMYFUNCTION("IMPORTRANGE(""https://docs.google.com/spreadsheets/d/1QqKyyYR6Q21VydFLVH3TRQUabQu_ym0Zz7PgGX0-kHA/edit?usp=sharing"",""แผน!AC33"")"),4)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80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80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8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IFERROR(__xludf.DUMMYFUNCTION("IMPORTRANGE(""https://docs.google.com/spreadsheets/d/1QqKyyYR6Q21VydFLVH3TRQUabQu_ym0Zz7PgGX0-kHA/edit?usp=sharing"",""แผน!AE33"")"),3000)</f>
        <v>3000</v>
      </c>
      <c r="M199" s="498"/>
      <c r="N199" s="840">
        <v>2480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3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IFERROR(__xludf.DUMMYFUNCTION("IMPORTRANGE(""https://docs.google.com/spreadsheets/d/1QqKyyYR6Q21VydFLVH3TRQUabQu_ym0Zz7PgGX0-kHA/edit?usp=sharing"",""แผน!AF33"")"),24000)</f>
        <v>24000</v>
      </c>
      <c r="M200" s="498"/>
      <c r="N200" s="840">
        <v>29550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3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IFERROR(__xludf.DUMMYFUNCTION("IMPORTRANGE(""https://docs.google.com/spreadsheets/d/1QqKyyYR6Q21VydFLVH3TRQUabQu_ym0Zz7PgGX0-kHA/edit?usp=sharing"",""แผน!AG33"")"),12000)</f>
        <v>12000</v>
      </c>
      <c r="M201" s="498"/>
      <c r="N201" s="840">
        <v>6970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3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IFERROR(__xludf.DUMMYFUNCTION("IMPORTRANGE(""https://docs.google.com/spreadsheets/d/1QqKyyYR6Q21VydFLVH3TRQUabQu_ym0Zz7PgGX0-kHA/edit?usp=sharing"",""แผน!AH33"")"),0)</f>
        <v>0</v>
      </c>
      <c r="M202" s="498"/>
      <c r="N202" s="840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7" t="s">
        <v>38</v>
      </c>
      <c r="E203" s="173"/>
      <c r="F203" s="173"/>
      <c r="G203" s="174"/>
      <c r="H203" s="76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2" t="s">
        <v>96</v>
      </c>
      <c r="I204" s="270">
        <f ca="1">IFERROR(__xludf.DUMMYFUNCTION("IMPORTRANGE(""https://docs.google.com/spreadsheets/d/1QqKyyYR6Q21VydFLVH3TRQUabQu_ym0Zz7PgGX0-kHA/edit?usp=sharing"",""แผน!AI33"")"),3)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2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2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8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IFERROR(__xludf.DUMMYFUNCTION("IMPORTRANGE(""https://docs.google.com/spreadsheets/d/1QqKyyYR6Q21VydFLVH3TRQUabQu_ym0Zz7PgGX0-kHA/edit?usp=sharing"",""แผน!AK33"")"),0)</f>
        <v>0</v>
      </c>
      <c r="M210" s="498"/>
      <c r="N210" s="840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IFERROR(__xludf.DUMMYFUNCTION("IMPORTRANGE(""https://docs.google.com/spreadsheets/d/1QqKyyYR6Q21VydFLVH3TRQUabQu_ym0Zz7PgGX0-kHA/edit?usp=sharing"",""แผน!AL33"")"),0)</f>
        <v>0</v>
      </c>
      <c r="M211" s="498"/>
      <c r="N211" s="840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IFERROR(__xludf.DUMMYFUNCTION("IMPORTRANGE(""https://docs.google.com/spreadsheets/d/1QqKyyYR6Q21VydFLVH3TRQUabQu_ym0Zz7PgGX0-kHA/edit?usp=sharing"",""แผน!AM33"")"),0)</f>
        <v>0</v>
      </c>
      <c r="M212" s="498"/>
      <c r="N212" s="840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7" t="s">
        <v>38</v>
      </c>
      <c r="E213" s="173"/>
      <c r="F213" s="173"/>
      <c r="G213" s="174"/>
      <c r="H213" s="762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2" t="s">
        <v>96</v>
      </c>
      <c r="I214" s="270">
        <f ca="1">IFERROR(__xludf.DUMMYFUNCTION("IMPORTRANGE(""https://docs.google.com/spreadsheets/d/1QqKyyYR6Q21VydFLVH3TRQUabQu_ym0Zz7PgGX0-kHA/edit?usp=sharing"",""แผน!AN33"")"),0)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2" t="s">
        <v>96</v>
      </c>
      <c r="I215" s="270">
        <f ca="1">IFERROR(__xludf.DUMMYFUNCTION("IMPORTRANGE(""https://docs.google.com/spreadsheets/d/1QqKyyYR6Q21VydFLVH3TRQUabQu_ym0Zz7PgGX0-kHA/edit?usp=sharing"",""แผน!AN33"")"),0)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50000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8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18500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IFERROR(__xludf.DUMMYFUNCTION("IMPORTRANGE(""https://docs.google.com/spreadsheets/d/1QqKyyYR6Q21VydFLVH3TRQUabQu_ym0Zz7PgGX0-kHA/edit?usp=sharing"",""แผน!AP33"")"),5000)</f>
        <v>5000</v>
      </c>
      <c r="M218" s="498"/>
      <c r="N218" s="840">
        <v>5000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IFERROR(__xludf.DUMMYFUNCTION("IMPORTRANGE(""https://docs.google.com/spreadsheets/d/1QqKyyYR6Q21VydFLVH3TRQUabQu_ym0Zz7PgGX0-kHA/edit?usp=sharing"",""แผน!AQ33"")"),13500)</f>
        <v>13500</v>
      </c>
      <c r="M219" s="498"/>
      <c r="N219" s="840">
        <v>13500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IFERROR(__xludf.DUMMYFUNCTION("IMPORTRANGE(""https://docs.google.com/spreadsheets/d/1QqKyyYR6Q21VydFLVH3TRQUabQu_ym0Zz7PgGX0-kHA/edit?usp=sharing"",""แผน!AR33"")"),0)</f>
        <v>0</v>
      </c>
      <c r="M220" s="498"/>
      <c r="N220" s="840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7" t="s">
        <v>38</v>
      </c>
      <c r="E221" s="173"/>
      <c r="F221" s="173"/>
      <c r="G221" s="174"/>
      <c r="H221" s="76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4" t="s">
        <v>109</v>
      </c>
      <c r="I223" s="270">
        <f ca="1">IFERROR(__xludf.DUMMYFUNCTION("IMPORTRANGE(""https://docs.google.com/spreadsheets/d/1QqKyyYR6Q21VydFLVH3TRQUabQu_ym0Zz7PgGX0-kHA/edit?usp=sharing"",""แผน!AT33"")"),50000)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4" t="s">
        <v>109</v>
      </c>
      <c r="I224" s="270">
        <f ca="1">IFERROR(__xludf.DUMMYFUNCTION("IMPORTRANGE(""https://docs.google.com/spreadsheets/d/1QqKyyYR6Q21VydFLVH3TRQUabQu_ym0Zz7PgGX0-kHA/edit?usp=sharing"",""แผน!AT33"")"),50000)</f>
        <v>50000</v>
      </c>
      <c r="J224" s="215">
        <v>50000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4" t="s">
        <v>35</v>
      </c>
      <c r="I225" s="270">
        <f ca="1">IFERROR(__xludf.DUMMYFUNCTION("IMPORTRANGE(""https://docs.google.com/spreadsheets/d/1QqKyyYR6Q21VydFLVH3TRQUabQu_ym0Zz7PgGX0-kHA/edit?usp=sharing"",""แผน!AS33"")"),0)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8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2"/>
      <c r="P227" s="8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7"/>
      <c r="J229" s="617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7"/>
      <c r="J230" s="617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7"/>
      <c r="J231" s="617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7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7">
        <f t="shared" ref="I233:J233" ca="1" si="108">I244+I255</f>
        <v>0</v>
      </c>
      <c r="J233" s="617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7"/>
      <c r="J234" s="617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7">
        <f t="shared" ref="I235:J236" si="109">I246+I257</f>
        <v>0</v>
      </c>
      <c r="J235" s="617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7">
        <f t="shared" si="109"/>
        <v>0</v>
      </c>
      <c r="J236" s="617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IFERROR(__xludf.DUMMYFUNCTION("IMPORTRANGE(""https://docs.google.com/spreadsheets/d/1QqKyyYR6Q21VydFLVH3TRQUabQu_ym0Zz7PgGX0-kHA/edit?usp=sharing"",""แผน!AV33"")"),0)</f>
        <v>0</v>
      </c>
      <c r="M239" s="322"/>
      <c r="N239" s="88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IFERROR(__xludf.DUMMYFUNCTION("IMPORTRANGE(""https://docs.google.com/spreadsheets/d/1QqKyyYR6Q21VydFLVH3TRQUabQu_ym0Zz7PgGX0-kHA/edit?usp=sharing"",""แผน!AW33"")"),0)</f>
        <v>0</v>
      </c>
      <c r="M240" s="322"/>
      <c r="N240" s="88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IFERROR(__xludf.DUMMYFUNCTION("IMPORTRANGE(""https://docs.google.com/spreadsheets/d/1QqKyyYR6Q21VydFLVH3TRQUabQu_ym0Zz7PgGX0-kHA/edit?usp=sharing"",""แผน!AX33"")"),0)</f>
        <v>0</v>
      </c>
      <c r="M241" s="322"/>
      <c r="N241" s="88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IFERROR(__xludf.DUMMYFUNCTION("IMPORTRANGE(""https://docs.google.com/spreadsheets/d/1QqKyyYR6Q21VydFLVH3TRQUabQu_ym0Zz7PgGX0-kHA/edit?usp=sharing"",""แผน!AY33"")"),0)</f>
        <v>0</v>
      </c>
      <c r="M242" s="322"/>
      <c r="N242" s="88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7" t="s">
        <v>38</v>
      </c>
      <c r="E243" s="173"/>
      <c r="F243" s="173"/>
      <c r="G243" s="174"/>
      <c r="H243" s="762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4" t="s">
        <v>35</v>
      </c>
      <c r="I244" s="270">
        <f ca="1">IFERROR(__xludf.DUMMYFUNCTION("IMPORTRANGE(""https://docs.google.com/spreadsheets/d/1QqKyyYR6Q21VydFLVH3TRQUabQu_ym0Zz7PgGX0-kHA/edit?usp=sharing"",""แผน!BE33"")"),0)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4" t="s">
        <v>43</v>
      </c>
      <c r="E245" s="178"/>
      <c r="F245" s="178"/>
      <c r="G245" s="179"/>
      <c r="H245" s="764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4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4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8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IFERROR(__xludf.DUMMYFUNCTION("IMPORTRANGE(""https://docs.google.com/spreadsheets/d/1QqKyyYR6Q21VydFLVH3TRQUabQu_ym0Zz7PgGX0-kHA/edit?usp=sharing"",""แผน!AZ33"")"),0)</f>
        <v>0</v>
      </c>
      <c r="M250" s="322"/>
      <c r="N250" s="88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IFERROR(__xludf.DUMMYFUNCTION("IMPORTRANGE(""https://docs.google.com/spreadsheets/d/1QqKyyYR6Q21VydFLVH3TRQUabQu_ym0Zz7PgGX0-kHA/edit?usp=sharing"",""แผน!BA33"")"),0)</f>
        <v>0</v>
      </c>
      <c r="M251" s="322"/>
      <c r="N251" s="88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IFERROR(__xludf.DUMMYFUNCTION("IMPORTRANGE(""https://docs.google.com/spreadsheets/d/1QqKyyYR6Q21VydFLVH3TRQUabQu_ym0Zz7PgGX0-kHA/edit?usp=sharing"",""แผน!BB33"")"),0)</f>
        <v>0</v>
      </c>
      <c r="M252" s="322"/>
      <c r="N252" s="88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IFERROR(__xludf.DUMMYFUNCTION("IMPORTRANGE(""https://docs.google.com/spreadsheets/d/1QqKyyYR6Q21VydFLVH3TRQUabQu_ym0Zz7PgGX0-kHA/edit?usp=sharing"",""แผน!BC33"")"),0)</f>
        <v>0</v>
      </c>
      <c r="M253" s="322"/>
      <c r="N253" s="88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7" t="s">
        <v>38</v>
      </c>
      <c r="E254" s="173"/>
      <c r="F254" s="173"/>
      <c r="G254" s="174"/>
      <c r="H254" s="762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4" t="s">
        <v>35</v>
      </c>
      <c r="I255" s="270">
        <f ca="1">IFERROR(__xludf.DUMMYFUNCTION("IMPORTRANGE(""https://docs.google.com/spreadsheets/d/1QqKyyYR6Q21VydFLVH3TRQUabQu_ym0Zz7PgGX0-kHA/edit?usp=sharing"",""แผน!BF33"")"),0)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4" t="s">
        <v>43</v>
      </c>
      <c r="E256" s="178"/>
      <c r="F256" s="178"/>
      <c r="G256" s="179"/>
      <c r="H256" s="764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4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4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30700</v>
      </c>
      <c r="N261" s="155">
        <f t="shared" ca="1" si="116"/>
        <v>30700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7"/>
      <c r="J262" s="617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7"/>
      <c r="J263" s="617"/>
      <c r="K263" s="93"/>
      <c r="L263" s="93">
        <f t="shared" ca="1" si="119"/>
        <v>30700</v>
      </c>
      <c r="M263" s="93">
        <f t="shared" ca="1" si="119"/>
        <v>30700</v>
      </c>
      <c r="N263" s="93">
        <f t="shared" ca="1" si="119"/>
        <v>30700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30700</v>
      </c>
      <c r="M264" s="498">
        <f t="shared" ca="1" si="120"/>
        <v>30700</v>
      </c>
      <c r="N264" s="498">
        <f t="shared" ca="1" si="120"/>
        <v>30700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IFERROR(__xludf.DUMMYFUNCTION("IMPORTRANGE(""https://docs.google.com/spreadsheets/d/1MeEWN-I1oV_STSDYn1IFDPWt_1FKiwhDph83XaGc0o0/edit?usp=sharing"",""งบพรบ!CY33"")"),30700)</f>
        <v>30700</v>
      </c>
      <c r="M266" s="93">
        <f ca="1">IFERROR(__xludf.DUMMYFUNCTION("IMPORTRANGE(""https://docs.google.com/spreadsheets/d/1MeEWN-I1oV_STSDYn1IFDPWt_1FKiwhDph83XaGc0o0/edit?usp=sharing"",""งบพรบ!DD33"")"),30700)</f>
        <v>30700</v>
      </c>
      <c r="N266" s="93">
        <f ca="1">IFERROR(__xludf.DUMMYFUNCTION("IMPORTRANGE(""https://docs.google.com/spreadsheets/d/1MeEWN-I1oV_STSDYn1IFDPWt_1FKiwhDph83XaGc0o0/edit?usp=sharing"",""งบพรบ!DF33"")"),30700)</f>
        <v>30700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IFERROR(__xludf.DUMMYFUNCTION("IMPORTRANGE(""https://docs.google.com/spreadsheets/d/1MeEWN-I1oV_STSDYn1IFDPWt_1FKiwhDph83XaGc0o0/edit?usp=sharing"",""งบพรบ!DB33"")"),0)</f>
        <v>0</v>
      </c>
      <c r="M269" s="93">
        <f ca="1">IFERROR(__xludf.DUMMYFUNCTION("IMPORTRANGE(""https://docs.google.com/spreadsheets/d/1MeEWN-I1oV_STSDYn1IFDPWt_1FKiwhDph83XaGc0o0/edit?usp=sharing"",""งบพรบ!DE33"")"),0)</f>
        <v>0</v>
      </c>
      <c r="N269" s="93">
        <f ca="1">IFERROR(__xludf.DUMMYFUNCTION("IMPORTRANGE(""https://docs.google.com/spreadsheets/d/1MeEWN-I1oV_STSDYn1IFDPWt_1FKiwhDph83XaGc0o0/edit?usp=sharing"",""งบพรบ!DG33"")"),0)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7" t="s">
        <v>38</v>
      </c>
      <c r="E270" s="173"/>
      <c r="F270" s="173"/>
      <c r="G270" s="174"/>
      <c r="H270" s="76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IFERROR(__xludf.DUMMYFUNCTION("IMPORTRANGE(""https://docs.google.com/spreadsheets/d/1QqKyyYR6Q21VydFLVH3TRQUabQu_ym0Zz7PgGX0-kHA/edit?usp=sharing"",""แผน!EA33"")"),26)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6">
        <v>0</v>
      </c>
      <c r="J272" s="506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30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5">
        <f t="shared" ref="I276:J276" ca="1" si="124">I287</f>
        <v>300</v>
      </c>
      <c r="J276" s="885">
        <f t="shared" si="124"/>
        <v>300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288310</v>
      </c>
      <c r="M277" s="155">
        <f t="shared" ca="1" si="125"/>
        <v>288310</v>
      </c>
      <c r="N277" s="155">
        <f t="shared" ca="1" si="125"/>
        <v>288310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7"/>
      <c r="J278" s="617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7"/>
      <c r="J279" s="617"/>
      <c r="K279" s="93"/>
      <c r="L279" s="93">
        <f t="shared" ca="1" si="128"/>
        <v>288310</v>
      </c>
      <c r="M279" s="93">
        <f t="shared" ca="1" si="128"/>
        <v>288310</v>
      </c>
      <c r="N279" s="93">
        <f t="shared" ca="1" si="128"/>
        <v>288310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288310</v>
      </c>
      <c r="M280" s="498">
        <f t="shared" ca="1" si="129"/>
        <v>288310</v>
      </c>
      <c r="N280" s="498">
        <f t="shared" ca="1" si="129"/>
        <v>288310</v>
      </c>
      <c r="O280" s="498">
        <f t="shared" ca="1" si="126"/>
        <v>100</v>
      </c>
      <c r="P280" s="49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IFERROR(__xludf.DUMMYFUNCTION("IMPORTRANGE(""https://docs.google.com/spreadsheets/d/1MeEWN-I1oV_STSDYn1IFDPWt_1FKiwhDph83XaGc0o0/edit?usp=sharing"",""งบพรบ!DI33"")"),288310)</f>
        <v>288310</v>
      </c>
      <c r="M282" s="93">
        <f ca="1">IFERROR(__xludf.DUMMYFUNCTION("IMPORTRANGE(""https://docs.google.com/spreadsheets/d/1MeEWN-I1oV_STSDYn1IFDPWt_1FKiwhDph83XaGc0o0/edit?usp=sharing"",""งบพรบ!DN33"")"),288310)</f>
        <v>288310</v>
      </c>
      <c r="N282" s="93">
        <f ca="1">IFERROR(__xludf.DUMMYFUNCTION("IMPORTRANGE(""https://docs.google.com/spreadsheets/d/1MeEWN-I1oV_STSDYn1IFDPWt_1FKiwhDph83XaGc0o0/edit?usp=sharing"",""งบพรบ!DP33"")"),288310)</f>
        <v>288310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IFERROR(__xludf.DUMMYFUNCTION("IMPORTRANGE(""https://docs.google.com/spreadsheets/d/1MeEWN-I1oV_STSDYn1IFDPWt_1FKiwhDph83XaGc0o0/edit?usp=sharing"",""งบพรบ!DL33"")"),0)</f>
        <v>0</v>
      </c>
      <c r="M285" s="93">
        <f ca="1">IFERROR(__xludf.DUMMYFUNCTION("IMPORTRANGE(""https://docs.google.com/spreadsheets/d/1MeEWN-I1oV_STSDYn1IFDPWt_1FKiwhDph83XaGc0o0/edit?usp=sharing"",""งบพรบ!DO33"")"),0)</f>
        <v>0</v>
      </c>
      <c r="N285" s="93">
        <f ca="1">IFERROR(__xludf.DUMMYFUNCTION("IMPORTRANGE(""https://docs.google.com/spreadsheets/d/1MeEWN-I1oV_STSDYn1IFDPWt_1FKiwhDph83XaGc0o0/edit?usp=sharing"",""งบพรบ!DQ33"")"),0)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7" t="s">
        <v>38</v>
      </c>
      <c r="E286" s="173"/>
      <c r="F286" s="173"/>
      <c r="G286" s="174"/>
      <c r="H286" s="76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6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IFERROR(__xludf.DUMMYFUNCTION("IMPORTRANGE(""https://docs.google.com/spreadsheets/d/1QqKyyYR6Q21VydFLVH3TRQUabQu_ym0Zz7PgGX0-kHA/edit?usp=sharing"",""แผน!EC33"")"),300)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6" t="s">
        <v>130</v>
      </c>
      <c r="E288" s="171"/>
      <c r="F288" s="178"/>
      <c r="G288" s="179"/>
      <c r="H288" s="180" t="s">
        <v>35</v>
      </c>
      <c r="I288" s="681">
        <f ca="1">IFERROR(__xludf.DUMMYFUNCTION("IMPORTRANGE(""https://docs.google.com/spreadsheets/d/1QqKyyYR6Q21VydFLVH3TRQUabQu_ym0Zz7PgGX0-kHA/edit?usp=sharing"",""แผน!EB33"")"),30)</f>
        <v>30</v>
      </c>
      <c r="J288" s="681">
        <f ca="1">IF(AND(J291&gt;=I288,J294&gt;=I288),J294,0)</f>
        <v>30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6" t="s">
        <v>132</v>
      </c>
      <c r="F290" s="178"/>
      <c r="G290" s="179"/>
      <c r="H290" s="764" t="s">
        <v>35</v>
      </c>
      <c r="I290" s="184">
        <f ca="1">IFERROR(__xludf.DUMMYFUNCTION("IMPORTRANGE(""https://docs.google.com/spreadsheets/d/1QqKyyYR6Q21VydFLVH3TRQUabQu_ym0Zz7PgGX0-kHA/edit?usp=sharing"",""แผน!EB33"")"),30)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6" t="s">
        <v>133</v>
      </c>
      <c r="F291" s="178"/>
      <c r="G291" s="179"/>
      <c r="H291" s="764" t="s">
        <v>35</v>
      </c>
      <c r="I291" s="184">
        <f ca="1">IFERROR(__xludf.DUMMYFUNCTION("IMPORTRANGE(""https://docs.google.com/spreadsheets/d/1QqKyyYR6Q21VydFLVH3TRQUabQu_ym0Zz7PgGX0-kHA/edit?usp=sharing"",""แผน!EB33"")"),30)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6" t="s">
        <v>132</v>
      </c>
      <c r="F293" s="178"/>
      <c r="G293" s="179"/>
      <c r="H293" s="764" t="s">
        <v>35</v>
      </c>
      <c r="I293" s="184">
        <f ca="1">IFERROR(__xludf.DUMMYFUNCTION("IMPORTRANGE(""https://docs.google.com/spreadsheets/d/1QqKyyYR6Q21VydFLVH3TRQUabQu_ym0Zz7PgGX0-kHA/edit?usp=sharing"",""แผน!EB33"")"),30)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4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IFERROR(__xludf.DUMMYFUNCTION("IMPORTRANGE(""https://docs.google.com/spreadsheets/d/1QqKyyYR6Q21VydFLVH3TRQUabQu_ym0Zz7PgGX0-kHA/edit?usp=sharing"",""แผน!EB33"")"),30)</f>
        <v>30</v>
      </c>
      <c r="J294" s="424">
        <v>30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7"/>
      <c r="J299" s="617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7"/>
      <c r="J300" s="617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82400</v>
      </c>
      <c r="O301" s="498">
        <f t="shared" ca="1" si="136"/>
        <v>100</v>
      </c>
      <c r="P301" s="49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IFERROR(__xludf.DUMMYFUNCTION("IMPORTRANGE(""https://docs.google.com/spreadsheets/d/1MeEWN-I1oV_STSDYn1IFDPWt_1FKiwhDph83XaGc0o0/edit?usp=sharing"",""งบพรบ!DS33"")"),82400)</f>
        <v>82400</v>
      </c>
      <c r="M303" s="93">
        <f ca="1">IFERROR(__xludf.DUMMYFUNCTION("IMPORTRANGE(""https://docs.google.com/spreadsheets/d/1MeEWN-I1oV_STSDYn1IFDPWt_1FKiwhDph83XaGc0o0/edit?usp=sharing"",""งบพรบ!DX33"")"),82400)</f>
        <v>82400</v>
      </c>
      <c r="N303" s="93">
        <f ca="1">IFERROR(__xludf.DUMMYFUNCTION("IMPORTRANGE(""https://docs.google.com/spreadsheets/d/1MeEWN-I1oV_STSDYn1IFDPWt_1FKiwhDph83XaGc0o0/edit?usp=sharing"",""งบพรบ!DZ33"")"),82400)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IFERROR(__xludf.DUMMYFUNCTION("IMPORTRANGE(""https://docs.google.com/spreadsheets/d/1MeEWN-I1oV_STSDYn1IFDPWt_1FKiwhDph83XaGc0o0/edit?usp=sharing"",""งบพรบ!DV33"")"),0)</f>
        <v>0</v>
      </c>
      <c r="M306" s="93">
        <f ca="1">IFERROR(__xludf.DUMMYFUNCTION("IMPORTRANGE(""https://docs.google.com/spreadsheets/d/1MeEWN-I1oV_STSDYn1IFDPWt_1FKiwhDph83XaGc0o0/edit?usp=sharing"",""งบพรบ!DY33"")"),0)</f>
        <v>0</v>
      </c>
      <c r="N306" s="93">
        <f ca="1">IFERROR(__xludf.DUMMYFUNCTION("IMPORTRANGE(""https://docs.google.com/spreadsheets/d/1MeEWN-I1oV_STSDYn1IFDPWt_1FKiwhDph83XaGc0o0/edit?usp=sharing"",""งบพรบ!EA33"")"),0)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7" t="s">
        <v>38</v>
      </c>
      <c r="E307" s="173"/>
      <c r="F307" s="173"/>
      <c r="G307" s="174"/>
      <c r="H307" s="762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4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4" t="s">
        <v>35</v>
      </c>
      <c r="I309" s="270">
        <f ca="1">IFERROR(__xludf.DUMMYFUNCTION("IMPORTRANGE(""https://docs.google.com/spreadsheets/d/1QqKyyYR6Q21VydFLVH3TRQUabQu_ym0Zz7PgGX0-kHA/edit?usp=sharing"",""แผน!ED33"")"),20)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4" t="s">
        <v>35</v>
      </c>
      <c r="I310" s="270">
        <f ca="1">IFERROR(__xludf.DUMMYFUNCTION("IMPORTRANGE(""https://docs.google.com/spreadsheets/d/1QqKyyYR6Q21VydFLVH3TRQUabQu_ym0Zz7PgGX0-kHA/edit?usp=sharing"",""แผน!ED33"")"),20)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4" t="s">
        <v>35</v>
      </c>
      <c r="I311" s="270">
        <f ca="1">IFERROR(__xludf.DUMMYFUNCTION("IMPORTRANGE(""https://docs.google.com/spreadsheets/d/1QqKyyYR6Q21VydFLVH3TRQUabQu_ym0Zz7PgGX0-kHA/edit?usp=sharing"",""แผน!ED33"")"),20)</f>
        <v>20</v>
      </c>
      <c r="J311" s="215">
        <v>20</v>
      </c>
      <c r="K311" s="498">
        <f t="shared" ca="1" si="141"/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4" t="s">
        <v>35</v>
      </c>
      <c r="I312" s="270">
        <f ca="1">IFERROR(__xludf.DUMMYFUNCTION("IMPORTRANGE(""https://docs.google.com/spreadsheets/d/1QqKyyYR6Q21VydFLVH3TRQUabQu_ym0Zz7PgGX0-kHA/edit?usp=sharing"",""แผน!EE33"")"),4)</f>
        <v>4</v>
      </c>
      <c r="J312" s="215">
        <v>4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7"/>
      <c r="J316" s="617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7"/>
      <c r="J317" s="617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IFERROR(__xludf.DUMMYFUNCTION("IMPORTRANGE(""https://docs.google.com/spreadsheets/d/1MeEWN-I1oV_STSDYn1IFDPWt_1FKiwhDph83XaGc0o0/edit?usp=sharing"",""งบพรบ!EC33"")"),0)</f>
        <v>0</v>
      </c>
      <c r="M320" s="93">
        <f ca="1">IFERROR(__xludf.DUMMYFUNCTION("IMPORTRANGE(""https://docs.google.com/spreadsheets/d/1MeEWN-I1oV_STSDYn1IFDPWt_1FKiwhDph83XaGc0o0/edit?usp=sharing"",""งบพรบ!EH33"")"),0)</f>
        <v>0</v>
      </c>
      <c r="N320" s="93">
        <f ca="1">IFERROR(__xludf.DUMMYFUNCTION("IMPORTRANGE(""https://docs.google.com/spreadsheets/d/1MeEWN-I1oV_STSDYn1IFDPWt_1FKiwhDph83XaGc0o0/edit?usp=sharing"",""งบพรบ!EJ33"")"),0)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IFERROR(__xludf.DUMMYFUNCTION("IMPORTRANGE(""https://docs.google.com/spreadsheets/d/1MeEWN-I1oV_STSDYn1IFDPWt_1FKiwhDph83XaGc0o0/edit?usp=sharing"",""งบพรบ!EF33"")"),0)</f>
        <v>0</v>
      </c>
      <c r="M323" s="93">
        <f ca="1">IFERROR(__xludf.DUMMYFUNCTION("IMPORTRANGE(""https://docs.google.com/spreadsheets/d/1MeEWN-I1oV_STSDYn1IFDPWt_1FKiwhDph83XaGc0o0/edit?usp=sharing"",""งบพรบ!EI33"")"),0)</f>
        <v>0</v>
      </c>
      <c r="N323" s="93">
        <f ca="1">IFERROR(__xludf.DUMMYFUNCTION("IMPORTRANGE(""https://docs.google.com/spreadsheets/d/1MeEWN-I1oV_STSDYn1IFDPWt_1FKiwhDph83XaGc0o0/edit?usp=sharing"",""งบพรบ!EK33"")"),0)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7" t="s">
        <v>38</v>
      </c>
      <c r="E324" s="173"/>
      <c r="F324" s="173"/>
      <c r="G324" s="174"/>
      <c r="H324" s="762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3" t="s">
        <v>146</v>
      </c>
      <c r="I325" s="270">
        <f ca="1">IFERROR(__xludf.DUMMYFUNCTION("IMPORTRANGE(""https://docs.google.com/spreadsheets/d/1QqKyyYR6Q21VydFLVH3TRQUabQu_ym0Zz7PgGX0-kHA/edit?usp=sharing"",""แผน!EF33"")"),0)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IFERROR(__xludf.DUMMYFUNCTION("IMPORTRANGE(""https://docs.google.com/spreadsheets/d/1QqKyyYR6Q21VydFLVH3TRQUabQu_ym0Zz7PgGX0-kHA/edit?usp=sharing"",""แผน!EG33"")"),4300)</f>
        <v>4300</v>
      </c>
      <c r="J327" s="444">
        <f ca="1">J338+J341+J342+J343</f>
        <v>9094</v>
      </c>
      <c r="K327" s="445">
        <f ca="1">IF(I327&gt;0,J327*100/I327,0)</f>
        <v>211.48837209302326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183000</v>
      </c>
      <c r="M328" s="155">
        <f t="shared" ca="1" si="149"/>
        <v>185500</v>
      </c>
      <c r="N328" s="155">
        <f t="shared" ca="1" si="149"/>
        <v>185500</v>
      </c>
      <c r="O328" s="155">
        <f t="shared" ref="O328:O336" ca="1" si="150">IF(L328&gt;0,N328*100/L328,0)</f>
        <v>101.36612021857924</v>
      </c>
      <c r="P328" s="155">
        <f t="shared" ref="P328:P336" ca="1" si="151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7"/>
      <c r="J329" s="617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7"/>
      <c r="J330" s="617"/>
      <c r="K330" s="93"/>
      <c r="L330" s="93">
        <f t="shared" ca="1" si="152"/>
        <v>183000</v>
      </c>
      <c r="M330" s="93">
        <f t="shared" ca="1" si="152"/>
        <v>185500</v>
      </c>
      <c r="N330" s="93">
        <f t="shared" ca="1" si="152"/>
        <v>185500</v>
      </c>
      <c r="O330" s="93">
        <f t="shared" ca="1" si="150"/>
        <v>101.36612021857924</v>
      </c>
      <c r="P330" s="93">
        <f t="shared" ca="1" si="151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183000</v>
      </c>
      <c r="M331" s="498">
        <f t="shared" ca="1" si="153"/>
        <v>185500</v>
      </c>
      <c r="N331" s="498">
        <f t="shared" ca="1" si="153"/>
        <v>185500</v>
      </c>
      <c r="O331" s="498">
        <f t="shared" ca="1" si="150"/>
        <v>101.36612021857924</v>
      </c>
      <c r="P331" s="498">
        <f t="shared" ca="1" si="151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IFERROR(__xludf.DUMMYFUNCTION("IMPORTRANGE(""https://docs.google.com/spreadsheets/d/1MeEWN-I1oV_STSDYn1IFDPWt_1FKiwhDph83XaGc0o0/edit?usp=sharing"",""งบพรบ!EM33"")"),183000)</f>
        <v>183000</v>
      </c>
      <c r="M333" s="93">
        <f ca="1">IFERROR(__xludf.DUMMYFUNCTION("IMPORTRANGE(""https://docs.google.com/spreadsheets/d/1MeEWN-I1oV_STSDYn1IFDPWt_1FKiwhDph83XaGc0o0/edit?usp=sharing"",""งบพรบ!ER33"")"),185500)</f>
        <v>185500</v>
      </c>
      <c r="N333" s="93">
        <f ca="1">IFERROR(__xludf.DUMMYFUNCTION("IMPORTRANGE(""https://docs.google.com/spreadsheets/d/1MeEWN-I1oV_STSDYn1IFDPWt_1FKiwhDph83XaGc0o0/edit?usp=sharing"",""งบพรบ!ET33"")"),185500)</f>
        <v>185500</v>
      </c>
      <c r="O333" s="93">
        <f t="shared" ca="1" si="150"/>
        <v>101.36612021857924</v>
      </c>
      <c r="P333" s="93">
        <f t="shared" ca="1" si="151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IFERROR(__xludf.DUMMYFUNCTION("IMPORTRANGE(""https://docs.google.com/spreadsheets/d/1MeEWN-I1oV_STSDYn1IFDPWt_1FKiwhDph83XaGc0o0/edit?usp=sharing"",""งบพรบ!EP33"")"),0)</f>
        <v>0</v>
      </c>
      <c r="M336" s="93">
        <f ca="1">IFERROR(__xludf.DUMMYFUNCTION("IMPORTRANGE(""https://docs.google.com/spreadsheets/d/1MeEWN-I1oV_STSDYn1IFDPWt_1FKiwhDph83XaGc0o0/edit?usp=sharing"",""งบพรบ!ES33"")"),0)</f>
        <v>0</v>
      </c>
      <c r="N336" s="93">
        <f ca="1">IFERROR(__xludf.DUMMYFUNCTION("IMPORTRANGE(""https://docs.google.com/spreadsheets/d/1MeEWN-I1oV_STSDYn1IFDPWt_1FKiwhDph83XaGc0o0/edit?usp=sharing"",""งบพรบ!EU33"")"),0)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86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62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IFERROR(__xludf.DUMMYFUNCTION("IMPORTRANGE(""https://docs.google.com/spreadsheets/d/1QqKyyYR6Q21VydFLVH3TRQUabQu_ym0Zz7PgGX0-kHA/edit?usp=sharing"",""แผน!EG33"")"),4300)</f>
        <v>4300</v>
      </c>
      <c r="J338" s="270">
        <f ca="1">IFERROR(__xludf.DUMMYFUNCTION("IMPORTRANGE(""https://docs.google.com/spreadsheets/d/1kVcqe37tkHyjCSG3S0O1AXqVkqjo8mSIZil3BcpIysc/edit?usp=sharing"",""ศูนย์!D33"")"),8621)</f>
        <v>8621</v>
      </c>
      <c r="K338" s="498">
        <f ca="1">IF(I338&gt;0,J338*100/I338,0)</f>
        <v>200.48837209302326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IFERROR(__xludf.DUMMYFUNCTION("IMPORTRANGE(""https://docs.google.com/spreadsheets/d/1QqKyyYR6Q21VydFLVH3TRQUabQu_ym0Zz7PgGX0-kHA/edit?usp=sharing"",""แผน!EH33"")"),10)</f>
        <v>10</v>
      </c>
      <c r="J340" s="270">
        <f ca="1">IFERROR(__xludf.DUMMYFUNCTION("IMPORTRANGE(""https://docs.google.com/spreadsheets/d/1kVcqe37tkHyjCSG3S0O1AXqVkqjo8mSIZil3BcpIysc/edit?usp=sharing"",""ศูนย์!E33"")"),10)</f>
        <v>10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IFERROR(__xludf.DUMMYFUNCTION("IMPORTRANGE(""https://docs.google.com/spreadsheets/d/1kVcqe37tkHyjCSG3S0O1AXqVkqjo8mSIZil3BcpIysc/edit?usp=sharing"",""ศูนย์!F33"")"),469)</f>
        <v>469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IFERROR(__xludf.DUMMYFUNCTION("IMPORTRANGE(""https://docs.google.com/spreadsheets/d/1kVcqe37tkHyjCSG3S0O1AXqVkqjo8mSIZil3BcpIysc/edit?usp=sharing"",""ศูนย์!G33"")"),4)</f>
        <v>4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IFERROR(__xludf.DUMMYFUNCTION("IMPORTRANGE(""https://docs.google.com/spreadsheets/d/1kVcqe37tkHyjCSG3S0O1AXqVkqjo8mSIZil3BcpIysc/edit?usp=sharing"",""ศูนย์!H33"")"),0)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1082650</v>
      </c>
      <c r="M345" s="155">
        <f t="shared" ca="1" si="155"/>
        <v>1211330</v>
      </c>
      <c r="N345" s="155">
        <f t="shared" ca="1" si="155"/>
        <v>1211330</v>
      </c>
      <c r="O345" s="155">
        <f t="shared" ref="O345:O353" ca="1" si="156">IF(L345&gt;0,N345*100/L345,0)</f>
        <v>111.88565094906018</v>
      </c>
      <c r="P345" s="155">
        <f t="shared" ref="P345:P353" ca="1" si="157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7"/>
      <c r="J346" s="617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7"/>
      <c r="J347" s="617"/>
      <c r="K347" s="93"/>
      <c r="L347" s="93">
        <f t="shared" ca="1" si="158"/>
        <v>1082650</v>
      </c>
      <c r="M347" s="93">
        <f t="shared" ca="1" si="158"/>
        <v>1211330</v>
      </c>
      <c r="N347" s="93">
        <f t="shared" ca="1" si="158"/>
        <v>1211330</v>
      </c>
      <c r="O347" s="93">
        <f t="shared" ca="1" si="156"/>
        <v>111.88565094906018</v>
      </c>
      <c r="P347" s="93">
        <f t="shared" ca="1" si="157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984850</v>
      </c>
      <c r="M348" s="498">
        <f t="shared" ca="1" si="159"/>
        <v>1114130</v>
      </c>
      <c r="N348" s="498">
        <f t="shared" ca="1" si="159"/>
        <v>1114130</v>
      </c>
      <c r="O348" s="498">
        <f t="shared" ca="1" si="156"/>
        <v>113.12687211250444</v>
      </c>
      <c r="P348" s="498">
        <f t="shared" ca="1" si="157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IFERROR(__xludf.DUMMYFUNCTION("IMPORTRANGE(""https://docs.google.com/spreadsheets/d/1MeEWN-I1oV_STSDYn1IFDPWt_1FKiwhDph83XaGc0o0/edit?usp=sharing"",""งบพรบ!EW33"")"),984850)</f>
        <v>984850</v>
      </c>
      <c r="M350" s="93">
        <f ca="1">IFERROR(__xludf.DUMMYFUNCTION("IMPORTRANGE(""https://docs.google.com/spreadsheets/d/1MeEWN-I1oV_STSDYn1IFDPWt_1FKiwhDph83XaGc0o0/edit?usp=sharing"",""งบพรบ!FB33"")"),1114130)</f>
        <v>1114130</v>
      </c>
      <c r="N350" s="93">
        <f ca="1">IFERROR(__xludf.DUMMYFUNCTION("IMPORTRANGE(""https://docs.google.com/spreadsheets/d/1MeEWN-I1oV_STSDYn1IFDPWt_1FKiwhDph83XaGc0o0/edit?usp=sharing"",""งบพรบ!FD33"")"),1114130)</f>
        <v>1114130</v>
      </c>
      <c r="O350" s="93">
        <f t="shared" ca="1" si="156"/>
        <v>113.12687211250444</v>
      </c>
      <c r="P350" s="93">
        <f t="shared" ca="1" si="157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97800</v>
      </c>
      <c r="M351" s="498">
        <f t="shared" ca="1" si="160"/>
        <v>97200</v>
      </c>
      <c r="N351" s="498">
        <f t="shared" ca="1" si="160"/>
        <v>97200</v>
      </c>
      <c r="O351" s="498">
        <f t="shared" ca="1" si="156"/>
        <v>99.386503067484668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IFERROR(__xludf.DUMMYFUNCTION("IMPORTRANGE(""https://docs.google.com/spreadsheets/d/1MeEWN-I1oV_STSDYn1IFDPWt_1FKiwhDph83XaGc0o0/edit?usp=sharing"",""งบพรบ!EZ33"")"),97800)</f>
        <v>97800</v>
      </c>
      <c r="M353" s="93">
        <f ca="1">IFERROR(__xludf.DUMMYFUNCTION("IMPORTRANGE(""https://docs.google.com/spreadsheets/d/1MeEWN-I1oV_STSDYn1IFDPWt_1FKiwhDph83XaGc0o0/edit?usp=sharing"",""งบพรบ!FC33"")"),97200)</f>
        <v>97200</v>
      </c>
      <c r="N353" s="93">
        <f ca="1">IFERROR(__xludf.DUMMYFUNCTION("IMPORTRANGE(""https://docs.google.com/spreadsheets/d/1MeEWN-I1oV_STSDYn1IFDPWt_1FKiwhDph83XaGc0o0/edit?usp=sharing"",""งบพรบ!FE33"")"),97200)</f>
        <v>97200</v>
      </c>
      <c r="O353" s="93">
        <f t="shared" ca="1" si="156"/>
        <v>99.386503067484668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8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IFERROR(__xludf.DUMMYFUNCTION("IMPORTRANGE(""https://docs.google.com/spreadsheets/d/1QqKyyYR6Q21VydFLVH3TRQUabQu_ym0Zz7PgGX0-kHA/edit?usp=sharing"",""แผน!EP33"")"),450)</f>
        <v>450</v>
      </c>
      <c r="J355" s="465">
        <f ca="1">J362</f>
        <v>388</v>
      </c>
      <c r="K355" s="466">
        <f ca="1">IF(I355&gt;0,J355*100/I355,0)</f>
        <v>86.222222222222229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77" t="s">
        <v>38</v>
      </c>
      <c r="E357" s="173"/>
      <c r="F357" s="173"/>
      <c r="G357" s="174"/>
      <c r="H357" s="762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IFERROR(__xludf.DUMMYFUNCTION("IMPORTRANGE(""https://docs.google.com/spreadsheets/d/1XWAQStnk-4SwqDmLtmXYiTMKHgktTP8We1SCoS47DrQ/edit?usp=sharing"",""จัดที่ดิน!W33"")"),458)</f>
        <v>458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IFERROR(__xludf.DUMMYFUNCTION("IMPORTRANGE(""https://docs.google.com/spreadsheets/d/1QqKyyYR6Q21VydFLVH3TRQUabQu_ym0Zz7PgGX0-kHA/edit?usp=sharing"",""แผน!EO33"")"),4500)</f>
        <v>4500</v>
      </c>
      <c r="J359" s="270">
        <f ca="1">IFERROR(__xludf.DUMMYFUNCTION("IMPORTRANGE(""https://docs.google.com/spreadsheets/d/1XWAQStnk-4SwqDmLtmXYiTMKHgktTP8We1SCoS47DrQ/edit?usp=sharing"",""จัดที่ดิน!X33"")"),4504.13999999999)</f>
        <v>4504.1399999999903</v>
      </c>
      <c r="K359" s="498">
        <f t="shared" ca="1" si="161"/>
        <v>100.09199999999979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4" t="s">
        <v>35</v>
      </c>
      <c r="I360" s="270">
        <f ca="1">IFERROR(__xludf.DUMMYFUNCTION("IMPORTRANGE(""https://docs.google.com/spreadsheets/d/1QqKyyYR6Q21VydFLVH3TRQUabQu_ym0Zz7PgGX0-kHA/edit?usp=sharing"",""แผน!EP33"")"),450)</f>
        <v>450</v>
      </c>
      <c r="J360" s="270">
        <f ca="1">IFERROR(__xludf.DUMMYFUNCTION("IMPORTRANGE(""https://docs.google.com/spreadsheets/d/1XWAQStnk-4SwqDmLtmXYiTMKHgktTP8We1SCoS47DrQ/edit?usp=sharing"",""จัดที่ดิน!Y33"")"),458)</f>
        <v>458</v>
      </c>
      <c r="K360" s="498">
        <f t="shared" ca="1" si="161"/>
        <v>101.77777777777777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IFERROR(__xludf.DUMMYFUNCTION("IMPORTRANGE(""https://docs.google.com/spreadsheets/d/1XWAQStnk-4SwqDmLtmXYiTMKHgktTP8We1SCoS47DrQ/edit?usp=sharing"",""จัดที่ดิน!Z33"")"),4494.04)</f>
        <v>4494.04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4" t="s">
        <v>35</v>
      </c>
      <c r="I362" s="270">
        <f ca="1">IFERROR(__xludf.DUMMYFUNCTION("IMPORTRANGE(""https://docs.google.com/spreadsheets/d/1QqKyyYR6Q21VydFLVH3TRQUabQu_ym0Zz7PgGX0-kHA/edit?usp=sharing"",""แผน!EP33"")"),450)</f>
        <v>450</v>
      </c>
      <c r="J362" s="270">
        <f ca="1">IFERROR(__xludf.DUMMYFUNCTION("IMPORTRANGE(""https://docs.google.com/spreadsheets/d/1XWAQStnk-4SwqDmLtmXYiTMKHgktTP8We1SCoS47DrQ/edit?usp=sharing"",""จัดที่ดิน!AA33"")"),388)</f>
        <v>388</v>
      </c>
      <c r="K362" s="498">
        <f t="shared" ca="1" si="161"/>
        <v>86.222222222222229</v>
      </c>
      <c r="L362" s="163"/>
      <c r="M362" s="163"/>
      <c r="N362" s="163"/>
      <c r="O362" s="163"/>
      <c r="P362" s="163"/>
    </row>
    <row r="363" spans="1:26" ht="18.75" hidden="1">
      <c r="A363" s="499" t="s">
        <v>169</v>
      </c>
      <c r="B363" s="178"/>
      <c r="C363" s="171"/>
      <c r="D363" s="178"/>
      <c r="E363" s="447"/>
      <c r="F363" s="178"/>
      <c r="G363" s="179"/>
      <c r="H363" s="76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IFERROR(__xludf.DUMMYFUNCTION("IMPORTRANGE(""https://docs.google.com/spreadsheets/d/1XWAQStnk-4SwqDmLtmXYiTMKHgktTP8We1SCoS47DrQ/edit?usp=sharing"",""จัดที่ดิน!AB33"")"),3576.88)</f>
        <v>3576.88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t="shared" ref="I364:J364" ca="1" si="162">I365+I374</f>
        <v>1200</v>
      </c>
      <c r="J364" s="479">
        <f t="shared" ca="1" si="162"/>
        <v>1384</v>
      </c>
      <c r="K364" s="480">
        <f t="shared" ca="1" si="161"/>
        <v>115.33333333333333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IFERROR(__xludf.DUMMYFUNCTION("IMPORTRANGE(""https://docs.google.com/spreadsheets/d/1QqKyyYR6Q21VydFLVH3TRQUabQu_ym0Zz7PgGX0-kHA/edit?usp=sharing"",""แผน!EJ33"")"),100)</f>
        <v>100</v>
      </c>
      <c r="J365" s="491">
        <f ca="1">J372</f>
        <v>106</v>
      </c>
      <c r="K365" s="492">
        <f t="shared" ca="1" si="161"/>
        <v>106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77" t="s">
        <v>38</v>
      </c>
      <c r="E367" s="173"/>
      <c r="F367" s="173"/>
      <c r="G367" s="174"/>
      <c r="H367" s="762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IFERROR(__xludf.DUMMYFUNCTION("IMPORTRANGE(""https://docs.google.com/spreadsheets/d/1XWAQStnk-4SwqDmLtmXYiTMKHgktTP8We1SCoS47DrQ/edit?usp=sharing"",""จัดที่ดิน!E33"")"),107)</f>
        <v>107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IFERROR(__xludf.DUMMYFUNCTION("IMPORTRANGE(""https://docs.google.com/spreadsheets/d/1QqKyyYR6Q21VydFLVH3TRQUabQu_ym0Zz7PgGX0-kHA/edit?usp=sharing"",""แผน!EI33"")"),1000)</f>
        <v>1000</v>
      </c>
      <c r="J369" s="270">
        <f ca="1">IFERROR(__xludf.DUMMYFUNCTION("IMPORTRANGE(""https://docs.google.com/spreadsheets/d/1XWAQStnk-4SwqDmLtmXYiTMKHgktTP8We1SCoS47DrQ/edit?usp=sharing"",""จัดที่ดิน!F33"")"),1156.79)</f>
        <v>1156.79</v>
      </c>
      <c r="K369" s="498">
        <f t="shared" ca="1" si="163"/>
        <v>115.679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4" t="s">
        <v>35</v>
      </c>
      <c r="I370" s="270">
        <f ca="1">IFERROR(__xludf.DUMMYFUNCTION("IMPORTRANGE(""https://docs.google.com/spreadsheets/d/1QqKyyYR6Q21VydFLVH3TRQUabQu_ym0Zz7PgGX0-kHA/edit?usp=sharing"",""แผน!EJ33"")"),100)</f>
        <v>100</v>
      </c>
      <c r="J370" s="270">
        <f ca="1">IFERROR(__xludf.DUMMYFUNCTION("IMPORTRANGE(""https://docs.google.com/spreadsheets/d/1XWAQStnk-4SwqDmLtmXYiTMKHgktTP8We1SCoS47DrQ/edit?usp=sharing"",""จัดที่ดิน!G33"")"),107)</f>
        <v>107</v>
      </c>
      <c r="K370" s="498">
        <f t="shared" ca="1" si="163"/>
        <v>107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IFERROR(__xludf.DUMMYFUNCTION("IMPORTRANGE(""https://docs.google.com/spreadsheets/d/1XWAQStnk-4SwqDmLtmXYiTMKHgktTP8We1SCoS47DrQ/edit?usp=sharing"",""จัดที่ดิน!H33"")"),1146.69)</f>
        <v>1146.69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4" t="s">
        <v>35</v>
      </c>
      <c r="I372" s="270">
        <f ca="1">IFERROR(__xludf.DUMMYFUNCTION("IMPORTRANGE(""https://docs.google.com/spreadsheets/d/1QqKyyYR6Q21VydFLVH3TRQUabQu_ym0Zz7PgGX0-kHA/edit?usp=sharing"",""แผน!EJ33"")"),100)</f>
        <v>100</v>
      </c>
      <c r="J372" s="270">
        <f ca="1">IFERROR(__xludf.DUMMYFUNCTION("IMPORTRANGE(""https://docs.google.com/spreadsheets/d/1XWAQStnk-4SwqDmLtmXYiTMKHgktTP8We1SCoS47DrQ/edit?usp=sharing"",""จัดที่ดิน!I33"")"),106)</f>
        <v>106</v>
      </c>
      <c r="K372" s="498">
        <f t="shared" ca="1" si="163"/>
        <v>106</v>
      </c>
      <c r="L372" s="163"/>
      <c r="M372" s="163"/>
      <c r="N372" s="163"/>
      <c r="O372" s="163"/>
      <c r="P372" s="163"/>
    </row>
    <row r="373" spans="1:26" ht="18.75">
      <c r="A373" s="499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8"/>
      <c r="C373" s="171"/>
      <c r="D373" s="178"/>
      <c r="E373" s="447"/>
      <c r="F373" s="178"/>
      <c r="G373" s="179"/>
      <c r="H373" s="76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IFERROR(__xludf.DUMMYFUNCTION("IMPORTRANGE(""https://docs.google.com/spreadsheets/d/1XWAQStnk-4SwqDmLtmXYiTMKHgktTP8We1SCoS47DrQ/edit?usp=sharing"",""จัดที่ดิน!J33"")"),1127.3)</f>
        <v>1127.3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IFERROR(__xludf.DUMMYFUNCTION("IMPORTRANGE(""https://docs.google.com/spreadsheets/d/1QqKyyYR6Q21VydFLVH3TRQUabQu_ym0Zz7PgGX0-kHA/edit?usp=sharing"",""แผน!EU33"")"),1100)</f>
        <v>1100</v>
      </c>
      <c r="J374" s="491">
        <f ca="1">J381</f>
        <v>1278</v>
      </c>
      <c r="K374" s="492">
        <f t="shared" ca="1" si="163"/>
        <v>116.18181818181819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77" t="s">
        <v>38</v>
      </c>
      <c r="E376" s="173"/>
      <c r="F376" s="173"/>
      <c r="G376" s="174"/>
      <c r="H376" s="762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IFERROR(__xludf.DUMMYFUNCTION("IMPORTRANGE(""https://docs.google.com/spreadsheets/d/1XWAQStnk-4SwqDmLtmXYiTMKHgktTP8We1SCoS47DrQ/edit?usp=sharing"",""จัดที่ดิน!AH33"")"),351)</f>
        <v>351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IFERROR(__xludf.DUMMYFUNCTION("IMPORTRANGE(""https://docs.google.com/spreadsheets/d/1QqKyyYR6Q21VydFLVH3TRQUabQu_ym0Zz7PgGX0-kHA/edit?usp=sharing"",""แผน!ET33"")"),3500)</f>
        <v>3500</v>
      </c>
      <c r="J378" s="270">
        <f ca="1">IFERROR(__xludf.DUMMYFUNCTION("IMPORTRANGE(""https://docs.google.com/spreadsheets/d/1XWAQStnk-4SwqDmLtmXYiTMKHgktTP8We1SCoS47DrQ/edit?usp=sharing"",""จัดที่ดิน!AI33"")"),3347.35)</f>
        <v>3347.35</v>
      </c>
      <c r="K378" s="498">
        <f t="shared" ca="1" si="164"/>
        <v>95.638571428571424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4" t="s">
        <v>35</v>
      </c>
      <c r="I379" s="270">
        <f ca="1">IFERROR(__xludf.DUMMYFUNCTION("IMPORTRANGE(""https://docs.google.com/spreadsheets/d/1QqKyyYR6Q21VydFLVH3TRQUabQu_ym0Zz7PgGX0-kHA/edit?usp=sharing"",""แผน!EU33"")"),1100)</f>
        <v>1100</v>
      </c>
      <c r="J379" s="270">
        <f ca="1">IFERROR(__xludf.DUMMYFUNCTION("IMPORTRANGE(""https://docs.google.com/spreadsheets/d/1XWAQStnk-4SwqDmLtmXYiTMKHgktTP8We1SCoS47DrQ/edit?usp=sharing"",""จัดที่ดิน!AJ33"")"),1348)</f>
        <v>1348</v>
      </c>
      <c r="K379" s="498">
        <f t="shared" ca="1" si="164"/>
        <v>122.54545454545455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IFERROR(__xludf.DUMMYFUNCTION("IMPORTRANGE(""https://docs.google.com/spreadsheets/d/1XWAQStnk-4SwqDmLtmXYiTMKHgktTP8We1SCoS47DrQ/edit?usp=sharing"",""จัดที่ดิน!AK33"")"),16331.43)</f>
        <v>16331.43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4" t="s">
        <v>35</v>
      </c>
      <c r="I381" s="270">
        <f ca="1">IFERROR(__xludf.DUMMYFUNCTION("IMPORTRANGE(""https://docs.google.com/spreadsheets/d/1QqKyyYR6Q21VydFLVH3TRQUabQu_ym0Zz7PgGX0-kHA/edit?usp=sharing"",""แผน!EU33"")"),1100)</f>
        <v>1100</v>
      </c>
      <c r="J381" s="270">
        <f ca="1">IFERROR(__xludf.DUMMYFUNCTION("IMPORTRANGE(""https://docs.google.com/spreadsheets/d/1XWAQStnk-4SwqDmLtmXYiTMKHgktTP8We1SCoS47DrQ/edit?usp=sharing"",""จัดที่ดิน!AL33"")"),1278)</f>
        <v>1278</v>
      </c>
      <c r="K381" s="498">
        <f t="shared" ca="1" si="164"/>
        <v>116.18181818181819</v>
      </c>
      <c r="L381" s="163"/>
      <c r="M381" s="163"/>
      <c r="N381" s="163"/>
      <c r="O381" s="163"/>
      <c r="P381" s="163"/>
    </row>
    <row r="382" spans="1:26" ht="18.75">
      <c r="A382" s="499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8"/>
      <c r="C382" s="171"/>
      <c r="D382" s="178"/>
      <c r="E382" s="447"/>
      <c r="F382" s="178"/>
      <c r="G382" s="179"/>
      <c r="H382" s="76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IFERROR(__xludf.DUMMYFUNCTION("IMPORTRANGE(""https://docs.google.com/spreadsheets/d/1XWAQStnk-4SwqDmLtmXYiTMKHgktTP8We1SCoS47DrQ/edit?usp=sharing"",""จัดที่ดิน!AM33"")"),15415.75)</f>
        <v>15415.75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500"/>
      <c r="B383" s="501"/>
      <c r="C383" s="291"/>
      <c r="D383" s="889" t="s">
        <v>170</v>
      </c>
      <c r="E383" s="291"/>
      <c r="F383" s="291"/>
      <c r="G383" s="503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86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62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4" t="s">
        <v>171</v>
      </c>
      <c r="F385" s="381"/>
      <c r="G385" s="382"/>
      <c r="H385" s="505" t="s">
        <v>35</v>
      </c>
      <c r="I385" s="506">
        <f ca="1">IFERROR(__xludf.DUMMYFUNCTION("IMPORTRANGE(""https://docs.google.com/spreadsheets/d/1QqKyyYR6Q21VydFLVH3TRQUabQu_ym0Zz7PgGX0-kHA/edit?usp=sharing"",""แผน!EW33"")"),20)</f>
        <v>20</v>
      </c>
      <c r="J385" s="506">
        <f ca="1">IFERROR(__xludf.DUMMYFUNCTION("IMPORTRANGE(""https://docs.google.com/spreadsheets/d/1XWAQStnk-4SwqDmLtmXYiTMKHgktTP8We1SCoS47DrQ/edit?usp=sharing"",""จัดที่ดิน!AP33"")"),32)</f>
        <v>32</v>
      </c>
      <c r="K385" s="507">
        <f ca="1">IF(I385&gt;0,J385*100/I385,0)</f>
        <v>160</v>
      </c>
      <c r="L385" s="385"/>
      <c r="M385" s="385"/>
      <c r="N385" s="385"/>
      <c r="O385" s="385"/>
      <c r="P385" s="385"/>
    </row>
    <row r="386" spans="1:26" ht="19.5" hidden="1">
      <c r="A386" s="508" t="s">
        <v>172</v>
      </c>
      <c r="B386" s="509"/>
      <c r="C386" s="509"/>
      <c r="D386" s="509"/>
      <c r="E386" s="510"/>
      <c r="F386" s="510"/>
      <c r="G386" s="511"/>
      <c r="H386" s="512"/>
      <c r="I386" s="513"/>
      <c r="J386" s="513"/>
      <c r="K386" s="514"/>
      <c r="L386" s="514"/>
      <c r="M386" s="514"/>
      <c r="N386" s="514"/>
      <c r="O386" s="514"/>
      <c r="P386" s="514"/>
    </row>
    <row r="387" spans="1:26" ht="19.5" hidden="1">
      <c r="A387" s="515" t="s">
        <v>173</v>
      </c>
      <c r="B387" s="516"/>
      <c r="C387" s="516"/>
      <c r="D387" s="517"/>
      <c r="E387" s="516"/>
      <c r="F387" s="516"/>
      <c r="G387" s="516"/>
      <c r="H387" s="518"/>
      <c r="I387" s="519"/>
      <c r="J387" s="519"/>
      <c r="K387" s="520"/>
      <c r="L387" s="520"/>
      <c r="M387" s="520"/>
      <c r="N387" s="520"/>
      <c r="O387" s="520"/>
      <c r="P387" s="520"/>
    </row>
    <row r="388" spans="1:26" ht="19.5" hidden="1">
      <c r="A388" s="521"/>
      <c r="B388" s="522" t="s">
        <v>174</v>
      </c>
      <c r="C388" s="523"/>
      <c r="D388" s="524"/>
      <c r="E388" s="524"/>
      <c r="F388" s="524"/>
      <c r="G388" s="525"/>
      <c r="H388" s="526" t="s">
        <v>66</v>
      </c>
      <c r="I388" s="527">
        <f t="shared" ref="I388:J388" si="165">I400</f>
        <v>0</v>
      </c>
      <c r="J388" s="527">
        <f t="shared" si="165"/>
        <v>0</v>
      </c>
      <c r="K388" s="528">
        <f>IF(I388&gt;0,J388*100/I388,0)</f>
        <v>0</v>
      </c>
      <c r="L388" s="529"/>
      <c r="M388" s="529"/>
      <c r="N388" s="529"/>
      <c r="O388" s="529"/>
      <c r="P388" s="529"/>
    </row>
    <row r="389" spans="1:26" ht="19.5" hidden="1">
      <c r="A389" s="147"/>
      <c r="B389" s="148"/>
      <c r="C389" s="149" t="s">
        <v>16</v>
      </c>
      <c r="D389" s="87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7"/>
      <c r="J390" s="617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7"/>
      <c r="J391" s="617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IFERROR(__xludf.DUMMYFUNCTION("IMPORTRANGE(""https://docs.google.com/spreadsheets/d/1MeEWN-I1oV_STSDYn1IFDPWt_1FKiwhDph83XaGc0o0/edit?usp=sharing"",""งบพรบ!FG33"")"),0)</f>
        <v>0</v>
      </c>
      <c r="M394" s="93">
        <f ca="1">IFERROR(__xludf.DUMMYFUNCTION("IMPORTRANGE(""https://docs.google.com/spreadsheets/d/1MeEWN-I1oV_STSDYn1IFDPWt_1FKiwhDph83XaGc0o0/edit?usp=sharing"",""งบพรบ!FL33"")"),0)</f>
        <v>0</v>
      </c>
      <c r="N394" s="93">
        <f ca="1">IFERROR(__xludf.DUMMYFUNCTION("IMPORTRANGE(""https://docs.google.com/spreadsheets/d/1MeEWN-I1oV_STSDYn1IFDPWt_1FKiwhDph83XaGc0o0/edit?usp=sharing"",""งบพรบ!FN33"")"),0)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IFERROR(__xludf.DUMMYFUNCTION("IMPORTRANGE(""https://docs.google.com/spreadsheets/d/1MeEWN-I1oV_STSDYn1IFDPWt_1FKiwhDph83XaGc0o0/edit?usp=sharing"",""งบพรบ!FJ33"")"),0)</f>
        <v>0</v>
      </c>
      <c r="M397" s="93">
        <f ca="1">IFERROR(__xludf.DUMMYFUNCTION("IMPORTRANGE(""https://docs.google.com/spreadsheets/d/1MeEWN-I1oV_STSDYn1IFDPWt_1FKiwhDph83XaGc0o0/edit?usp=sharing"",""งบพรบ!FM33"")"),0)</f>
        <v>0</v>
      </c>
      <c r="N397" s="93">
        <f ca="1">IFERROR(__xludf.DUMMYFUNCTION("IMPORTRANGE(""https://docs.google.com/spreadsheets/d/1MeEWN-I1oV_STSDYn1IFDPWt_1FKiwhDph83XaGc0o0/edit?usp=sharing"",""งบพรบ!FO33"")"),0)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7" t="s">
        <v>38</v>
      </c>
      <c r="E398" s="173"/>
      <c r="F398" s="173"/>
      <c r="G398" s="174"/>
      <c r="H398" s="762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30"/>
      <c r="B399" s="148"/>
      <c r="C399" s="531"/>
      <c r="D399" s="532" t="s">
        <v>175</v>
      </c>
      <c r="E399" s="415"/>
      <c r="F399" s="148"/>
      <c r="G399" s="151"/>
      <c r="H399" s="533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4"/>
      <c r="M399" s="534"/>
      <c r="N399" s="534"/>
      <c r="O399" s="534"/>
      <c r="P399" s="534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1"/>
      <c r="B401" s="522" t="s">
        <v>177</v>
      </c>
      <c r="C401" s="523"/>
      <c r="D401" s="524"/>
      <c r="E401" s="524"/>
      <c r="F401" s="524"/>
      <c r="G401" s="525"/>
      <c r="H401" s="526" t="s">
        <v>66</v>
      </c>
      <c r="I401" s="527">
        <f t="shared" ref="I401:J401" si="173">I412</f>
        <v>0</v>
      </c>
      <c r="J401" s="527">
        <f t="shared" si="173"/>
        <v>0</v>
      </c>
      <c r="K401" s="528">
        <f t="shared" si="172"/>
        <v>0</v>
      </c>
      <c r="L401" s="529"/>
      <c r="M401" s="529"/>
      <c r="N401" s="529"/>
      <c r="O401" s="529"/>
      <c r="P401" s="529"/>
    </row>
    <row r="402" spans="1:26" ht="19.5" hidden="1">
      <c r="A402" s="147"/>
      <c r="B402" s="148"/>
      <c r="C402" s="149" t="s">
        <v>16</v>
      </c>
      <c r="D402" s="87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7"/>
      <c r="J403" s="617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7"/>
      <c r="J404" s="617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IFERROR(__xludf.DUMMYFUNCTION("IMPORTRANGE(""https://docs.google.com/spreadsheets/d/1MeEWN-I1oV_STSDYn1IFDPWt_1FKiwhDph83XaGc0o0/edit?usp=sharing"",""งบพรบ!FQ33"")"),0)</f>
        <v>0</v>
      </c>
      <c r="M407" s="93">
        <f ca="1">IFERROR(__xludf.DUMMYFUNCTION("IMPORTRANGE(""https://docs.google.com/spreadsheets/d/1MeEWN-I1oV_STSDYn1IFDPWt_1FKiwhDph83XaGc0o0/edit?usp=sharing"",""งบพรบ!FV33"")"),0)</f>
        <v>0</v>
      </c>
      <c r="N407" s="93">
        <f ca="1">IFERROR(__xludf.DUMMYFUNCTION("IMPORTRANGE(""https://docs.google.com/spreadsheets/d/1MeEWN-I1oV_STSDYn1IFDPWt_1FKiwhDph83XaGc0o0/edit?usp=sharing"",""งบพรบ!FX33"")"),0)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IFERROR(__xludf.DUMMYFUNCTION("IMPORTRANGE(""https://docs.google.com/spreadsheets/d/1MeEWN-I1oV_STSDYn1IFDPWt_1FKiwhDph83XaGc0o0/edit?usp=sharing"",""งบพรบ!FT33"")"),0)</f>
        <v>0</v>
      </c>
      <c r="M410" s="93">
        <f ca="1">IFERROR(__xludf.DUMMYFUNCTION("IMPORTRANGE(""https://docs.google.com/spreadsheets/d/1MeEWN-I1oV_STSDYn1IFDPWt_1FKiwhDph83XaGc0o0/edit?usp=sharing"",""งบพรบ!FW33"")"),0)</f>
        <v>0</v>
      </c>
      <c r="N410" s="93">
        <f ca="1">IFERROR(__xludf.DUMMYFUNCTION("IMPORTRANGE(""https://docs.google.com/spreadsheets/d/1MeEWN-I1oV_STSDYn1IFDPWt_1FKiwhDph83XaGc0o0/edit?usp=sharing"",""งบพรบ!FY33"")"),0)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90" t="s">
        <v>38</v>
      </c>
      <c r="E411" s="536"/>
      <c r="F411" s="536"/>
      <c r="G411" s="537"/>
      <c r="H411" s="762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8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9"/>
      <c r="B413" s="540"/>
      <c r="C413" s="540"/>
      <c r="D413" s="541" t="s">
        <v>179</v>
      </c>
      <c r="E413" s="540"/>
      <c r="F413" s="540"/>
      <c r="G413" s="542"/>
      <c r="H413" s="543" t="s">
        <v>180</v>
      </c>
      <c r="I413" s="544">
        <v>0</v>
      </c>
      <c r="J413" s="545">
        <v>0</v>
      </c>
      <c r="K413" s="546">
        <f t="shared" si="180"/>
        <v>0</v>
      </c>
      <c r="L413" s="547"/>
      <c r="M413" s="547"/>
      <c r="N413" s="547"/>
      <c r="O413" s="547"/>
      <c r="P413" s="547"/>
    </row>
    <row r="414" spans="1:26" ht="19.5">
      <c r="A414" s="548" t="s">
        <v>181</v>
      </c>
      <c r="B414" s="549"/>
      <c r="C414" s="549"/>
      <c r="D414" s="549"/>
      <c r="E414" s="549"/>
      <c r="F414" s="549"/>
      <c r="G414" s="550"/>
      <c r="H414" s="551"/>
      <c r="I414" s="552"/>
      <c r="J414" s="552"/>
      <c r="K414" s="553"/>
      <c r="L414" s="554">
        <f t="shared" ref="L414:N414" ca="1" si="181">L419+L444+L467+L502+L523+L544+L629+L655+L685+L737+L754+L770+L786+L805</f>
        <v>1633431</v>
      </c>
      <c r="M414" s="554">
        <f t="shared" ca="1" si="181"/>
        <v>1652229.17</v>
      </c>
      <c r="N414" s="554">
        <f t="shared" si="181"/>
        <v>1652229.17</v>
      </c>
      <c r="O414" s="554">
        <f ca="1">IF(L414&gt;0,N414*100/L414,0)</f>
        <v>101.15083955183904</v>
      </c>
      <c r="P414" s="554">
        <f ca="1">IF(M414&gt;0,N414*100/M414,0)</f>
        <v>100</v>
      </c>
    </row>
    <row r="415" spans="1:26" ht="19.5">
      <c r="A415" s="555" t="s">
        <v>182</v>
      </c>
      <c r="B415" s="556"/>
      <c r="C415" s="556"/>
      <c r="D415" s="556"/>
      <c r="E415" s="556"/>
      <c r="F415" s="556"/>
      <c r="G415" s="556"/>
      <c r="H415" s="557"/>
      <c r="I415" s="558"/>
      <c r="J415" s="558"/>
      <c r="K415" s="559"/>
      <c r="L415" s="560"/>
      <c r="M415" s="560"/>
      <c r="N415" s="560"/>
      <c r="O415" s="560"/>
      <c r="P415" s="560"/>
    </row>
    <row r="416" spans="1:26" ht="19.5">
      <c r="A416" s="555" t="s">
        <v>183</v>
      </c>
      <c r="B416" s="556"/>
      <c r="C416" s="556"/>
      <c r="D416" s="556"/>
      <c r="E416" s="556"/>
      <c r="F416" s="556"/>
      <c r="G416" s="561"/>
      <c r="H416" s="562"/>
      <c r="I416" s="563"/>
      <c r="J416" s="563"/>
      <c r="K416" s="560"/>
      <c r="L416" s="560"/>
      <c r="M416" s="560"/>
      <c r="N416" s="560"/>
      <c r="O416" s="560"/>
      <c r="P416" s="560"/>
    </row>
    <row r="417" spans="1:26" ht="39">
      <c r="A417" s="564">
        <v>1</v>
      </c>
      <c r="B417" s="566" t="s">
        <v>184</v>
      </c>
      <c r="C417" s="566"/>
      <c r="D417" s="567"/>
      <c r="E417" s="567"/>
      <c r="F417" s="567"/>
      <c r="G417" s="568"/>
      <c r="H417" s="569" t="s">
        <v>35</v>
      </c>
      <c r="I417" s="570">
        <f t="shared" ref="I417:J418" ca="1" si="182">I433</f>
        <v>20</v>
      </c>
      <c r="J417" s="570">
        <f t="shared" ca="1" si="182"/>
        <v>20</v>
      </c>
      <c r="K417" s="571">
        <f t="shared" ref="K417:K418" ca="1" si="183">IF(I417&gt;0,J417*100/I417,0)</f>
        <v>100</v>
      </c>
      <c r="L417" s="572"/>
      <c r="M417" s="572"/>
      <c r="N417" s="572"/>
      <c r="O417" s="572"/>
      <c r="P417" s="572"/>
    </row>
    <row r="418" spans="1:26" ht="19.5">
      <c r="A418" s="573"/>
      <c r="B418" s="564"/>
      <c r="C418" s="566"/>
      <c r="D418" s="567"/>
      <c r="E418" s="567"/>
      <c r="F418" s="567"/>
      <c r="G418" s="568"/>
      <c r="H418" s="569" t="s">
        <v>49</v>
      </c>
      <c r="I418" s="570">
        <f t="shared" ca="1" si="182"/>
        <v>1</v>
      </c>
      <c r="J418" s="570">
        <f t="shared" si="182"/>
        <v>1</v>
      </c>
      <c r="K418" s="571">
        <f t="shared" ca="1" si="183"/>
        <v>100</v>
      </c>
      <c r="L418" s="572"/>
      <c r="M418" s="572"/>
      <c r="N418" s="572"/>
      <c r="O418" s="572"/>
      <c r="P418" s="572"/>
    </row>
    <row r="419" spans="1:26" ht="19.5">
      <c r="A419" s="147"/>
      <c r="B419" s="148"/>
      <c r="C419" s="148" t="s">
        <v>16</v>
      </c>
      <c r="D419" s="891" t="s">
        <v>17</v>
      </c>
      <c r="E419" s="862"/>
      <c r="F419" s="86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83660</v>
      </c>
      <c r="N419" s="155">
        <f t="shared" si="184"/>
        <v>83660</v>
      </c>
      <c r="O419" s="155">
        <f t="shared" ref="O419:O424" ca="1" si="185">IF(L419&gt;0,N419*100/L419,0)</f>
        <v>106.35647088736333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7"/>
      <c r="J420" s="617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7"/>
      <c r="J421" s="617"/>
      <c r="K421" s="93"/>
      <c r="L421" s="93">
        <f t="shared" ca="1" si="187"/>
        <v>78660</v>
      </c>
      <c r="M421" s="93">
        <f t="shared" ca="1" si="187"/>
        <v>83660</v>
      </c>
      <c r="N421" s="93">
        <f t="shared" si="187"/>
        <v>83660</v>
      </c>
      <c r="O421" s="93">
        <f t="shared" ca="1" si="185"/>
        <v>106.35647088736333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83660</v>
      </c>
      <c r="N422" s="498">
        <f t="shared" si="188"/>
        <v>83660</v>
      </c>
      <c r="O422" s="498">
        <f t="shared" ca="1" si="185"/>
        <v>106.35647088736333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7"/>
      <c r="J423" s="617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7"/>
      <c r="J424" s="617"/>
      <c r="K424" s="93"/>
      <c r="L424" s="93">
        <f ca="1">IFERROR(__xludf.DUMMYFUNCTION("IMPORTRANGE(""https://docs.google.com/spreadsheets/d/1QqKyyYR6Q21VydFLVH3TRQUabQu_ym0Zz7PgGX0-kHA/edit?usp=sharing"",""แผน!EY33"")"),78660)</f>
        <v>78660</v>
      </c>
      <c r="M424" s="93">
        <f ca="1">L424+5000</f>
        <v>83660</v>
      </c>
      <c r="N424" s="93">
        <f>N425+N426+N427+N428</f>
        <v>83660</v>
      </c>
      <c r="O424" s="93">
        <f t="shared" ca="1" si="185"/>
        <v>106.35647088736333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4"/>
      <c r="B425" s="575"/>
      <c r="C425" s="763"/>
      <c r="D425" s="763"/>
      <c r="E425" s="763"/>
      <c r="F425" s="763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40">
        <v>55700</v>
      </c>
      <c r="O425" s="498"/>
      <c r="P425" s="49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</row>
    <row r="426" spans="1:26" ht="18.75">
      <c r="A426" s="574"/>
      <c r="B426" s="575"/>
      <c r="C426" s="763"/>
      <c r="D426" s="763"/>
      <c r="E426" s="763"/>
      <c r="F426" s="763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40">
        <v>0</v>
      </c>
      <c r="O426" s="498"/>
      <c r="P426" s="49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</row>
    <row r="427" spans="1:26" ht="18.75">
      <c r="A427" s="574"/>
      <c r="B427" s="575"/>
      <c r="C427" s="763"/>
      <c r="D427" s="763"/>
      <c r="E427" s="763"/>
      <c r="F427" s="763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40">
        <v>0</v>
      </c>
      <c r="O427" s="498"/>
      <c r="P427" s="49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40">
        <v>27960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92" t="s">
        <v>38</v>
      </c>
      <c r="E432" s="580"/>
      <c r="F432" s="580"/>
      <c r="G432" s="581"/>
      <c r="H432" s="582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1">
        <f ca="1">I435</f>
        <v>20</v>
      </c>
      <c r="J433" s="681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1">
        <f t="shared" ref="I434:J434" ca="1" si="193">I438+I440</f>
        <v>1</v>
      </c>
      <c r="J434" s="681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3" t="s">
        <v>35</v>
      </c>
      <c r="I435" s="583">
        <f ca="1">IFERROR(__xludf.DUMMYFUNCTION("IMPORTRANGE(""https://docs.google.com/spreadsheets/d/1QqKyyYR6Q21VydFLVH3TRQUabQu_ym0Zz7PgGX0-kHA/edit?usp=sharing"",""แผน!FC33"")"),20)</f>
        <v>20</v>
      </c>
      <c r="J435" s="584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3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3" t="s">
        <v>35</v>
      </c>
      <c r="I437" s="583">
        <f ca="1">IFERROR(__xludf.DUMMYFUNCTION("IMPORTRANGE(""https://docs.google.com/spreadsheets/d/1QqKyyYR6Q21VydFLVH3TRQUabQu_ym0Zz7PgGX0-kHA/edit?usp=sharing"",""แผน!FD33"")"),0)</f>
        <v>0</v>
      </c>
      <c r="J437" s="584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3" t="s">
        <v>49</v>
      </c>
      <c r="I438" s="270">
        <f ca="1">IFERROR(__xludf.DUMMYFUNCTION("IMPORTRANGE(""https://docs.google.com/spreadsheets/d/1QqKyyYR6Q21VydFLVH3TRQUabQu_ym0Zz7PgGX0-kHA/edit?usp=sharing"",""แผน!FE33"")"),0)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3" t="s">
        <v>35</v>
      </c>
      <c r="I439" s="583">
        <f ca="1">IFERROR(__xludf.DUMMYFUNCTION("IMPORTRANGE(""https://docs.google.com/spreadsheets/d/1QqKyyYR6Q21VydFLVH3TRQUabQu_ym0Zz7PgGX0-kHA/edit?usp=sharing"",""แผน!FF33"")"),20)</f>
        <v>20</v>
      </c>
      <c r="J439" s="584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3" t="s">
        <v>49</v>
      </c>
      <c r="I440" s="270">
        <f ca="1">IFERROR(__xludf.DUMMYFUNCTION("IMPORTRANGE(""https://docs.google.com/spreadsheets/d/1QqKyyYR6Q21VydFLVH3TRQUabQu_ym0Zz7PgGX0-kHA/edit?usp=sharing"",""แผน!FG33"")"),1)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3" t="s">
        <v>35</v>
      </c>
      <c r="I441" s="270">
        <f ca="1">IFERROR(__xludf.DUMMYFUNCTION("IMPORTRANGE(""https://docs.google.com/spreadsheets/d/1QqKyyYR6Q21VydFLVH3TRQUabQu_ym0Zz7PgGX0-kHA/edit?usp=sharing"",""แผน!FH33"")"),0)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5">
        <v>2</v>
      </c>
      <c r="B442" s="586" t="s">
        <v>200</v>
      </c>
      <c r="C442" s="587"/>
      <c r="D442" s="587"/>
      <c r="E442" s="587"/>
      <c r="F442" s="587"/>
      <c r="G442" s="588"/>
      <c r="H442" s="589" t="s">
        <v>35</v>
      </c>
      <c r="I442" s="590">
        <f t="shared" ref="I442:J442" ca="1" si="195">I460</f>
        <v>55</v>
      </c>
      <c r="J442" s="590">
        <f t="shared" si="195"/>
        <v>55</v>
      </c>
      <c r="K442" s="591">
        <f t="shared" ca="1" si="194"/>
        <v>100</v>
      </c>
      <c r="L442" s="592"/>
      <c r="M442" s="592"/>
      <c r="N442" s="592"/>
      <c r="O442" s="592"/>
      <c r="P442" s="592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</row>
    <row r="443" spans="1:26" ht="19.5">
      <c r="A443" s="593"/>
      <c r="B443" s="594"/>
      <c r="C443" s="595"/>
      <c r="D443" s="595"/>
      <c r="E443" s="595"/>
      <c r="F443" s="595"/>
      <c r="G443" s="596"/>
      <c r="H443" s="569" t="s">
        <v>46</v>
      </c>
      <c r="I443" s="570">
        <f t="shared" ref="I443:J443" ca="1" si="196">I462</f>
        <v>95</v>
      </c>
      <c r="J443" s="570">
        <f t="shared" si="196"/>
        <v>95</v>
      </c>
      <c r="K443" s="571">
        <f t="shared" ca="1" si="194"/>
        <v>100</v>
      </c>
      <c r="L443" s="572"/>
      <c r="M443" s="572"/>
      <c r="N443" s="572"/>
      <c r="O443" s="572"/>
      <c r="P443" s="572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</row>
    <row r="444" spans="1:26" ht="19.5">
      <c r="A444" s="597"/>
      <c r="B444" s="763"/>
      <c r="C444" s="763" t="s">
        <v>16</v>
      </c>
      <c r="D444" s="863" t="s">
        <v>17</v>
      </c>
      <c r="E444" s="857"/>
      <c r="F444" s="857"/>
      <c r="G444" s="189"/>
      <c r="H444" s="598" t="s">
        <v>12</v>
      </c>
      <c r="I444" s="270"/>
      <c r="J444" s="270"/>
      <c r="K444" s="498"/>
      <c r="L444" s="195">
        <f t="shared" ref="L444:N444" ca="1" si="197">L445+L446</f>
        <v>355800</v>
      </c>
      <c r="M444" s="195">
        <f t="shared" ca="1" si="197"/>
        <v>381805.46</v>
      </c>
      <c r="N444" s="195">
        <f t="shared" si="197"/>
        <v>381805.45999999996</v>
      </c>
      <c r="O444" s="195">
        <f t="shared" ref="O444:O449" ca="1" si="198">IF(L444&gt;0,N444*100/L444,0)</f>
        <v>107.30901068015739</v>
      </c>
      <c r="P444" s="195">
        <f t="shared" ref="P444:P449" ca="1" si="199">IF(M444&gt;0,N444*100/M444,0)</f>
        <v>100</v>
      </c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</row>
    <row r="445" spans="1:26" ht="18.75" hidden="1">
      <c r="A445" s="599"/>
      <c r="B445" s="759"/>
      <c r="C445" s="759"/>
      <c r="D445" s="720"/>
      <c r="E445" s="759" t="s">
        <v>185</v>
      </c>
      <c r="F445" s="759"/>
      <c r="G445" s="603"/>
      <c r="H445" s="165" t="s">
        <v>12</v>
      </c>
      <c r="I445" s="617"/>
      <c r="J445" s="617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4"/>
      <c r="R445" s="604"/>
      <c r="S445" s="604"/>
      <c r="T445" s="604"/>
      <c r="U445" s="604"/>
      <c r="V445" s="604"/>
      <c r="W445" s="604"/>
      <c r="X445" s="604"/>
      <c r="Y445" s="604"/>
      <c r="Z445" s="604"/>
    </row>
    <row r="446" spans="1:26" ht="18.75" hidden="1">
      <c r="A446" s="599"/>
      <c r="B446" s="607"/>
      <c r="C446" s="759"/>
      <c r="D446" s="720"/>
      <c r="E446" s="759" t="s">
        <v>186</v>
      </c>
      <c r="F446" s="759"/>
      <c r="G446" s="603"/>
      <c r="H446" s="165" t="s">
        <v>12</v>
      </c>
      <c r="I446" s="617"/>
      <c r="J446" s="617"/>
      <c r="K446" s="93"/>
      <c r="L446" s="93">
        <f t="shared" ca="1" si="200"/>
        <v>355800</v>
      </c>
      <c r="M446" s="93">
        <f t="shared" ca="1" si="200"/>
        <v>381805.46</v>
      </c>
      <c r="N446" s="93">
        <f t="shared" si="200"/>
        <v>381805.45999999996</v>
      </c>
      <c r="O446" s="93">
        <f t="shared" ca="1" si="198"/>
        <v>107.30901068015739</v>
      </c>
      <c r="P446" s="93">
        <f t="shared" ca="1" si="199"/>
        <v>100</v>
      </c>
      <c r="Q446" s="604"/>
      <c r="R446" s="604"/>
      <c r="S446" s="604"/>
      <c r="T446" s="604"/>
      <c r="U446" s="604"/>
      <c r="V446" s="604"/>
      <c r="W446" s="604"/>
      <c r="X446" s="604"/>
      <c r="Y446" s="604"/>
      <c r="Z446" s="604"/>
    </row>
    <row r="447" spans="1:26" ht="18.75">
      <c r="A447" s="597"/>
      <c r="B447" s="575"/>
      <c r="C447" s="763"/>
      <c r="D447" s="606" t="s">
        <v>20</v>
      </c>
      <c r="E447" s="763"/>
      <c r="F447" s="763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355800</v>
      </c>
      <c r="M447" s="498">
        <f t="shared" ca="1" si="201"/>
        <v>381805.46</v>
      </c>
      <c r="N447" s="498">
        <f t="shared" si="201"/>
        <v>381805.45999999996</v>
      </c>
      <c r="O447" s="498">
        <f t="shared" ca="1" si="198"/>
        <v>107.30901068015739</v>
      </c>
      <c r="P447" s="498">
        <f t="shared" ca="1" si="199"/>
        <v>100</v>
      </c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</row>
    <row r="448" spans="1:26" ht="18.75" hidden="1">
      <c r="A448" s="599"/>
      <c r="B448" s="607"/>
      <c r="C448" s="759"/>
      <c r="D448" s="720"/>
      <c r="E448" s="759" t="s">
        <v>185</v>
      </c>
      <c r="F448" s="759"/>
      <c r="G448" s="603"/>
      <c r="H448" s="165" t="s">
        <v>12</v>
      </c>
      <c r="I448" s="617"/>
      <c r="J448" s="617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</row>
    <row r="449" spans="1:26" ht="18.75" hidden="1">
      <c r="A449" s="599"/>
      <c r="B449" s="607"/>
      <c r="C449" s="759"/>
      <c r="D449" s="720"/>
      <c r="E449" s="759" t="s">
        <v>186</v>
      </c>
      <c r="F449" s="759"/>
      <c r="G449" s="603"/>
      <c r="H449" s="165" t="s">
        <v>12</v>
      </c>
      <c r="I449" s="617"/>
      <c r="J449" s="617"/>
      <c r="K449" s="93"/>
      <c r="L449" s="93">
        <f ca="1">IFERROR(__xludf.DUMMYFUNCTION("IMPORTRANGE(""https://docs.google.com/spreadsheets/d/1QqKyyYR6Q21VydFLVH3TRQUabQu_ym0Zz7PgGX0-kHA/edit?usp=sharing"",""แผน!FJ33"")"),355800)</f>
        <v>355800</v>
      </c>
      <c r="M449" s="93">
        <f ca="1">L449+30840-4834.54</f>
        <v>381805.46</v>
      </c>
      <c r="N449" s="93">
        <f>N450+N451+N452+N453</f>
        <v>381805.45999999996</v>
      </c>
      <c r="O449" s="93">
        <f t="shared" ca="1" si="198"/>
        <v>107.30901068015739</v>
      </c>
      <c r="P449" s="93">
        <f t="shared" ca="1" si="199"/>
        <v>100</v>
      </c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</row>
    <row r="450" spans="1:26" ht="18.75">
      <c r="A450" s="574"/>
      <c r="B450" s="575"/>
      <c r="C450" s="763"/>
      <c r="D450" s="763"/>
      <c r="E450" s="763"/>
      <c r="F450" s="763" t="s">
        <v>187</v>
      </c>
      <c r="G450" s="189"/>
      <c r="H450" s="161" t="s">
        <v>12</v>
      </c>
      <c r="I450" s="270"/>
      <c r="J450" s="270"/>
      <c r="K450" s="498"/>
      <c r="L450" s="498"/>
      <c r="M450" s="498">
        <v>30450</v>
      </c>
      <c r="N450" s="840">
        <v>87950</v>
      </c>
      <c r="O450" s="498"/>
      <c r="P450" s="49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</row>
    <row r="451" spans="1:26" ht="18.75">
      <c r="A451" s="574"/>
      <c r="B451" s="575"/>
      <c r="C451" s="763"/>
      <c r="D451" s="763"/>
      <c r="E451" s="763"/>
      <c r="F451" s="763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40">
        <v>91000</v>
      </c>
      <c r="O451" s="498"/>
      <c r="P451" s="49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</row>
    <row r="452" spans="1:26" ht="18.75">
      <c r="A452" s="574"/>
      <c r="B452" s="575"/>
      <c r="C452" s="575"/>
      <c r="D452" s="575"/>
      <c r="E452" s="575"/>
      <c r="F452" s="763" t="s">
        <v>189</v>
      </c>
      <c r="G452" s="189"/>
      <c r="H452" s="161" t="s">
        <v>12</v>
      </c>
      <c r="I452" s="270"/>
      <c r="J452" s="270"/>
      <c r="K452" s="498"/>
      <c r="L452" s="498"/>
      <c r="M452" s="498">
        <v>74437.490000000005</v>
      </c>
      <c r="N452" s="840">
        <v>138165.46</v>
      </c>
      <c r="O452" s="498"/>
      <c r="P452" s="49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</row>
    <row r="453" spans="1:26" ht="18.75">
      <c r="A453" s="574"/>
      <c r="B453" s="575"/>
      <c r="C453" s="575"/>
      <c r="D453" s="575"/>
      <c r="E453" s="575"/>
      <c r="F453" s="763" t="s">
        <v>190</v>
      </c>
      <c r="G453" s="189"/>
      <c r="H453" s="161" t="s">
        <v>12</v>
      </c>
      <c r="I453" s="270"/>
      <c r="J453" s="270"/>
      <c r="K453" s="498"/>
      <c r="L453" s="498"/>
      <c r="M453" s="498">
        <v>23690</v>
      </c>
      <c r="N453" s="840">
        <v>64690</v>
      </c>
      <c r="O453" s="498"/>
      <c r="P453" s="49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</row>
    <row r="454" spans="1:26" ht="18.75">
      <c r="A454" s="597"/>
      <c r="B454" s="575"/>
      <c r="C454" s="575"/>
      <c r="D454" s="606" t="s">
        <v>21</v>
      </c>
      <c r="E454" s="575"/>
      <c r="F454" s="763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</row>
    <row r="455" spans="1:26" ht="18.75" hidden="1">
      <c r="A455" s="599"/>
      <c r="B455" s="607"/>
      <c r="C455" s="607"/>
      <c r="D455" s="607"/>
      <c r="E455" s="607" t="s">
        <v>18</v>
      </c>
      <c r="F455" s="759"/>
      <c r="G455" s="603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4"/>
      <c r="R455" s="604"/>
      <c r="S455" s="604"/>
      <c r="T455" s="604"/>
      <c r="U455" s="604"/>
      <c r="V455" s="604"/>
      <c r="W455" s="604"/>
      <c r="X455" s="604"/>
      <c r="Y455" s="604"/>
      <c r="Z455" s="604"/>
    </row>
    <row r="456" spans="1:26" ht="18.75" hidden="1">
      <c r="A456" s="599"/>
      <c r="B456" s="607"/>
      <c r="C456" s="607"/>
      <c r="D456" s="607"/>
      <c r="E456" s="607" t="s">
        <v>19</v>
      </c>
      <c r="F456" s="759"/>
      <c r="G456" s="603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4"/>
      <c r="R456" s="604"/>
      <c r="S456" s="604"/>
      <c r="T456" s="604"/>
      <c r="U456" s="604"/>
      <c r="V456" s="604"/>
      <c r="W456" s="604"/>
      <c r="X456" s="604"/>
      <c r="Y456" s="604"/>
      <c r="Z456" s="604"/>
    </row>
    <row r="457" spans="1:26" ht="19.5">
      <c r="A457" s="608"/>
      <c r="B457" s="618"/>
      <c r="C457" s="575" t="s">
        <v>16</v>
      </c>
      <c r="D457" s="893" t="s">
        <v>38</v>
      </c>
      <c r="E457" s="611"/>
      <c r="F457" s="761"/>
      <c r="G457" s="613"/>
      <c r="H457" s="762"/>
      <c r="I457" s="270"/>
      <c r="J457" s="270"/>
      <c r="K457" s="498"/>
      <c r="L457" s="498"/>
      <c r="M457" s="498"/>
      <c r="N457" s="498"/>
      <c r="O457" s="498"/>
      <c r="P457" s="49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</row>
    <row r="458" spans="1:26" ht="18.75" hidden="1">
      <c r="A458" s="614"/>
      <c r="B458" s="616"/>
      <c r="C458" s="616"/>
      <c r="D458" s="616" t="s">
        <v>201</v>
      </c>
      <c r="E458" s="616"/>
      <c r="F458" s="720"/>
      <c r="G458" s="366"/>
      <c r="H458" s="370" t="s">
        <v>35</v>
      </c>
      <c r="I458" s="617">
        <v>0</v>
      </c>
      <c r="J458" s="617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4"/>
      <c r="R458" s="604"/>
      <c r="S458" s="604"/>
      <c r="T458" s="604"/>
      <c r="U458" s="604"/>
      <c r="V458" s="604"/>
      <c r="W458" s="604"/>
      <c r="X458" s="604"/>
      <c r="Y458" s="604"/>
      <c r="Z458" s="604"/>
    </row>
    <row r="459" spans="1:26" ht="18.75" hidden="1">
      <c r="A459" s="614"/>
      <c r="B459" s="616"/>
      <c r="C459" s="616"/>
      <c r="D459" s="616" t="s">
        <v>202</v>
      </c>
      <c r="E459" s="616"/>
      <c r="F459" s="720"/>
      <c r="G459" s="366"/>
      <c r="H459" s="370"/>
      <c r="I459" s="617"/>
      <c r="J459" s="617"/>
      <c r="K459" s="93"/>
      <c r="L459" s="93"/>
      <c r="M459" s="93"/>
      <c r="N459" s="93"/>
      <c r="O459" s="93"/>
      <c r="P459" s="93"/>
      <c r="Q459" s="604"/>
      <c r="R459" s="604"/>
      <c r="S459" s="604"/>
      <c r="T459" s="604"/>
      <c r="U459" s="604"/>
      <c r="V459" s="604"/>
      <c r="W459" s="604"/>
      <c r="X459" s="604"/>
      <c r="Y459" s="604"/>
      <c r="Z459" s="604"/>
    </row>
    <row r="460" spans="1:26" ht="18.75">
      <c r="A460" s="608"/>
      <c r="B460" s="618"/>
      <c r="C460" s="618"/>
      <c r="D460" s="618" t="s">
        <v>203</v>
      </c>
      <c r="E460" s="618"/>
      <c r="F460" s="626"/>
      <c r="G460" s="762"/>
      <c r="H460" s="764" t="s">
        <v>35</v>
      </c>
      <c r="I460" s="270">
        <f ca="1">IFERROR(__xludf.DUMMYFUNCTION("IMPORTRANGE(""https://docs.google.com/spreadsheets/d/1QqKyyYR6Q21VydFLVH3TRQUabQu_ym0Zz7PgGX0-kHA/edit?usp=sharing"",""แผน!FN33"")"),55)</f>
        <v>55</v>
      </c>
      <c r="J460" s="215">
        <v>55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</row>
    <row r="461" spans="1:26" ht="18.75">
      <c r="A461" s="608"/>
      <c r="B461" s="618"/>
      <c r="C461" s="618"/>
      <c r="D461" s="618" t="s">
        <v>204</v>
      </c>
      <c r="E461" s="626"/>
      <c r="F461" s="626"/>
      <c r="G461" s="762"/>
      <c r="H461" s="764"/>
      <c r="I461" s="270"/>
      <c r="J461" s="270"/>
      <c r="K461" s="498"/>
      <c r="L461" s="498"/>
      <c r="M461" s="498"/>
      <c r="N461" s="498"/>
      <c r="O461" s="498"/>
      <c r="P461" s="49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</row>
    <row r="462" spans="1:26" ht="18.75">
      <c r="A462" s="608"/>
      <c r="B462" s="618"/>
      <c r="C462" s="618"/>
      <c r="D462" s="618" t="s">
        <v>205</v>
      </c>
      <c r="E462" s="626"/>
      <c r="F462" s="626"/>
      <c r="G462" s="762"/>
      <c r="H462" s="764" t="s">
        <v>46</v>
      </c>
      <c r="I462" s="270">
        <f ca="1">IFERROR(__xludf.DUMMYFUNCTION("IMPORTRANGE(""https://docs.google.com/spreadsheets/d/1QqKyyYR6Q21VydFLVH3TRQUabQu_ym0Zz7PgGX0-kHA/edit?usp=sharing"",""แผน!FO33"")"),95)</f>
        <v>95</v>
      </c>
      <c r="J462" s="215">
        <v>95</v>
      </c>
      <c r="K462" s="498">
        <f t="shared" ref="K462:K466" ca="1" si="205">IF(I462&gt;0,J462*100/I462,0)</f>
        <v>100</v>
      </c>
      <c r="L462" s="498"/>
      <c r="M462" s="498"/>
      <c r="N462" s="498"/>
      <c r="O462" s="498"/>
      <c r="P462" s="49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</row>
    <row r="463" spans="1:26" ht="18.75">
      <c r="A463" s="608"/>
      <c r="B463" s="618"/>
      <c r="C463" s="618"/>
      <c r="D463" s="618" t="s">
        <v>59</v>
      </c>
      <c r="E463" s="626"/>
      <c r="F463" s="763"/>
      <c r="G463" s="189"/>
      <c r="H463" s="764" t="s">
        <v>46</v>
      </c>
      <c r="I463" s="270">
        <f ca="1">IFERROR(__xludf.DUMMYFUNCTION("IMPORTRANGE(""https://docs.google.com/spreadsheets/d/1QqKyyYR6Q21VydFLVH3TRQUabQu_ym0Zz7PgGX0-kHA/edit?usp=sharing"",""แผน!FO33"")"),95)</f>
        <v>95</v>
      </c>
      <c r="J463" s="215">
        <v>95</v>
      </c>
      <c r="K463" s="498">
        <f t="shared" ca="1" si="205"/>
        <v>100</v>
      </c>
      <c r="L463" s="498"/>
      <c r="M463" s="498"/>
      <c r="N463" s="498"/>
      <c r="O463" s="498"/>
      <c r="P463" s="49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</row>
    <row r="464" spans="1:26" ht="19.5">
      <c r="A464" s="608"/>
      <c r="B464" s="618"/>
      <c r="C464" s="618"/>
      <c r="D464" s="618"/>
      <c r="E464" s="626"/>
      <c r="F464" s="626"/>
      <c r="G464" s="620"/>
      <c r="H464" s="764" t="s">
        <v>35</v>
      </c>
      <c r="I464" s="270">
        <f ca="1">IFERROR(__xludf.DUMMYFUNCTION("IMPORTRANGE(""https://docs.google.com/spreadsheets/d/1QqKyyYR6Q21VydFLVH3TRQUabQu_ym0Zz7PgGX0-kHA/edit?usp=sharing"",""แผน!FN33"")"),55)</f>
        <v>55</v>
      </c>
      <c r="J464" s="215">
        <v>55</v>
      </c>
      <c r="K464" s="498">
        <f t="shared" ca="1" si="205"/>
        <v>100</v>
      </c>
      <c r="L464" s="498"/>
      <c r="M464" s="498"/>
      <c r="N464" s="498"/>
      <c r="O464" s="498"/>
      <c r="P464" s="49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</row>
    <row r="465" spans="1:26" ht="19.5">
      <c r="A465" s="585">
        <v>3</v>
      </c>
      <c r="B465" s="586" t="s">
        <v>206</v>
      </c>
      <c r="C465" s="587"/>
      <c r="D465" s="587"/>
      <c r="E465" s="587"/>
      <c r="F465" s="587"/>
      <c r="G465" s="588"/>
      <c r="H465" s="589" t="s">
        <v>35</v>
      </c>
      <c r="I465" s="590">
        <f ca="1">IFERROR(__xludf.DUMMYFUNCTION("IMPORTRANGE(""https://docs.google.com/spreadsheets/d/1QqKyyYR6Q21VydFLVH3TRQUabQu_ym0Zz7PgGX0-kHA/edit?usp=sharing"",""แผน!FX33"")"),61)</f>
        <v>61</v>
      </c>
      <c r="J465" s="590">
        <f>J485+J489+J492</f>
        <v>61</v>
      </c>
      <c r="K465" s="591">
        <f t="shared" ca="1" si="205"/>
        <v>100</v>
      </c>
      <c r="L465" s="592"/>
      <c r="M465" s="592"/>
      <c r="N465" s="592"/>
      <c r="O465" s="592"/>
      <c r="P465" s="592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</row>
    <row r="466" spans="1:26" ht="19.5">
      <c r="A466" s="593"/>
      <c r="B466" s="594"/>
      <c r="C466" s="595"/>
      <c r="D466" s="595"/>
      <c r="E466" s="595"/>
      <c r="F466" s="595"/>
      <c r="G466" s="596"/>
      <c r="H466" s="569" t="s">
        <v>46</v>
      </c>
      <c r="I466" s="570">
        <f ca="1">IFERROR(__xludf.DUMMYFUNCTION("IMPORTRANGE(""https://docs.google.com/spreadsheets/d/1QqKyyYR6Q21VydFLVH3TRQUabQu_ym0Zz7PgGX0-kHA/edit?usp=sharing"",""แผน!FW33"")"),600)</f>
        <v>600</v>
      </c>
      <c r="J466" s="570">
        <f>J495+J498</f>
        <v>600</v>
      </c>
      <c r="K466" s="571">
        <f t="shared" ca="1" si="205"/>
        <v>100</v>
      </c>
      <c r="L466" s="572"/>
      <c r="M466" s="572"/>
      <c r="N466" s="572"/>
      <c r="O466" s="572"/>
      <c r="P466" s="572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</row>
    <row r="467" spans="1:26" ht="19.5">
      <c r="A467" s="597"/>
      <c r="B467" s="763"/>
      <c r="C467" s="763" t="s">
        <v>16</v>
      </c>
      <c r="D467" s="863" t="s">
        <v>17</v>
      </c>
      <c r="E467" s="857"/>
      <c r="F467" s="857"/>
      <c r="G467" s="189"/>
      <c r="H467" s="598" t="s">
        <v>12</v>
      </c>
      <c r="I467" s="270"/>
      <c r="J467" s="270"/>
      <c r="K467" s="498"/>
      <c r="L467" s="195">
        <f t="shared" ref="L467:N467" ca="1" si="206">L468+L469</f>
        <v>481323</v>
      </c>
      <c r="M467" s="195">
        <f t="shared" ca="1" si="206"/>
        <v>470880</v>
      </c>
      <c r="N467" s="195">
        <f t="shared" si="206"/>
        <v>470880</v>
      </c>
      <c r="O467" s="195">
        <f t="shared" ref="O467:O472" ca="1" si="207">IF(L467&gt;0,N467*100/L467,0)</f>
        <v>97.830355083800271</v>
      </c>
      <c r="P467" s="195">
        <f t="shared" ref="P467:P472" ca="1" si="208">IF(M467&gt;0,N467*100/M467,0)</f>
        <v>100</v>
      </c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</row>
    <row r="468" spans="1:26" ht="18.75" hidden="1">
      <c r="A468" s="599"/>
      <c r="B468" s="759"/>
      <c r="C468" s="759"/>
      <c r="D468" s="720"/>
      <c r="E468" s="759" t="s">
        <v>185</v>
      </c>
      <c r="F468" s="759"/>
      <c r="G468" s="603"/>
      <c r="H468" s="165" t="s">
        <v>12</v>
      </c>
      <c r="I468" s="617"/>
      <c r="J468" s="617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4"/>
      <c r="R468" s="604"/>
      <c r="S468" s="604"/>
      <c r="T468" s="604"/>
      <c r="U468" s="604"/>
      <c r="V468" s="604"/>
      <c r="W468" s="604"/>
      <c r="X468" s="604"/>
      <c r="Y468" s="604"/>
      <c r="Z468" s="604"/>
    </row>
    <row r="469" spans="1:26" ht="18.75" hidden="1">
      <c r="A469" s="599"/>
      <c r="B469" s="607"/>
      <c r="C469" s="759"/>
      <c r="D469" s="720"/>
      <c r="E469" s="759" t="s">
        <v>186</v>
      </c>
      <c r="F469" s="759"/>
      <c r="G469" s="603"/>
      <c r="H469" s="165" t="s">
        <v>12</v>
      </c>
      <c r="I469" s="617"/>
      <c r="J469" s="617"/>
      <c r="K469" s="93"/>
      <c r="L469" s="93">
        <f t="shared" ca="1" si="209"/>
        <v>481323</v>
      </c>
      <c r="M469" s="93">
        <f t="shared" ca="1" si="209"/>
        <v>470880</v>
      </c>
      <c r="N469" s="93">
        <f t="shared" si="209"/>
        <v>470880</v>
      </c>
      <c r="O469" s="93">
        <f t="shared" ca="1" si="207"/>
        <v>97.830355083800271</v>
      </c>
      <c r="P469" s="93">
        <f t="shared" ca="1" si="208"/>
        <v>100</v>
      </c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</row>
    <row r="470" spans="1:26" ht="18.75">
      <c r="A470" s="597"/>
      <c r="B470" s="575"/>
      <c r="C470" s="763"/>
      <c r="D470" s="606" t="s">
        <v>20</v>
      </c>
      <c r="E470" s="763"/>
      <c r="F470" s="763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481323</v>
      </c>
      <c r="M470" s="498">
        <f t="shared" ca="1" si="210"/>
        <v>470880</v>
      </c>
      <c r="N470" s="498">
        <f t="shared" si="210"/>
        <v>470880</v>
      </c>
      <c r="O470" s="498">
        <f t="shared" ca="1" si="207"/>
        <v>97.830355083800271</v>
      </c>
      <c r="P470" s="498">
        <f t="shared" ca="1" si="208"/>
        <v>100</v>
      </c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</row>
    <row r="471" spans="1:26" ht="18.75" hidden="1">
      <c r="A471" s="599"/>
      <c r="B471" s="607"/>
      <c r="C471" s="759"/>
      <c r="D471" s="720"/>
      <c r="E471" s="759" t="s">
        <v>185</v>
      </c>
      <c r="F471" s="759"/>
      <c r="G471" s="603"/>
      <c r="H471" s="165" t="s">
        <v>12</v>
      </c>
      <c r="I471" s="617"/>
      <c r="J471" s="617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4"/>
      <c r="R471" s="604"/>
      <c r="S471" s="604"/>
      <c r="T471" s="604"/>
      <c r="U471" s="604"/>
      <c r="V471" s="604"/>
      <c r="W471" s="604"/>
      <c r="X471" s="604"/>
      <c r="Y471" s="604"/>
      <c r="Z471" s="604"/>
    </row>
    <row r="472" spans="1:26" ht="18.75" hidden="1">
      <c r="A472" s="599"/>
      <c r="B472" s="607"/>
      <c r="C472" s="759"/>
      <c r="D472" s="720"/>
      <c r="E472" s="759" t="s">
        <v>186</v>
      </c>
      <c r="F472" s="759"/>
      <c r="G472" s="603"/>
      <c r="H472" s="165" t="s">
        <v>12</v>
      </c>
      <c r="I472" s="617"/>
      <c r="J472" s="617"/>
      <c r="K472" s="93"/>
      <c r="L472" s="93">
        <f ca="1">IFERROR(__xludf.DUMMYFUNCTION("IMPORTRANGE(""https://docs.google.com/spreadsheets/d/1QqKyyYR6Q21VydFLVH3TRQUabQu_ym0Zz7PgGX0-kHA/edit?usp=sharing"",""แผน!FS33"")"),481323)</f>
        <v>481323</v>
      </c>
      <c r="M472" s="93">
        <f ca="1">L472+8430-18873</f>
        <v>470880</v>
      </c>
      <c r="N472" s="93">
        <f>N473+N474+N475+N476</f>
        <v>470880</v>
      </c>
      <c r="O472" s="93">
        <f t="shared" ca="1" si="207"/>
        <v>97.830355083800271</v>
      </c>
      <c r="P472" s="93">
        <f t="shared" ca="1" si="208"/>
        <v>100</v>
      </c>
      <c r="Q472" s="604"/>
      <c r="R472" s="604"/>
      <c r="S472" s="604"/>
      <c r="T472" s="604"/>
      <c r="U472" s="604"/>
      <c r="V472" s="604"/>
      <c r="W472" s="604"/>
      <c r="X472" s="604"/>
      <c r="Y472" s="604"/>
      <c r="Z472" s="604"/>
    </row>
    <row r="473" spans="1:26" ht="18.75">
      <c r="A473" s="574"/>
      <c r="B473" s="575"/>
      <c r="C473" s="763"/>
      <c r="D473" s="763"/>
      <c r="E473" s="763"/>
      <c r="F473" s="763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40">
        <v>66340</v>
      </c>
      <c r="O473" s="498"/>
      <c r="P473" s="49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</row>
    <row r="474" spans="1:26" ht="18.75">
      <c r="A474" s="574"/>
      <c r="B474" s="575"/>
      <c r="C474" s="763"/>
      <c r="D474" s="763"/>
      <c r="E474" s="763"/>
      <c r="F474" s="763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40">
        <v>376000</v>
      </c>
      <c r="O474" s="498"/>
      <c r="P474" s="49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</row>
    <row r="475" spans="1:26" ht="18.75">
      <c r="A475" s="574"/>
      <c r="B475" s="575"/>
      <c r="C475" s="575"/>
      <c r="D475" s="575"/>
      <c r="E475" s="575"/>
      <c r="F475" s="763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40">
        <v>0</v>
      </c>
      <c r="O475" s="498"/>
      <c r="P475" s="49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</row>
    <row r="476" spans="1:26" ht="18.75">
      <c r="A476" s="574"/>
      <c r="B476" s="575"/>
      <c r="C476" s="575"/>
      <c r="D476" s="575"/>
      <c r="E476" s="575"/>
      <c r="F476" s="763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40">
        <v>28540</v>
      </c>
      <c r="O476" s="498"/>
      <c r="P476" s="49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</row>
    <row r="477" spans="1:26" ht="18.75">
      <c r="A477" s="597"/>
      <c r="B477" s="575"/>
      <c r="C477" s="575"/>
      <c r="D477" s="606" t="s">
        <v>21</v>
      </c>
      <c r="E477" s="575"/>
      <c r="F477" s="575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</row>
    <row r="478" spans="1:26" ht="18.75" hidden="1">
      <c r="A478" s="599"/>
      <c r="B478" s="607"/>
      <c r="C478" s="607"/>
      <c r="D478" s="607"/>
      <c r="E478" s="607" t="s">
        <v>18</v>
      </c>
      <c r="F478" s="607"/>
      <c r="G478" s="603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4"/>
      <c r="R478" s="604"/>
      <c r="S478" s="604"/>
      <c r="T478" s="604"/>
      <c r="U478" s="604"/>
      <c r="V478" s="604"/>
      <c r="W478" s="604"/>
      <c r="X478" s="604"/>
      <c r="Y478" s="604"/>
      <c r="Z478" s="604"/>
    </row>
    <row r="479" spans="1:26" ht="18.75" hidden="1">
      <c r="A479" s="599"/>
      <c r="B479" s="607"/>
      <c r="C479" s="607"/>
      <c r="D479" s="607"/>
      <c r="E479" s="607" t="s">
        <v>19</v>
      </c>
      <c r="F479" s="607"/>
      <c r="G479" s="603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4"/>
      <c r="R479" s="604"/>
      <c r="S479" s="604"/>
      <c r="T479" s="604"/>
      <c r="U479" s="604"/>
      <c r="V479" s="604"/>
      <c r="W479" s="604"/>
      <c r="X479" s="604"/>
      <c r="Y479" s="604"/>
      <c r="Z479" s="604"/>
    </row>
    <row r="480" spans="1:26" ht="19.5">
      <c r="A480" s="608"/>
      <c r="B480" s="618"/>
      <c r="C480" s="575" t="s">
        <v>16</v>
      </c>
      <c r="D480" s="894" t="s">
        <v>38</v>
      </c>
      <c r="E480" s="611"/>
      <c r="F480" s="761"/>
      <c r="G480" s="613"/>
      <c r="H480" s="762"/>
      <c r="I480" s="270"/>
      <c r="J480" s="270"/>
      <c r="K480" s="498"/>
      <c r="L480" s="498"/>
      <c r="M480" s="498"/>
      <c r="N480" s="498"/>
      <c r="O480" s="498"/>
      <c r="P480" s="49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</row>
    <row r="481" spans="1:26" ht="19.5">
      <c r="A481" s="608"/>
      <c r="B481" s="618"/>
      <c r="C481" s="618"/>
      <c r="D481" s="625" t="s">
        <v>207</v>
      </c>
      <c r="E481" s="618"/>
      <c r="F481" s="618"/>
      <c r="G481" s="762"/>
      <c r="H481" s="189"/>
      <c r="I481" s="270"/>
      <c r="J481" s="270"/>
      <c r="K481" s="498"/>
      <c r="L481" s="498"/>
      <c r="M481" s="498"/>
      <c r="N481" s="498"/>
      <c r="O481" s="498"/>
      <c r="P481" s="49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</row>
    <row r="482" spans="1:26" ht="18.75">
      <c r="A482" s="608"/>
      <c r="B482" s="618"/>
      <c r="C482" s="618"/>
      <c r="D482" s="618"/>
      <c r="E482" s="618" t="s">
        <v>208</v>
      </c>
      <c r="F482" s="618"/>
      <c r="G482" s="762"/>
      <c r="H482" s="189"/>
      <c r="I482" s="270"/>
      <c r="J482" s="270"/>
      <c r="K482" s="498"/>
      <c r="L482" s="498"/>
      <c r="M482" s="498"/>
      <c r="N482" s="498"/>
      <c r="O482" s="498"/>
      <c r="P482" s="49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</row>
    <row r="483" spans="1:26" ht="18.75">
      <c r="A483" s="608"/>
      <c r="B483" s="618"/>
      <c r="C483" s="618"/>
      <c r="D483" s="618"/>
      <c r="E483" s="618"/>
      <c r="F483" s="618" t="s">
        <v>209</v>
      </c>
      <c r="G483" s="762"/>
      <c r="H483" s="623" t="s">
        <v>46</v>
      </c>
      <c r="I483" s="270">
        <f ca="1">IFERROR(__xludf.DUMMYFUNCTION("IMPORTRANGE(""https://docs.google.com/spreadsheets/d/1QqKyyYR6Q21VydFLVH3TRQUabQu_ym0Zz7PgGX0-kHA/edit?usp=sharing"",""แผน!FY33"")"),540)</f>
        <v>540</v>
      </c>
      <c r="J483" s="215">
        <v>540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</row>
    <row r="484" spans="1:26" ht="18.75">
      <c r="A484" s="608"/>
      <c r="B484" s="618"/>
      <c r="C484" s="618"/>
      <c r="D484" s="618"/>
      <c r="E484" s="618"/>
      <c r="F484" s="618" t="s">
        <v>210</v>
      </c>
      <c r="G484" s="762"/>
      <c r="H484" s="623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</row>
    <row r="485" spans="1:26" ht="18.75">
      <c r="A485" s="608"/>
      <c r="B485" s="618"/>
      <c r="C485" s="618"/>
      <c r="D485" s="618"/>
      <c r="E485" s="618"/>
      <c r="F485" s="618" t="s">
        <v>211</v>
      </c>
      <c r="G485" s="762"/>
      <c r="H485" s="623" t="s">
        <v>35</v>
      </c>
      <c r="I485" s="270">
        <f ca="1">IFERROR(__xludf.DUMMYFUNCTION("IMPORTRANGE(""https://docs.google.com/spreadsheets/d/1QqKyyYR6Q21VydFLVH3TRQUabQu_ym0Zz7PgGX0-kHA/edit?usp=sharing"",""แผน!FZ33"")"),54)</f>
        <v>54</v>
      </c>
      <c r="J485" s="215">
        <v>54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</row>
    <row r="486" spans="1:26" ht="18.75">
      <c r="A486" s="608"/>
      <c r="B486" s="618"/>
      <c r="C486" s="618"/>
      <c r="D486" s="618"/>
      <c r="E486" s="618" t="s">
        <v>62</v>
      </c>
      <c r="F486" s="618"/>
      <c r="G486" s="762"/>
      <c r="H486" s="623"/>
      <c r="I486" s="270"/>
      <c r="J486" s="270"/>
      <c r="K486" s="498"/>
      <c r="L486" s="498"/>
      <c r="M486" s="498"/>
      <c r="N486" s="498"/>
      <c r="O486" s="498"/>
      <c r="P486" s="49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</row>
    <row r="487" spans="1:26" ht="18.75">
      <c r="A487" s="608"/>
      <c r="B487" s="618"/>
      <c r="C487" s="618"/>
      <c r="D487" s="618"/>
      <c r="E487" s="618"/>
      <c r="F487" s="618" t="s">
        <v>209</v>
      </c>
      <c r="G487" s="762"/>
      <c r="H487" s="623" t="s">
        <v>46</v>
      </c>
      <c r="I487" s="270">
        <f ca="1">IFERROR(__xludf.DUMMYFUNCTION("IMPORTRANGE(""https://docs.google.com/spreadsheets/d/1QqKyyYR6Q21VydFLVH3TRQUabQu_ym0Zz7PgGX0-kHA/edit?usp=sharing"",""แผน!GA33"")"),60)</f>
        <v>60</v>
      </c>
      <c r="J487" s="215">
        <v>60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</row>
    <row r="488" spans="1:26" ht="18.75">
      <c r="A488" s="608"/>
      <c r="B488" s="618"/>
      <c r="C488" s="618"/>
      <c r="D488" s="618"/>
      <c r="E488" s="618"/>
      <c r="F488" s="618" t="s">
        <v>212</v>
      </c>
      <c r="G488" s="762"/>
      <c r="H488" s="623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</row>
    <row r="489" spans="1:26" ht="18.75">
      <c r="A489" s="608"/>
      <c r="B489" s="618"/>
      <c r="C489" s="618"/>
      <c r="D489" s="618"/>
      <c r="E489" s="618"/>
      <c r="F489" s="618" t="s">
        <v>213</v>
      </c>
      <c r="G489" s="762"/>
      <c r="H489" s="623" t="s">
        <v>35</v>
      </c>
      <c r="I489" s="270">
        <f ca="1">IFERROR(__xludf.DUMMYFUNCTION("IMPORTRANGE(""https://docs.google.com/spreadsheets/d/1QqKyyYR6Q21VydFLVH3TRQUabQu_ym0Zz7PgGX0-kHA/edit?usp=sharing"",""แผน!GB33"")"),6)</f>
        <v>6</v>
      </c>
      <c r="J489" s="215">
        <v>6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</row>
    <row r="490" spans="1:26" ht="18.75">
      <c r="A490" s="608"/>
      <c r="B490" s="618"/>
      <c r="C490" s="618"/>
      <c r="D490" s="618"/>
      <c r="E490" s="618" t="s">
        <v>63</v>
      </c>
      <c r="F490" s="626"/>
      <c r="G490" s="762"/>
      <c r="H490" s="623"/>
      <c r="I490" s="270"/>
      <c r="J490" s="270"/>
      <c r="K490" s="498"/>
      <c r="L490" s="498"/>
      <c r="M490" s="498"/>
      <c r="N490" s="498"/>
      <c r="O490" s="498"/>
      <c r="P490" s="49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</row>
    <row r="491" spans="1:26" ht="18.75">
      <c r="A491" s="608"/>
      <c r="B491" s="618"/>
      <c r="C491" s="618"/>
      <c r="D491" s="618"/>
      <c r="E491" s="618"/>
      <c r="F491" s="618" t="s">
        <v>214</v>
      </c>
      <c r="G491" s="762"/>
      <c r="H491" s="623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</row>
    <row r="492" spans="1:26" ht="18.75">
      <c r="A492" s="608"/>
      <c r="B492" s="618"/>
      <c r="C492" s="618"/>
      <c r="D492" s="618"/>
      <c r="E492" s="618"/>
      <c r="F492" s="618" t="s">
        <v>215</v>
      </c>
      <c r="G492" s="762"/>
      <c r="H492" s="623" t="s">
        <v>35</v>
      </c>
      <c r="I492" s="270">
        <f ca="1">IFERROR(__xludf.DUMMYFUNCTION("IMPORTRANGE(""https://docs.google.com/spreadsheets/d/1QqKyyYR6Q21VydFLVH3TRQUabQu_ym0Zz7PgGX0-kHA/edit?usp=sharing"",""แผน!GC33"")"),1)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</row>
    <row r="493" spans="1:26" ht="19.5">
      <c r="A493" s="608"/>
      <c r="B493" s="618"/>
      <c r="C493" s="618"/>
      <c r="D493" s="625" t="s">
        <v>59</v>
      </c>
      <c r="E493" s="618"/>
      <c r="F493" s="626"/>
      <c r="G493" s="762"/>
      <c r="H493" s="189"/>
      <c r="I493" s="270"/>
      <c r="J493" s="270"/>
      <c r="K493" s="498"/>
      <c r="L493" s="498"/>
      <c r="M493" s="498"/>
      <c r="N493" s="498"/>
      <c r="O493" s="498"/>
      <c r="P493" s="49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</row>
    <row r="494" spans="1:26" ht="18.75">
      <c r="A494" s="608"/>
      <c r="B494" s="618"/>
      <c r="C494" s="618"/>
      <c r="D494" s="618"/>
      <c r="E494" s="618" t="s">
        <v>208</v>
      </c>
      <c r="F494" s="626"/>
      <c r="G494" s="762"/>
      <c r="H494" s="189"/>
      <c r="I494" s="270"/>
      <c r="J494" s="270"/>
      <c r="K494" s="498"/>
      <c r="L494" s="498"/>
      <c r="M494" s="498"/>
      <c r="N494" s="498"/>
      <c r="O494" s="498"/>
      <c r="P494" s="49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</row>
    <row r="495" spans="1:26" ht="18.75">
      <c r="A495" s="608"/>
      <c r="B495" s="618"/>
      <c r="C495" s="618"/>
      <c r="D495" s="618"/>
      <c r="E495" s="618"/>
      <c r="F495" s="626" t="s">
        <v>216</v>
      </c>
      <c r="G495" s="762"/>
      <c r="H495" s="623" t="s">
        <v>46</v>
      </c>
      <c r="I495" s="270">
        <f ca="1">IFERROR(__xludf.DUMMYFUNCTION("IMPORTRANGE(""https://docs.google.com/spreadsheets/d/1QqKyyYR6Q21VydFLVH3TRQUabQu_ym0Zz7PgGX0-kHA/edit?usp=sharing"",""แผน!FY33"")"),540)</f>
        <v>540</v>
      </c>
      <c r="J495" s="215">
        <v>540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</row>
    <row r="496" spans="1:26" ht="18.75">
      <c r="A496" s="608"/>
      <c r="B496" s="618"/>
      <c r="C496" s="618"/>
      <c r="D496" s="618"/>
      <c r="E496" s="618"/>
      <c r="F496" s="626" t="s">
        <v>217</v>
      </c>
      <c r="G496" s="762"/>
      <c r="H496" s="623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</row>
    <row r="497" spans="1:26" ht="18.75">
      <c r="A497" s="608"/>
      <c r="B497" s="618"/>
      <c r="C497" s="618"/>
      <c r="D497" s="618"/>
      <c r="E497" s="618" t="s">
        <v>62</v>
      </c>
      <c r="F497" s="626"/>
      <c r="G497" s="762"/>
      <c r="H497" s="189"/>
      <c r="I497" s="270"/>
      <c r="J497" s="270"/>
      <c r="K497" s="498"/>
      <c r="L497" s="498"/>
      <c r="M497" s="498"/>
      <c r="N497" s="498"/>
      <c r="O497" s="498"/>
      <c r="P497" s="49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</row>
    <row r="498" spans="1:26" ht="18.75">
      <c r="A498" s="608"/>
      <c r="B498" s="618"/>
      <c r="C498" s="618"/>
      <c r="D498" s="618"/>
      <c r="E498" s="626"/>
      <c r="F498" s="626" t="s">
        <v>218</v>
      </c>
      <c r="G498" s="762"/>
      <c r="H498" s="623" t="s">
        <v>46</v>
      </c>
      <c r="I498" s="270">
        <f ca="1">IFERROR(__xludf.DUMMYFUNCTION("IMPORTRANGE(""https://docs.google.com/spreadsheets/d/1QqKyyYR6Q21VydFLVH3TRQUabQu_ym0Zz7PgGX0-kHA/edit?usp=sharing"",""แผน!GA33"")"),60)</f>
        <v>60</v>
      </c>
      <c r="J498" s="215">
        <v>60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</row>
    <row r="499" spans="1:26" ht="18.75">
      <c r="A499" s="608"/>
      <c r="B499" s="618"/>
      <c r="C499" s="618"/>
      <c r="D499" s="618"/>
      <c r="E499" s="626"/>
      <c r="F499" s="626" t="s">
        <v>219</v>
      </c>
      <c r="G499" s="762"/>
      <c r="H499" s="623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</row>
    <row r="500" spans="1:26" ht="19.5" hidden="1">
      <c r="A500" s="627">
        <v>4</v>
      </c>
      <c r="B500" s="628" t="s">
        <v>220</v>
      </c>
      <c r="C500" s="629"/>
      <c r="D500" s="630"/>
      <c r="E500" s="630"/>
      <c r="F500" s="630"/>
      <c r="G500" s="631"/>
      <c r="H500" s="632" t="s">
        <v>109</v>
      </c>
      <c r="I500" s="633"/>
      <c r="J500" s="633">
        <f t="shared" ref="J500:J501" si="214">J516</f>
        <v>0</v>
      </c>
      <c r="K500" s="634">
        <f t="shared" ref="K500:K501" si="215">IF(I500&gt;0,J500*100/I500,0)</f>
        <v>0</v>
      </c>
      <c r="L500" s="635"/>
      <c r="M500" s="635"/>
      <c r="N500" s="635"/>
      <c r="O500" s="635"/>
      <c r="P500" s="635"/>
      <c r="Q500" s="604"/>
      <c r="R500" s="604"/>
      <c r="S500" s="604"/>
      <c r="T500" s="604"/>
      <c r="U500" s="604"/>
      <c r="V500" s="604"/>
      <c r="W500" s="604"/>
      <c r="X500" s="604"/>
      <c r="Y500" s="604"/>
      <c r="Z500" s="604"/>
    </row>
    <row r="501" spans="1:26" ht="19.5" hidden="1">
      <c r="A501" s="636"/>
      <c r="B501" s="638" t="s">
        <v>221</v>
      </c>
      <c r="C501" s="638"/>
      <c r="D501" s="639"/>
      <c r="E501" s="639"/>
      <c r="F501" s="639"/>
      <c r="G501" s="640"/>
      <c r="H501" s="641" t="s">
        <v>35</v>
      </c>
      <c r="I501" s="642"/>
      <c r="J501" s="642">
        <f t="shared" si="214"/>
        <v>0</v>
      </c>
      <c r="K501" s="643">
        <f t="shared" si="215"/>
        <v>0</v>
      </c>
      <c r="L501" s="644"/>
      <c r="M501" s="644"/>
      <c r="N501" s="644"/>
      <c r="O501" s="644"/>
      <c r="P501" s="64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</row>
    <row r="502" spans="1:26" ht="19.5" hidden="1">
      <c r="A502" s="599"/>
      <c r="B502" s="759"/>
      <c r="C502" s="759" t="s">
        <v>16</v>
      </c>
      <c r="D502" s="864" t="s">
        <v>17</v>
      </c>
      <c r="E502" s="857"/>
      <c r="F502" s="857"/>
      <c r="G502" s="603"/>
      <c r="H502" s="646" t="s">
        <v>12</v>
      </c>
      <c r="I502" s="617"/>
      <c r="J502" s="617"/>
      <c r="K502" s="93"/>
      <c r="L502" s="647">
        <f t="shared" ref="L502:N502" si="216">L503+L504</f>
        <v>0</v>
      </c>
      <c r="M502" s="647">
        <f t="shared" si="216"/>
        <v>0</v>
      </c>
      <c r="N502" s="647">
        <f t="shared" si="216"/>
        <v>0</v>
      </c>
      <c r="O502" s="647">
        <f t="shared" ref="O502:O507" si="217">IF(L502&gt;0,N502*100/L502,0)</f>
        <v>0</v>
      </c>
      <c r="P502" s="647">
        <f t="shared" ref="P502:P507" si="218">IF(M502&gt;0,N502*100/M502,0)</f>
        <v>0</v>
      </c>
      <c r="Q502" s="604"/>
      <c r="R502" s="604"/>
      <c r="S502" s="604"/>
      <c r="T502" s="604"/>
      <c r="U502" s="604"/>
      <c r="V502" s="604"/>
      <c r="W502" s="604"/>
      <c r="X502" s="604"/>
      <c r="Y502" s="604"/>
      <c r="Z502" s="604"/>
    </row>
    <row r="503" spans="1:26" ht="18.75" hidden="1">
      <c r="A503" s="599"/>
      <c r="B503" s="759"/>
      <c r="C503" s="759"/>
      <c r="D503" s="720"/>
      <c r="E503" s="759" t="s">
        <v>185</v>
      </c>
      <c r="F503" s="759"/>
      <c r="G503" s="603"/>
      <c r="H503" s="165" t="s">
        <v>12</v>
      </c>
      <c r="I503" s="617"/>
      <c r="J503" s="617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4"/>
      <c r="R503" s="604"/>
      <c r="S503" s="604"/>
      <c r="T503" s="604"/>
      <c r="U503" s="604"/>
      <c r="V503" s="604"/>
      <c r="W503" s="604"/>
      <c r="X503" s="604"/>
      <c r="Y503" s="604"/>
      <c r="Z503" s="604"/>
    </row>
    <row r="504" spans="1:26" ht="18.75" hidden="1">
      <c r="A504" s="599"/>
      <c r="B504" s="607"/>
      <c r="C504" s="759"/>
      <c r="D504" s="720"/>
      <c r="E504" s="759" t="s">
        <v>186</v>
      </c>
      <c r="F504" s="759"/>
      <c r="G504" s="603"/>
      <c r="H504" s="165" t="s">
        <v>12</v>
      </c>
      <c r="I504" s="617"/>
      <c r="J504" s="617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4"/>
      <c r="R504" s="604"/>
      <c r="S504" s="604"/>
      <c r="T504" s="604"/>
      <c r="U504" s="604"/>
      <c r="V504" s="604"/>
      <c r="W504" s="604"/>
      <c r="X504" s="604"/>
      <c r="Y504" s="604"/>
      <c r="Z504" s="604"/>
    </row>
    <row r="505" spans="1:26" ht="18.75" hidden="1">
      <c r="A505" s="599"/>
      <c r="B505" s="607"/>
      <c r="C505" s="759"/>
      <c r="D505" s="648" t="s">
        <v>20</v>
      </c>
      <c r="E505" s="759"/>
      <c r="F505" s="759"/>
      <c r="G505" s="603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4"/>
      <c r="R505" s="604"/>
      <c r="S505" s="604"/>
      <c r="T505" s="604"/>
      <c r="U505" s="604"/>
      <c r="V505" s="604"/>
      <c r="W505" s="604"/>
      <c r="X505" s="604"/>
      <c r="Y505" s="604"/>
      <c r="Z505" s="604"/>
    </row>
    <row r="506" spans="1:26" ht="18.75" hidden="1">
      <c r="A506" s="599"/>
      <c r="B506" s="607"/>
      <c r="C506" s="759"/>
      <c r="D506" s="720"/>
      <c r="E506" s="759" t="s">
        <v>185</v>
      </c>
      <c r="F506" s="759"/>
      <c r="G506" s="603"/>
      <c r="H506" s="165" t="s">
        <v>12</v>
      </c>
      <c r="I506" s="617"/>
      <c r="J506" s="617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4"/>
      <c r="R506" s="604"/>
      <c r="S506" s="604"/>
      <c r="T506" s="604"/>
      <c r="U506" s="604"/>
      <c r="V506" s="604"/>
      <c r="W506" s="604"/>
      <c r="X506" s="604"/>
      <c r="Y506" s="604"/>
      <c r="Z506" s="604"/>
    </row>
    <row r="507" spans="1:26" ht="18.75" hidden="1">
      <c r="A507" s="599"/>
      <c r="B507" s="607"/>
      <c r="C507" s="759"/>
      <c r="D507" s="720"/>
      <c r="E507" s="759" t="s">
        <v>186</v>
      </c>
      <c r="F507" s="759"/>
      <c r="G507" s="603"/>
      <c r="H507" s="165" t="s">
        <v>12</v>
      </c>
      <c r="I507" s="617"/>
      <c r="J507" s="617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4"/>
      <c r="R507" s="604"/>
      <c r="S507" s="604"/>
      <c r="T507" s="604"/>
      <c r="U507" s="604"/>
      <c r="V507" s="604"/>
      <c r="W507" s="604"/>
      <c r="X507" s="604"/>
      <c r="Y507" s="604"/>
      <c r="Z507" s="604"/>
    </row>
    <row r="508" spans="1:26" ht="18.75" hidden="1">
      <c r="A508" s="649"/>
      <c r="B508" s="607"/>
      <c r="C508" s="759"/>
      <c r="D508" s="759"/>
      <c r="E508" s="759"/>
      <c r="F508" s="759" t="s">
        <v>187</v>
      </c>
      <c r="G508" s="603"/>
      <c r="H508" s="165" t="s">
        <v>12</v>
      </c>
      <c r="I508" s="617"/>
      <c r="J508" s="617"/>
      <c r="K508" s="93"/>
      <c r="L508" s="93"/>
      <c r="M508" s="93"/>
      <c r="N508" s="93">
        <v>0</v>
      </c>
      <c r="O508" s="93"/>
      <c r="P508" s="93"/>
      <c r="Q508" s="604"/>
      <c r="R508" s="604"/>
      <c r="S508" s="604"/>
      <c r="T508" s="604"/>
      <c r="U508" s="604"/>
      <c r="V508" s="604"/>
      <c r="W508" s="604"/>
      <c r="X508" s="604"/>
      <c r="Y508" s="604"/>
      <c r="Z508" s="604"/>
    </row>
    <row r="509" spans="1:26" ht="18.75" hidden="1">
      <c r="A509" s="649"/>
      <c r="B509" s="607"/>
      <c r="C509" s="759"/>
      <c r="D509" s="759"/>
      <c r="E509" s="759"/>
      <c r="F509" s="759" t="s">
        <v>188</v>
      </c>
      <c r="G509" s="603"/>
      <c r="H509" s="165" t="s">
        <v>12</v>
      </c>
      <c r="I509" s="617"/>
      <c r="J509" s="617"/>
      <c r="K509" s="93"/>
      <c r="L509" s="93"/>
      <c r="M509" s="93"/>
      <c r="N509" s="93">
        <v>0</v>
      </c>
      <c r="O509" s="93"/>
      <c r="P509" s="93"/>
      <c r="Q509" s="604"/>
      <c r="R509" s="604"/>
      <c r="S509" s="604"/>
      <c r="T509" s="604"/>
      <c r="U509" s="604"/>
      <c r="V509" s="604"/>
      <c r="W509" s="604"/>
      <c r="X509" s="604"/>
      <c r="Y509" s="604"/>
      <c r="Z509" s="604"/>
    </row>
    <row r="510" spans="1:26" ht="18.75" hidden="1">
      <c r="A510" s="649"/>
      <c r="B510" s="607"/>
      <c r="C510" s="607"/>
      <c r="D510" s="607"/>
      <c r="E510" s="759"/>
      <c r="F510" s="759" t="s">
        <v>189</v>
      </c>
      <c r="G510" s="603"/>
      <c r="H510" s="165" t="s">
        <v>12</v>
      </c>
      <c r="I510" s="617"/>
      <c r="J510" s="617"/>
      <c r="K510" s="93"/>
      <c r="L510" s="93"/>
      <c r="M510" s="93"/>
      <c r="N510" s="93">
        <v>0</v>
      </c>
      <c r="O510" s="93"/>
      <c r="P510" s="93"/>
      <c r="Q510" s="604"/>
      <c r="R510" s="604"/>
      <c r="S510" s="604"/>
      <c r="T510" s="604"/>
      <c r="U510" s="604"/>
      <c r="V510" s="604"/>
      <c r="W510" s="604"/>
      <c r="X510" s="604"/>
      <c r="Y510" s="604"/>
      <c r="Z510" s="604"/>
    </row>
    <row r="511" spans="1:26" ht="18.75" hidden="1">
      <c r="A511" s="649"/>
      <c r="B511" s="607"/>
      <c r="C511" s="607"/>
      <c r="D511" s="607"/>
      <c r="E511" s="759"/>
      <c r="F511" s="759" t="s">
        <v>190</v>
      </c>
      <c r="G511" s="603"/>
      <c r="H511" s="165" t="s">
        <v>12</v>
      </c>
      <c r="I511" s="617"/>
      <c r="J511" s="617"/>
      <c r="K511" s="93"/>
      <c r="L511" s="93"/>
      <c r="M511" s="93"/>
      <c r="N511" s="93">
        <v>0</v>
      </c>
      <c r="O511" s="93"/>
      <c r="P511" s="93"/>
      <c r="Q511" s="604"/>
      <c r="R511" s="604"/>
      <c r="S511" s="604"/>
      <c r="T511" s="604"/>
      <c r="U511" s="604"/>
      <c r="V511" s="604"/>
      <c r="W511" s="604"/>
      <c r="X511" s="604"/>
      <c r="Y511" s="604"/>
      <c r="Z511" s="604"/>
    </row>
    <row r="512" spans="1:26" ht="18.75" hidden="1">
      <c r="A512" s="599"/>
      <c r="B512" s="607"/>
      <c r="C512" s="607"/>
      <c r="D512" s="648" t="s">
        <v>21</v>
      </c>
      <c r="E512" s="607"/>
      <c r="F512" s="759"/>
      <c r="G512" s="603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4"/>
      <c r="R512" s="604"/>
      <c r="S512" s="604"/>
      <c r="T512" s="604"/>
      <c r="U512" s="604"/>
      <c r="V512" s="604"/>
      <c r="W512" s="604"/>
      <c r="X512" s="604"/>
      <c r="Y512" s="604"/>
      <c r="Z512" s="604"/>
    </row>
    <row r="513" spans="1:26" ht="18.75" hidden="1">
      <c r="A513" s="599"/>
      <c r="B513" s="607"/>
      <c r="C513" s="607"/>
      <c r="D513" s="607"/>
      <c r="E513" s="607" t="s">
        <v>18</v>
      </c>
      <c r="F513" s="759"/>
      <c r="G513" s="603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4"/>
      <c r="R513" s="604"/>
      <c r="S513" s="604"/>
      <c r="T513" s="604"/>
      <c r="U513" s="604"/>
      <c r="V513" s="604"/>
      <c r="W513" s="604"/>
      <c r="X513" s="604"/>
      <c r="Y513" s="604"/>
      <c r="Z513" s="604"/>
    </row>
    <row r="514" spans="1:26" ht="18.75" hidden="1">
      <c r="A514" s="599"/>
      <c r="B514" s="607"/>
      <c r="C514" s="607"/>
      <c r="D514" s="759"/>
      <c r="E514" s="607" t="s">
        <v>19</v>
      </c>
      <c r="F514" s="759"/>
      <c r="G514" s="603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4"/>
      <c r="R514" s="604"/>
      <c r="S514" s="604"/>
      <c r="T514" s="604"/>
      <c r="U514" s="604"/>
      <c r="V514" s="604"/>
      <c r="W514" s="604"/>
      <c r="X514" s="604"/>
      <c r="Y514" s="604"/>
      <c r="Z514" s="604"/>
    </row>
    <row r="515" spans="1:26" ht="19.5" hidden="1">
      <c r="A515" s="614"/>
      <c r="B515" s="616"/>
      <c r="C515" s="607" t="s">
        <v>16</v>
      </c>
      <c r="D515" s="895" t="s">
        <v>38</v>
      </c>
      <c r="E515" s="651"/>
      <c r="F515" s="651"/>
      <c r="G515" s="652"/>
      <c r="H515" s="366"/>
      <c r="I515" s="166"/>
      <c r="J515" s="166"/>
      <c r="K515" s="167"/>
      <c r="L515" s="167"/>
      <c r="M515" s="167"/>
      <c r="N515" s="167"/>
      <c r="O515" s="167"/>
      <c r="P515" s="167"/>
      <c r="Q515" s="604"/>
      <c r="R515" s="604"/>
      <c r="S515" s="604"/>
      <c r="T515" s="604"/>
      <c r="U515" s="604"/>
      <c r="V515" s="604"/>
      <c r="W515" s="604"/>
      <c r="X515" s="604"/>
      <c r="Y515" s="604"/>
      <c r="Z515" s="604"/>
    </row>
    <row r="516" spans="1:26" ht="18.75" hidden="1">
      <c r="A516" s="614"/>
      <c r="B516" s="616"/>
      <c r="C516" s="616"/>
      <c r="D516" s="616" t="s">
        <v>222</v>
      </c>
      <c r="E516" s="720"/>
      <c r="F516" s="720"/>
      <c r="G516" s="366"/>
      <c r="H516" s="653" t="s">
        <v>109</v>
      </c>
      <c r="I516" s="617"/>
      <c r="J516" s="617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4"/>
      <c r="R516" s="604"/>
      <c r="S516" s="604"/>
      <c r="T516" s="604"/>
      <c r="U516" s="604"/>
      <c r="V516" s="604"/>
      <c r="W516" s="604"/>
      <c r="X516" s="604"/>
      <c r="Y516" s="604"/>
      <c r="Z516" s="604"/>
    </row>
    <row r="517" spans="1:26" ht="19.5" hidden="1">
      <c r="A517" s="614"/>
      <c r="B517" s="616"/>
      <c r="C517" s="616"/>
      <c r="D517" s="616" t="s">
        <v>223</v>
      </c>
      <c r="E517" s="720"/>
      <c r="F517" s="720"/>
      <c r="G517" s="366"/>
      <c r="H517" s="654" t="s">
        <v>35</v>
      </c>
      <c r="I517" s="655"/>
      <c r="J517" s="655">
        <f>J518+J519</f>
        <v>0</v>
      </c>
      <c r="K517" s="656">
        <f t="shared" si="224"/>
        <v>0</v>
      </c>
      <c r="L517" s="167"/>
      <c r="M517" s="167"/>
      <c r="N517" s="167"/>
      <c r="O517" s="167"/>
      <c r="P517" s="167"/>
      <c r="Q517" s="604"/>
      <c r="R517" s="604"/>
      <c r="S517" s="604"/>
      <c r="T517" s="604"/>
      <c r="U517" s="604"/>
      <c r="V517" s="604"/>
      <c r="W517" s="604"/>
      <c r="X517" s="604"/>
      <c r="Y517" s="604"/>
      <c r="Z517" s="604"/>
    </row>
    <row r="518" spans="1:26" ht="18.75" hidden="1">
      <c r="A518" s="614"/>
      <c r="B518" s="616"/>
      <c r="C518" s="616"/>
      <c r="D518" s="616"/>
      <c r="E518" s="616" t="s">
        <v>224</v>
      </c>
      <c r="F518" s="720"/>
      <c r="G518" s="366"/>
      <c r="H518" s="370" t="s">
        <v>35</v>
      </c>
      <c r="I518" s="617"/>
      <c r="J518" s="617"/>
      <c r="K518" s="167"/>
      <c r="L518" s="167"/>
      <c r="M518" s="167"/>
      <c r="N518" s="167"/>
      <c r="O518" s="167"/>
      <c r="P518" s="167"/>
      <c r="Q518" s="604"/>
      <c r="R518" s="604"/>
      <c r="S518" s="604"/>
      <c r="T518" s="604"/>
      <c r="U518" s="604"/>
      <c r="V518" s="604"/>
      <c r="W518" s="604"/>
      <c r="X518" s="604"/>
      <c r="Y518" s="604"/>
      <c r="Z518" s="604"/>
    </row>
    <row r="519" spans="1:26" ht="18.75" hidden="1">
      <c r="A519" s="614"/>
      <c r="B519" s="616"/>
      <c r="C519" s="616"/>
      <c r="D519" s="616"/>
      <c r="E519" s="616" t="s">
        <v>225</v>
      </c>
      <c r="F519" s="720"/>
      <c r="G519" s="366"/>
      <c r="H519" s="653" t="s">
        <v>35</v>
      </c>
      <c r="I519" s="617"/>
      <c r="J519" s="617"/>
      <c r="K519" s="167"/>
      <c r="L519" s="167"/>
      <c r="M519" s="167"/>
      <c r="N519" s="167"/>
      <c r="O519" s="167"/>
      <c r="P519" s="167"/>
      <c r="Q519" s="604"/>
      <c r="R519" s="604"/>
      <c r="S519" s="604"/>
      <c r="T519" s="604"/>
      <c r="U519" s="604"/>
      <c r="V519" s="604"/>
      <c r="W519" s="604"/>
      <c r="X519" s="604"/>
      <c r="Y519" s="604"/>
      <c r="Z519" s="604"/>
    </row>
    <row r="520" spans="1:26" ht="19.5">
      <c r="A520" s="657" t="s">
        <v>137</v>
      </c>
      <c r="B520" s="658"/>
      <c r="C520" s="658"/>
      <c r="D520" s="659"/>
      <c r="E520" s="659"/>
      <c r="F520" s="659"/>
      <c r="G520" s="660"/>
      <c r="H520" s="661"/>
      <c r="I520" s="662"/>
      <c r="J520" s="662"/>
      <c r="K520" s="663"/>
      <c r="L520" s="663"/>
      <c r="M520" s="663"/>
      <c r="N520" s="663"/>
      <c r="O520" s="663"/>
      <c r="P520" s="663"/>
    </row>
    <row r="521" spans="1:26" ht="19.5" hidden="1">
      <c r="A521" s="664">
        <v>5</v>
      </c>
      <c r="B521" s="665" t="s">
        <v>226</v>
      </c>
      <c r="C521" s="666"/>
      <c r="D521" s="667"/>
      <c r="E521" s="667"/>
      <c r="F521" s="667"/>
      <c r="G521" s="667"/>
      <c r="H521" s="668"/>
      <c r="I521" s="669"/>
      <c r="J521" s="669"/>
      <c r="K521" s="670"/>
      <c r="L521" s="670"/>
      <c r="M521" s="670"/>
      <c r="N521" s="670"/>
      <c r="O521" s="670"/>
      <c r="P521" s="670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</row>
    <row r="522" spans="1:26" ht="19.5" hidden="1">
      <c r="A522" s="671"/>
      <c r="B522" s="672" t="s">
        <v>227</v>
      </c>
      <c r="C522" s="673"/>
      <c r="D522" s="673"/>
      <c r="E522" s="673"/>
      <c r="F522" s="673"/>
      <c r="G522" s="674"/>
      <c r="H522" s="675" t="s">
        <v>35</v>
      </c>
      <c r="I522" s="708">
        <f t="shared" ref="I522:J522" ca="1" si="225">I537</f>
        <v>0</v>
      </c>
      <c r="J522" s="708">
        <f t="shared" ca="1" si="225"/>
        <v>0</v>
      </c>
      <c r="K522" s="677">
        <f ca="1">IF(I522&gt;0,J522*100/I522,0)</f>
        <v>0</v>
      </c>
      <c r="L522" s="678"/>
      <c r="M522" s="678"/>
      <c r="N522" s="678"/>
      <c r="O522" s="678"/>
      <c r="P522" s="6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</row>
    <row r="523" spans="1:26" ht="19.5" hidden="1">
      <c r="A523" s="597"/>
      <c r="B523" s="763"/>
      <c r="C523" s="763" t="s">
        <v>16</v>
      </c>
      <c r="D523" s="863" t="s">
        <v>17</v>
      </c>
      <c r="E523" s="857"/>
      <c r="F523" s="857"/>
      <c r="G523" s="189"/>
      <c r="H523" s="598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</row>
    <row r="524" spans="1:26" ht="18.75" hidden="1">
      <c r="A524" s="599"/>
      <c r="B524" s="759"/>
      <c r="C524" s="759"/>
      <c r="D524" s="720"/>
      <c r="E524" s="759" t="s">
        <v>185</v>
      </c>
      <c r="F524" s="759"/>
      <c r="G524" s="603"/>
      <c r="H524" s="165" t="s">
        <v>12</v>
      </c>
      <c r="I524" s="617"/>
      <c r="J524" s="617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4"/>
      <c r="R524" s="604"/>
      <c r="S524" s="604"/>
      <c r="T524" s="604"/>
      <c r="U524" s="604"/>
      <c r="V524" s="604"/>
      <c r="W524" s="604"/>
      <c r="X524" s="604"/>
      <c r="Y524" s="604"/>
      <c r="Z524" s="604"/>
    </row>
    <row r="525" spans="1:26" ht="18.75" hidden="1">
      <c r="A525" s="599"/>
      <c r="B525" s="607"/>
      <c r="C525" s="759"/>
      <c r="D525" s="720"/>
      <c r="E525" s="759" t="s">
        <v>186</v>
      </c>
      <c r="F525" s="759"/>
      <c r="G525" s="603"/>
      <c r="H525" s="165" t="s">
        <v>12</v>
      </c>
      <c r="I525" s="617"/>
      <c r="J525" s="617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4"/>
      <c r="R525" s="604"/>
      <c r="S525" s="604"/>
      <c r="T525" s="604"/>
      <c r="U525" s="604"/>
      <c r="V525" s="604"/>
      <c r="W525" s="604"/>
      <c r="X525" s="604"/>
      <c r="Y525" s="604"/>
      <c r="Z525" s="604"/>
    </row>
    <row r="526" spans="1:26" ht="18.75" hidden="1">
      <c r="A526" s="597"/>
      <c r="B526" s="575"/>
      <c r="C526" s="763"/>
      <c r="D526" s="606" t="s">
        <v>20</v>
      </c>
      <c r="E526" s="763"/>
      <c r="F526" s="763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</row>
    <row r="527" spans="1:26" ht="18.75" hidden="1">
      <c r="A527" s="599"/>
      <c r="B527" s="607"/>
      <c r="C527" s="759"/>
      <c r="D527" s="720"/>
      <c r="E527" s="759" t="s">
        <v>185</v>
      </c>
      <c r="F527" s="759"/>
      <c r="G527" s="603"/>
      <c r="H527" s="165" t="s">
        <v>12</v>
      </c>
      <c r="I527" s="617"/>
      <c r="J527" s="617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4"/>
      <c r="R527" s="604"/>
      <c r="S527" s="604"/>
      <c r="T527" s="604"/>
      <c r="U527" s="604"/>
      <c r="V527" s="604"/>
      <c r="W527" s="604"/>
      <c r="X527" s="604"/>
      <c r="Y527" s="604"/>
      <c r="Z527" s="604"/>
    </row>
    <row r="528" spans="1:26" ht="18.75" hidden="1">
      <c r="A528" s="599"/>
      <c r="B528" s="607"/>
      <c r="C528" s="759"/>
      <c r="D528" s="720"/>
      <c r="E528" s="759" t="s">
        <v>186</v>
      </c>
      <c r="F528" s="759"/>
      <c r="G528" s="603"/>
      <c r="H528" s="165" t="s">
        <v>12</v>
      </c>
      <c r="I528" s="617"/>
      <c r="J528" s="617"/>
      <c r="K528" s="93"/>
      <c r="L528" s="93">
        <f ca="1">IFERROR(__xludf.DUMMYFUNCTION("IMPORTRANGE(""https://docs.google.com/spreadsheets/d/1QqKyyYR6Q21VydFLVH3TRQUabQu_ym0Zz7PgGX0-kHA/edit?usp=sharing"",""แผน!GQ33"")"),0)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4"/>
      <c r="R528" s="604"/>
      <c r="S528" s="604"/>
      <c r="T528" s="604"/>
      <c r="U528" s="604"/>
      <c r="V528" s="604"/>
      <c r="W528" s="604"/>
      <c r="X528" s="604"/>
      <c r="Y528" s="604"/>
      <c r="Z528" s="604"/>
    </row>
    <row r="529" spans="1:26" ht="18.75" hidden="1">
      <c r="A529" s="574"/>
      <c r="B529" s="575"/>
      <c r="C529" s="763"/>
      <c r="D529" s="763"/>
      <c r="E529" s="763"/>
      <c r="F529" s="763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40">
        <v>0</v>
      </c>
      <c r="O529" s="498"/>
      <c r="P529" s="49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</row>
    <row r="530" spans="1:26" ht="18.75" hidden="1">
      <c r="A530" s="574"/>
      <c r="B530" s="575"/>
      <c r="C530" s="763"/>
      <c r="D530" s="763"/>
      <c r="E530" s="763"/>
      <c r="F530" s="763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40">
        <v>0</v>
      </c>
      <c r="O530" s="498"/>
      <c r="P530" s="49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</row>
    <row r="531" spans="1:26" ht="18.75" hidden="1">
      <c r="A531" s="574"/>
      <c r="B531" s="575"/>
      <c r="C531" s="763"/>
      <c r="D531" s="763"/>
      <c r="E531" s="763"/>
      <c r="F531" s="763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40">
        <v>0</v>
      </c>
      <c r="O531" s="498"/>
      <c r="P531" s="49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</row>
    <row r="532" spans="1:26" ht="18.75" hidden="1">
      <c r="A532" s="574"/>
      <c r="B532" s="575"/>
      <c r="C532" s="763"/>
      <c r="D532" s="763"/>
      <c r="E532" s="763"/>
      <c r="F532" s="763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40">
        <v>0</v>
      </c>
      <c r="O532" s="498"/>
      <c r="P532" s="49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</row>
    <row r="533" spans="1:26" ht="18.75" hidden="1">
      <c r="A533" s="597"/>
      <c r="B533" s="575"/>
      <c r="C533" s="763"/>
      <c r="D533" s="606" t="s">
        <v>21</v>
      </c>
      <c r="E533" s="763"/>
      <c r="F533" s="763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</row>
    <row r="534" spans="1:26" ht="18.75" hidden="1">
      <c r="A534" s="599"/>
      <c r="B534" s="607"/>
      <c r="C534" s="759"/>
      <c r="D534" s="759"/>
      <c r="E534" s="759" t="s">
        <v>18</v>
      </c>
      <c r="F534" s="759"/>
      <c r="G534" s="603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4"/>
      <c r="R534" s="604"/>
      <c r="S534" s="604"/>
      <c r="T534" s="604"/>
      <c r="U534" s="604"/>
      <c r="V534" s="604"/>
      <c r="W534" s="604"/>
      <c r="X534" s="604"/>
      <c r="Y534" s="604"/>
      <c r="Z534" s="604"/>
    </row>
    <row r="535" spans="1:26" ht="18.75" hidden="1">
      <c r="A535" s="599"/>
      <c r="B535" s="607"/>
      <c r="C535" s="759"/>
      <c r="D535" s="759"/>
      <c r="E535" s="759" t="s">
        <v>19</v>
      </c>
      <c r="F535" s="759"/>
      <c r="G535" s="603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4"/>
      <c r="R535" s="604"/>
      <c r="S535" s="604"/>
      <c r="T535" s="604"/>
      <c r="U535" s="604"/>
      <c r="V535" s="604"/>
      <c r="W535" s="604"/>
      <c r="X535" s="604"/>
      <c r="Y535" s="604"/>
      <c r="Z535" s="604"/>
    </row>
    <row r="536" spans="1:26" ht="19.5" hidden="1">
      <c r="A536" s="608"/>
      <c r="B536" s="618"/>
      <c r="C536" s="763" t="s">
        <v>16</v>
      </c>
      <c r="D536" s="896" t="s">
        <v>38</v>
      </c>
      <c r="E536" s="761"/>
      <c r="F536" s="761"/>
      <c r="G536" s="613"/>
      <c r="H536" s="762"/>
      <c r="I536" s="184"/>
      <c r="J536" s="184"/>
      <c r="K536" s="163"/>
      <c r="L536" s="163"/>
      <c r="M536" s="163"/>
      <c r="N536" s="163"/>
      <c r="O536" s="163"/>
      <c r="P536" s="163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</row>
    <row r="537" spans="1:26" ht="19.5" hidden="1">
      <c r="A537" s="574"/>
      <c r="B537" s="575"/>
      <c r="C537" s="763"/>
      <c r="D537" s="763" t="s">
        <v>228</v>
      </c>
      <c r="E537" s="763"/>
      <c r="F537" s="763"/>
      <c r="G537" s="189"/>
      <c r="H537" s="623" t="s">
        <v>35</v>
      </c>
      <c r="I537" s="681">
        <f ca="1">IFERROR(__xludf.DUMMYFUNCTION("IMPORTRANGE(""https://docs.google.com/spreadsheets/d/1QqKyyYR6Q21VydFLVH3TRQUabQu_ym0Zz7PgGX0-kHA/edit?usp=sharing"",""แผน!GU33"")"),0)</f>
        <v>0</v>
      </c>
      <c r="J537" s="681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2"/>
      <c r="R537" s="682"/>
      <c r="S537" s="682"/>
      <c r="T537" s="682"/>
      <c r="U537" s="682"/>
      <c r="V537" s="682"/>
      <c r="W537" s="682"/>
      <c r="X537" s="682"/>
      <c r="Y537" s="682"/>
      <c r="Z537" s="682"/>
    </row>
    <row r="538" spans="1:26" ht="18.75" hidden="1">
      <c r="A538" s="574"/>
      <c r="B538" s="575"/>
      <c r="C538" s="763"/>
      <c r="D538" s="763"/>
      <c r="E538" s="763" t="s">
        <v>229</v>
      </c>
      <c r="F538" s="763"/>
      <c r="G538" s="189"/>
      <c r="H538" s="623" t="s">
        <v>35</v>
      </c>
      <c r="I538" s="270">
        <f ca="1">IFERROR(__xludf.DUMMYFUNCTION("IMPORTRANGE(""https://docs.google.com/spreadsheets/d/1QqKyyYR6Q21VydFLVH3TRQUabQu_ym0Zz7PgGX0-kHA/edit?usp=sharing"",""แผน!GV33"")"),0)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2"/>
      <c r="R538" s="682"/>
      <c r="S538" s="682"/>
      <c r="T538" s="682"/>
      <c r="U538" s="682"/>
      <c r="V538" s="682"/>
      <c r="W538" s="682"/>
      <c r="X538" s="682"/>
      <c r="Y538" s="682"/>
      <c r="Z538" s="682"/>
    </row>
    <row r="539" spans="1:26" ht="18.75" hidden="1">
      <c r="A539" s="574"/>
      <c r="B539" s="575"/>
      <c r="C539" s="763"/>
      <c r="D539" s="763"/>
      <c r="E539" s="763" t="s">
        <v>230</v>
      </c>
      <c r="F539" s="763"/>
      <c r="G539" s="189"/>
      <c r="H539" s="623" t="s">
        <v>35</v>
      </c>
      <c r="I539" s="270">
        <f ca="1">IFERROR(__xludf.DUMMYFUNCTION("IMPORTRANGE(""https://docs.google.com/spreadsheets/d/1QqKyyYR6Q21VydFLVH3TRQUabQu_ym0Zz7PgGX0-kHA/edit?usp=sharing"",""แผน!GW33"")"),0)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2"/>
      <c r="R539" s="682"/>
      <c r="S539" s="682"/>
      <c r="T539" s="682"/>
      <c r="U539" s="682"/>
      <c r="V539" s="682"/>
      <c r="W539" s="682"/>
      <c r="X539" s="682"/>
      <c r="Y539" s="682"/>
      <c r="Z539" s="682"/>
    </row>
    <row r="540" spans="1:26" ht="18.75" hidden="1">
      <c r="A540" s="574"/>
      <c r="B540" s="575"/>
      <c r="C540" s="763"/>
      <c r="D540" s="763"/>
      <c r="E540" s="763" t="s">
        <v>231</v>
      </c>
      <c r="F540" s="763"/>
      <c r="G540" s="189"/>
      <c r="H540" s="623" t="s">
        <v>35</v>
      </c>
      <c r="I540" s="270">
        <f ca="1">IFERROR(__xludf.DUMMYFUNCTION("IMPORTRANGE(""https://docs.google.com/spreadsheets/d/1QqKyyYR6Q21VydFLVH3TRQUabQu_ym0Zz7PgGX0-kHA/edit?usp=sharing"",""แผน!GX33"")"),0)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2"/>
      <c r="R540" s="682"/>
      <c r="S540" s="682"/>
      <c r="T540" s="682"/>
      <c r="U540" s="682"/>
      <c r="V540" s="682"/>
      <c r="W540" s="682"/>
      <c r="X540" s="682"/>
      <c r="Y540" s="682"/>
      <c r="Z540" s="682"/>
    </row>
    <row r="541" spans="1:26" ht="18.75" hidden="1">
      <c r="A541" s="574"/>
      <c r="B541" s="575"/>
      <c r="C541" s="763"/>
      <c r="D541" s="763"/>
      <c r="E541" s="769" t="s">
        <v>232</v>
      </c>
      <c r="F541" s="763"/>
      <c r="G541" s="189"/>
      <c r="H541" s="623" t="s">
        <v>35</v>
      </c>
      <c r="I541" s="270">
        <f ca="1">IFERROR(__xludf.DUMMYFUNCTION("IMPORTRANGE(""https://docs.google.com/spreadsheets/d/1QqKyyYR6Q21VydFLVH3TRQUabQu_ym0Zz7PgGX0-kHA/edit?usp=sharing"",""แผน!GY33"")"),0)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2"/>
      <c r="R541" s="682"/>
      <c r="S541" s="682"/>
      <c r="T541" s="682"/>
      <c r="U541" s="682"/>
      <c r="V541" s="682"/>
      <c r="W541" s="682"/>
      <c r="X541" s="682"/>
      <c r="Y541" s="682"/>
      <c r="Z541" s="682"/>
    </row>
    <row r="542" spans="1:26" ht="18.75" hidden="1">
      <c r="A542" s="574"/>
      <c r="B542" s="575"/>
      <c r="C542" s="763"/>
      <c r="D542" s="763" t="s">
        <v>59</v>
      </c>
      <c r="E542" s="763"/>
      <c r="F542" s="763"/>
      <c r="G542" s="189"/>
      <c r="H542" s="623" t="s">
        <v>35</v>
      </c>
      <c r="I542" s="270">
        <f ca="1">IFERROR(__xludf.DUMMYFUNCTION("IMPORTRANGE(""https://docs.google.com/spreadsheets/d/1QqKyyYR6Q21VydFLVH3TRQUabQu_ym0Zz7PgGX0-kHA/edit?usp=sharing"",""แผน!GZ33"")"),0)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2"/>
      <c r="R542" s="682"/>
      <c r="S542" s="682"/>
      <c r="T542" s="682"/>
      <c r="U542" s="682"/>
      <c r="V542" s="682"/>
      <c r="W542" s="682"/>
      <c r="X542" s="682"/>
      <c r="Y542" s="682"/>
      <c r="Z542" s="682"/>
    </row>
    <row r="543" spans="1:26" ht="19.5">
      <c r="A543" s="664">
        <v>6</v>
      </c>
      <c r="B543" s="685" t="s">
        <v>233</v>
      </c>
      <c r="C543" s="667"/>
      <c r="D543" s="667"/>
      <c r="E543" s="667"/>
      <c r="F543" s="667"/>
      <c r="G543" s="668"/>
      <c r="H543" s="686" t="s">
        <v>46</v>
      </c>
      <c r="I543" s="687">
        <f t="shared" ref="I543:J543" ca="1" si="235">I559</f>
        <v>73574.352499999994</v>
      </c>
      <c r="J543" s="687">
        <f t="shared" si="235"/>
        <v>73574.352500000008</v>
      </c>
      <c r="K543" s="688">
        <f t="shared" ca="1" si="234"/>
        <v>100.00000000000003</v>
      </c>
      <c r="L543" s="670"/>
      <c r="M543" s="670"/>
      <c r="N543" s="670"/>
      <c r="O543" s="670"/>
      <c r="P543" s="670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</row>
    <row r="544" spans="1:26" ht="19.5">
      <c r="A544" s="689"/>
      <c r="B544" s="690"/>
      <c r="C544" s="690" t="s">
        <v>16</v>
      </c>
      <c r="D544" s="897" t="s">
        <v>17</v>
      </c>
      <c r="E544" s="862"/>
      <c r="F544" s="862"/>
      <c r="G544" s="691"/>
      <c r="H544" s="275" t="s">
        <v>12</v>
      </c>
      <c r="I544" s="420"/>
      <c r="J544" s="420"/>
      <c r="K544" s="154"/>
      <c r="L544" s="155">
        <f t="shared" ref="L544:N544" ca="1" si="236">L545+L546</f>
        <v>478243</v>
      </c>
      <c r="M544" s="155">
        <f t="shared" ca="1" si="236"/>
        <v>476478.71</v>
      </c>
      <c r="N544" s="155">
        <f t="shared" si="236"/>
        <v>476478.70999999996</v>
      </c>
      <c r="O544" s="155">
        <f t="shared" ref="O544:O549" ca="1" si="237">IF(L544&gt;0,N544*100/L544,0)</f>
        <v>99.631089216151622</v>
      </c>
      <c r="P544" s="155">
        <f t="shared" ref="P544:P549" ca="1" si="238">IF(M544&gt;0,N544*100/M544,0)</f>
        <v>100</v>
      </c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</row>
    <row r="545" spans="1:26" ht="18.75" hidden="1">
      <c r="A545" s="599"/>
      <c r="B545" s="759"/>
      <c r="C545" s="759"/>
      <c r="D545" s="759"/>
      <c r="E545" s="759" t="s">
        <v>185</v>
      </c>
      <c r="F545" s="759"/>
      <c r="G545" s="603"/>
      <c r="H545" s="165" t="s">
        <v>12</v>
      </c>
      <c r="I545" s="617"/>
      <c r="J545" s="617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4"/>
      <c r="R545" s="604"/>
      <c r="S545" s="604"/>
      <c r="T545" s="604"/>
      <c r="U545" s="604"/>
      <c r="V545" s="604"/>
      <c r="W545" s="604"/>
      <c r="X545" s="604"/>
      <c r="Y545" s="604"/>
      <c r="Z545" s="604"/>
    </row>
    <row r="546" spans="1:26" ht="18.75" hidden="1">
      <c r="A546" s="599"/>
      <c r="B546" s="607"/>
      <c r="C546" s="759"/>
      <c r="D546" s="759"/>
      <c r="E546" s="759" t="s">
        <v>186</v>
      </c>
      <c r="F546" s="759"/>
      <c r="G546" s="603"/>
      <c r="H546" s="165" t="s">
        <v>12</v>
      </c>
      <c r="I546" s="617"/>
      <c r="J546" s="617"/>
      <c r="K546" s="93"/>
      <c r="L546" s="93">
        <f t="shared" ca="1" si="239"/>
        <v>478243</v>
      </c>
      <c r="M546" s="93">
        <f t="shared" ca="1" si="240"/>
        <v>476478.71</v>
      </c>
      <c r="N546" s="93">
        <f t="shared" si="240"/>
        <v>476478.70999999996</v>
      </c>
      <c r="O546" s="93">
        <f t="shared" ca="1" si="237"/>
        <v>99.631089216151622</v>
      </c>
      <c r="P546" s="93">
        <f t="shared" ca="1" si="238"/>
        <v>100</v>
      </c>
      <c r="Q546" s="604"/>
      <c r="R546" s="604"/>
      <c r="S546" s="604"/>
      <c r="T546" s="604"/>
      <c r="U546" s="604"/>
      <c r="V546" s="604"/>
      <c r="W546" s="604"/>
      <c r="X546" s="604"/>
      <c r="Y546" s="604"/>
      <c r="Z546" s="604"/>
    </row>
    <row r="547" spans="1:26" ht="18.75">
      <c r="A547" s="597"/>
      <c r="B547" s="575"/>
      <c r="C547" s="763"/>
      <c r="D547" s="606" t="s">
        <v>20</v>
      </c>
      <c r="E547" s="763"/>
      <c r="F547" s="763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478243</v>
      </c>
      <c r="M547" s="498">
        <f t="shared" ca="1" si="241"/>
        <v>476478.71</v>
      </c>
      <c r="N547" s="498">
        <f t="shared" si="241"/>
        <v>476478.70999999996</v>
      </c>
      <c r="O547" s="498">
        <f t="shared" ca="1" si="237"/>
        <v>99.631089216151622</v>
      </c>
      <c r="P547" s="498">
        <f t="shared" ca="1" si="238"/>
        <v>100</v>
      </c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</row>
    <row r="548" spans="1:26" ht="18.75" hidden="1">
      <c r="A548" s="599"/>
      <c r="B548" s="607"/>
      <c r="C548" s="759"/>
      <c r="D548" s="720"/>
      <c r="E548" s="759" t="s">
        <v>185</v>
      </c>
      <c r="F548" s="759"/>
      <c r="G548" s="603"/>
      <c r="H548" s="165" t="s">
        <v>12</v>
      </c>
      <c r="I548" s="617"/>
      <c r="J548" s="617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4"/>
      <c r="R548" s="604"/>
      <c r="S548" s="604"/>
      <c r="T548" s="604"/>
      <c r="U548" s="604"/>
      <c r="V548" s="604"/>
      <c r="W548" s="604"/>
      <c r="X548" s="604"/>
      <c r="Y548" s="604"/>
      <c r="Z548" s="604"/>
    </row>
    <row r="549" spans="1:26" ht="18.75" hidden="1">
      <c r="A549" s="599"/>
      <c r="B549" s="607"/>
      <c r="C549" s="759"/>
      <c r="D549" s="720"/>
      <c r="E549" s="759" t="s">
        <v>186</v>
      </c>
      <c r="F549" s="759"/>
      <c r="G549" s="603"/>
      <c r="H549" s="165" t="s">
        <v>12</v>
      </c>
      <c r="I549" s="617"/>
      <c r="J549" s="617"/>
      <c r="K549" s="93"/>
      <c r="L549" s="93">
        <f ca="1">IFERROR(__xludf.DUMMYFUNCTION("IMPORTRANGE(""https://docs.google.com/spreadsheets/d/1QqKyyYR6Q21VydFLVH3TRQUabQu_ym0Zz7PgGX0-kHA/edit?usp=sharing"",""แผน!HB33"")"),478243)</f>
        <v>478243</v>
      </c>
      <c r="M549" s="93">
        <f ca="1">L549-1764.29</f>
        <v>476478.71</v>
      </c>
      <c r="N549" s="93">
        <f>N550+N551+N552+N553+N554</f>
        <v>476478.70999999996</v>
      </c>
      <c r="O549" s="93">
        <f t="shared" ca="1" si="237"/>
        <v>99.631089216151622</v>
      </c>
      <c r="P549" s="93">
        <f t="shared" ca="1" si="238"/>
        <v>100</v>
      </c>
      <c r="Q549" s="604"/>
      <c r="R549" s="604"/>
      <c r="S549" s="604"/>
      <c r="T549" s="604"/>
      <c r="U549" s="604"/>
      <c r="V549" s="604"/>
      <c r="W549" s="604"/>
      <c r="X549" s="604"/>
      <c r="Y549" s="604"/>
      <c r="Z549" s="604"/>
    </row>
    <row r="550" spans="1:26" ht="18.75">
      <c r="A550" s="574"/>
      <c r="B550" s="575"/>
      <c r="C550" s="763"/>
      <c r="D550" s="763"/>
      <c r="E550" s="763"/>
      <c r="F550" s="763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40">
        <v>0</v>
      </c>
      <c r="O550" s="498"/>
      <c r="P550" s="49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</row>
    <row r="551" spans="1:26" ht="18.75">
      <c r="A551" s="574"/>
      <c r="B551" s="575"/>
      <c r="C551" s="575"/>
      <c r="D551" s="575"/>
      <c r="E551" s="763"/>
      <c r="F551" s="763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40">
        <v>0</v>
      </c>
      <c r="O551" s="498"/>
      <c r="P551" s="49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</row>
    <row r="552" spans="1:26" ht="18.75">
      <c r="A552" s="574"/>
      <c r="B552" s="575"/>
      <c r="C552" s="763"/>
      <c r="D552" s="763"/>
      <c r="E552" s="763"/>
      <c r="F552" s="763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40">
        <v>141235.71</v>
      </c>
      <c r="O552" s="498"/>
      <c r="P552" s="498"/>
      <c r="Q552" s="578"/>
      <c r="R552" s="578"/>
      <c r="S552" s="578"/>
      <c r="T552" s="578"/>
      <c r="U552" s="578"/>
      <c r="V552" s="578"/>
      <c r="W552" s="578"/>
      <c r="X552" s="578"/>
      <c r="Y552" s="578"/>
      <c r="Z552" s="578"/>
    </row>
    <row r="553" spans="1:26" ht="18.75">
      <c r="A553" s="574"/>
      <c r="B553" s="575"/>
      <c r="C553" s="575"/>
      <c r="D553" s="575"/>
      <c r="E553" s="763"/>
      <c r="F553" s="763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40">
        <v>335243</v>
      </c>
      <c r="O553" s="498"/>
      <c r="P553" s="49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</row>
    <row r="554" spans="1:26" ht="18.75">
      <c r="A554" s="574"/>
      <c r="B554" s="575"/>
      <c r="C554" s="575"/>
      <c r="D554" s="575"/>
      <c r="E554" s="763"/>
      <c r="F554" s="763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40">
        <v>0</v>
      </c>
      <c r="O554" s="498"/>
      <c r="P554" s="49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</row>
    <row r="555" spans="1:26" ht="18.75">
      <c r="A555" s="597"/>
      <c r="B555" s="575"/>
      <c r="C555" s="575"/>
      <c r="D555" s="606" t="s">
        <v>21</v>
      </c>
      <c r="E555" s="763"/>
      <c r="F555" s="763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</row>
    <row r="556" spans="1:26" ht="18.75" hidden="1">
      <c r="A556" s="599"/>
      <c r="B556" s="607"/>
      <c r="C556" s="607"/>
      <c r="D556" s="759"/>
      <c r="E556" s="759" t="s">
        <v>18</v>
      </c>
      <c r="F556" s="759"/>
      <c r="G556" s="603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4"/>
      <c r="R556" s="604"/>
      <c r="S556" s="604"/>
      <c r="T556" s="604"/>
      <c r="U556" s="604"/>
      <c r="V556" s="604"/>
      <c r="W556" s="604"/>
      <c r="X556" s="604"/>
      <c r="Y556" s="604"/>
      <c r="Z556" s="604"/>
    </row>
    <row r="557" spans="1:26" ht="18.75" hidden="1">
      <c r="A557" s="599"/>
      <c r="B557" s="607"/>
      <c r="C557" s="607"/>
      <c r="D557" s="759"/>
      <c r="E557" s="759" t="s">
        <v>19</v>
      </c>
      <c r="F557" s="759"/>
      <c r="G557" s="603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4"/>
      <c r="R557" s="604"/>
      <c r="S557" s="604"/>
      <c r="T557" s="604"/>
      <c r="U557" s="604"/>
      <c r="V557" s="604"/>
      <c r="W557" s="604"/>
      <c r="X557" s="604"/>
      <c r="Y557" s="604"/>
      <c r="Z557" s="604"/>
    </row>
    <row r="558" spans="1:26" ht="19.5">
      <c r="A558" s="608"/>
      <c r="B558" s="618"/>
      <c r="C558" s="575" t="s">
        <v>16</v>
      </c>
      <c r="D558" s="896" t="s">
        <v>38</v>
      </c>
      <c r="E558" s="761"/>
      <c r="F558" s="761"/>
      <c r="G558" s="613"/>
      <c r="H558" s="762"/>
      <c r="I558" s="184"/>
      <c r="J558" s="184"/>
      <c r="K558" s="163"/>
      <c r="L558" s="163"/>
      <c r="M558" s="163"/>
      <c r="N558" s="163"/>
      <c r="O558" s="163"/>
      <c r="P558" s="163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</row>
    <row r="559" spans="1:26" ht="19.5">
      <c r="A559" s="692"/>
      <c r="B559" s="693" t="s">
        <v>235</v>
      </c>
      <c r="C559" s="694"/>
      <c r="D559" s="694"/>
      <c r="E559" s="673"/>
      <c r="F559" s="673"/>
      <c r="G559" s="674"/>
      <c r="H559" s="695" t="s">
        <v>46</v>
      </c>
      <c r="I559" s="708">
        <f t="shared" ref="I559:J559" ca="1" si="245">I576</f>
        <v>73574.352499999994</v>
      </c>
      <c r="J559" s="708">
        <f t="shared" si="245"/>
        <v>73574.352500000008</v>
      </c>
      <c r="K559" s="677">
        <f t="shared" ref="K559:K561" ca="1" si="246">IF(I559&gt;0,J559*100/I559,0)</f>
        <v>100.00000000000003</v>
      </c>
      <c r="L559" s="678"/>
      <c r="M559" s="678"/>
      <c r="N559" s="678"/>
      <c r="O559" s="678"/>
      <c r="P559" s="6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</row>
    <row r="560" spans="1:26" ht="19.5">
      <c r="A560" s="608"/>
      <c r="B560" s="618"/>
      <c r="C560" s="625" t="s">
        <v>236</v>
      </c>
      <c r="D560" s="618"/>
      <c r="E560" s="626"/>
      <c r="F560" s="626"/>
      <c r="G560" s="762"/>
      <c r="H560" s="767" t="s">
        <v>46</v>
      </c>
      <c r="I560" s="193">
        <f ca="1">IFERROR(__xludf.DUMMYFUNCTION("IMPORTRANGE(""https://docs.google.com/spreadsheets/d/1QqKyyYR6Q21VydFLVH3TRQUabQu_ym0Zz7PgGX0-kHA/edit?usp=sharing"",""แผน!HH33"")"),73574.3525)</f>
        <v>73574.352499999994</v>
      </c>
      <c r="J560" s="193">
        <f t="shared" ref="J560:J561" si="247">J562+J564+J566</f>
        <v>73574.36</v>
      </c>
      <c r="K560" s="411">
        <f t="shared" ca="1" si="246"/>
        <v>100.00001019376964</v>
      </c>
      <c r="L560" s="163"/>
      <c r="M560" s="163"/>
      <c r="N560" s="163"/>
      <c r="O560" s="163"/>
      <c r="P560" s="163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</row>
    <row r="561" spans="1:26" ht="19.5">
      <c r="A561" s="608"/>
      <c r="B561" s="618"/>
      <c r="C561" s="618"/>
      <c r="D561" s="626"/>
      <c r="E561" s="626"/>
      <c r="F561" s="626"/>
      <c r="G561" s="762"/>
      <c r="H561" s="767" t="s">
        <v>34</v>
      </c>
      <c r="I561" s="193">
        <f ca="1">IFERROR(__xludf.DUMMYFUNCTION("IMPORTRANGE(""https://docs.google.com/spreadsheets/d/1QqKyyYR6Q21VydFLVH3TRQUabQu_ym0Zz7PgGX0-kHA/edit?usp=sharing"",""แผน!HG33"")"),7333)</f>
        <v>7333</v>
      </c>
      <c r="J561" s="193">
        <f t="shared" si="247"/>
        <v>7333</v>
      </c>
      <c r="K561" s="411">
        <f t="shared" ca="1" si="246"/>
        <v>100</v>
      </c>
      <c r="L561" s="163"/>
      <c r="M561" s="163"/>
      <c r="N561" s="163"/>
      <c r="O561" s="163"/>
      <c r="P561" s="163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</row>
    <row r="562" spans="1:26" ht="18.75">
      <c r="A562" s="608"/>
      <c r="B562" s="618"/>
      <c r="C562" s="618"/>
      <c r="D562" s="626" t="s">
        <v>237</v>
      </c>
      <c r="E562" s="626"/>
      <c r="F562" s="626"/>
      <c r="G562" s="762"/>
      <c r="H562" s="764" t="s">
        <v>46</v>
      </c>
      <c r="I562" s="184"/>
      <c r="J562" s="215">
        <v>62059.56</v>
      </c>
      <c r="K562" s="163"/>
      <c r="L562" s="163"/>
      <c r="M562" s="163"/>
      <c r="N562" s="163"/>
      <c r="O562" s="163"/>
      <c r="P562" s="163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</row>
    <row r="563" spans="1:26" ht="18.75">
      <c r="A563" s="608"/>
      <c r="B563" s="618"/>
      <c r="C563" s="618"/>
      <c r="D563" s="618"/>
      <c r="E563" s="626"/>
      <c r="F563" s="626"/>
      <c r="G563" s="762"/>
      <c r="H563" s="764" t="s">
        <v>34</v>
      </c>
      <c r="I563" s="184"/>
      <c r="J563" s="215">
        <v>6309</v>
      </c>
      <c r="K563" s="163"/>
      <c r="L563" s="163"/>
      <c r="M563" s="163"/>
      <c r="N563" s="163"/>
      <c r="O563" s="163"/>
      <c r="P563" s="163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</row>
    <row r="564" spans="1:26" ht="18.75">
      <c r="A564" s="608"/>
      <c r="B564" s="618"/>
      <c r="C564" s="618"/>
      <c r="D564" s="626" t="s">
        <v>238</v>
      </c>
      <c r="E564" s="626"/>
      <c r="F564" s="626"/>
      <c r="G564" s="762"/>
      <c r="H564" s="764" t="s">
        <v>46</v>
      </c>
      <c r="I564" s="184"/>
      <c r="J564" s="215">
        <v>7370.39</v>
      </c>
      <c r="K564" s="163"/>
      <c r="L564" s="163"/>
      <c r="M564" s="163"/>
      <c r="N564" s="163"/>
      <c r="O564" s="163"/>
      <c r="P564" s="163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</row>
    <row r="565" spans="1:26" ht="18.75">
      <c r="A565" s="608"/>
      <c r="B565" s="618"/>
      <c r="C565" s="618"/>
      <c r="D565" s="626"/>
      <c r="E565" s="626"/>
      <c r="F565" s="626"/>
      <c r="G565" s="762"/>
      <c r="H565" s="764" t="s">
        <v>34</v>
      </c>
      <c r="I565" s="184"/>
      <c r="J565" s="215">
        <v>664</v>
      </c>
      <c r="K565" s="163"/>
      <c r="L565" s="163"/>
      <c r="M565" s="163"/>
      <c r="N565" s="163"/>
      <c r="O565" s="163"/>
      <c r="P565" s="163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</row>
    <row r="566" spans="1:26" ht="18.75">
      <c r="A566" s="608"/>
      <c r="B566" s="618"/>
      <c r="C566" s="618"/>
      <c r="D566" s="626" t="s">
        <v>239</v>
      </c>
      <c r="E566" s="626"/>
      <c r="F566" s="626"/>
      <c r="G566" s="762"/>
      <c r="H566" s="764" t="s">
        <v>46</v>
      </c>
      <c r="I566" s="184"/>
      <c r="J566" s="215">
        <v>4144.41</v>
      </c>
      <c r="K566" s="163"/>
      <c r="L566" s="163"/>
      <c r="M566" s="163"/>
      <c r="N566" s="163"/>
      <c r="O566" s="163"/>
      <c r="P566" s="163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</row>
    <row r="567" spans="1:26" ht="18.75">
      <c r="A567" s="608"/>
      <c r="B567" s="618"/>
      <c r="C567" s="618"/>
      <c r="D567" s="626"/>
      <c r="E567" s="626"/>
      <c r="F567" s="626"/>
      <c r="G567" s="762"/>
      <c r="H567" s="764" t="s">
        <v>34</v>
      </c>
      <c r="I567" s="184"/>
      <c r="J567" s="215">
        <v>360</v>
      </c>
      <c r="K567" s="163"/>
      <c r="L567" s="163"/>
      <c r="M567" s="163"/>
      <c r="N567" s="163"/>
      <c r="O567" s="163"/>
      <c r="P567" s="163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</row>
    <row r="568" spans="1:26" ht="19.5">
      <c r="A568" s="608"/>
      <c r="B568" s="618"/>
      <c r="C568" s="625" t="s">
        <v>240</v>
      </c>
      <c r="D568" s="626"/>
      <c r="E568" s="626"/>
      <c r="F568" s="626"/>
      <c r="G568" s="762"/>
      <c r="H568" s="767" t="s">
        <v>46</v>
      </c>
      <c r="I568" s="193">
        <f ca="1">IFERROR(__xludf.DUMMYFUNCTION("IMPORTRANGE(""https://docs.google.com/spreadsheets/d/1QqKyyYR6Q21VydFLVH3TRQUabQu_ym0Zz7PgGX0-kHA/edit?usp=sharing"",""แผน!HH33"")"),73574.3525)</f>
        <v>73574.352499999994</v>
      </c>
      <c r="J568" s="681">
        <f t="shared" ref="J568:J569" si="248">J570+J572+J574</f>
        <v>73574.399999999994</v>
      </c>
      <c r="K568" s="411">
        <f t="shared" ref="K568:K569" ca="1" si="249">IF(I568&gt;0,J568*100/I568,0)</f>
        <v>100.00006456054098</v>
      </c>
      <c r="L568" s="163"/>
      <c r="M568" s="163"/>
      <c r="N568" s="163"/>
      <c r="O568" s="163"/>
      <c r="P568" s="163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</row>
    <row r="569" spans="1:26" ht="19.5">
      <c r="A569" s="608"/>
      <c r="B569" s="618"/>
      <c r="C569" s="618"/>
      <c r="D569" s="618"/>
      <c r="E569" s="626"/>
      <c r="F569" s="626"/>
      <c r="G569" s="762"/>
      <c r="H569" s="767" t="s">
        <v>34</v>
      </c>
      <c r="I569" s="193">
        <f ca="1">IFERROR(__xludf.DUMMYFUNCTION("IMPORTRANGE(""https://docs.google.com/spreadsheets/d/1QqKyyYR6Q21VydFLVH3TRQUabQu_ym0Zz7PgGX0-kHA/edit?usp=sharing"",""แผน!HG33"")"),7333)</f>
        <v>7333</v>
      </c>
      <c r="J569" s="681">
        <f t="shared" si="248"/>
        <v>7333</v>
      </c>
      <c r="K569" s="411">
        <f t="shared" ca="1" si="249"/>
        <v>100</v>
      </c>
      <c r="L569" s="163"/>
      <c r="M569" s="163"/>
      <c r="N569" s="163"/>
      <c r="O569" s="163"/>
      <c r="P569" s="163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</row>
    <row r="570" spans="1:26" ht="18.75">
      <c r="A570" s="608"/>
      <c r="B570" s="618"/>
      <c r="C570" s="618"/>
      <c r="D570" s="626" t="s">
        <v>241</v>
      </c>
      <c r="E570" s="618"/>
      <c r="F570" s="626"/>
      <c r="G570" s="762"/>
      <c r="H570" s="764" t="s">
        <v>46</v>
      </c>
      <c r="I570" s="184"/>
      <c r="J570" s="215">
        <v>66803.48</v>
      </c>
      <c r="K570" s="163"/>
      <c r="L570" s="163"/>
      <c r="M570" s="163"/>
      <c r="N570" s="163"/>
      <c r="O570" s="163"/>
      <c r="P570" s="163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</row>
    <row r="571" spans="1:26" ht="18.75">
      <c r="A571" s="608"/>
      <c r="B571" s="618"/>
      <c r="C571" s="618"/>
      <c r="D571" s="618"/>
      <c r="E571" s="626"/>
      <c r="F571" s="626"/>
      <c r="G571" s="762"/>
      <c r="H571" s="764" t="s">
        <v>34</v>
      </c>
      <c r="I571" s="184"/>
      <c r="J571" s="215">
        <v>6726</v>
      </c>
      <c r="K571" s="163"/>
      <c r="L571" s="163"/>
      <c r="M571" s="163"/>
      <c r="N571" s="163"/>
      <c r="O571" s="163"/>
      <c r="P571" s="163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</row>
    <row r="572" spans="1:26" ht="18.75">
      <c r="A572" s="608"/>
      <c r="B572" s="618"/>
      <c r="C572" s="618"/>
      <c r="D572" s="626" t="s">
        <v>242</v>
      </c>
      <c r="E572" s="626"/>
      <c r="F572" s="626"/>
      <c r="G572" s="762"/>
      <c r="H572" s="764" t="s">
        <v>46</v>
      </c>
      <c r="I572" s="184"/>
      <c r="J572" s="215">
        <v>2327.4</v>
      </c>
      <c r="K572" s="163"/>
      <c r="L572" s="163"/>
      <c r="M572" s="163"/>
      <c r="N572" s="163"/>
      <c r="O572" s="163"/>
      <c r="P572" s="163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</row>
    <row r="573" spans="1:26" ht="18.75">
      <c r="A573" s="608"/>
      <c r="B573" s="618"/>
      <c r="C573" s="618"/>
      <c r="D573" s="626"/>
      <c r="E573" s="626"/>
      <c r="F573" s="626"/>
      <c r="G573" s="762"/>
      <c r="H573" s="764" t="s">
        <v>34</v>
      </c>
      <c r="I573" s="184"/>
      <c r="J573" s="215">
        <v>219</v>
      </c>
      <c r="K573" s="163"/>
      <c r="L573" s="163"/>
      <c r="M573" s="163"/>
      <c r="N573" s="163"/>
      <c r="O573" s="163"/>
      <c r="P573" s="163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</row>
    <row r="574" spans="1:26" ht="18.75">
      <c r="A574" s="608"/>
      <c r="B574" s="618"/>
      <c r="C574" s="618"/>
      <c r="D574" s="626" t="s">
        <v>243</v>
      </c>
      <c r="E574" s="626"/>
      <c r="F574" s="626"/>
      <c r="G574" s="762"/>
      <c r="H574" s="764" t="s">
        <v>46</v>
      </c>
      <c r="I574" s="184"/>
      <c r="J574" s="215">
        <v>4443.5200000000004</v>
      </c>
      <c r="K574" s="163"/>
      <c r="L574" s="163"/>
      <c r="M574" s="163"/>
      <c r="N574" s="163"/>
      <c r="O574" s="163"/>
      <c r="P574" s="163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</row>
    <row r="575" spans="1:26" ht="18.75">
      <c r="A575" s="608"/>
      <c r="B575" s="618"/>
      <c r="C575" s="618"/>
      <c r="D575" s="618"/>
      <c r="E575" s="626"/>
      <c r="F575" s="626"/>
      <c r="G575" s="762"/>
      <c r="H575" s="764" t="s">
        <v>34</v>
      </c>
      <c r="I575" s="184"/>
      <c r="J575" s="215">
        <v>388</v>
      </c>
      <c r="K575" s="163"/>
      <c r="L575" s="163"/>
      <c r="M575" s="163"/>
      <c r="N575" s="163"/>
      <c r="O575" s="163"/>
      <c r="P575" s="163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</row>
    <row r="576" spans="1:26" ht="19.5">
      <c r="A576" s="608"/>
      <c r="B576" s="618"/>
      <c r="C576" s="625" t="s">
        <v>244</v>
      </c>
      <c r="D576" s="618"/>
      <c r="E576" s="618"/>
      <c r="F576" s="626"/>
      <c r="G576" s="762"/>
      <c r="H576" s="767" t="s">
        <v>46</v>
      </c>
      <c r="I576" s="193">
        <f ca="1">IFERROR(__xludf.DUMMYFUNCTION("IMPORTRANGE(""https://docs.google.com/spreadsheets/d/1QqKyyYR6Q21VydFLVH3TRQUabQu_ym0Zz7PgGX0-kHA/edit?usp=sharing"",""แผน!HH33"")"),73574.3525)</f>
        <v>73574.352499999994</v>
      </c>
      <c r="J576" s="681">
        <f t="shared" ref="J576:J577" si="250">J578+J580+J582+J588+J590</f>
        <v>73574.352500000008</v>
      </c>
      <c r="K576" s="411">
        <f t="shared" ref="K576:K577" ca="1" si="251">IF(I576&gt;0,J576*100/I576,0)</f>
        <v>100.00000000000003</v>
      </c>
      <c r="L576" s="163"/>
      <c r="M576" s="163"/>
      <c r="N576" s="163"/>
      <c r="O576" s="163"/>
      <c r="P576" s="163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</row>
    <row r="577" spans="1:26" ht="19.5">
      <c r="A577" s="608"/>
      <c r="B577" s="618"/>
      <c r="C577" s="618"/>
      <c r="D577" s="618"/>
      <c r="E577" s="626"/>
      <c r="F577" s="626"/>
      <c r="G577" s="762"/>
      <c r="H577" s="767" t="s">
        <v>34</v>
      </c>
      <c r="I577" s="193">
        <f ca="1">IFERROR(__xludf.DUMMYFUNCTION("IMPORTRANGE(""https://docs.google.com/spreadsheets/d/1QqKyyYR6Q21VydFLVH3TRQUabQu_ym0Zz7PgGX0-kHA/edit?usp=sharing"",""แผน!HG33"")"),7333)</f>
        <v>7333</v>
      </c>
      <c r="J577" s="681">
        <f t="shared" si="250"/>
        <v>7333</v>
      </c>
      <c r="K577" s="411">
        <f t="shared" ca="1" si="251"/>
        <v>100</v>
      </c>
      <c r="L577" s="163"/>
      <c r="M577" s="163"/>
      <c r="N577" s="163"/>
      <c r="O577" s="163"/>
      <c r="P577" s="163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</row>
    <row r="578" spans="1:26" ht="18.75">
      <c r="A578" s="608"/>
      <c r="B578" s="618"/>
      <c r="C578" s="618"/>
      <c r="D578" s="626" t="s">
        <v>245</v>
      </c>
      <c r="E578" s="626"/>
      <c r="F578" s="626"/>
      <c r="G578" s="762"/>
      <c r="H578" s="764" t="s">
        <v>46</v>
      </c>
      <c r="I578" s="184"/>
      <c r="J578" s="215">
        <v>68067.287500000006</v>
      </c>
      <c r="K578" s="163"/>
      <c r="L578" s="163"/>
      <c r="M578" s="163"/>
      <c r="N578" s="163"/>
      <c r="O578" s="163"/>
      <c r="P578" s="163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</row>
    <row r="579" spans="1:26" ht="18.75">
      <c r="A579" s="608"/>
      <c r="B579" s="618"/>
      <c r="C579" s="618"/>
      <c r="D579" s="618"/>
      <c r="E579" s="626"/>
      <c r="F579" s="626"/>
      <c r="G579" s="762"/>
      <c r="H579" s="764" t="s">
        <v>34</v>
      </c>
      <c r="I579" s="184"/>
      <c r="J579" s="215">
        <v>6851</v>
      </c>
      <c r="K579" s="163"/>
      <c r="L579" s="163"/>
      <c r="M579" s="163"/>
      <c r="N579" s="163"/>
      <c r="O579" s="163"/>
      <c r="P579" s="163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</row>
    <row r="580" spans="1:26" ht="18.75">
      <c r="A580" s="608"/>
      <c r="B580" s="618"/>
      <c r="C580" s="618"/>
      <c r="D580" s="626" t="s">
        <v>246</v>
      </c>
      <c r="E580" s="626"/>
      <c r="F580" s="626"/>
      <c r="G580" s="762"/>
      <c r="H580" s="764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</row>
    <row r="581" spans="1:26" ht="18.75">
      <c r="A581" s="608"/>
      <c r="B581" s="618"/>
      <c r="C581" s="618"/>
      <c r="D581" s="618"/>
      <c r="E581" s="626"/>
      <c r="F581" s="626"/>
      <c r="G581" s="762"/>
      <c r="H581" s="764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</row>
    <row r="582" spans="1:26" ht="19.5">
      <c r="A582" s="608"/>
      <c r="B582" s="618"/>
      <c r="C582" s="618"/>
      <c r="D582" s="626" t="s">
        <v>247</v>
      </c>
      <c r="E582" s="626"/>
      <c r="F582" s="626"/>
      <c r="G582" s="762"/>
      <c r="H582" s="764" t="s">
        <v>46</v>
      </c>
      <c r="I582" s="184"/>
      <c r="J582" s="681">
        <f t="shared" ref="J582:J583" si="252">J584+J586</f>
        <v>4470.0825000000004</v>
      </c>
      <c r="K582" s="411"/>
      <c r="L582" s="163"/>
      <c r="M582" s="163"/>
      <c r="N582" s="163"/>
      <c r="O582" s="163"/>
      <c r="P582" s="163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</row>
    <row r="583" spans="1:26" ht="19.5">
      <c r="A583" s="608"/>
      <c r="B583" s="618"/>
      <c r="C583" s="618"/>
      <c r="D583" s="618"/>
      <c r="E583" s="626"/>
      <c r="F583" s="626"/>
      <c r="G583" s="762"/>
      <c r="H583" s="764" t="s">
        <v>34</v>
      </c>
      <c r="I583" s="184"/>
      <c r="J583" s="681">
        <f t="shared" si="252"/>
        <v>390</v>
      </c>
      <c r="K583" s="411"/>
      <c r="L583" s="163"/>
      <c r="M583" s="163"/>
      <c r="N583" s="163"/>
      <c r="O583" s="163"/>
      <c r="P583" s="163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</row>
    <row r="584" spans="1:26" ht="18.75">
      <c r="A584" s="608"/>
      <c r="B584" s="618"/>
      <c r="C584" s="618"/>
      <c r="D584" s="618"/>
      <c r="E584" s="626" t="s">
        <v>248</v>
      </c>
      <c r="F584" s="626"/>
      <c r="G584" s="762"/>
      <c r="H584" s="764" t="s">
        <v>46</v>
      </c>
      <c r="I584" s="184"/>
      <c r="J584" s="215">
        <v>4470.0825000000004</v>
      </c>
      <c r="K584" s="163"/>
      <c r="L584" s="163"/>
      <c r="M584" s="163"/>
      <c r="N584" s="163"/>
      <c r="O584" s="163"/>
      <c r="P584" s="163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</row>
    <row r="585" spans="1:26" ht="18.75">
      <c r="A585" s="608"/>
      <c r="B585" s="618"/>
      <c r="C585" s="618"/>
      <c r="D585" s="618"/>
      <c r="E585" s="626"/>
      <c r="F585" s="626"/>
      <c r="G585" s="762"/>
      <c r="H585" s="764" t="s">
        <v>34</v>
      </c>
      <c r="I585" s="184"/>
      <c r="J585" s="215">
        <v>390</v>
      </c>
      <c r="K585" s="163"/>
      <c r="L585" s="163"/>
      <c r="M585" s="163"/>
      <c r="N585" s="163"/>
      <c r="O585" s="163"/>
      <c r="P585" s="163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</row>
    <row r="586" spans="1:26" ht="18.75">
      <c r="A586" s="608"/>
      <c r="B586" s="618"/>
      <c r="C586" s="618"/>
      <c r="D586" s="618"/>
      <c r="E586" s="626" t="s">
        <v>249</v>
      </c>
      <c r="F586" s="626"/>
      <c r="G586" s="762"/>
      <c r="H586" s="76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</row>
    <row r="587" spans="1:26" ht="18.75">
      <c r="A587" s="608"/>
      <c r="B587" s="618"/>
      <c r="C587" s="618"/>
      <c r="D587" s="618"/>
      <c r="E587" s="618"/>
      <c r="F587" s="626"/>
      <c r="G587" s="762"/>
      <c r="H587" s="76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</row>
    <row r="588" spans="1:26" ht="18.75">
      <c r="A588" s="608"/>
      <c r="B588" s="618"/>
      <c r="C588" s="618"/>
      <c r="D588" s="626" t="s">
        <v>250</v>
      </c>
      <c r="E588" s="626"/>
      <c r="F588" s="626"/>
      <c r="G588" s="762"/>
      <c r="H588" s="764" t="s">
        <v>46</v>
      </c>
      <c r="I588" s="184"/>
      <c r="J588" s="215">
        <v>1036.9825000000001</v>
      </c>
      <c r="K588" s="163"/>
      <c r="L588" s="163"/>
      <c r="M588" s="163"/>
      <c r="N588" s="163"/>
      <c r="O588" s="163"/>
      <c r="P588" s="163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</row>
    <row r="589" spans="1:26" ht="18.75">
      <c r="A589" s="608"/>
      <c r="B589" s="618"/>
      <c r="C589" s="618"/>
      <c r="D589" s="618"/>
      <c r="E589" s="618"/>
      <c r="F589" s="626"/>
      <c r="G589" s="762"/>
      <c r="H589" s="764" t="s">
        <v>34</v>
      </c>
      <c r="I589" s="184"/>
      <c r="J589" s="215">
        <v>92</v>
      </c>
      <c r="K589" s="163"/>
      <c r="L589" s="163"/>
      <c r="M589" s="163"/>
      <c r="N589" s="163"/>
      <c r="O589" s="163"/>
      <c r="P589" s="163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</row>
    <row r="590" spans="1:26" ht="18.75">
      <c r="A590" s="608"/>
      <c r="B590" s="618"/>
      <c r="C590" s="618"/>
      <c r="D590" s="626" t="s">
        <v>251</v>
      </c>
      <c r="E590" s="626"/>
      <c r="F590" s="626"/>
      <c r="G590" s="762"/>
      <c r="H590" s="76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</row>
    <row r="591" spans="1:26" ht="18.75">
      <c r="A591" s="696"/>
      <c r="B591" s="697"/>
      <c r="C591" s="697"/>
      <c r="D591" s="697"/>
      <c r="E591" s="578"/>
      <c r="F591" s="578"/>
      <c r="G591" s="698"/>
      <c r="H591" s="699" t="s">
        <v>34</v>
      </c>
      <c r="I591" s="700"/>
      <c r="J591" s="701">
        <v>0</v>
      </c>
      <c r="K591" s="702"/>
      <c r="L591" s="702"/>
      <c r="M591" s="702"/>
      <c r="N591" s="702"/>
      <c r="O591" s="702"/>
      <c r="P591" s="702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</row>
    <row r="592" spans="1:26" ht="19.5">
      <c r="A592" s="692"/>
      <c r="B592" s="693" t="s">
        <v>252</v>
      </c>
      <c r="C592" s="694"/>
      <c r="D592" s="694"/>
      <c r="E592" s="673"/>
      <c r="F592" s="673"/>
      <c r="G592" s="674"/>
      <c r="H592" s="695" t="s">
        <v>46</v>
      </c>
      <c r="I592" s="703">
        <f t="shared" ref="I592:J592" ca="1" si="253">I593</f>
        <v>1346.1</v>
      </c>
      <c r="J592" s="708">
        <f t="shared" si="253"/>
        <v>1346.095</v>
      </c>
      <c r="K592" s="677">
        <f t="shared" ref="K592:K594" ca="1" si="254">IF(I592&gt;0,J592*100/I592,0)</f>
        <v>99.99962855657084</v>
      </c>
      <c r="L592" s="678"/>
      <c r="M592" s="678"/>
      <c r="N592" s="678"/>
      <c r="O592" s="678"/>
      <c r="P592" s="6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</row>
    <row r="593" spans="1:26" ht="19.5">
      <c r="A593" s="608"/>
      <c r="B593" s="618"/>
      <c r="C593" s="625" t="s">
        <v>253</v>
      </c>
      <c r="D593" s="618"/>
      <c r="E593" s="618"/>
      <c r="F593" s="626"/>
      <c r="G593" s="762"/>
      <c r="H593" s="767" t="s">
        <v>46</v>
      </c>
      <c r="I593" s="704">
        <f ca="1">IFERROR(__xludf.DUMMYFUNCTION("IMPORTRANGE(""https://docs.google.com/spreadsheets/d/1QqKyyYR6Q21VydFLVH3TRQUabQu_ym0Zz7PgGX0-kHA/edit?usp=sharing"",""แผน!HJ33"")"),1346.1)</f>
        <v>1346.1</v>
      </c>
      <c r="J593" s="193">
        <f t="shared" ref="J593:J594" si="255">J595+J603+J609</f>
        <v>1346.095</v>
      </c>
      <c r="K593" s="411">
        <f t="shared" ca="1" si="254"/>
        <v>99.99962855657084</v>
      </c>
      <c r="L593" s="163"/>
      <c r="M593" s="163"/>
      <c r="N593" s="163"/>
      <c r="O593" s="163"/>
      <c r="P593" s="163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</row>
    <row r="594" spans="1:26" ht="19.5">
      <c r="A594" s="608"/>
      <c r="B594" s="618"/>
      <c r="C594" s="618"/>
      <c r="D594" s="618"/>
      <c r="E594" s="626"/>
      <c r="F594" s="626"/>
      <c r="G594" s="762"/>
      <c r="H594" s="767" t="s">
        <v>34</v>
      </c>
      <c r="I594" s="193">
        <f ca="1">IFERROR(__xludf.DUMMYFUNCTION("IMPORTRANGE(""https://docs.google.com/spreadsheets/d/1QqKyyYR6Q21VydFLVH3TRQUabQu_ym0Zz7PgGX0-kHA/edit?usp=sharing"",""แผน!HI33"")"),146)</f>
        <v>146</v>
      </c>
      <c r="J594" s="193">
        <f t="shared" si="255"/>
        <v>146</v>
      </c>
      <c r="K594" s="411">
        <f t="shared" ca="1" si="254"/>
        <v>100</v>
      </c>
      <c r="L594" s="163"/>
      <c r="M594" s="163"/>
      <c r="N594" s="163"/>
      <c r="O594" s="163"/>
      <c r="P594" s="163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</row>
    <row r="595" spans="1:26" ht="18.75">
      <c r="A595" s="608"/>
      <c r="B595" s="618"/>
      <c r="C595" s="618" t="s">
        <v>254</v>
      </c>
      <c r="D595" s="618"/>
      <c r="E595" s="618"/>
      <c r="F595" s="626"/>
      <c r="G595" s="762"/>
      <c r="H595" s="764" t="s">
        <v>46</v>
      </c>
      <c r="I595" s="184"/>
      <c r="J595" s="184">
        <f t="shared" ref="J595:J596" si="256">J597+J599</f>
        <v>1346.095</v>
      </c>
      <c r="K595" s="163"/>
      <c r="L595" s="163"/>
      <c r="M595" s="163"/>
      <c r="N595" s="163"/>
      <c r="O595" s="163"/>
      <c r="P595" s="163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</row>
    <row r="596" spans="1:26" ht="18.75">
      <c r="A596" s="608"/>
      <c r="B596" s="618"/>
      <c r="C596" s="618"/>
      <c r="D596" s="618"/>
      <c r="E596" s="626"/>
      <c r="F596" s="626"/>
      <c r="G596" s="762"/>
      <c r="H596" s="764" t="s">
        <v>34</v>
      </c>
      <c r="I596" s="184"/>
      <c r="J596" s="184">
        <f t="shared" si="256"/>
        <v>146</v>
      </c>
      <c r="K596" s="163"/>
      <c r="L596" s="163"/>
      <c r="M596" s="163"/>
      <c r="N596" s="163"/>
      <c r="O596" s="163"/>
      <c r="P596" s="163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</row>
    <row r="597" spans="1:26" ht="18.75">
      <c r="A597" s="608"/>
      <c r="B597" s="618"/>
      <c r="C597" s="618"/>
      <c r="D597" s="746" t="s">
        <v>255</v>
      </c>
      <c r="E597" s="626"/>
      <c r="F597" s="626"/>
      <c r="G597" s="762"/>
      <c r="H597" s="764" t="s">
        <v>46</v>
      </c>
      <c r="I597" s="184"/>
      <c r="J597" s="215">
        <v>1346.095</v>
      </c>
      <c r="K597" s="163"/>
      <c r="L597" s="163"/>
      <c r="M597" s="163"/>
      <c r="N597" s="163"/>
      <c r="O597" s="163"/>
      <c r="P597" s="163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</row>
    <row r="598" spans="1:26" ht="18.75">
      <c r="A598" s="608"/>
      <c r="B598" s="618"/>
      <c r="C598" s="618"/>
      <c r="D598" s="618"/>
      <c r="E598" s="626"/>
      <c r="F598" s="626"/>
      <c r="G598" s="762"/>
      <c r="H598" s="764" t="s">
        <v>34</v>
      </c>
      <c r="I598" s="270"/>
      <c r="J598" s="215">
        <v>146</v>
      </c>
      <c r="K598" s="163"/>
      <c r="L598" s="163"/>
      <c r="M598" s="163"/>
      <c r="N598" s="163"/>
      <c r="O598" s="163"/>
      <c r="P598" s="163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</row>
    <row r="599" spans="1:26" ht="18.75">
      <c r="A599" s="608"/>
      <c r="B599" s="618"/>
      <c r="C599" s="618"/>
      <c r="D599" s="746" t="s">
        <v>256</v>
      </c>
      <c r="E599" s="626"/>
      <c r="F599" s="626"/>
      <c r="G599" s="762"/>
      <c r="H599" s="764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</row>
    <row r="600" spans="1:26" ht="18.75">
      <c r="A600" s="608"/>
      <c r="B600" s="618"/>
      <c r="C600" s="618"/>
      <c r="D600" s="618"/>
      <c r="E600" s="626"/>
      <c r="F600" s="626"/>
      <c r="G600" s="762"/>
      <c r="H600" s="764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</row>
    <row r="601" spans="1:26" ht="18.75">
      <c r="A601" s="608"/>
      <c r="B601" s="618"/>
      <c r="C601" s="618"/>
      <c r="D601" s="746" t="s">
        <v>257</v>
      </c>
      <c r="E601" s="626"/>
      <c r="F601" s="626"/>
      <c r="G601" s="762"/>
      <c r="H601" s="76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</row>
    <row r="602" spans="1:26" ht="18.75">
      <c r="A602" s="608"/>
      <c r="B602" s="618"/>
      <c r="C602" s="618"/>
      <c r="D602" s="618"/>
      <c r="E602" s="626"/>
      <c r="F602" s="626"/>
      <c r="G602" s="762"/>
      <c r="H602" s="76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</row>
    <row r="603" spans="1:26" ht="18.75">
      <c r="A603" s="608"/>
      <c r="B603" s="618"/>
      <c r="C603" s="705" t="s">
        <v>258</v>
      </c>
      <c r="D603" s="618"/>
      <c r="E603" s="618"/>
      <c r="F603" s="626"/>
      <c r="G603" s="762"/>
      <c r="H603" s="764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</row>
    <row r="604" spans="1:26" ht="18.75">
      <c r="A604" s="608"/>
      <c r="B604" s="618"/>
      <c r="C604" s="618"/>
      <c r="D604" s="618"/>
      <c r="E604" s="626"/>
      <c r="F604" s="626"/>
      <c r="G604" s="762"/>
      <c r="H604" s="764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</row>
    <row r="605" spans="1:26" ht="18.75">
      <c r="A605" s="608"/>
      <c r="B605" s="618"/>
      <c r="C605" s="618"/>
      <c r="D605" s="705" t="s">
        <v>259</v>
      </c>
      <c r="E605" s="626"/>
      <c r="F605" s="626"/>
      <c r="G605" s="762"/>
      <c r="H605" s="764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</row>
    <row r="606" spans="1:26" ht="18.75">
      <c r="A606" s="608"/>
      <c r="B606" s="618"/>
      <c r="C606" s="618"/>
      <c r="D606" s="618"/>
      <c r="E606" s="618"/>
      <c r="F606" s="626"/>
      <c r="G606" s="762"/>
      <c r="H606" s="764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</row>
    <row r="607" spans="1:26" ht="18.75">
      <c r="A607" s="608"/>
      <c r="B607" s="618"/>
      <c r="C607" s="618"/>
      <c r="D607" s="705" t="s">
        <v>260</v>
      </c>
      <c r="E607" s="618"/>
      <c r="F607" s="626"/>
      <c r="G607" s="762"/>
      <c r="H607" s="764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</row>
    <row r="608" spans="1:26" ht="18.75">
      <c r="A608" s="608"/>
      <c r="B608" s="618"/>
      <c r="C608" s="618"/>
      <c r="D608" s="618"/>
      <c r="E608" s="626"/>
      <c r="F608" s="626"/>
      <c r="G608" s="762"/>
      <c r="H608" s="764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</row>
    <row r="609" spans="1:26" ht="18.75">
      <c r="A609" s="608"/>
      <c r="B609" s="618"/>
      <c r="C609" s="618" t="s">
        <v>261</v>
      </c>
      <c r="D609" s="618"/>
      <c r="E609" s="618"/>
      <c r="F609" s="626"/>
      <c r="G609" s="762"/>
      <c r="H609" s="764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</row>
    <row r="610" spans="1:26" ht="18.75">
      <c r="A610" s="608"/>
      <c r="B610" s="618"/>
      <c r="C610" s="618"/>
      <c r="D610" s="618"/>
      <c r="E610" s="626"/>
      <c r="F610" s="626"/>
      <c r="G610" s="762"/>
      <c r="H610" s="764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</row>
    <row r="611" spans="1:26" ht="19.5">
      <c r="A611" s="692"/>
      <c r="B611" s="706" t="s">
        <v>262</v>
      </c>
      <c r="C611" s="694"/>
      <c r="D611" s="694"/>
      <c r="E611" s="673"/>
      <c r="F611" s="673"/>
      <c r="G611" s="674"/>
      <c r="H611" s="707" t="s">
        <v>46</v>
      </c>
      <c r="I611" s="708">
        <v>0</v>
      </c>
      <c r="J611" s="708">
        <f>J614+J616</f>
        <v>0</v>
      </c>
      <c r="K611" s="677">
        <f t="shared" ref="K611:K613" si="258">IF(I611&gt;0,J611*100/I611,0)</f>
        <v>0</v>
      </c>
      <c r="L611" s="678"/>
      <c r="M611" s="678"/>
      <c r="N611" s="678"/>
      <c r="O611" s="678"/>
      <c r="P611" s="6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</row>
    <row r="612" spans="1:26" ht="19.5" hidden="1">
      <c r="A612" s="709"/>
      <c r="B612" s="719"/>
      <c r="C612" s="711" t="s">
        <v>263</v>
      </c>
      <c r="D612" s="719"/>
      <c r="E612" s="719"/>
      <c r="F612" s="712"/>
      <c r="G612" s="713"/>
      <c r="H612" s="714" t="s">
        <v>46</v>
      </c>
      <c r="I612" s="716">
        <v>0</v>
      </c>
      <c r="J612" s="716">
        <f t="shared" ref="J612:J613" si="259">J614+J616</f>
        <v>0</v>
      </c>
      <c r="K612" s="717">
        <f t="shared" si="258"/>
        <v>0</v>
      </c>
      <c r="L612" s="718"/>
      <c r="M612" s="718"/>
      <c r="N612" s="718"/>
      <c r="O612" s="718"/>
      <c r="P612" s="718"/>
      <c r="Q612" s="604"/>
      <c r="R612" s="604"/>
      <c r="S612" s="604"/>
      <c r="T612" s="604"/>
      <c r="U612" s="604"/>
      <c r="V612" s="604"/>
      <c r="W612" s="604"/>
      <c r="X612" s="604"/>
      <c r="Y612" s="604"/>
      <c r="Z612" s="604"/>
    </row>
    <row r="613" spans="1:26" ht="19.5" hidden="1">
      <c r="A613" s="709"/>
      <c r="B613" s="719"/>
      <c r="C613" s="719" t="s">
        <v>264</v>
      </c>
      <c r="D613" s="719"/>
      <c r="E613" s="719"/>
      <c r="F613" s="712"/>
      <c r="G613" s="713"/>
      <c r="H613" s="714" t="s">
        <v>34</v>
      </c>
      <c r="I613" s="716">
        <v>0</v>
      </c>
      <c r="J613" s="716">
        <f t="shared" si="259"/>
        <v>0</v>
      </c>
      <c r="K613" s="717">
        <f t="shared" si="258"/>
        <v>0</v>
      </c>
      <c r="L613" s="718"/>
      <c r="M613" s="718"/>
      <c r="N613" s="718"/>
      <c r="O613" s="718"/>
      <c r="P613" s="718"/>
      <c r="Q613" s="604"/>
      <c r="R613" s="604"/>
      <c r="S613" s="604"/>
      <c r="T613" s="604"/>
      <c r="U613" s="604"/>
      <c r="V613" s="604"/>
      <c r="W613" s="604"/>
      <c r="X613" s="604"/>
      <c r="Y613" s="604"/>
      <c r="Z613" s="604"/>
    </row>
    <row r="614" spans="1:26" ht="18.75" hidden="1">
      <c r="A614" s="614"/>
      <c r="B614" s="616"/>
      <c r="C614" s="616"/>
      <c r="D614" s="720" t="s">
        <v>265</v>
      </c>
      <c r="E614" s="616"/>
      <c r="F614" s="720"/>
      <c r="G614" s="366"/>
      <c r="H614" s="370" t="s">
        <v>46</v>
      </c>
      <c r="I614" s="617"/>
      <c r="J614" s="617">
        <v>0</v>
      </c>
      <c r="K614" s="167"/>
      <c r="L614" s="167"/>
      <c r="M614" s="167"/>
      <c r="N614" s="167"/>
      <c r="O614" s="167"/>
      <c r="P614" s="167"/>
      <c r="Q614" s="604"/>
      <c r="R614" s="604"/>
      <c r="S614" s="604"/>
      <c r="T614" s="604"/>
      <c r="U614" s="604"/>
      <c r="V614" s="604"/>
      <c r="W614" s="604"/>
      <c r="X614" s="604"/>
      <c r="Y614" s="604"/>
      <c r="Z614" s="604"/>
    </row>
    <row r="615" spans="1:26" ht="18.75" hidden="1">
      <c r="A615" s="614"/>
      <c r="B615" s="616"/>
      <c r="C615" s="616"/>
      <c r="D615" s="616"/>
      <c r="E615" s="616"/>
      <c r="F615" s="720"/>
      <c r="G615" s="366"/>
      <c r="H615" s="370" t="s">
        <v>34</v>
      </c>
      <c r="I615" s="617"/>
      <c r="J615" s="617">
        <v>0</v>
      </c>
      <c r="K615" s="167"/>
      <c r="L615" s="167"/>
      <c r="M615" s="167"/>
      <c r="N615" s="167"/>
      <c r="O615" s="167"/>
      <c r="P615" s="167"/>
      <c r="Q615" s="604"/>
      <c r="R615" s="604"/>
      <c r="S615" s="604"/>
      <c r="T615" s="604"/>
      <c r="U615" s="604"/>
      <c r="V615" s="604"/>
      <c r="W615" s="604"/>
      <c r="X615" s="604"/>
      <c r="Y615" s="604"/>
      <c r="Z615" s="604"/>
    </row>
    <row r="616" spans="1:26" ht="18.75" hidden="1">
      <c r="A616" s="614"/>
      <c r="B616" s="616"/>
      <c r="C616" s="616"/>
      <c r="D616" s="721" t="s">
        <v>265</v>
      </c>
      <c r="E616" s="720"/>
      <c r="F616" s="720"/>
      <c r="G616" s="366"/>
      <c r="H616" s="370" t="s">
        <v>46</v>
      </c>
      <c r="I616" s="617"/>
      <c r="J616" s="617">
        <v>0</v>
      </c>
      <c r="K616" s="167"/>
      <c r="L616" s="167"/>
      <c r="M616" s="167"/>
      <c r="N616" s="167"/>
      <c r="O616" s="167"/>
      <c r="P616" s="167"/>
      <c r="Q616" s="604"/>
      <c r="R616" s="604"/>
      <c r="S616" s="604"/>
      <c r="T616" s="604"/>
      <c r="U616" s="604"/>
      <c r="V616" s="604"/>
      <c r="W616" s="604"/>
      <c r="X616" s="604"/>
      <c r="Y616" s="604"/>
      <c r="Z616" s="604"/>
    </row>
    <row r="617" spans="1:26" ht="18.75" hidden="1">
      <c r="A617" s="614"/>
      <c r="B617" s="616"/>
      <c r="C617" s="616"/>
      <c r="D617" s="616"/>
      <c r="E617" s="720"/>
      <c r="F617" s="720"/>
      <c r="G617" s="366"/>
      <c r="H617" s="370" t="s">
        <v>34</v>
      </c>
      <c r="I617" s="617"/>
      <c r="J617" s="617">
        <v>0</v>
      </c>
      <c r="K617" s="167"/>
      <c r="L617" s="167"/>
      <c r="M617" s="167"/>
      <c r="N617" s="167"/>
      <c r="O617" s="167"/>
      <c r="P617" s="167"/>
      <c r="Q617" s="604"/>
      <c r="R617" s="604"/>
      <c r="S617" s="604"/>
      <c r="T617" s="604"/>
      <c r="U617" s="604"/>
      <c r="V617" s="604"/>
      <c r="W617" s="604"/>
      <c r="X617" s="604"/>
      <c r="Y617" s="604"/>
      <c r="Z617" s="604"/>
    </row>
    <row r="618" spans="1:26" ht="18.75" hidden="1">
      <c r="A618" s="614"/>
      <c r="B618" s="616"/>
      <c r="C618" s="616"/>
      <c r="D618" s="721" t="s">
        <v>266</v>
      </c>
      <c r="E618" s="720"/>
      <c r="F618" s="720"/>
      <c r="G618" s="366"/>
      <c r="H618" s="370" t="s">
        <v>46</v>
      </c>
      <c r="I618" s="617"/>
      <c r="J618" s="617">
        <v>0</v>
      </c>
      <c r="K618" s="167"/>
      <c r="L618" s="167"/>
      <c r="M618" s="167"/>
      <c r="N618" s="167"/>
      <c r="O618" s="167"/>
      <c r="P618" s="167"/>
      <c r="Q618" s="604"/>
      <c r="R618" s="604"/>
      <c r="S618" s="604"/>
      <c r="T618" s="604"/>
      <c r="U618" s="604"/>
      <c r="V618" s="604"/>
      <c r="W618" s="604"/>
      <c r="X618" s="604"/>
      <c r="Y618" s="604"/>
      <c r="Z618" s="604"/>
    </row>
    <row r="619" spans="1:26" ht="18.75" hidden="1">
      <c r="A619" s="614"/>
      <c r="B619" s="616"/>
      <c r="C619" s="616"/>
      <c r="D619" s="616"/>
      <c r="E619" s="720"/>
      <c r="F619" s="720"/>
      <c r="G619" s="366"/>
      <c r="H619" s="370" t="s">
        <v>34</v>
      </c>
      <c r="I619" s="617"/>
      <c r="J619" s="617">
        <v>0</v>
      </c>
      <c r="K619" s="167"/>
      <c r="L619" s="167"/>
      <c r="M619" s="167"/>
      <c r="N619" s="167"/>
      <c r="O619" s="167"/>
      <c r="P619" s="167"/>
      <c r="Q619" s="604"/>
      <c r="R619" s="604"/>
      <c r="S619" s="604"/>
      <c r="T619" s="604"/>
      <c r="U619" s="604"/>
      <c r="V619" s="604"/>
      <c r="W619" s="604"/>
      <c r="X619" s="604"/>
      <c r="Y619" s="604"/>
      <c r="Z619" s="604"/>
    </row>
    <row r="620" spans="1:26" ht="19.5">
      <c r="A620" s="722"/>
      <c r="B620" s="731"/>
      <c r="C620" s="724" t="s">
        <v>267</v>
      </c>
      <c r="D620" s="731"/>
      <c r="E620" s="731"/>
      <c r="F620" s="725"/>
      <c r="G620" s="726"/>
      <c r="H620" s="727" t="s">
        <v>46</v>
      </c>
      <c r="I620" s="728">
        <f ca="1">IFERROR(__xludf.DUMMYFUNCTION("IMPORTRANGE(""https://docs.google.com/spreadsheets/d/1QqKyyYR6Q21VydFLVH3TRQUabQu_ym0Zz7PgGX0-kHA/edit?usp=sharing"",""แผน!HL33"")"),71)</f>
        <v>71</v>
      </c>
      <c r="J620" s="728">
        <f t="shared" ref="J620:J621" si="260">J622+J624+J626</f>
        <v>71</v>
      </c>
      <c r="K620" s="729">
        <f t="shared" ref="K620:K621" ca="1" si="261">IF(I620&gt;0,J620*100/I620,0)</f>
        <v>100</v>
      </c>
      <c r="L620" s="730"/>
      <c r="M620" s="730"/>
      <c r="N620" s="730"/>
      <c r="O620" s="730"/>
      <c r="P620" s="730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</row>
    <row r="621" spans="1:26" ht="19.5">
      <c r="A621" s="722"/>
      <c r="B621" s="731"/>
      <c r="C621" s="731" t="s">
        <v>268</v>
      </c>
      <c r="D621" s="731"/>
      <c r="E621" s="731"/>
      <c r="F621" s="725"/>
      <c r="G621" s="726"/>
      <c r="H621" s="727" t="s">
        <v>34</v>
      </c>
      <c r="I621" s="728">
        <f ca="1">IFERROR(__xludf.DUMMYFUNCTION("IMPORTRANGE(""https://docs.google.com/spreadsheets/d/1QqKyyYR6Q21VydFLVH3TRQUabQu_ym0Zz7PgGX0-kHA/edit?usp=sharing"",""แผน!HK33"")"),3)</f>
        <v>3</v>
      </c>
      <c r="J621" s="728">
        <f t="shared" si="260"/>
        <v>3</v>
      </c>
      <c r="K621" s="729">
        <f t="shared" ca="1" si="261"/>
        <v>100</v>
      </c>
      <c r="L621" s="730"/>
      <c r="M621" s="730"/>
      <c r="N621" s="730"/>
      <c r="O621" s="730"/>
      <c r="P621" s="730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</row>
    <row r="622" spans="1:26" ht="18.75">
      <c r="A622" s="608"/>
      <c r="B622" s="618"/>
      <c r="C622" s="618"/>
      <c r="D622" s="746" t="s">
        <v>269</v>
      </c>
      <c r="E622" s="626"/>
      <c r="F622" s="626"/>
      <c r="G622" s="762"/>
      <c r="H622" s="764" t="s">
        <v>46</v>
      </c>
      <c r="I622" s="270"/>
      <c r="J622" s="215">
        <v>59</v>
      </c>
      <c r="K622" s="163"/>
      <c r="L622" s="163"/>
      <c r="M622" s="163"/>
      <c r="N622" s="163"/>
      <c r="O622" s="163"/>
      <c r="P622" s="163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</row>
    <row r="623" spans="1:26" ht="18.75">
      <c r="A623" s="608"/>
      <c r="B623" s="618"/>
      <c r="C623" s="618"/>
      <c r="D623" s="618"/>
      <c r="E623" s="626"/>
      <c r="F623" s="626"/>
      <c r="G623" s="762"/>
      <c r="H623" s="764" t="s">
        <v>34</v>
      </c>
      <c r="I623" s="270"/>
      <c r="J623" s="215">
        <v>2</v>
      </c>
      <c r="K623" s="163"/>
      <c r="L623" s="163"/>
      <c r="M623" s="163"/>
      <c r="N623" s="163"/>
      <c r="O623" s="163"/>
      <c r="P623" s="163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</row>
    <row r="624" spans="1:26" ht="18.75">
      <c r="A624" s="608"/>
      <c r="B624" s="618"/>
      <c r="C624" s="618"/>
      <c r="D624" s="746" t="s">
        <v>265</v>
      </c>
      <c r="E624" s="626"/>
      <c r="F624" s="626"/>
      <c r="G624" s="762"/>
      <c r="H624" s="764" t="s">
        <v>46</v>
      </c>
      <c r="I624" s="270"/>
      <c r="J624" s="215">
        <v>12</v>
      </c>
      <c r="K624" s="163"/>
      <c r="L624" s="163"/>
      <c r="M624" s="163"/>
      <c r="N624" s="163"/>
      <c r="O624" s="163"/>
      <c r="P624" s="163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</row>
    <row r="625" spans="1:26" ht="18.75">
      <c r="A625" s="608"/>
      <c r="B625" s="618"/>
      <c r="C625" s="618"/>
      <c r="D625" s="618"/>
      <c r="E625" s="626"/>
      <c r="F625" s="626"/>
      <c r="G625" s="762"/>
      <c r="H625" s="764" t="s">
        <v>34</v>
      </c>
      <c r="I625" s="270"/>
      <c r="J625" s="215">
        <v>1</v>
      </c>
      <c r="K625" s="163"/>
      <c r="L625" s="163"/>
      <c r="M625" s="163"/>
      <c r="N625" s="163"/>
      <c r="O625" s="163"/>
      <c r="P625" s="163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</row>
    <row r="626" spans="1:26" ht="18.75">
      <c r="A626" s="608"/>
      <c r="B626" s="618"/>
      <c r="C626" s="618"/>
      <c r="D626" s="746" t="s">
        <v>270</v>
      </c>
      <c r="E626" s="626"/>
      <c r="F626" s="626"/>
      <c r="G626" s="762"/>
      <c r="H626" s="76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</row>
    <row r="627" spans="1:26" ht="18.75">
      <c r="A627" s="732"/>
      <c r="B627" s="733"/>
      <c r="C627" s="733"/>
      <c r="D627" s="733"/>
      <c r="E627" s="734"/>
      <c r="F627" s="734"/>
      <c r="G627" s="735"/>
      <c r="H627" s="422" t="s">
        <v>34</v>
      </c>
      <c r="I627" s="506"/>
      <c r="J627" s="424">
        <v>0</v>
      </c>
      <c r="K627" s="385"/>
      <c r="L627" s="385"/>
      <c r="M627" s="385"/>
      <c r="N627" s="385"/>
      <c r="O627" s="385"/>
      <c r="P627" s="385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</row>
    <row r="628" spans="1:26" ht="19.5">
      <c r="A628" s="736">
        <v>7</v>
      </c>
      <c r="B628" s="737" t="s">
        <v>271</v>
      </c>
      <c r="C628" s="738"/>
      <c r="D628" s="738"/>
      <c r="E628" s="738"/>
      <c r="F628" s="738"/>
      <c r="G628" s="739"/>
      <c r="H628" s="740" t="s">
        <v>35</v>
      </c>
      <c r="I628" s="741">
        <f t="shared" ref="I628:J628" ca="1" si="262">I651</f>
        <v>50</v>
      </c>
      <c r="J628" s="741">
        <f t="shared" ca="1" si="262"/>
        <v>54</v>
      </c>
      <c r="K628" s="742">
        <f ca="1">IF(I628&gt;0,J628*100/I628,0)</f>
        <v>108</v>
      </c>
      <c r="L628" s="743"/>
      <c r="M628" s="743"/>
      <c r="N628" s="743"/>
      <c r="O628" s="743"/>
      <c r="P628" s="743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</row>
    <row r="629" spans="1:26" ht="19.5">
      <c r="A629" s="597"/>
      <c r="B629" s="763"/>
      <c r="C629" s="763" t="s">
        <v>16</v>
      </c>
      <c r="D629" s="863" t="s">
        <v>17</v>
      </c>
      <c r="E629" s="857"/>
      <c r="F629" s="857"/>
      <c r="G629" s="189"/>
      <c r="H629" s="598" t="s">
        <v>12</v>
      </c>
      <c r="I629" s="270"/>
      <c r="J629" s="270"/>
      <c r="K629" s="498"/>
      <c r="L629" s="195">
        <f t="shared" ref="L629:N629" ca="1" si="263">L630+L631</f>
        <v>237485</v>
      </c>
      <c r="M629" s="195">
        <f t="shared" ca="1" si="263"/>
        <v>237485</v>
      </c>
      <c r="N629" s="195">
        <f t="shared" si="263"/>
        <v>237485</v>
      </c>
      <c r="O629" s="195">
        <f t="shared" ref="O629:O634" ca="1" si="264">IF(L629&gt;0,N629*100/L629,0)</f>
        <v>100</v>
      </c>
      <c r="P629" s="195">
        <f t="shared" ref="P629:P634" ca="1" si="265">IF(M629&gt;0,N629*100/M629,0)</f>
        <v>100</v>
      </c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</row>
    <row r="630" spans="1:26" ht="18.75" hidden="1">
      <c r="A630" s="599"/>
      <c r="B630" s="759"/>
      <c r="C630" s="759"/>
      <c r="D630" s="720"/>
      <c r="E630" s="759" t="s">
        <v>185</v>
      </c>
      <c r="F630" s="759"/>
      <c r="G630" s="603"/>
      <c r="H630" s="165" t="s">
        <v>12</v>
      </c>
      <c r="I630" s="617"/>
      <c r="J630" s="617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4"/>
      <c r="R630" s="604"/>
      <c r="S630" s="604"/>
      <c r="T630" s="604"/>
      <c r="U630" s="604"/>
      <c r="V630" s="604"/>
      <c r="W630" s="604"/>
      <c r="X630" s="604"/>
      <c r="Y630" s="604"/>
      <c r="Z630" s="604"/>
    </row>
    <row r="631" spans="1:26" ht="18.75" hidden="1">
      <c r="A631" s="599"/>
      <c r="B631" s="607"/>
      <c r="C631" s="759"/>
      <c r="D631" s="720"/>
      <c r="E631" s="759" t="s">
        <v>186</v>
      </c>
      <c r="F631" s="759"/>
      <c r="G631" s="603"/>
      <c r="H631" s="165" t="s">
        <v>12</v>
      </c>
      <c r="I631" s="617"/>
      <c r="J631" s="617"/>
      <c r="K631" s="93"/>
      <c r="L631" s="93">
        <f t="shared" ca="1" si="266"/>
        <v>237485</v>
      </c>
      <c r="M631" s="93">
        <f t="shared" ca="1" si="266"/>
        <v>237485</v>
      </c>
      <c r="N631" s="93">
        <f t="shared" si="266"/>
        <v>237485</v>
      </c>
      <c r="O631" s="93">
        <f t="shared" ca="1" si="264"/>
        <v>100</v>
      </c>
      <c r="P631" s="93">
        <f t="shared" ca="1" si="265"/>
        <v>100</v>
      </c>
      <c r="Q631" s="604"/>
      <c r="R631" s="604"/>
      <c r="S631" s="604"/>
      <c r="T631" s="604"/>
      <c r="U631" s="604"/>
      <c r="V631" s="604"/>
      <c r="W631" s="604"/>
      <c r="X631" s="604"/>
      <c r="Y631" s="604"/>
      <c r="Z631" s="604"/>
    </row>
    <row r="632" spans="1:26" ht="18.75">
      <c r="A632" s="597"/>
      <c r="B632" s="575"/>
      <c r="C632" s="763"/>
      <c r="D632" s="606" t="s">
        <v>20</v>
      </c>
      <c r="E632" s="763"/>
      <c r="F632" s="763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237485</v>
      </c>
      <c r="M632" s="498">
        <f t="shared" ca="1" si="267"/>
        <v>237485</v>
      </c>
      <c r="N632" s="498">
        <f t="shared" si="267"/>
        <v>237485</v>
      </c>
      <c r="O632" s="498">
        <f t="shared" ca="1" si="264"/>
        <v>100</v>
      </c>
      <c r="P632" s="498">
        <f t="shared" ca="1" si="265"/>
        <v>100</v>
      </c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</row>
    <row r="633" spans="1:26" ht="18.75" hidden="1">
      <c r="A633" s="599"/>
      <c r="B633" s="607"/>
      <c r="C633" s="759"/>
      <c r="D633" s="720"/>
      <c r="E633" s="759" t="s">
        <v>185</v>
      </c>
      <c r="F633" s="759"/>
      <c r="G633" s="603"/>
      <c r="H633" s="165" t="s">
        <v>12</v>
      </c>
      <c r="I633" s="617"/>
      <c r="J633" s="617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4"/>
      <c r="R633" s="604"/>
      <c r="S633" s="604"/>
      <c r="T633" s="604"/>
      <c r="U633" s="604"/>
      <c r="V633" s="604"/>
      <c r="W633" s="604"/>
      <c r="X633" s="604"/>
      <c r="Y633" s="604"/>
      <c r="Z633" s="604"/>
    </row>
    <row r="634" spans="1:26" ht="18.75" hidden="1">
      <c r="A634" s="599"/>
      <c r="B634" s="607"/>
      <c r="C634" s="759"/>
      <c r="D634" s="720"/>
      <c r="E634" s="759" t="s">
        <v>186</v>
      </c>
      <c r="F634" s="759"/>
      <c r="G634" s="603"/>
      <c r="H634" s="165" t="s">
        <v>12</v>
      </c>
      <c r="I634" s="617"/>
      <c r="J634" s="617"/>
      <c r="K634" s="93"/>
      <c r="L634" s="93">
        <f ca="1">IFERROR(__xludf.DUMMYFUNCTION("IMPORTRANGE(""https://docs.google.com/spreadsheets/d/1QqKyyYR6Q21VydFLVH3TRQUabQu_ym0Zz7PgGX0-kHA/edit?usp=sharing"",""แผน!HN33"")"),237485)</f>
        <v>237485</v>
      </c>
      <c r="M634" s="93">
        <f ca="1">L634</f>
        <v>237485</v>
      </c>
      <c r="N634" s="93">
        <f>N635+N636+N637+N638</f>
        <v>237485</v>
      </c>
      <c r="O634" s="93">
        <f t="shared" ca="1" si="264"/>
        <v>100</v>
      </c>
      <c r="P634" s="93">
        <f t="shared" ca="1" si="265"/>
        <v>100</v>
      </c>
      <c r="Q634" s="604"/>
      <c r="R634" s="604"/>
      <c r="S634" s="604"/>
      <c r="T634" s="604"/>
      <c r="U634" s="604"/>
      <c r="V634" s="604"/>
      <c r="W634" s="604"/>
      <c r="X634" s="604"/>
      <c r="Y634" s="604"/>
      <c r="Z634" s="604"/>
    </row>
    <row r="635" spans="1:26" ht="18.75">
      <c r="A635" s="574"/>
      <c r="B635" s="575"/>
      <c r="C635" s="763"/>
      <c r="D635" s="763"/>
      <c r="E635" s="763"/>
      <c r="F635" s="763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40">
        <v>0</v>
      </c>
      <c r="O635" s="498"/>
      <c r="P635" s="49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</row>
    <row r="636" spans="1:26" ht="18.75">
      <c r="A636" s="574"/>
      <c r="B636" s="575"/>
      <c r="C636" s="763"/>
      <c r="D636" s="763"/>
      <c r="E636" s="763"/>
      <c r="F636" s="763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40">
        <v>0</v>
      </c>
      <c r="O636" s="498"/>
      <c r="P636" s="49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</row>
    <row r="637" spans="1:26" ht="18.75">
      <c r="A637" s="574"/>
      <c r="B637" s="575"/>
      <c r="C637" s="763"/>
      <c r="D637" s="763"/>
      <c r="E637" s="763"/>
      <c r="F637" s="763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40">
        <v>0</v>
      </c>
      <c r="O637" s="498"/>
      <c r="P637" s="498"/>
      <c r="Q637" s="578"/>
      <c r="R637" s="578"/>
      <c r="S637" s="578"/>
      <c r="T637" s="578"/>
      <c r="U637" s="578"/>
      <c r="V637" s="578"/>
      <c r="W637" s="578"/>
      <c r="X637" s="578"/>
      <c r="Y637" s="578"/>
      <c r="Z637" s="578"/>
    </row>
    <row r="638" spans="1:26" ht="18.75">
      <c r="A638" s="574"/>
      <c r="B638" s="575"/>
      <c r="C638" s="763"/>
      <c r="D638" s="763"/>
      <c r="E638" s="763"/>
      <c r="F638" s="763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40">
        <v>237485</v>
      </c>
      <c r="O638" s="498"/>
      <c r="P638" s="49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</row>
    <row r="639" spans="1:26" ht="18.75">
      <c r="A639" s="597"/>
      <c r="B639" s="575"/>
      <c r="C639" s="763"/>
      <c r="D639" s="606" t="s">
        <v>21</v>
      </c>
      <c r="E639" s="763"/>
      <c r="F639" s="763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</row>
    <row r="640" spans="1:26" ht="18.75" hidden="1">
      <c r="A640" s="599"/>
      <c r="B640" s="607"/>
      <c r="C640" s="759"/>
      <c r="D640" s="759"/>
      <c r="E640" s="759" t="s">
        <v>18</v>
      </c>
      <c r="F640" s="759"/>
      <c r="G640" s="603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4"/>
      <c r="R640" s="604"/>
      <c r="S640" s="604"/>
      <c r="T640" s="604"/>
      <c r="U640" s="604"/>
      <c r="V640" s="604"/>
      <c r="W640" s="604"/>
      <c r="X640" s="604"/>
      <c r="Y640" s="604"/>
      <c r="Z640" s="604"/>
    </row>
    <row r="641" spans="1:26" ht="18.75" hidden="1">
      <c r="A641" s="599"/>
      <c r="B641" s="607"/>
      <c r="C641" s="759"/>
      <c r="D641" s="759"/>
      <c r="E641" s="759" t="s">
        <v>19</v>
      </c>
      <c r="F641" s="759"/>
      <c r="G641" s="603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4"/>
      <c r="R641" s="604"/>
      <c r="S641" s="604"/>
      <c r="T641" s="604"/>
      <c r="U641" s="604"/>
      <c r="V641" s="604"/>
      <c r="W641" s="604"/>
      <c r="X641" s="604"/>
      <c r="Y641" s="604"/>
      <c r="Z641" s="604"/>
    </row>
    <row r="642" spans="1:26" ht="19.5">
      <c r="A642" s="608"/>
      <c r="B642" s="618"/>
      <c r="C642" s="763" t="s">
        <v>16</v>
      </c>
      <c r="D642" s="896" t="s">
        <v>38</v>
      </c>
      <c r="E642" s="761"/>
      <c r="F642" s="761"/>
      <c r="G642" s="613"/>
      <c r="H642" s="762"/>
      <c r="I642" s="184"/>
      <c r="J642" s="184"/>
      <c r="K642" s="163"/>
      <c r="L642" s="163"/>
      <c r="M642" s="163"/>
      <c r="N642" s="163"/>
      <c r="O642" s="163"/>
      <c r="P642" s="163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</row>
    <row r="643" spans="1:26" ht="18.75">
      <c r="A643" s="744"/>
      <c r="B643" s="575"/>
      <c r="C643" s="763"/>
      <c r="D643" s="626"/>
      <c r="E643" s="746" t="s">
        <v>272</v>
      </c>
      <c r="F643" s="626"/>
      <c r="G643" s="762"/>
      <c r="H643" s="764" t="s">
        <v>273</v>
      </c>
      <c r="I643" s="270">
        <f ca="1">IFERROR(__xludf.DUMMYFUNCTION("IMPORTRANGE(""https://docs.google.com/spreadsheets/d/1QqKyyYR6Q21VydFLVH3TRQUabQu_ym0Zz7PgGX0-kHA/edit?usp=sharing"",""แผน!HR33"")"),0)</f>
        <v>0</v>
      </c>
      <c r="J643" s="215">
        <v>1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</row>
    <row r="644" spans="1:26" ht="18.75">
      <c r="A644" s="744"/>
      <c r="B644" s="575"/>
      <c r="C644" s="763"/>
      <c r="D644" s="626"/>
      <c r="E644" s="746" t="s">
        <v>274</v>
      </c>
      <c r="F644" s="626"/>
      <c r="G644" s="762"/>
      <c r="H644" s="764" t="s">
        <v>275</v>
      </c>
      <c r="I644" s="270">
        <f ca="1">IFERROR(__xludf.DUMMYFUNCTION("IMPORTRANGE(""https://docs.google.com/spreadsheets/d/1QqKyyYR6Q21VydFLVH3TRQUabQu_ym0Zz7PgGX0-kHA/edit?usp=sharing"",""แผน!HR33"")"),0)</f>
        <v>0</v>
      </c>
      <c r="J644" s="215">
        <v>1</v>
      </c>
      <c r="K644" s="163">
        <f t="shared" ca="1" si="271"/>
        <v>0</v>
      </c>
      <c r="L644" s="163"/>
      <c r="M644" s="163"/>
      <c r="N644" s="498"/>
      <c r="O644" s="163"/>
      <c r="P644" s="163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</row>
    <row r="645" spans="1:26" ht="18.75">
      <c r="A645" s="744"/>
      <c r="B645" s="575"/>
      <c r="C645" s="763"/>
      <c r="D645" s="626"/>
      <c r="E645" s="746" t="s">
        <v>276</v>
      </c>
      <c r="F645" s="626"/>
      <c r="G645" s="762"/>
      <c r="H645" s="76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IFERROR(__xludf.DUMMYFUNCTION("IMPORTRANGE(""https://docs.google.com/spreadsheets/d/1XWAQStnk-4SwqDmLtmXYiTMKHgktTP8We1SCoS47DrQ/edit?usp=sharing"",""จัดที่ดิน!AS33"")"),54)</f>
        <v>54</v>
      </c>
      <c r="K645" s="163">
        <f t="shared" si="271"/>
        <v>0</v>
      </c>
      <c r="L645" s="163"/>
      <c r="M645" s="163"/>
      <c r="N645" s="498"/>
      <c r="O645" s="163"/>
      <c r="P645" s="163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</row>
    <row r="646" spans="1:26" ht="18.75">
      <c r="A646" s="744"/>
      <c r="B646" s="575"/>
      <c r="C646" s="763"/>
      <c r="D646" s="626"/>
      <c r="E646" s="626"/>
      <c r="F646" s="626"/>
      <c r="G646" s="762"/>
      <c r="H646" s="76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IFERROR(__xludf.DUMMYFUNCTION("IMPORTRANGE(""https://docs.google.com/spreadsheets/d/1XWAQStnk-4SwqDmLtmXYiTMKHgktTP8We1SCoS47DrQ/edit?usp=sharing"",""จัดที่ดิน!AT33"")"),29.65)</f>
        <v>29.65</v>
      </c>
      <c r="K646" s="498">
        <f t="shared" si="271"/>
        <v>0</v>
      </c>
      <c r="L646" s="163"/>
      <c r="M646" s="163"/>
      <c r="N646" s="498"/>
      <c r="O646" s="163"/>
      <c r="P646" s="163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</row>
    <row r="647" spans="1:26" ht="18.75">
      <c r="A647" s="744"/>
      <c r="B647" s="575"/>
      <c r="C647" s="763"/>
      <c r="D647" s="626"/>
      <c r="E647" s="746" t="s">
        <v>162</v>
      </c>
      <c r="F647" s="626"/>
      <c r="G647" s="762"/>
      <c r="H647" s="764" t="s">
        <v>35</v>
      </c>
      <c r="I647" s="270">
        <f ca="1">IFERROR(__xludf.DUMMYFUNCTION("IMPORTRANGE(""https://docs.google.com/spreadsheets/d/1QqKyyYR6Q21VydFLVH3TRQUabQu_ym0Zz7PgGX0-kHA/edit?usp=sharing"",""แผน!HS33"")"),50)</f>
        <v>50</v>
      </c>
      <c r="J647" s="270">
        <f ca="1">IFERROR(__xludf.DUMMYFUNCTION("IMPORTRANGE(""https://docs.google.com/spreadsheets/d/1XWAQStnk-4SwqDmLtmXYiTMKHgktTP8We1SCoS47DrQ/edit?usp=sharing"",""จัดที่ดิน!AU33"")"),54)</f>
        <v>54</v>
      </c>
      <c r="K647" s="163">
        <f t="shared" ca="1" si="271"/>
        <v>108</v>
      </c>
      <c r="L647" s="163"/>
      <c r="M647" s="163"/>
      <c r="N647" s="163"/>
      <c r="O647" s="163"/>
      <c r="P647" s="163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</row>
    <row r="648" spans="1:26" ht="18.75">
      <c r="A648" s="744"/>
      <c r="B648" s="575"/>
      <c r="C648" s="763"/>
      <c r="D648" s="626"/>
      <c r="E648" s="626"/>
      <c r="F648" s="626"/>
      <c r="G648" s="762"/>
      <c r="H648" s="76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IFERROR(__xludf.DUMMYFUNCTION("IMPORTRANGE(""https://docs.google.com/spreadsheets/d/1XWAQStnk-4SwqDmLtmXYiTMKHgktTP8We1SCoS47DrQ/edit?usp=sharing"",""จัดที่ดิน!AV33"")"),29.65)</f>
        <v>29.65</v>
      </c>
      <c r="K648" s="498">
        <f t="shared" si="271"/>
        <v>0</v>
      </c>
      <c r="L648" s="163"/>
      <c r="M648" s="163"/>
      <c r="N648" s="163"/>
      <c r="O648" s="163"/>
      <c r="P648" s="163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</row>
    <row r="649" spans="1:26" ht="18.75">
      <c r="A649" s="744"/>
      <c r="B649" s="575"/>
      <c r="C649" s="763"/>
      <c r="D649" s="626"/>
      <c r="E649" s="746" t="s">
        <v>277</v>
      </c>
      <c r="F649" s="626"/>
      <c r="G649" s="762"/>
      <c r="H649" s="764" t="s">
        <v>35</v>
      </c>
      <c r="I649" s="270">
        <f ca="1">IFERROR(__xludf.DUMMYFUNCTION("IMPORTRANGE(""https://docs.google.com/spreadsheets/d/1QqKyyYR6Q21VydFLVH3TRQUabQu_ym0Zz7PgGX0-kHA/edit?usp=sharing"",""แผน!HS33"")"),50)</f>
        <v>50</v>
      </c>
      <c r="J649" s="270">
        <f ca="1">IFERROR(__xludf.DUMMYFUNCTION("IMPORTRANGE(""https://docs.google.com/spreadsheets/d/1XWAQStnk-4SwqDmLtmXYiTMKHgktTP8We1SCoS47DrQ/edit?usp=sharing"",""จัดที่ดิน!AW33"")"),54)</f>
        <v>54</v>
      </c>
      <c r="K649" s="163">
        <f t="shared" ca="1" si="271"/>
        <v>108</v>
      </c>
      <c r="L649" s="163"/>
      <c r="M649" s="163"/>
      <c r="N649" s="163"/>
      <c r="O649" s="163"/>
      <c r="P649" s="163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</row>
    <row r="650" spans="1:26" ht="18.75">
      <c r="A650" s="744"/>
      <c r="B650" s="575"/>
      <c r="C650" s="763"/>
      <c r="D650" s="626"/>
      <c r="E650" s="626"/>
      <c r="F650" s="626"/>
      <c r="G650" s="762"/>
      <c r="H650" s="76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IFERROR(__xludf.DUMMYFUNCTION("IMPORTRANGE(""https://docs.google.com/spreadsheets/d/1XWAQStnk-4SwqDmLtmXYiTMKHgktTP8We1SCoS47DrQ/edit?usp=sharing"",""จัดที่ดิน!AX33"")"),29.65)</f>
        <v>29.65</v>
      </c>
      <c r="K650" s="498">
        <f t="shared" si="271"/>
        <v>0</v>
      </c>
      <c r="L650" s="163"/>
      <c r="M650" s="163"/>
      <c r="N650" s="163"/>
      <c r="O650" s="163"/>
      <c r="P650" s="163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</row>
    <row r="651" spans="1:26" ht="18.75">
      <c r="A651" s="744"/>
      <c r="B651" s="575"/>
      <c r="C651" s="763"/>
      <c r="D651" s="626"/>
      <c r="E651" s="746" t="s">
        <v>278</v>
      </c>
      <c r="F651" s="626"/>
      <c r="G651" s="762"/>
      <c r="H651" s="764" t="s">
        <v>35</v>
      </c>
      <c r="I651" s="270">
        <f ca="1">IFERROR(__xludf.DUMMYFUNCTION("IMPORTRANGE(""https://docs.google.com/spreadsheets/d/1QqKyyYR6Q21VydFLVH3TRQUabQu_ym0Zz7PgGX0-kHA/edit?usp=sharing"",""แผน!HS33"")"),50)</f>
        <v>50</v>
      </c>
      <c r="J651" s="270">
        <f ca="1">IFERROR(__xludf.DUMMYFUNCTION("IMPORTRANGE(""https://docs.google.com/spreadsheets/d/1XWAQStnk-4SwqDmLtmXYiTMKHgktTP8We1SCoS47DrQ/edit?usp=sharing"",""จัดที่ดิน!AY33"")"),54)</f>
        <v>54</v>
      </c>
      <c r="K651" s="163">
        <f t="shared" ca="1" si="271"/>
        <v>108</v>
      </c>
      <c r="L651" s="163"/>
      <c r="M651" s="163"/>
      <c r="N651" s="163"/>
      <c r="O651" s="163"/>
      <c r="P651" s="163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</row>
    <row r="652" spans="1:26" ht="18.75">
      <c r="A652" s="74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8"/>
      <c r="C652" s="749"/>
      <c r="D652" s="734"/>
      <c r="E652" s="734"/>
      <c r="F652" s="734"/>
      <c r="G652" s="735"/>
      <c r="H652" s="505" t="s">
        <v>46</v>
      </c>
      <c r="I652" s="506">
        <v>0</v>
      </c>
      <c r="J652" s="506">
        <f ca="1">IFERROR(__xludf.DUMMYFUNCTION("IMPORTRANGE(""https://docs.google.com/spreadsheets/d/1XWAQStnk-4SwqDmLtmXYiTMKHgktTP8We1SCoS47DrQ/edit?usp=sharing"",""จัดที่ดิน!AZ33"")"),29.6525)</f>
        <v>29.6525</v>
      </c>
      <c r="K652" s="507">
        <f t="shared" si="271"/>
        <v>0</v>
      </c>
      <c r="L652" s="385"/>
      <c r="M652" s="385"/>
      <c r="N652" s="385"/>
      <c r="O652" s="385"/>
      <c r="P652" s="385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</row>
    <row r="653" spans="1:26" ht="19.5">
      <c r="A653" s="750">
        <v>8</v>
      </c>
      <c r="B653" s="737" t="s">
        <v>279</v>
      </c>
      <c r="C653" s="738"/>
      <c r="D653" s="738"/>
      <c r="E653" s="738"/>
      <c r="F653" s="738"/>
      <c r="G653" s="739"/>
      <c r="H653" s="739"/>
      <c r="I653" s="751"/>
      <c r="J653" s="751"/>
      <c r="K653" s="743"/>
      <c r="L653" s="743"/>
      <c r="M653" s="743"/>
      <c r="N653" s="743"/>
      <c r="O653" s="743"/>
      <c r="P653" s="743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</row>
    <row r="654" spans="1:26" ht="19.5" hidden="1">
      <c r="A654" s="673"/>
      <c r="B654" s="672" t="s">
        <v>280</v>
      </c>
      <c r="C654" s="673"/>
      <c r="D654" s="673"/>
      <c r="E654" s="673"/>
      <c r="F654" s="673"/>
      <c r="G654" s="674"/>
      <c r="H654" s="707" t="s">
        <v>46</v>
      </c>
      <c r="I654" s="708">
        <f t="shared" ref="I654:J654" ca="1" si="272">I669</f>
        <v>0</v>
      </c>
      <c r="J654" s="708">
        <f t="shared" si="272"/>
        <v>0</v>
      </c>
      <c r="K654" s="677">
        <f ca="1">IF(I654&gt;0,J654*100/I654,0)</f>
        <v>0</v>
      </c>
      <c r="L654" s="678"/>
      <c r="M654" s="678"/>
      <c r="N654" s="678"/>
      <c r="O654" s="678"/>
      <c r="P654" s="6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</row>
    <row r="655" spans="1:26" ht="19.5" hidden="1">
      <c r="A655" s="597"/>
      <c r="B655" s="763"/>
      <c r="C655" s="763" t="s">
        <v>16</v>
      </c>
      <c r="D655" s="863" t="s">
        <v>17</v>
      </c>
      <c r="E655" s="857"/>
      <c r="F655" s="857"/>
      <c r="G655" s="189"/>
      <c r="H655" s="598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</row>
    <row r="656" spans="1:26" ht="18.75" hidden="1">
      <c r="A656" s="599"/>
      <c r="B656" s="759"/>
      <c r="C656" s="759"/>
      <c r="D656" s="720"/>
      <c r="E656" s="759" t="s">
        <v>185</v>
      </c>
      <c r="F656" s="759"/>
      <c r="G656" s="603"/>
      <c r="H656" s="165" t="s">
        <v>12</v>
      </c>
      <c r="I656" s="617"/>
      <c r="J656" s="617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4"/>
      <c r="R656" s="604"/>
      <c r="S656" s="604"/>
      <c r="T656" s="604"/>
      <c r="U656" s="604"/>
      <c r="V656" s="604"/>
      <c r="W656" s="604"/>
      <c r="X656" s="604"/>
      <c r="Y656" s="604"/>
      <c r="Z656" s="604"/>
    </row>
    <row r="657" spans="1:26" ht="18.75" hidden="1">
      <c r="A657" s="599"/>
      <c r="B657" s="607"/>
      <c r="C657" s="759"/>
      <c r="D657" s="720"/>
      <c r="E657" s="759" t="s">
        <v>186</v>
      </c>
      <c r="F657" s="759"/>
      <c r="G657" s="603"/>
      <c r="H657" s="165" t="s">
        <v>12</v>
      </c>
      <c r="I657" s="617"/>
      <c r="J657" s="617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4"/>
      <c r="R657" s="604"/>
      <c r="S657" s="604"/>
      <c r="T657" s="604"/>
      <c r="U657" s="604"/>
      <c r="V657" s="604"/>
      <c r="W657" s="604"/>
      <c r="X657" s="604"/>
      <c r="Y657" s="604"/>
      <c r="Z657" s="604"/>
    </row>
    <row r="658" spans="1:26" ht="18.75" hidden="1">
      <c r="A658" s="597"/>
      <c r="B658" s="575"/>
      <c r="C658" s="763"/>
      <c r="D658" s="606" t="s">
        <v>20</v>
      </c>
      <c r="E658" s="763"/>
      <c r="F658" s="763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</row>
    <row r="659" spans="1:26" ht="18.75" hidden="1">
      <c r="A659" s="599"/>
      <c r="B659" s="607"/>
      <c r="C659" s="759"/>
      <c r="D659" s="720"/>
      <c r="E659" s="759" t="s">
        <v>185</v>
      </c>
      <c r="F659" s="759"/>
      <c r="G659" s="603"/>
      <c r="H659" s="165" t="s">
        <v>12</v>
      </c>
      <c r="I659" s="617"/>
      <c r="J659" s="617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4"/>
      <c r="R659" s="604"/>
      <c r="S659" s="604"/>
      <c r="T659" s="604"/>
      <c r="U659" s="604"/>
      <c r="V659" s="604"/>
      <c r="W659" s="604"/>
      <c r="X659" s="604"/>
      <c r="Y659" s="604"/>
      <c r="Z659" s="604"/>
    </row>
    <row r="660" spans="1:26" ht="18.75" hidden="1">
      <c r="A660" s="599"/>
      <c r="B660" s="607"/>
      <c r="C660" s="759"/>
      <c r="D660" s="720"/>
      <c r="E660" s="759" t="s">
        <v>186</v>
      </c>
      <c r="F660" s="759"/>
      <c r="G660" s="603"/>
      <c r="H660" s="165" t="s">
        <v>12</v>
      </c>
      <c r="I660" s="617"/>
      <c r="J660" s="617"/>
      <c r="K660" s="93"/>
      <c r="L660" s="93">
        <f ca="1">IFERROR(__xludf.DUMMYFUNCTION("IMPORTRANGE(""https://docs.google.com/spreadsheets/d/1QqKyyYR6Q21VydFLVH3TRQUabQu_ym0Zz7PgGX0-kHA/edit?usp=sharing"",""แผน!HV33"")"),0)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4"/>
      <c r="R660" s="604"/>
      <c r="S660" s="604"/>
      <c r="T660" s="604"/>
      <c r="U660" s="604"/>
      <c r="V660" s="604"/>
      <c r="W660" s="604"/>
      <c r="X660" s="604"/>
      <c r="Y660" s="604"/>
      <c r="Z660" s="604"/>
    </row>
    <row r="661" spans="1:26" ht="18.75" hidden="1">
      <c r="A661" s="574"/>
      <c r="B661" s="575"/>
      <c r="C661" s="763"/>
      <c r="D661" s="763"/>
      <c r="E661" s="763"/>
      <c r="F661" s="763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40">
        <v>0</v>
      </c>
      <c r="O661" s="498"/>
      <c r="P661" s="49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</row>
    <row r="662" spans="1:26" ht="18.75" hidden="1">
      <c r="A662" s="574"/>
      <c r="B662" s="575"/>
      <c r="C662" s="763"/>
      <c r="D662" s="763"/>
      <c r="E662" s="763"/>
      <c r="F662" s="763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40">
        <v>0</v>
      </c>
      <c r="O662" s="498"/>
      <c r="P662" s="49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</row>
    <row r="663" spans="1:26" ht="18.75" hidden="1">
      <c r="A663" s="574"/>
      <c r="B663" s="575"/>
      <c r="C663" s="575"/>
      <c r="D663" s="763"/>
      <c r="E663" s="763"/>
      <c r="F663" s="763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40">
        <v>0</v>
      </c>
      <c r="O663" s="498"/>
      <c r="P663" s="49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</row>
    <row r="664" spans="1:26" ht="18.75" hidden="1">
      <c r="A664" s="574"/>
      <c r="B664" s="575"/>
      <c r="C664" s="575"/>
      <c r="D664" s="575"/>
      <c r="E664" s="763"/>
      <c r="F664" s="763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40">
        <v>0</v>
      </c>
      <c r="O664" s="498"/>
      <c r="P664" s="49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</row>
    <row r="665" spans="1:26" ht="18.75" hidden="1">
      <c r="A665" s="597"/>
      <c r="B665" s="575"/>
      <c r="C665" s="575"/>
      <c r="D665" s="606" t="s">
        <v>21</v>
      </c>
      <c r="E665" s="763"/>
      <c r="F665" s="763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</row>
    <row r="666" spans="1:26" ht="18.75" hidden="1">
      <c r="A666" s="599"/>
      <c r="B666" s="607"/>
      <c r="C666" s="607"/>
      <c r="D666" s="607"/>
      <c r="E666" s="759" t="s">
        <v>18</v>
      </c>
      <c r="F666" s="759"/>
      <c r="G666" s="603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4"/>
      <c r="R666" s="604"/>
      <c r="S666" s="604"/>
      <c r="T666" s="604"/>
      <c r="U666" s="604"/>
      <c r="V666" s="604"/>
      <c r="W666" s="604"/>
      <c r="X666" s="604"/>
      <c r="Y666" s="604"/>
      <c r="Z666" s="604"/>
    </row>
    <row r="667" spans="1:26" ht="18.75" hidden="1">
      <c r="A667" s="599"/>
      <c r="B667" s="607"/>
      <c r="C667" s="607"/>
      <c r="D667" s="607"/>
      <c r="E667" s="759" t="s">
        <v>19</v>
      </c>
      <c r="F667" s="759"/>
      <c r="G667" s="603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4"/>
      <c r="R667" s="604"/>
      <c r="S667" s="604"/>
      <c r="T667" s="604"/>
      <c r="U667" s="604"/>
      <c r="V667" s="604"/>
      <c r="W667" s="604"/>
      <c r="X667" s="604"/>
      <c r="Y667" s="604"/>
      <c r="Z667" s="604"/>
    </row>
    <row r="668" spans="1:26" ht="19.5" hidden="1">
      <c r="A668" s="608"/>
      <c r="B668" s="618"/>
      <c r="C668" s="575" t="s">
        <v>16</v>
      </c>
      <c r="D668" s="893" t="s">
        <v>38</v>
      </c>
      <c r="E668" s="761"/>
      <c r="F668" s="761"/>
      <c r="G668" s="613"/>
      <c r="H668" s="762"/>
      <c r="I668" s="184"/>
      <c r="J668" s="184"/>
      <c r="K668" s="163"/>
      <c r="L668" s="163"/>
      <c r="M668" s="163"/>
      <c r="N668" s="163"/>
      <c r="O668" s="163"/>
      <c r="P668" s="163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</row>
    <row r="669" spans="1:26" ht="19.5" hidden="1">
      <c r="A669" s="608"/>
      <c r="B669" s="618"/>
      <c r="C669" s="618"/>
      <c r="D669" s="618" t="s">
        <v>281</v>
      </c>
      <c r="E669" s="626"/>
      <c r="F669" s="626"/>
      <c r="G669" s="762"/>
      <c r="H669" s="767" t="s">
        <v>46</v>
      </c>
      <c r="I669" s="681">
        <f ca="1">IFERROR(__xludf.DUMMYFUNCTION("IMPORTRANGE(""https://docs.google.com/spreadsheets/d/1QqKyyYR6Q21VydFLVH3TRQUabQu_ym0Zz7PgGX0-kHA/edit?usp=sharing"",""แผน!IA33"")"),0)</f>
        <v>0</v>
      </c>
      <c r="J669" s="681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</row>
    <row r="670" spans="1:26" ht="18.75" hidden="1">
      <c r="A670" s="608"/>
      <c r="B670" s="618"/>
      <c r="C670" s="618"/>
      <c r="D670" s="618"/>
      <c r="E670" s="626" t="s">
        <v>282</v>
      </c>
      <c r="F670" s="626"/>
      <c r="G670" s="762"/>
      <c r="H670" s="764" t="s">
        <v>66</v>
      </c>
      <c r="I670" s="270">
        <f ca="1">IFERROR(__xludf.DUMMYFUNCTION("IMPORTRANGE(""https://docs.google.com/spreadsheets/d/1QqKyyYR6Q21VydFLVH3TRQUabQu_ym0Zz7PgGX0-kHA/edit?usp=sharing"",""แผน!HZ33"")"),0)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</row>
    <row r="671" spans="1:26" ht="18.75" hidden="1">
      <c r="A671" s="608"/>
      <c r="B671" s="618"/>
      <c r="C671" s="618"/>
      <c r="D671" s="618"/>
      <c r="E671" s="626" t="s">
        <v>283</v>
      </c>
      <c r="F671" s="626"/>
      <c r="G671" s="762"/>
      <c r="H671" s="764" t="s">
        <v>66</v>
      </c>
      <c r="I671" s="270">
        <f ca="1">IFERROR(__xludf.DUMMYFUNCTION("IMPORTRANGE(""https://docs.google.com/spreadsheets/d/1QqKyyYR6Q21VydFLVH3TRQUabQu_ym0Zz7PgGX0-kHA/edit?usp=sharing"",""แผน!HZ33"")"),0)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</row>
    <row r="672" spans="1:26" ht="18.75" hidden="1">
      <c r="A672" s="608"/>
      <c r="B672" s="618"/>
      <c r="C672" s="618"/>
      <c r="D672" s="618"/>
      <c r="E672" s="626" t="s">
        <v>284</v>
      </c>
      <c r="F672" s="626"/>
      <c r="G672" s="762"/>
      <c r="H672" s="764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</row>
    <row r="673" spans="1:26" ht="18.75" hidden="1">
      <c r="A673" s="608"/>
      <c r="B673" s="618"/>
      <c r="C673" s="618"/>
      <c r="D673" s="618"/>
      <c r="E673" s="626" t="s">
        <v>285</v>
      </c>
      <c r="F673" s="626"/>
      <c r="G673" s="762"/>
      <c r="H673" s="764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</row>
    <row r="674" spans="1:26" ht="18.75" hidden="1">
      <c r="A674" s="608"/>
      <c r="B674" s="618"/>
      <c r="C674" s="618"/>
      <c r="D674" s="618"/>
      <c r="E674" s="626" t="s">
        <v>286</v>
      </c>
      <c r="F674" s="626"/>
      <c r="G674" s="762"/>
      <c r="H674" s="764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</row>
    <row r="675" spans="1:26" ht="19.5" hidden="1">
      <c r="A675" s="608"/>
      <c r="B675" s="618"/>
      <c r="C675" s="618"/>
      <c r="D675" s="618"/>
      <c r="E675" s="626" t="s">
        <v>287</v>
      </c>
      <c r="F675" s="626"/>
      <c r="G675" s="762"/>
      <c r="H675" s="764" t="s">
        <v>46</v>
      </c>
      <c r="I675" s="270"/>
      <c r="J675" s="681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</row>
    <row r="676" spans="1:26" ht="18.75" hidden="1">
      <c r="A676" s="608"/>
      <c r="B676" s="618"/>
      <c r="C676" s="618"/>
      <c r="D676" s="618"/>
      <c r="E676" s="626"/>
      <c r="F676" s="626" t="s">
        <v>288</v>
      </c>
      <c r="G676" s="762"/>
      <c r="H676" s="764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</row>
    <row r="677" spans="1:26" ht="18.75" hidden="1">
      <c r="A677" s="608"/>
      <c r="B677" s="618"/>
      <c r="C677" s="618"/>
      <c r="D677" s="618"/>
      <c r="E677" s="626"/>
      <c r="F677" s="626" t="s">
        <v>289</v>
      </c>
      <c r="G677" s="762"/>
      <c r="H677" s="764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</row>
    <row r="678" spans="1:26" ht="19.5" hidden="1">
      <c r="A678" s="608"/>
      <c r="B678" s="618"/>
      <c r="C678" s="618"/>
      <c r="D678" s="618" t="s">
        <v>290</v>
      </c>
      <c r="E678" s="626"/>
      <c r="F678" s="626"/>
      <c r="G678" s="762"/>
      <c r="H678" s="764" t="s">
        <v>46</v>
      </c>
      <c r="I678" s="681">
        <f ca="1">IFERROR(__xludf.DUMMYFUNCTION("IMPORTRANGE(""https://docs.google.com/spreadsheets/d/1QqKyyYR6Q21VydFLVH3TRQUabQu_ym0Zz7PgGX0-kHA/edit?usp=sharing"",""แผน!IB33"")"),0)</f>
        <v>0</v>
      </c>
      <c r="J678" s="681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</row>
    <row r="679" spans="1:26" ht="18.75" hidden="1">
      <c r="A679" s="608"/>
      <c r="B679" s="618"/>
      <c r="C679" s="618"/>
      <c r="D679" s="618"/>
      <c r="E679" s="626" t="s">
        <v>291</v>
      </c>
      <c r="F679" s="626"/>
      <c r="G679" s="762"/>
      <c r="H679" s="764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</row>
    <row r="680" spans="1:26" ht="18.75" hidden="1">
      <c r="A680" s="608"/>
      <c r="B680" s="618"/>
      <c r="C680" s="618"/>
      <c r="D680" s="618"/>
      <c r="E680" s="626"/>
      <c r="F680" s="626" t="s">
        <v>288</v>
      </c>
      <c r="G680" s="762"/>
      <c r="H680" s="764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</row>
    <row r="681" spans="1:26" ht="18.75" hidden="1">
      <c r="A681" s="608"/>
      <c r="B681" s="618"/>
      <c r="C681" s="618"/>
      <c r="D681" s="618"/>
      <c r="E681" s="626"/>
      <c r="F681" s="626" t="s">
        <v>289</v>
      </c>
      <c r="G681" s="762"/>
      <c r="H681" s="764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</row>
    <row r="682" spans="1:26" ht="18.75" hidden="1">
      <c r="A682" s="608"/>
      <c r="B682" s="618"/>
      <c r="C682" s="618"/>
      <c r="D682" s="618"/>
      <c r="E682" s="626" t="s">
        <v>292</v>
      </c>
      <c r="F682" s="626"/>
      <c r="G682" s="762"/>
      <c r="H682" s="764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</row>
    <row r="683" spans="1:26" ht="18.75" hidden="1">
      <c r="A683" s="608"/>
      <c r="B683" s="618"/>
      <c r="C683" s="618"/>
      <c r="D683" s="618"/>
      <c r="E683" s="626"/>
      <c r="F683" s="626" t="s">
        <v>293</v>
      </c>
      <c r="G683" s="762"/>
      <c r="H683" s="764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</row>
    <row r="684" spans="1:26" ht="19.5">
      <c r="A684" s="753"/>
      <c r="B684" s="754" t="s">
        <v>294</v>
      </c>
      <c r="C684" s="753"/>
      <c r="D684" s="753"/>
      <c r="E684" s="753"/>
      <c r="F684" s="753"/>
      <c r="G684" s="755"/>
      <c r="H684" s="755"/>
      <c r="I684" s="756"/>
      <c r="J684" s="756"/>
      <c r="K684" s="757"/>
      <c r="L684" s="757"/>
      <c r="M684" s="757"/>
      <c r="N684" s="757"/>
      <c r="O684" s="757"/>
      <c r="P684" s="757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</row>
    <row r="685" spans="1:26" ht="19.5">
      <c r="A685" s="597"/>
      <c r="B685" s="763"/>
      <c r="C685" s="763" t="s">
        <v>16</v>
      </c>
      <c r="D685" s="863" t="s">
        <v>17</v>
      </c>
      <c r="E685" s="857"/>
      <c r="F685" s="857"/>
      <c r="G685" s="189"/>
      <c r="H685" s="598" t="s">
        <v>12</v>
      </c>
      <c r="I685" s="270"/>
      <c r="J685" s="270"/>
      <c r="K685" s="498"/>
      <c r="L685" s="195">
        <f t="shared" ref="L685:N685" ca="1" si="282">L686+L687</f>
        <v>1920</v>
      </c>
      <c r="M685" s="195">
        <f t="shared" ca="1" si="282"/>
        <v>1920</v>
      </c>
      <c r="N685" s="195">
        <f t="shared" si="282"/>
        <v>1920</v>
      </c>
      <c r="O685" s="195">
        <f t="shared" ref="O685:O688" ca="1" si="283">IF(L685&gt;0,N685*100/L685,0)</f>
        <v>100</v>
      </c>
      <c r="P685" s="195">
        <f t="shared" ref="P685:P688" ca="1" si="284">IF(M685&gt;0,N685*100/M685,0)</f>
        <v>100</v>
      </c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</row>
    <row r="686" spans="1:26" ht="18.75" hidden="1">
      <c r="A686" s="599"/>
      <c r="B686" s="759"/>
      <c r="C686" s="759"/>
      <c r="D686" s="720"/>
      <c r="E686" s="759" t="s">
        <v>185</v>
      </c>
      <c r="F686" s="759"/>
      <c r="G686" s="603"/>
      <c r="H686" s="165" t="s">
        <v>12</v>
      </c>
      <c r="I686" s="617"/>
      <c r="J686" s="617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4"/>
      <c r="R686" s="604"/>
      <c r="S686" s="604"/>
      <c r="T686" s="604"/>
      <c r="U686" s="604"/>
      <c r="V686" s="604"/>
      <c r="W686" s="604"/>
      <c r="X686" s="604"/>
      <c r="Y686" s="604"/>
      <c r="Z686" s="604"/>
    </row>
    <row r="687" spans="1:26" ht="18.75" hidden="1">
      <c r="A687" s="599"/>
      <c r="B687" s="607"/>
      <c r="C687" s="759"/>
      <c r="D687" s="720"/>
      <c r="E687" s="759" t="s">
        <v>186</v>
      </c>
      <c r="F687" s="759"/>
      <c r="G687" s="603"/>
      <c r="H687" s="165" t="s">
        <v>12</v>
      </c>
      <c r="I687" s="617"/>
      <c r="J687" s="617"/>
      <c r="K687" s="93"/>
      <c r="L687" s="93">
        <f t="shared" ca="1" si="285"/>
        <v>1920</v>
      </c>
      <c r="M687" s="93">
        <f t="shared" ca="1" si="285"/>
        <v>1920</v>
      </c>
      <c r="N687" s="93">
        <f t="shared" si="285"/>
        <v>1920</v>
      </c>
      <c r="O687" s="93">
        <f t="shared" ca="1" si="283"/>
        <v>100</v>
      </c>
      <c r="P687" s="93">
        <f t="shared" ca="1" si="284"/>
        <v>100</v>
      </c>
      <c r="Q687" s="604"/>
      <c r="R687" s="604"/>
      <c r="S687" s="604"/>
      <c r="T687" s="604"/>
      <c r="U687" s="604"/>
      <c r="V687" s="604"/>
      <c r="W687" s="604"/>
      <c r="X687" s="604"/>
      <c r="Y687" s="604"/>
      <c r="Z687" s="604"/>
    </row>
    <row r="688" spans="1:26" ht="18.75">
      <c r="A688" s="597"/>
      <c r="B688" s="575"/>
      <c r="C688" s="763"/>
      <c r="D688" s="606" t="s">
        <v>20</v>
      </c>
      <c r="E688" s="763"/>
      <c r="F688" s="763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1920</v>
      </c>
      <c r="M688" s="498">
        <f t="shared" ca="1" si="286"/>
        <v>1920</v>
      </c>
      <c r="N688" s="498">
        <f t="shared" si="286"/>
        <v>1920</v>
      </c>
      <c r="O688" s="498">
        <f t="shared" ca="1" si="283"/>
        <v>100</v>
      </c>
      <c r="P688" s="498">
        <f t="shared" ca="1" si="284"/>
        <v>100</v>
      </c>
      <c r="Q688" s="578"/>
      <c r="R688" s="578"/>
      <c r="S688" s="578"/>
      <c r="T688" s="578"/>
      <c r="U688" s="578"/>
      <c r="V688" s="578"/>
      <c r="W688" s="578"/>
      <c r="X688" s="578"/>
      <c r="Y688" s="578"/>
      <c r="Z688" s="578"/>
    </row>
    <row r="689" spans="1:26" ht="18.75" hidden="1">
      <c r="A689" s="599"/>
      <c r="B689" s="607"/>
      <c r="C689" s="759"/>
      <c r="D689" s="720"/>
      <c r="E689" s="759" t="s">
        <v>185</v>
      </c>
      <c r="F689" s="759"/>
      <c r="G689" s="603"/>
      <c r="H689" s="165" t="s">
        <v>12</v>
      </c>
      <c r="I689" s="617"/>
      <c r="J689" s="617"/>
      <c r="K689" s="93"/>
      <c r="L689" s="93">
        <v>0</v>
      </c>
      <c r="M689" s="93">
        <v>0</v>
      </c>
      <c r="N689" s="93">
        <v>0</v>
      </c>
      <c r="O689" s="93"/>
      <c r="P689" s="93"/>
      <c r="Q689" s="604"/>
      <c r="R689" s="604"/>
      <c r="S689" s="604"/>
      <c r="T689" s="604"/>
      <c r="U689" s="604"/>
      <c r="V689" s="604"/>
      <c r="W689" s="604"/>
      <c r="X689" s="604"/>
      <c r="Y689" s="604"/>
      <c r="Z689" s="604"/>
    </row>
    <row r="690" spans="1:26" ht="18.75" hidden="1">
      <c r="A690" s="599"/>
      <c r="B690" s="607"/>
      <c r="C690" s="759"/>
      <c r="D690" s="720"/>
      <c r="E690" s="759" t="s">
        <v>186</v>
      </c>
      <c r="F690" s="759"/>
      <c r="G690" s="603"/>
      <c r="H690" s="165" t="s">
        <v>12</v>
      </c>
      <c r="I690" s="617"/>
      <c r="J690" s="617"/>
      <c r="K690" s="93"/>
      <c r="L690" s="93">
        <f ca="1">IFERROR(__xludf.DUMMYFUNCTION("IMPORTRANGE(""https://docs.google.com/spreadsheets/d/1QqKyyYR6Q21VydFLVH3TRQUabQu_ym0Zz7PgGX0-kHA/edit?usp=sharing"",""แผน!HW33"")"),1920)</f>
        <v>1920</v>
      </c>
      <c r="M690" s="93">
        <f ca="1">L690</f>
        <v>1920</v>
      </c>
      <c r="N690" s="93">
        <f>N691+N692+N693+N694</f>
        <v>1920</v>
      </c>
      <c r="O690" s="93">
        <f ca="1">IF(L690&gt;0,N690*100/L690,0)</f>
        <v>100</v>
      </c>
      <c r="P690" s="93">
        <f ca="1">IF(M690&gt;0,N690*100/M690,0)</f>
        <v>100</v>
      </c>
      <c r="Q690" s="604"/>
      <c r="R690" s="604"/>
      <c r="S690" s="604"/>
      <c r="T690" s="604"/>
      <c r="U690" s="604"/>
      <c r="V690" s="604"/>
      <c r="W690" s="604"/>
      <c r="X690" s="604"/>
      <c r="Y690" s="604"/>
      <c r="Z690" s="604"/>
    </row>
    <row r="691" spans="1:26" ht="18.75">
      <c r="A691" s="574"/>
      <c r="B691" s="575"/>
      <c r="C691" s="763"/>
      <c r="D691" s="763"/>
      <c r="E691" s="763"/>
      <c r="F691" s="763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40">
        <v>0</v>
      </c>
      <c r="O691" s="498"/>
      <c r="P691" s="49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</row>
    <row r="692" spans="1:26" ht="18.75">
      <c r="A692" s="574"/>
      <c r="B692" s="575"/>
      <c r="C692" s="763"/>
      <c r="D692" s="763"/>
      <c r="E692" s="763"/>
      <c r="F692" s="763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40">
        <v>0</v>
      </c>
      <c r="O692" s="498"/>
      <c r="P692" s="49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</row>
    <row r="693" spans="1:26" ht="18.75">
      <c r="A693" s="574"/>
      <c r="B693" s="575"/>
      <c r="C693" s="763"/>
      <c r="D693" s="763"/>
      <c r="E693" s="763"/>
      <c r="F693" s="763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40">
        <v>0</v>
      </c>
      <c r="O693" s="498"/>
      <c r="P693" s="49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</row>
    <row r="694" spans="1:26" ht="18.75">
      <c r="A694" s="574"/>
      <c r="B694" s="575"/>
      <c r="C694" s="763"/>
      <c r="D694" s="763"/>
      <c r="E694" s="763"/>
      <c r="F694" s="763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40">
        <v>1920</v>
      </c>
      <c r="O694" s="498"/>
      <c r="P694" s="49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</row>
    <row r="695" spans="1:26" ht="18.75">
      <c r="A695" s="597"/>
      <c r="B695" s="575"/>
      <c r="C695" s="763"/>
      <c r="D695" s="606" t="s">
        <v>21</v>
      </c>
      <c r="E695" s="763"/>
      <c r="F695" s="763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</row>
    <row r="696" spans="1:26" ht="18.75" hidden="1">
      <c r="A696" s="599"/>
      <c r="B696" s="607"/>
      <c r="C696" s="759"/>
      <c r="D696" s="759"/>
      <c r="E696" s="759" t="s">
        <v>18</v>
      </c>
      <c r="F696" s="759"/>
      <c r="G696" s="603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4"/>
      <c r="R696" s="604"/>
      <c r="S696" s="604"/>
      <c r="T696" s="604"/>
      <c r="U696" s="604"/>
      <c r="V696" s="604"/>
      <c r="W696" s="604"/>
      <c r="X696" s="604"/>
      <c r="Y696" s="604"/>
      <c r="Z696" s="604"/>
    </row>
    <row r="697" spans="1:26" ht="18.75" hidden="1">
      <c r="A697" s="599"/>
      <c r="B697" s="607"/>
      <c r="C697" s="759"/>
      <c r="D697" s="759"/>
      <c r="E697" s="759" t="s">
        <v>19</v>
      </c>
      <c r="F697" s="759"/>
      <c r="G697" s="603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4"/>
      <c r="R697" s="604"/>
      <c r="S697" s="604"/>
      <c r="T697" s="604"/>
      <c r="U697" s="604"/>
      <c r="V697" s="604"/>
      <c r="W697" s="604"/>
      <c r="X697" s="604"/>
      <c r="Y697" s="604"/>
      <c r="Z697" s="604"/>
    </row>
    <row r="698" spans="1:26" ht="19.5">
      <c r="A698" s="608"/>
      <c r="B698" s="618"/>
      <c r="C698" s="763" t="s">
        <v>16</v>
      </c>
      <c r="D698" s="898" t="s">
        <v>38</v>
      </c>
      <c r="E698" s="761"/>
      <c r="F698" s="761"/>
      <c r="G698" s="613"/>
      <c r="H698" s="762"/>
      <c r="I698" s="184"/>
      <c r="J698" s="184"/>
      <c r="K698" s="163"/>
      <c r="L698" s="163"/>
      <c r="M698" s="163"/>
      <c r="N698" s="163"/>
      <c r="O698" s="163"/>
      <c r="P698" s="163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</row>
    <row r="699" spans="1:26" ht="18.75">
      <c r="A699" s="744"/>
      <c r="B699" s="763"/>
      <c r="C699" s="763"/>
      <c r="D699" s="763" t="s">
        <v>295</v>
      </c>
      <c r="E699" s="763"/>
      <c r="F699" s="763"/>
      <c r="G699" s="189"/>
      <c r="H699" s="764" t="s">
        <v>46</v>
      </c>
      <c r="I699" s="765">
        <f ca="1">IFERROR(__xludf.DUMMYFUNCTION("IMPORTRANGE(""https://docs.google.com/spreadsheets/d/1QqKyyYR6Q21VydFLVH3TRQUabQu_ym0Zz7PgGX0-kHA/edit?usp=sharing"",""แผน!IC33"")"),0)</f>
        <v>0</v>
      </c>
      <c r="J699" s="270">
        <f ca="1">IFERROR(__xludf.DUMMYFUNCTION("IMPORTRANGE(""https://docs.google.com/spreadsheets/d/1XWAQStnk-4SwqDmLtmXYiTMKHgktTP8We1SCoS47DrQ/edit?usp=sharing"",""จัดที่ดิน!BB33"")"),0)</f>
        <v>0</v>
      </c>
      <c r="K699" s="498">
        <f t="shared" ref="K699:K701" ca="1" si="290">IF(I699&gt;0,J699*100/I699,0)</f>
        <v>0</v>
      </c>
      <c r="L699" s="498"/>
      <c r="M699" s="189"/>
      <c r="N699" s="766"/>
      <c r="O699" s="498"/>
      <c r="P699" s="49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</row>
    <row r="700" spans="1:26" ht="18.75">
      <c r="A700" s="744"/>
      <c r="B700" s="763"/>
      <c r="C700" s="763"/>
      <c r="D700" s="763" t="s">
        <v>296</v>
      </c>
      <c r="E700" s="763"/>
      <c r="F700" s="763"/>
      <c r="G700" s="189"/>
      <c r="H700" s="764" t="s">
        <v>35</v>
      </c>
      <c r="I700" s="765">
        <f ca="1">IFERROR(__xludf.DUMMYFUNCTION("IMPORTRANGE(""https://docs.google.com/spreadsheets/d/1QqKyyYR6Q21VydFLVH3TRQUabQu_ym0Zz7PgGX0-kHA/edit?usp=sharing"",""แผน!ID33"")"),0)</f>
        <v>0</v>
      </c>
      <c r="J700" s="270">
        <f ca="1">IFERROR(__xludf.DUMMYFUNCTION("IMPORTRANGE(""https://docs.google.com/spreadsheets/d/1XWAQStnk-4SwqDmLtmXYiTMKHgktTP8We1SCoS47DrQ/edit?usp=sharing"",""จัดที่ดิน!BD33"")"),0)</f>
        <v>0</v>
      </c>
      <c r="K700" s="498">
        <f t="shared" ca="1" si="290"/>
        <v>0</v>
      </c>
      <c r="L700" s="498"/>
      <c r="M700" s="189"/>
      <c r="N700" s="766"/>
      <c r="O700" s="498"/>
      <c r="P700" s="49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</row>
    <row r="701" spans="1:26" ht="19.5">
      <c r="A701" s="744"/>
      <c r="B701" s="763"/>
      <c r="C701" s="763"/>
      <c r="D701" s="763" t="s">
        <v>297</v>
      </c>
      <c r="E701" s="763"/>
      <c r="F701" s="763"/>
      <c r="G701" s="189"/>
      <c r="H701" s="767" t="s">
        <v>46</v>
      </c>
      <c r="I701" s="768">
        <f ca="1">IFERROR(__xludf.DUMMYFUNCTION("IMPORTRANGE(""https://docs.google.com/spreadsheets/d/1QqKyyYR6Q21VydFLVH3TRQUabQu_ym0Zz7PgGX0-kHA/edit?usp=sharing"",""แผน!IE33"")"),10)</f>
        <v>10</v>
      </c>
      <c r="J701" s="681">
        <f>J704+J707</f>
        <v>10</v>
      </c>
      <c r="K701" s="195">
        <f t="shared" ca="1" si="290"/>
        <v>100</v>
      </c>
      <c r="L701" s="498"/>
      <c r="M701" s="189"/>
      <c r="N701" s="766"/>
      <c r="O701" s="498"/>
      <c r="P701" s="49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</row>
    <row r="702" spans="1:26" ht="18.75">
      <c r="A702" s="744"/>
      <c r="B702" s="763"/>
      <c r="C702" s="763"/>
      <c r="D702" s="763"/>
      <c r="E702" s="763" t="s">
        <v>298</v>
      </c>
      <c r="F702" s="763"/>
      <c r="G702" s="189"/>
      <c r="H702" s="764" t="s">
        <v>35</v>
      </c>
      <c r="I702" s="765"/>
      <c r="J702" s="215">
        <v>1</v>
      </c>
      <c r="K702" s="498"/>
      <c r="L702" s="498"/>
      <c r="M702" s="189"/>
      <c r="N702" s="766"/>
      <c r="O702" s="498"/>
      <c r="P702" s="49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</row>
    <row r="703" spans="1:26" ht="18.75">
      <c r="A703" s="744"/>
      <c r="B703" s="763"/>
      <c r="C703" s="763"/>
      <c r="D703" s="763"/>
      <c r="E703" s="763"/>
      <c r="F703" s="763"/>
      <c r="G703" s="189"/>
      <c r="H703" s="764" t="s">
        <v>34</v>
      </c>
      <c r="I703" s="765"/>
      <c r="J703" s="215">
        <v>2</v>
      </c>
      <c r="K703" s="498"/>
      <c r="L703" s="498"/>
      <c r="M703" s="189"/>
      <c r="N703" s="766"/>
      <c r="O703" s="498"/>
      <c r="P703" s="49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</row>
    <row r="704" spans="1:26" ht="18.75">
      <c r="A704" s="744"/>
      <c r="B704" s="763"/>
      <c r="C704" s="763"/>
      <c r="D704" s="763"/>
      <c r="E704" s="763"/>
      <c r="F704" s="763"/>
      <c r="G704" s="189"/>
      <c r="H704" s="764" t="s">
        <v>46</v>
      </c>
      <c r="I704" s="765">
        <f ca="1">IFERROR(__xludf.DUMMYFUNCTION("IMPORTRANGE(""https://docs.google.com/spreadsheets/d/1QqKyyYR6Q21VydFLVH3TRQUabQu_ym0Zz7PgGX0-kHA/edit?usp=sharing"",""แผน!IF33"")"),10)</f>
        <v>10</v>
      </c>
      <c r="J704" s="215">
        <v>10</v>
      </c>
      <c r="K704" s="498"/>
      <c r="L704" s="498"/>
      <c r="M704" s="189"/>
      <c r="N704" s="766"/>
      <c r="O704" s="498"/>
      <c r="P704" s="49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</row>
    <row r="705" spans="1:26" ht="18.75">
      <c r="A705" s="744"/>
      <c r="B705" s="763"/>
      <c r="C705" s="763"/>
      <c r="D705" s="763"/>
      <c r="E705" s="763" t="s">
        <v>299</v>
      </c>
      <c r="F705" s="763"/>
      <c r="G705" s="189"/>
      <c r="H705" s="764" t="s">
        <v>35</v>
      </c>
      <c r="I705" s="765"/>
      <c r="J705" s="215">
        <v>0</v>
      </c>
      <c r="K705" s="498"/>
      <c r="L705" s="498"/>
      <c r="M705" s="189"/>
      <c r="N705" s="766"/>
      <c r="O705" s="498"/>
      <c r="P705" s="49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</row>
    <row r="706" spans="1:26" ht="18.75">
      <c r="A706" s="744"/>
      <c r="B706" s="763"/>
      <c r="C706" s="763"/>
      <c r="D706" s="763"/>
      <c r="E706" s="763"/>
      <c r="F706" s="763"/>
      <c r="G706" s="189"/>
      <c r="H706" s="764" t="s">
        <v>34</v>
      </c>
      <c r="I706" s="765"/>
      <c r="J706" s="215">
        <v>0</v>
      </c>
      <c r="K706" s="498"/>
      <c r="L706" s="498"/>
      <c r="M706" s="189"/>
      <c r="N706" s="766"/>
      <c r="O706" s="498"/>
      <c r="P706" s="49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</row>
    <row r="707" spans="1:26" ht="18.75">
      <c r="A707" s="744"/>
      <c r="B707" s="763"/>
      <c r="C707" s="763"/>
      <c r="D707" s="763"/>
      <c r="E707" s="763"/>
      <c r="F707" s="763"/>
      <c r="G707" s="189"/>
      <c r="H707" s="764" t="s">
        <v>46</v>
      </c>
      <c r="I707" s="765">
        <f ca="1">IFERROR(__xludf.DUMMYFUNCTION("IMPORTRANGE(""https://docs.google.com/spreadsheets/d/1QqKyyYR6Q21VydFLVH3TRQUabQu_ym0Zz7PgGX0-kHA/edit?usp=sharing"",""แผน!IG33"")"),0)</f>
        <v>0</v>
      </c>
      <c r="J707" s="215">
        <v>0</v>
      </c>
      <c r="K707" s="498"/>
      <c r="L707" s="498"/>
      <c r="M707" s="189"/>
      <c r="N707" s="766"/>
      <c r="O707" s="498"/>
      <c r="P707" s="49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</row>
    <row r="708" spans="1:26" ht="19.5">
      <c r="A708" s="744"/>
      <c r="B708" s="763"/>
      <c r="C708" s="763"/>
      <c r="D708" s="769" t="s">
        <v>300</v>
      </c>
      <c r="E708" s="763"/>
      <c r="F708" s="763"/>
      <c r="G708" s="189"/>
      <c r="H708" s="767" t="s">
        <v>46</v>
      </c>
      <c r="I708" s="768">
        <f ca="1">IFERROR(__xludf.DUMMYFUNCTION("IMPORTRANGE(""https://docs.google.com/spreadsheets/d/1QqKyyYR6Q21VydFLVH3TRQUabQu_ym0Zz7PgGX0-kHA/edit?usp=sharing"",""แผน!IH33"")"),0)</f>
        <v>0</v>
      </c>
      <c r="J708" s="681">
        <f>J714+J717</f>
        <v>0</v>
      </c>
      <c r="K708" s="195">
        <f ca="1">IF(I708&gt;0,J708*100/I708,0)</f>
        <v>0</v>
      </c>
      <c r="L708" s="498"/>
      <c r="M708" s="189"/>
      <c r="N708" s="766"/>
      <c r="O708" s="498"/>
      <c r="P708" s="49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</row>
    <row r="709" spans="1:26" ht="18.75">
      <c r="A709" s="744"/>
      <c r="B709" s="763"/>
      <c r="C709" s="763"/>
      <c r="D709" s="763"/>
      <c r="E709" s="763" t="s">
        <v>301</v>
      </c>
      <c r="F709" s="763"/>
      <c r="G709" s="189"/>
      <c r="H709" s="764" t="s">
        <v>34</v>
      </c>
      <c r="I709" s="765"/>
      <c r="J709" s="215">
        <v>0</v>
      </c>
      <c r="K709" s="498"/>
      <c r="L709" s="766"/>
      <c r="M709" s="189"/>
      <c r="N709" s="766"/>
      <c r="O709" s="498"/>
      <c r="P709" s="49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</row>
    <row r="710" spans="1:26" ht="18.75">
      <c r="A710" s="744"/>
      <c r="B710" s="763"/>
      <c r="C710" s="763"/>
      <c r="D710" s="763"/>
      <c r="E710" s="763"/>
      <c r="F710" s="763"/>
      <c r="G710" s="189"/>
      <c r="H710" s="764" t="s">
        <v>46</v>
      </c>
      <c r="I710" s="765"/>
      <c r="J710" s="215">
        <v>0</v>
      </c>
      <c r="K710" s="498"/>
      <c r="L710" s="766"/>
      <c r="M710" s="189"/>
      <c r="N710" s="766"/>
      <c r="O710" s="498"/>
      <c r="P710" s="49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</row>
    <row r="711" spans="1:26" ht="18.75">
      <c r="A711" s="744"/>
      <c r="B711" s="763"/>
      <c r="C711" s="763"/>
      <c r="D711" s="763"/>
      <c r="E711" s="763" t="s">
        <v>302</v>
      </c>
      <c r="F711" s="763"/>
      <c r="G711" s="189"/>
      <c r="H711" s="762"/>
      <c r="I711" s="765"/>
      <c r="J711" s="270"/>
      <c r="K711" s="498"/>
      <c r="L711" s="766"/>
      <c r="M711" s="189"/>
      <c r="N711" s="766"/>
      <c r="O711" s="498"/>
      <c r="P711" s="49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</row>
    <row r="712" spans="1:26" ht="18.75">
      <c r="A712" s="744"/>
      <c r="B712" s="763"/>
      <c r="C712" s="763"/>
      <c r="D712" s="763"/>
      <c r="E712" s="763"/>
      <c r="F712" s="763" t="s">
        <v>303</v>
      </c>
      <c r="G712" s="189"/>
      <c r="H712" s="764" t="s">
        <v>35</v>
      </c>
      <c r="I712" s="765"/>
      <c r="J712" s="215">
        <v>0</v>
      </c>
      <c r="K712" s="498"/>
      <c r="L712" s="766"/>
      <c r="M712" s="189"/>
      <c r="N712" s="766"/>
      <c r="O712" s="498"/>
      <c r="P712" s="49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</row>
    <row r="713" spans="1:26" ht="18.75">
      <c r="A713" s="744"/>
      <c r="B713" s="763"/>
      <c r="C713" s="763"/>
      <c r="D713" s="763"/>
      <c r="E713" s="763"/>
      <c r="F713" s="763"/>
      <c r="G713" s="189"/>
      <c r="H713" s="764" t="s">
        <v>34</v>
      </c>
      <c r="I713" s="765"/>
      <c r="J713" s="215">
        <v>0</v>
      </c>
      <c r="K713" s="498"/>
      <c r="L713" s="766"/>
      <c r="M713" s="189"/>
      <c r="N713" s="766"/>
      <c r="O713" s="498"/>
      <c r="P713" s="49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</row>
    <row r="714" spans="1:26" ht="18.75">
      <c r="A714" s="744"/>
      <c r="B714" s="763"/>
      <c r="C714" s="763"/>
      <c r="D714" s="763"/>
      <c r="E714" s="763"/>
      <c r="F714" s="763"/>
      <c r="G714" s="189"/>
      <c r="H714" s="764" t="s">
        <v>46</v>
      </c>
      <c r="I714" s="765"/>
      <c r="J714" s="215">
        <v>0</v>
      </c>
      <c r="K714" s="498"/>
      <c r="L714" s="766"/>
      <c r="M714" s="189"/>
      <c r="N714" s="766"/>
      <c r="O714" s="498"/>
      <c r="P714" s="49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</row>
    <row r="715" spans="1:26" ht="18.75">
      <c r="A715" s="744"/>
      <c r="B715" s="763"/>
      <c r="C715" s="763"/>
      <c r="D715" s="763"/>
      <c r="E715" s="763"/>
      <c r="F715" s="763" t="s">
        <v>304</v>
      </c>
      <c r="G715" s="189"/>
      <c r="H715" s="764" t="s">
        <v>35</v>
      </c>
      <c r="I715" s="765"/>
      <c r="J715" s="215">
        <v>0</v>
      </c>
      <c r="K715" s="498"/>
      <c r="L715" s="766"/>
      <c r="M715" s="189"/>
      <c r="N715" s="766"/>
      <c r="O715" s="498"/>
      <c r="P715" s="49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</row>
    <row r="716" spans="1:26" ht="18.75">
      <c r="A716" s="744"/>
      <c r="B716" s="763"/>
      <c r="C716" s="763"/>
      <c r="D716" s="763"/>
      <c r="E716" s="763"/>
      <c r="F716" s="763"/>
      <c r="G716" s="189"/>
      <c r="H716" s="764" t="s">
        <v>34</v>
      </c>
      <c r="I716" s="765"/>
      <c r="J716" s="215">
        <v>0</v>
      </c>
      <c r="K716" s="498"/>
      <c r="L716" s="766"/>
      <c r="M716" s="189"/>
      <c r="N716" s="766"/>
      <c r="O716" s="498"/>
      <c r="P716" s="49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</row>
    <row r="717" spans="1:26" ht="18.75">
      <c r="A717" s="744"/>
      <c r="B717" s="763"/>
      <c r="C717" s="763"/>
      <c r="D717" s="763"/>
      <c r="E717" s="763"/>
      <c r="F717" s="763"/>
      <c r="G717" s="189"/>
      <c r="H717" s="764" t="s">
        <v>46</v>
      </c>
      <c r="I717" s="765"/>
      <c r="J717" s="215">
        <v>0</v>
      </c>
      <c r="K717" s="498"/>
      <c r="L717" s="766"/>
      <c r="M717" s="189"/>
      <c r="N717" s="766"/>
      <c r="O717" s="498"/>
      <c r="P717" s="49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</row>
    <row r="718" spans="1:26" ht="18.75">
      <c r="A718" s="744"/>
      <c r="B718" s="763"/>
      <c r="C718" s="763"/>
      <c r="D718" s="763" t="s">
        <v>305</v>
      </c>
      <c r="E718" s="763"/>
      <c r="F718" s="763"/>
      <c r="G718" s="189"/>
      <c r="H718" s="764" t="s">
        <v>35</v>
      </c>
      <c r="I718" s="765"/>
      <c r="J718" s="270">
        <f ca="1">IFERROR(__xludf.DUMMYFUNCTION("IMPORTRANGE(""https://docs.google.com/spreadsheets/d/1XWAQStnk-4SwqDmLtmXYiTMKHgktTP8We1SCoS47DrQ/edit?usp=sharing"",""จัดที่ดิน!BF33"")"),0)</f>
        <v>0</v>
      </c>
      <c r="K718" s="498"/>
      <c r="L718" s="498"/>
      <c r="M718" s="189"/>
      <c r="N718" s="766"/>
      <c r="O718" s="498"/>
      <c r="P718" s="49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</row>
    <row r="719" spans="1:26" ht="18.75">
      <c r="A719" s="744"/>
      <c r="B719" s="763"/>
      <c r="C719" s="763"/>
      <c r="D719" s="763"/>
      <c r="E719" s="763"/>
      <c r="F719" s="763"/>
      <c r="G719" s="189"/>
      <c r="H719" s="764" t="s">
        <v>34</v>
      </c>
      <c r="I719" s="765"/>
      <c r="J719" s="270">
        <f ca="1">IFERROR(__xludf.DUMMYFUNCTION("IMPORTRANGE(""https://docs.google.com/spreadsheets/d/1XWAQStnk-4SwqDmLtmXYiTMKHgktTP8We1SCoS47DrQ/edit?usp=sharing"",""จัดที่ดิน!BG33"")"),0)</f>
        <v>0</v>
      </c>
      <c r="K719" s="498"/>
      <c r="L719" s="766"/>
      <c r="M719" s="189"/>
      <c r="N719" s="766"/>
      <c r="O719" s="498"/>
      <c r="P719" s="49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</row>
    <row r="720" spans="1:26" ht="18.75">
      <c r="A720" s="744"/>
      <c r="B720" s="763"/>
      <c r="C720" s="763"/>
      <c r="D720" s="763"/>
      <c r="E720" s="763"/>
      <c r="F720" s="763"/>
      <c r="G720" s="189"/>
      <c r="H720" s="764" t="s">
        <v>46</v>
      </c>
      <c r="I720" s="765">
        <f ca="1">IFERROR(__xludf.DUMMYFUNCTION("IMPORTRANGE(""https://docs.google.com/spreadsheets/d/1QqKyyYR6Q21VydFLVH3TRQUabQu_ym0Zz7PgGX0-kHA/edit?usp=sharing"",""แผน!II33"")"),0)</f>
        <v>0</v>
      </c>
      <c r="J720" s="270">
        <f ca="1">IFERROR(__xludf.DUMMYFUNCTION("IMPORTRANGE(""https://docs.google.com/spreadsheets/d/1XWAQStnk-4SwqDmLtmXYiTMKHgktTP8We1SCoS47DrQ/edit?usp=sharing"",""จัดที่ดิน!BH33"")"),0)</f>
        <v>0</v>
      </c>
      <c r="K720" s="498">
        <f t="shared" ref="K720:K723" ca="1" si="291">IF(I720&gt;0,J720*100/I720,0)</f>
        <v>0</v>
      </c>
      <c r="L720" s="766"/>
      <c r="M720" s="189"/>
      <c r="N720" s="766"/>
      <c r="O720" s="498"/>
      <c r="P720" s="49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</row>
    <row r="721" spans="1:26" ht="19.5">
      <c r="A721" s="744"/>
      <c r="B721" s="763"/>
      <c r="C721" s="763"/>
      <c r="D721" s="763" t="s">
        <v>306</v>
      </c>
      <c r="E721" s="763"/>
      <c r="F721" s="763"/>
      <c r="G721" s="189"/>
      <c r="H721" s="767" t="s">
        <v>35</v>
      </c>
      <c r="I721" s="768">
        <f ca="1">IFERROR(__xludf.DUMMYFUNCTION("IMPORTRANGE(""https://docs.google.com/spreadsheets/d/1QqKyyYR6Q21VydFLVH3TRQUabQu_ym0Zz7PgGX0-kHA/edit?usp=sharing"",""แผน!IJ33"")"),6)</f>
        <v>6</v>
      </c>
      <c r="J721" s="681">
        <f ca="1">J723+J726</f>
        <v>7</v>
      </c>
      <c r="K721" s="195">
        <f t="shared" ca="1" si="291"/>
        <v>116.66666666666667</v>
      </c>
      <c r="L721" s="766"/>
      <c r="M721" s="189"/>
      <c r="N721" s="766"/>
      <c r="O721" s="498"/>
      <c r="P721" s="49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</row>
    <row r="722" spans="1:26" ht="19.5">
      <c r="A722" s="744"/>
      <c r="B722" s="763"/>
      <c r="C722" s="763"/>
      <c r="D722" s="763"/>
      <c r="E722" s="763"/>
      <c r="F722" s="763"/>
      <c r="G722" s="189"/>
      <c r="H722" s="767" t="s">
        <v>46</v>
      </c>
      <c r="I722" s="768">
        <f ca="1">IFERROR(__xludf.DUMMYFUNCTION("IMPORTRANGE(""https://docs.google.com/spreadsheets/d/1QqKyyYR6Q21VydFLVH3TRQUabQu_ym0Zz7PgGX0-kHA/edit?usp=sharing"",""แผน!IK33"")"),62)</f>
        <v>62</v>
      </c>
      <c r="J722" s="681">
        <f ca="1">J725+J728</f>
        <v>73.617750000000001</v>
      </c>
      <c r="K722" s="195">
        <f t="shared" ca="1" si="291"/>
        <v>118.7383064516129</v>
      </c>
      <c r="L722" s="498"/>
      <c r="M722" s="189"/>
      <c r="N722" s="766"/>
      <c r="O722" s="498"/>
      <c r="P722" s="49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</row>
    <row r="723" spans="1:26" ht="18.75">
      <c r="A723" s="744"/>
      <c r="B723" s="763"/>
      <c r="C723" s="763"/>
      <c r="D723" s="763"/>
      <c r="E723" s="763" t="s">
        <v>307</v>
      </c>
      <c r="F723" s="763"/>
      <c r="G723" s="189"/>
      <c r="H723" s="764" t="s">
        <v>35</v>
      </c>
      <c r="I723" s="765">
        <f ca="1">IFERROR(__xludf.DUMMYFUNCTION("IMPORTRANGE(""https://docs.google.com/spreadsheets/d/1QqKyyYR6Q21VydFLVH3TRQUabQu_ym0Zz7PgGX0-kHA/edit?usp=sharing"",""แผน!IL33"")"),6)</f>
        <v>6</v>
      </c>
      <c r="J723" s="270">
        <f ca="1">IFERROR(__xludf.DUMMYFUNCTION("IMPORTRANGE(""https://docs.google.com/spreadsheets/d/1XWAQStnk-4SwqDmLtmXYiTMKHgktTP8We1SCoS47DrQ/edit?usp=sharing"",""จัดที่ดิน!BM33"")"),7)</f>
        <v>7</v>
      </c>
      <c r="K723" s="498">
        <f t="shared" ca="1" si="291"/>
        <v>116.66666666666667</v>
      </c>
      <c r="L723" s="498"/>
      <c r="M723" s="189"/>
      <c r="N723" s="766"/>
      <c r="O723" s="498"/>
      <c r="P723" s="49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</row>
    <row r="724" spans="1:26" ht="18.75">
      <c r="A724" s="744"/>
      <c r="B724" s="763"/>
      <c r="C724" s="763"/>
      <c r="D724" s="763"/>
      <c r="E724" s="763"/>
      <c r="F724" s="763"/>
      <c r="G724" s="189"/>
      <c r="H724" s="764" t="s">
        <v>34</v>
      </c>
      <c r="I724" s="765"/>
      <c r="J724" s="270">
        <f ca="1">IFERROR(__xludf.DUMMYFUNCTION("IMPORTRANGE(""https://docs.google.com/spreadsheets/d/1XWAQStnk-4SwqDmLtmXYiTMKHgktTP8We1SCoS47DrQ/edit?usp=sharing"",""จัดที่ดิน!BN33"")"),12)</f>
        <v>12</v>
      </c>
      <c r="K724" s="498"/>
      <c r="L724" s="766"/>
      <c r="M724" s="189"/>
      <c r="N724" s="766"/>
      <c r="O724" s="498"/>
      <c r="P724" s="49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</row>
    <row r="725" spans="1:26" ht="18.75">
      <c r="A725" s="744"/>
      <c r="B725" s="763"/>
      <c r="C725" s="763"/>
      <c r="D725" s="763"/>
      <c r="E725" s="763"/>
      <c r="F725" s="763"/>
      <c r="G725" s="189"/>
      <c r="H725" s="764" t="s">
        <v>46</v>
      </c>
      <c r="I725" s="765">
        <f ca="1">IFERROR(__xludf.DUMMYFUNCTION("IMPORTRANGE(""https://docs.google.com/spreadsheets/d/1QqKyyYR6Q21VydFLVH3TRQUabQu_ym0Zz7PgGX0-kHA/edit?usp=sharing"",""แผน!IM33"")"),62)</f>
        <v>62</v>
      </c>
      <c r="J725" s="270">
        <f ca="1">IFERROR(__xludf.DUMMYFUNCTION("IMPORTRANGE(""https://docs.google.com/spreadsheets/d/1XWAQStnk-4SwqDmLtmXYiTMKHgktTP8We1SCoS47DrQ/edit?usp=sharing"",""จัดที่ดิน!BO33"")"),73.61775)</f>
        <v>73.617750000000001</v>
      </c>
      <c r="K725" s="498">
        <f t="shared" ref="K725:K726" ca="1" si="292">IF(I725&gt;0,J725*100/I725,0)</f>
        <v>118.7383064516129</v>
      </c>
      <c r="L725" s="766"/>
      <c r="M725" s="189"/>
      <c r="N725" s="766"/>
      <c r="O725" s="498"/>
      <c r="P725" s="49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</row>
    <row r="726" spans="1:26" ht="18.75">
      <c r="A726" s="744"/>
      <c r="B726" s="763"/>
      <c r="C726" s="763"/>
      <c r="D726" s="763"/>
      <c r="E726" s="763" t="s">
        <v>308</v>
      </c>
      <c r="F726" s="763"/>
      <c r="G726" s="189"/>
      <c r="H726" s="764" t="s">
        <v>35</v>
      </c>
      <c r="I726" s="765">
        <f ca="1">IFERROR(__xludf.DUMMYFUNCTION("IMPORTRANGE(""https://docs.google.com/spreadsheets/d/1QqKyyYR6Q21VydFLVH3TRQUabQu_ym0Zz7PgGX0-kHA/edit?usp=sharing"",""แผน!IN33"")"),0)</f>
        <v>0</v>
      </c>
      <c r="J726" s="270">
        <f ca="1">IFERROR(__xludf.DUMMYFUNCTION("IMPORTRANGE(""https://docs.google.com/spreadsheets/d/1XWAQStnk-4SwqDmLtmXYiTMKHgktTP8We1SCoS47DrQ/edit?usp=sharing"",""จัดที่ดิน!BR33"")"),0)</f>
        <v>0</v>
      </c>
      <c r="K726" s="498">
        <f t="shared" ca="1" si="292"/>
        <v>0</v>
      </c>
      <c r="L726" s="498"/>
      <c r="M726" s="189"/>
      <c r="N726" s="766"/>
      <c r="O726" s="498"/>
      <c r="P726" s="49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</row>
    <row r="727" spans="1:26" ht="18.75">
      <c r="A727" s="744"/>
      <c r="B727" s="763"/>
      <c r="C727" s="763"/>
      <c r="D727" s="763"/>
      <c r="E727" s="763"/>
      <c r="F727" s="763"/>
      <c r="G727" s="189"/>
      <c r="H727" s="764" t="s">
        <v>34</v>
      </c>
      <c r="I727" s="765"/>
      <c r="J727" s="270">
        <f ca="1">IFERROR(__xludf.DUMMYFUNCTION("IMPORTRANGE(""https://docs.google.com/spreadsheets/d/1XWAQStnk-4SwqDmLtmXYiTMKHgktTP8We1SCoS47DrQ/edit?usp=sharing"",""จัดที่ดิน!BS33"")"),0)</f>
        <v>0</v>
      </c>
      <c r="K727" s="498"/>
      <c r="L727" s="766"/>
      <c r="M727" s="189"/>
      <c r="N727" s="766"/>
      <c r="O727" s="498"/>
      <c r="P727" s="49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</row>
    <row r="728" spans="1:26" ht="18.75">
      <c r="A728" s="744"/>
      <c r="B728" s="763"/>
      <c r="C728" s="763"/>
      <c r="D728" s="763"/>
      <c r="E728" s="763"/>
      <c r="F728" s="763"/>
      <c r="G728" s="189"/>
      <c r="H728" s="764" t="s">
        <v>46</v>
      </c>
      <c r="I728" s="765">
        <f ca="1">IFERROR(__xludf.DUMMYFUNCTION("IMPORTRANGE(""https://docs.google.com/spreadsheets/d/1QqKyyYR6Q21VydFLVH3TRQUabQu_ym0Zz7PgGX0-kHA/edit?usp=sharing"",""แผน!IO33"")"),0)</f>
        <v>0</v>
      </c>
      <c r="J728" s="270">
        <f ca="1">IFERROR(__xludf.DUMMYFUNCTION("IMPORTRANGE(""https://docs.google.com/spreadsheets/d/1XWAQStnk-4SwqDmLtmXYiTMKHgktTP8We1SCoS47DrQ/edit?usp=sharing"",""จัดที่ดิน!BT33"")"),0)</f>
        <v>0</v>
      </c>
      <c r="K728" s="498">
        <f t="shared" ref="K728:K729" ca="1" si="293">IF(I728&gt;0,J728*100/I728,0)</f>
        <v>0</v>
      </c>
      <c r="L728" s="766"/>
      <c r="M728" s="189"/>
      <c r="N728" s="766"/>
      <c r="O728" s="498"/>
      <c r="P728" s="49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</row>
    <row r="729" spans="1:26" ht="19.5">
      <c r="A729" s="744"/>
      <c r="B729" s="763"/>
      <c r="C729" s="763"/>
      <c r="D729" s="763" t="s">
        <v>309</v>
      </c>
      <c r="E729" s="763"/>
      <c r="F729" s="763"/>
      <c r="G729" s="189"/>
      <c r="H729" s="767" t="s">
        <v>46</v>
      </c>
      <c r="I729" s="768">
        <f ca="1">IFERROR(__xludf.DUMMYFUNCTION("IMPORTRANGE(""https://docs.google.com/spreadsheets/d/1QqKyyYR6Q21VydFLVH3TRQUabQu_ym0Zz7PgGX0-kHA/edit?usp=sharing"",""แผน!IP33"")"),0)</f>
        <v>0</v>
      </c>
      <c r="J729" s="681">
        <f>J732+J735</f>
        <v>0</v>
      </c>
      <c r="K729" s="195">
        <f t="shared" ca="1" si="293"/>
        <v>0</v>
      </c>
      <c r="L729" s="498"/>
      <c r="M729" s="189"/>
      <c r="N729" s="766"/>
      <c r="O729" s="498"/>
      <c r="P729" s="49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</row>
    <row r="730" spans="1:26" ht="18.75">
      <c r="A730" s="744"/>
      <c r="B730" s="763"/>
      <c r="C730" s="763"/>
      <c r="D730" s="763"/>
      <c r="E730" s="763" t="s">
        <v>310</v>
      </c>
      <c r="F730" s="763"/>
      <c r="G730" s="189"/>
      <c r="H730" s="764" t="s">
        <v>35</v>
      </c>
      <c r="I730" s="765"/>
      <c r="J730" s="215">
        <v>0</v>
      </c>
      <c r="K730" s="498"/>
      <c r="L730" s="766"/>
      <c r="M730" s="498"/>
      <c r="N730" s="766"/>
      <c r="O730" s="498"/>
      <c r="P730" s="49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</row>
    <row r="731" spans="1:26" ht="18.75">
      <c r="A731" s="744"/>
      <c r="B731" s="763"/>
      <c r="C731" s="763"/>
      <c r="D731" s="763"/>
      <c r="E731" s="763"/>
      <c r="F731" s="763"/>
      <c r="G731" s="189"/>
      <c r="H731" s="764" t="s">
        <v>34</v>
      </c>
      <c r="I731" s="765"/>
      <c r="J731" s="215">
        <v>0</v>
      </c>
      <c r="K731" s="498"/>
      <c r="L731" s="766"/>
      <c r="M731" s="498"/>
      <c r="N731" s="766"/>
      <c r="O731" s="498"/>
      <c r="P731" s="49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</row>
    <row r="732" spans="1:26" ht="18.75">
      <c r="A732" s="744"/>
      <c r="B732" s="763"/>
      <c r="C732" s="763"/>
      <c r="D732" s="763"/>
      <c r="E732" s="763"/>
      <c r="F732" s="763"/>
      <c r="G732" s="189"/>
      <c r="H732" s="764" t="s">
        <v>46</v>
      </c>
      <c r="I732" s="765"/>
      <c r="J732" s="215">
        <v>0</v>
      </c>
      <c r="K732" s="498"/>
      <c r="L732" s="766"/>
      <c r="M732" s="498"/>
      <c r="N732" s="766"/>
      <c r="O732" s="498"/>
      <c r="P732" s="49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</row>
    <row r="733" spans="1:26" ht="18.75">
      <c r="A733" s="744"/>
      <c r="B733" s="763"/>
      <c r="C733" s="763"/>
      <c r="D733" s="763"/>
      <c r="E733" s="763" t="s">
        <v>311</v>
      </c>
      <c r="F733" s="763"/>
      <c r="G733" s="189"/>
      <c r="H733" s="764" t="s">
        <v>35</v>
      </c>
      <c r="I733" s="765"/>
      <c r="J733" s="215">
        <v>0</v>
      </c>
      <c r="K733" s="498"/>
      <c r="L733" s="766"/>
      <c r="M733" s="498"/>
      <c r="N733" s="766"/>
      <c r="O733" s="498"/>
      <c r="P733" s="49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</row>
    <row r="734" spans="1:26" ht="18.75">
      <c r="A734" s="744"/>
      <c r="B734" s="763"/>
      <c r="C734" s="763"/>
      <c r="D734" s="763"/>
      <c r="E734" s="763"/>
      <c r="F734" s="763"/>
      <c r="G734" s="189"/>
      <c r="H734" s="764" t="s">
        <v>34</v>
      </c>
      <c r="I734" s="765"/>
      <c r="J734" s="215">
        <v>0</v>
      </c>
      <c r="K734" s="498"/>
      <c r="L734" s="766"/>
      <c r="M734" s="498"/>
      <c r="N734" s="766"/>
      <c r="O734" s="498"/>
      <c r="P734" s="49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</row>
    <row r="735" spans="1:26" ht="19.5">
      <c r="A735" s="770"/>
      <c r="B735" s="771" t="s">
        <v>312</v>
      </c>
      <c r="C735" s="734"/>
      <c r="D735" s="734"/>
      <c r="E735" s="734"/>
      <c r="F735" s="734"/>
      <c r="G735" s="735"/>
      <c r="H735" s="422" t="s">
        <v>46</v>
      </c>
      <c r="I735" s="772"/>
      <c r="J735" s="424">
        <v>0</v>
      </c>
      <c r="K735" s="507"/>
      <c r="L735" s="773"/>
      <c r="M735" s="507"/>
      <c r="N735" s="773"/>
      <c r="O735" s="507"/>
      <c r="P735" s="507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</row>
    <row r="736" spans="1:26" ht="19.5" hidden="1">
      <c r="A736" s="774">
        <v>9</v>
      </c>
      <c r="B736" s="775" t="s">
        <v>313</v>
      </c>
      <c r="C736" s="776"/>
      <c r="D736" s="776"/>
      <c r="E736" s="776"/>
      <c r="F736" s="776"/>
      <c r="G736" s="777"/>
      <c r="H736" s="778" t="s">
        <v>46</v>
      </c>
      <c r="I736" s="779"/>
      <c r="J736" s="779">
        <f>J751</f>
        <v>0</v>
      </c>
      <c r="K736" s="780">
        <f>IF(I736&gt;0,J736*100/I736,0)</f>
        <v>0</v>
      </c>
      <c r="L736" s="781"/>
      <c r="M736" s="781"/>
      <c r="N736" s="781"/>
      <c r="O736" s="781"/>
      <c r="P736" s="781"/>
      <c r="Q736" s="604"/>
      <c r="R736" s="604"/>
      <c r="S736" s="604"/>
      <c r="T736" s="604"/>
      <c r="U736" s="604"/>
      <c r="V736" s="604"/>
      <c r="W736" s="604"/>
      <c r="X736" s="604"/>
      <c r="Y736" s="604"/>
      <c r="Z736" s="604"/>
    </row>
    <row r="737" spans="1:26" ht="19.5" hidden="1">
      <c r="A737" s="599"/>
      <c r="B737" s="759"/>
      <c r="C737" s="759" t="s">
        <v>16</v>
      </c>
      <c r="D737" s="864" t="s">
        <v>17</v>
      </c>
      <c r="E737" s="857"/>
      <c r="F737" s="857"/>
      <c r="G737" s="603"/>
      <c r="H737" s="646" t="s">
        <v>12</v>
      </c>
      <c r="I737" s="617"/>
      <c r="J737" s="617"/>
      <c r="K737" s="93"/>
      <c r="L737" s="647">
        <f t="shared" ref="L737:N737" si="294">L738+L739</f>
        <v>0</v>
      </c>
      <c r="M737" s="647">
        <f t="shared" si="294"/>
        <v>0</v>
      </c>
      <c r="N737" s="647">
        <f t="shared" si="294"/>
        <v>0</v>
      </c>
      <c r="O737" s="647">
        <f t="shared" ref="O737:O742" si="295">IF(L737&gt;0,N737*100/L737,0)</f>
        <v>0</v>
      </c>
      <c r="P737" s="647">
        <f t="shared" ref="P737:P742" si="296">IF(M737&gt;0,N737*100/M737,0)</f>
        <v>0</v>
      </c>
      <c r="Q737" s="604"/>
      <c r="R737" s="604"/>
      <c r="S737" s="604"/>
      <c r="T737" s="604"/>
      <c r="U737" s="604"/>
      <c r="V737" s="604"/>
      <c r="W737" s="604"/>
      <c r="X737" s="604"/>
      <c r="Y737" s="604"/>
      <c r="Z737" s="604"/>
    </row>
    <row r="738" spans="1:26" ht="18.75" hidden="1">
      <c r="A738" s="599"/>
      <c r="B738" s="759"/>
      <c r="C738" s="759"/>
      <c r="D738" s="720"/>
      <c r="E738" s="759" t="s">
        <v>185</v>
      </c>
      <c r="F738" s="759"/>
      <c r="G738" s="603"/>
      <c r="H738" s="165" t="s">
        <v>12</v>
      </c>
      <c r="I738" s="617"/>
      <c r="J738" s="617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4"/>
      <c r="R738" s="604"/>
      <c r="S738" s="604"/>
      <c r="T738" s="604"/>
      <c r="U738" s="604"/>
      <c r="V738" s="604"/>
      <c r="W738" s="604"/>
      <c r="X738" s="604"/>
      <c r="Y738" s="604"/>
      <c r="Z738" s="604"/>
    </row>
    <row r="739" spans="1:26" ht="18.75" hidden="1">
      <c r="A739" s="599"/>
      <c r="B739" s="607"/>
      <c r="C739" s="759"/>
      <c r="D739" s="720"/>
      <c r="E739" s="759" t="s">
        <v>186</v>
      </c>
      <c r="F739" s="759"/>
      <c r="G739" s="603"/>
      <c r="H739" s="165" t="s">
        <v>12</v>
      </c>
      <c r="I739" s="617"/>
      <c r="J739" s="617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4"/>
      <c r="R739" s="604"/>
      <c r="S739" s="604"/>
      <c r="T739" s="604"/>
      <c r="U739" s="604"/>
      <c r="V739" s="604"/>
      <c r="W739" s="604"/>
      <c r="X739" s="604"/>
      <c r="Y739" s="604"/>
      <c r="Z739" s="604"/>
    </row>
    <row r="740" spans="1:26" ht="19.5" hidden="1">
      <c r="A740" s="599"/>
      <c r="B740" s="607"/>
      <c r="C740" s="759"/>
      <c r="D740" s="645" t="s">
        <v>20</v>
      </c>
      <c r="E740" s="759"/>
      <c r="F740" s="759"/>
      <c r="G740" s="603"/>
      <c r="H740" s="646" t="s">
        <v>12</v>
      </c>
      <c r="I740" s="166"/>
      <c r="J740" s="166"/>
      <c r="K740" s="167"/>
      <c r="L740" s="647">
        <f t="shared" ref="L740:N740" si="298">L741+L742</f>
        <v>0</v>
      </c>
      <c r="M740" s="647">
        <f t="shared" si="298"/>
        <v>0</v>
      </c>
      <c r="N740" s="647">
        <f t="shared" si="298"/>
        <v>0</v>
      </c>
      <c r="O740" s="647">
        <f t="shared" si="295"/>
        <v>0</v>
      </c>
      <c r="P740" s="647">
        <f t="shared" si="296"/>
        <v>0</v>
      </c>
      <c r="Q740" s="604"/>
      <c r="R740" s="604"/>
      <c r="S740" s="604"/>
      <c r="T740" s="604"/>
      <c r="U740" s="604"/>
      <c r="V740" s="604"/>
      <c r="W740" s="604"/>
      <c r="X740" s="604"/>
      <c r="Y740" s="604"/>
      <c r="Z740" s="604"/>
    </row>
    <row r="741" spans="1:26" ht="18.75" hidden="1">
      <c r="A741" s="599"/>
      <c r="B741" s="607"/>
      <c r="C741" s="759"/>
      <c r="D741" s="720"/>
      <c r="E741" s="759" t="s">
        <v>185</v>
      </c>
      <c r="F741" s="759"/>
      <c r="G741" s="603"/>
      <c r="H741" s="165" t="s">
        <v>12</v>
      </c>
      <c r="I741" s="617"/>
      <c r="J741" s="617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4"/>
      <c r="R741" s="604"/>
      <c r="S741" s="604"/>
      <c r="T741" s="604"/>
      <c r="U741" s="604"/>
      <c r="V741" s="604"/>
      <c r="W741" s="604"/>
      <c r="X741" s="604"/>
      <c r="Y741" s="604"/>
      <c r="Z741" s="604"/>
    </row>
    <row r="742" spans="1:26" ht="18.75" hidden="1">
      <c r="A742" s="599"/>
      <c r="B742" s="607"/>
      <c r="C742" s="759"/>
      <c r="D742" s="720"/>
      <c r="E742" s="759" t="s">
        <v>186</v>
      </c>
      <c r="F742" s="759"/>
      <c r="G742" s="603"/>
      <c r="H742" s="165" t="s">
        <v>12</v>
      </c>
      <c r="I742" s="617"/>
      <c r="J742" s="617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4"/>
      <c r="R742" s="604"/>
      <c r="S742" s="604"/>
      <c r="T742" s="604"/>
      <c r="U742" s="604"/>
      <c r="V742" s="604"/>
      <c r="W742" s="604"/>
      <c r="X742" s="604"/>
      <c r="Y742" s="604"/>
      <c r="Z742" s="604"/>
    </row>
    <row r="743" spans="1:26" ht="18.75" hidden="1">
      <c r="A743" s="649"/>
      <c r="B743" s="607"/>
      <c r="C743" s="759"/>
      <c r="D743" s="759"/>
      <c r="E743" s="759"/>
      <c r="F743" s="759" t="s">
        <v>187</v>
      </c>
      <c r="G743" s="603"/>
      <c r="H743" s="165" t="s">
        <v>12</v>
      </c>
      <c r="I743" s="617"/>
      <c r="J743" s="617"/>
      <c r="K743" s="93"/>
      <c r="L743" s="93"/>
      <c r="M743" s="93"/>
      <c r="N743" s="93"/>
      <c r="O743" s="93"/>
      <c r="P743" s="93"/>
      <c r="Q743" s="604"/>
      <c r="R743" s="604"/>
      <c r="S743" s="604"/>
      <c r="T743" s="604"/>
      <c r="U743" s="604"/>
      <c r="V743" s="604"/>
      <c r="W743" s="604"/>
      <c r="X743" s="604"/>
      <c r="Y743" s="604"/>
      <c r="Z743" s="604"/>
    </row>
    <row r="744" spans="1:26" ht="18.75" hidden="1">
      <c r="A744" s="649"/>
      <c r="B744" s="607"/>
      <c r="C744" s="759"/>
      <c r="D744" s="759"/>
      <c r="E744" s="759"/>
      <c r="F744" s="759" t="s">
        <v>188</v>
      </c>
      <c r="G744" s="603"/>
      <c r="H744" s="165" t="s">
        <v>12</v>
      </c>
      <c r="I744" s="617"/>
      <c r="J744" s="617"/>
      <c r="K744" s="93"/>
      <c r="L744" s="93"/>
      <c r="M744" s="93"/>
      <c r="N744" s="93"/>
      <c r="O744" s="93"/>
      <c r="P744" s="93"/>
      <c r="Q744" s="604"/>
      <c r="R744" s="604"/>
      <c r="S744" s="604"/>
      <c r="T744" s="604"/>
      <c r="U744" s="604"/>
      <c r="V744" s="604"/>
      <c r="W744" s="604"/>
      <c r="X744" s="604"/>
      <c r="Y744" s="604"/>
      <c r="Z744" s="604"/>
    </row>
    <row r="745" spans="1:26" ht="18.75" hidden="1">
      <c r="A745" s="649"/>
      <c r="B745" s="607"/>
      <c r="C745" s="759"/>
      <c r="D745" s="759"/>
      <c r="E745" s="759"/>
      <c r="F745" s="759" t="s">
        <v>189</v>
      </c>
      <c r="G745" s="603"/>
      <c r="H745" s="165" t="s">
        <v>12</v>
      </c>
      <c r="I745" s="617"/>
      <c r="J745" s="617"/>
      <c r="K745" s="93"/>
      <c r="L745" s="93"/>
      <c r="M745" s="93"/>
      <c r="N745" s="93"/>
      <c r="O745" s="93"/>
      <c r="P745" s="93"/>
      <c r="Q745" s="604"/>
      <c r="R745" s="604"/>
      <c r="S745" s="604"/>
      <c r="T745" s="604"/>
      <c r="U745" s="604"/>
      <c r="V745" s="604"/>
      <c r="W745" s="604"/>
      <c r="X745" s="604"/>
      <c r="Y745" s="604"/>
      <c r="Z745" s="604"/>
    </row>
    <row r="746" spans="1:26" ht="18.75" hidden="1">
      <c r="A746" s="649"/>
      <c r="B746" s="607"/>
      <c r="C746" s="759"/>
      <c r="D746" s="759"/>
      <c r="E746" s="759"/>
      <c r="F746" s="759" t="s">
        <v>190</v>
      </c>
      <c r="G746" s="603"/>
      <c r="H746" s="165" t="s">
        <v>12</v>
      </c>
      <c r="I746" s="617"/>
      <c r="J746" s="617"/>
      <c r="K746" s="93"/>
      <c r="L746" s="93"/>
      <c r="M746" s="93"/>
      <c r="N746" s="93"/>
      <c r="O746" s="93"/>
      <c r="P746" s="93"/>
      <c r="Q746" s="604"/>
      <c r="R746" s="604"/>
      <c r="S746" s="604"/>
      <c r="T746" s="604"/>
      <c r="U746" s="604"/>
      <c r="V746" s="604"/>
      <c r="W746" s="604"/>
      <c r="X746" s="604"/>
      <c r="Y746" s="604"/>
      <c r="Z746" s="604"/>
    </row>
    <row r="747" spans="1:26" ht="19.5" hidden="1">
      <c r="A747" s="599"/>
      <c r="B747" s="607"/>
      <c r="C747" s="759"/>
      <c r="D747" s="645" t="s">
        <v>21</v>
      </c>
      <c r="E747" s="759"/>
      <c r="F747" s="759"/>
      <c r="G747" s="603"/>
      <c r="H747" s="783" t="s">
        <v>12</v>
      </c>
      <c r="I747" s="166"/>
      <c r="J747" s="166"/>
      <c r="K747" s="167"/>
      <c r="L747" s="647">
        <f t="shared" ref="L747:N747" si="299">L748+L749</f>
        <v>0</v>
      </c>
      <c r="M747" s="647">
        <f t="shared" si="299"/>
        <v>0</v>
      </c>
      <c r="N747" s="647">
        <f t="shared" si="299"/>
        <v>0</v>
      </c>
      <c r="O747" s="647">
        <f t="shared" ref="O747:O749" si="300">IF(L747&gt;0,N747*100/L747,0)</f>
        <v>0</v>
      </c>
      <c r="P747" s="647">
        <f t="shared" ref="P747:P749" si="301">IF(M747&gt;0,N747*100/M747,0)</f>
        <v>0</v>
      </c>
      <c r="Q747" s="604"/>
      <c r="R747" s="604"/>
      <c r="S747" s="604"/>
      <c r="T747" s="604"/>
      <c r="U747" s="604"/>
      <c r="V747" s="604"/>
      <c r="W747" s="604"/>
      <c r="X747" s="604"/>
      <c r="Y747" s="604"/>
      <c r="Z747" s="604"/>
    </row>
    <row r="748" spans="1:26" ht="18.75" hidden="1">
      <c r="A748" s="599"/>
      <c r="B748" s="607"/>
      <c r="C748" s="759"/>
      <c r="D748" s="759"/>
      <c r="E748" s="759" t="s">
        <v>18</v>
      </c>
      <c r="F748" s="759"/>
      <c r="G748" s="603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4"/>
      <c r="R748" s="604"/>
      <c r="S748" s="604"/>
      <c r="T748" s="604"/>
      <c r="U748" s="604"/>
      <c r="V748" s="604"/>
      <c r="W748" s="604"/>
      <c r="X748" s="604"/>
      <c r="Y748" s="604"/>
      <c r="Z748" s="604"/>
    </row>
    <row r="749" spans="1:26" ht="18.75" hidden="1">
      <c r="A749" s="599"/>
      <c r="B749" s="607"/>
      <c r="C749" s="759"/>
      <c r="D749" s="759"/>
      <c r="E749" s="759" t="s">
        <v>19</v>
      </c>
      <c r="F749" s="759"/>
      <c r="G749" s="603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4"/>
      <c r="R749" s="604"/>
      <c r="S749" s="604"/>
      <c r="T749" s="604"/>
      <c r="U749" s="604"/>
      <c r="V749" s="604"/>
      <c r="W749" s="604"/>
      <c r="X749" s="604"/>
      <c r="Y749" s="604"/>
      <c r="Z749" s="604"/>
    </row>
    <row r="750" spans="1:26" ht="19.5" hidden="1">
      <c r="A750" s="614"/>
      <c r="B750" s="616"/>
      <c r="C750" s="759" t="s">
        <v>16</v>
      </c>
      <c r="D750" s="899" t="s">
        <v>38</v>
      </c>
      <c r="E750" s="651"/>
      <c r="F750" s="651"/>
      <c r="G750" s="652"/>
      <c r="H750" s="366"/>
      <c r="I750" s="166"/>
      <c r="J750" s="166"/>
      <c r="K750" s="167"/>
      <c r="L750" s="167"/>
      <c r="M750" s="167"/>
      <c r="N750" s="167"/>
      <c r="O750" s="167"/>
      <c r="P750" s="167"/>
      <c r="Q750" s="604"/>
      <c r="R750" s="604"/>
      <c r="S750" s="604"/>
      <c r="T750" s="604"/>
      <c r="U750" s="604"/>
      <c r="V750" s="604"/>
      <c r="W750" s="604"/>
      <c r="X750" s="604"/>
      <c r="Y750" s="604"/>
      <c r="Z750" s="604"/>
    </row>
    <row r="751" spans="1:26" ht="18.75" hidden="1">
      <c r="A751" s="649"/>
      <c r="B751" s="607"/>
      <c r="C751" s="759"/>
      <c r="D751" s="759"/>
      <c r="E751" s="759" t="s">
        <v>314</v>
      </c>
      <c r="F751" s="759"/>
      <c r="G751" s="603"/>
      <c r="H751" s="165" t="s">
        <v>46</v>
      </c>
      <c r="I751" s="617"/>
      <c r="J751" s="617"/>
      <c r="K751" s="93"/>
      <c r="L751" s="93"/>
      <c r="M751" s="93"/>
      <c r="N751" s="93"/>
      <c r="O751" s="93"/>
      <c r="P751" s="93"/>
      <c r="Q751" s="604"/>
      <c r="R751" s="604"/>
      <c r="S751" s="604"/>
      <c r="T751" s="604"/>
      <c r="U751" s="604"/>
      <c r="V751" s="604"/>
      <c r="W751" s="604"/>
      <c r="X751" s="604"/>
      <c r="Y751" s="604"/>
      <c r="Z751" s="604"/>
    </row>
    <row r="752" spans="1:26" ht="18.75" hidden="1">
      <c r="A752" s="649"/>
      <c r="B752" s="607"/>
      <c r="C752" s="759"/>
      <c r="D752" s="759"/>
      <c r="E752" s="759"/>
      <c r="F752" s="759"/>
      <c r="G752" s="603"/>
      <c r="H752" s="165" t="s">
        <v>315</v>
      </c>
      <c r="I752" s="617"/>
      <c r="J752" s="617"/>
      <c r="K752" s="93"/>
      <c r="L752" s="93"/>
      <c r="M752" s="93"/>
      <c r="N752" s="93"/>
      <c r="O752" s="93"/>
      <c r="P752" s="93"/>
      <c r="Q752" s="604"/>
      <c r="R752" s="604"/>
      <c r="S752" s="604"/>
      <c r="T752" s="604"/>
      <c r="U752" s="604"/>
      <c r="V752" s="604"/>
      <c r="W752" s="604"/>
      <c r="X752" s="604"/>
      <c r="Y752" s="604"/>
      <c r="Z752" s="604"/>
    </row>
    <row r="753" spans="1:26" ht="19.5" hidden="1">
      <c r="A753" s="785">
        <v>10</v>
      </c>
      <c r="B753" s="786" t="s">
        <v>316</v>
      </c>
      <c r="C753" s="787"/>
      <c r="D753" s="787"/>
      <c r="E753" s="787"/>
      <c r="F753" s="787"/>
      <c r="G753" s="788"/>
      <c r="H753" s="789" t="s">
        <v>46</v>
      </c>
      <c r="I753" s="790"/>
      <c r="J753" s="790">
        <f>J768</f>
        <v>0</v>
      </c>
      <c r="K753" s="791">
        <f>IF(I753&gt;0,J753*100/I753,0)</f>
        <v>0</v>
      </c>
      <c r="L753" s="792"/>
      <c r="M753" s="792"/>
      <c r="N753" s="792"/>
      <c r="O753" s="792"/>
      <c r="P753" s="792"/>
      <c r="Q753" s="604"/>
      <c r="R753" s="604"/>
      <c r="S753" s="604"/>
      <c r="T753" s="604"/>
      <c r="U753" s="604"/>
      <c r="V753" s="604"/>
      <c r="W753" s="604"/>
      <c r="X753" s="604"/>
      <c r="Y753" s="604"/>
      <c r="Z753" s="604"/>
    </row>
    <row r="754" spans="1:26" ht="19.5" hidden="1">
      <c r="A754" s="599"/>
      <c r="B754" s="759"/>
      <c r="C754" s="759" t="s">
        <v>16</v>
      </c>
      <c r="D754" s="864" t="s">
        <v>17</v>
      </c>
      <c r="E754" s="857"/>
      <c r="F754" s="857"/>
      <c r="G754" s="603"/>
      <c r="H754" s="646" t="s">
        <v>12</v>
      </c>
      <c r="I754" s="617"/>
      <c r="J754" s="617"/>
      <c r="K754" s="93"/>
      <c r="L754" s="647">
        <f t="shared" ref="L754:N754" si="302">L755+L756</f>
        <v>0</v>
      </c>
      <c r="M754" s="647">
        <f t="shared" si="302"/>
        <v>0</v>
      </c>
      <c r="N754" s="647">
        <f t="shared" si="302"/>
        <v>0</v>
      </c>
      <c r="O754" s="647">
        <f t="shared" ref="O754:O759" si="303">IF(L754&gt;0,N754*100/L754,0)</f>
        <v>0</v>
      </c>
      <c r="P754" s="647">
        <f t="shared" ref="P754:P759" si="304">IF(M754&gt;0,N754*100/M754,0)</f>
        <v>0</v>
      </c>
      <c r="Q754" s="604"/>
      <c r="R754" s="604"/>
      <c r="S754" s="604"/>
      <c r="T754" s="604"/>
      <c r="U754" s="604"/>
      <c r="V754" s="604"/>
      <c r="W754" s="604"/>
      <c r="X754" s="604"/>
      <c r="Y754" s="604"/>
      <c r="Z754" s="604"/>
    </row>
    <row r="755" spans="1:26" ht="18.75" hidden="1">
      <c r="A755" s="599"/>
      <c r="B755" s="759"/>
      <c r="C755" s="759"/>
      <c r="D755" s="720"/>
      <c r="E755" s="759" t="s">
        <v>185</v>
      </c>
      <c r="F755" s="759"/>
      <c r="G755" s="603"/>
      <c r="H755" s="165" t="s">
        <v>12</v>
      </c>
      <c r="I755" s="617"/>
      <c r="J755" s="617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4"/>
      <c r="R755" s="604"/>
      <c r="S755" s="604"/>
      <c r="T755" s="604"/>
      <c r="U755" s="604"/>
      <c r="V755" s="604"/>
      <c r="W755" s="604"/>
      <c r="X755" s="604"/>
      <c r="Y755" s="604"/>
      <c r="Z755" s="604"/>
    </row>
    <row r="756" spans="1:26" ht="18.75" hidden="1">
      <c r="A756" s="599"/>
      <c r="B756" s="607"/>
      <c r="C756" s="759"/>
      <c r="D756" s="720"/>
      <c r="E756" s="759" t="s">
        <v>186</v>
      </c>
      <c r="F756" s="759"/>
      <c r="G756" s="603"/>
      <c r="H756" s="165" t="s">
        <v>12</v>
      </c>
      <c r="I756" s="617"/>
      <c r="J756" s="617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4"/>
      <c r="R756" s="604"/>
      <c r="S756" s="604"/>
      <c r="T756" s="604"/>
      <c r="U756" s="604"/>
      <c r="V756" s="604"/>
      <c r="W756" s="604"/>
      <c r="X756" s="604"/>
      <c r="Y756" s="604"/>
      <c r="Z756" s="604"/>
    </row>
    <row r="757" spans="1:26" ht="19.5" hidden="1">
      <c r="A757" s="599"/>
      <c r="B757" s="607"/>
      <c r="C757" s="759"/>
      <c r="D757" s="645" t="s">
        <v>20</v>
      </c>
      <c r="E757" s="759"/>
      <c r="F757" s="759"/>
      <c r="G757" s="603"/>
      <c r="H757" s="646" t="s">
        <v>12</v>
      </c>
      <c r="I757" s="166"/>
      <c r="J757" s="166"/>
      <c r="K757" s="167"/>
      <c r="L757" s="647">
        <f t="shared" ref="L757:N757" si="306">L758+L759</f>
        <v>0</v>
      </c>
      <c r="M757" s="647">
        <f t="shared" si="306"/>
        <v>0</v>
      </c>
      <c r="N757" s="647">
        <f t="shared" si="306"/>
        <v>0</v>
      </c>
      <c r="O757" s="647">
        <f t="shared" si="303"/>
        <v>0</v>
      </c>
      <c r="P757" s="647">
        <f t="shared" si="304"/>
        <v>0</v>
      </c>
      <c r="Q757" s="604"/>
      <c r="R757" s="604"/>
      <c r="S757" s="604"/>
      <c r="T757" s="604"/>
      <c r="U757" s="604"/>
      <c r="V757" s="604"/>
      <c r="W757" s="604"/>
      <c r="X757" s="604"/>
      <c r="Y757" s="604"/>
      <c r="Z757" s="604"/>
    </row>
    <row r="758" spans="1:26" ht="18.75" hidden="1">
      <c r="A758" s="599"/>
      <c r="B758" s="607"/>
      <c r="C758" s="759"/>
      <c r="D758" s="720"/>
      <c r="E758" s="759" t="s">
        <v>185</v>
      </c>
      <c r="F758" s="759"/>
      <c r="G758" s="603"/>
      <c r="H758" s="165" t="s">
        <v>12</v>
      </c>
      <c r="I758" s="617"/>
      <c r="J758" s="617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4"/>
      <c r="R758" s="604"/>
      <c r="S758" s="604"/>
      <c r="T758" s="604"/>
      <c r="U758" s="604"/>
      <c r="V758" s="604"/>
      <c r="W758" s="604"/>
      <c r="X758" s="604"/>
      <c r="Y758" s="604"/>
      <c r="Z758" s="604"/>
    </row>
    <row r="759" spans="1:26" ht="18.75" hidden="1">
      <c r="A759" s="599"/>
      <c r="B759" s="607"/>
      <c r="C759" s="759"/>
      <c r="D759" s="720"/>
      <c r="E759" s="759" t="s">
        <v>186</v>
      </c>
      <c r="F759" s="759"/>
      <c r="G759" s="603"/>
      <c r="H759" s="165" t="s">
        <v>12</v>
      </c>
      <c r="I759" s="617"/>
      <c r="J759" s="617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4"/>
      <c r="R759" s="604"/>
      <c r="S759" s="604"/>
      <c r="T759" s="604"/>
      <c r="U759" s="604"/>
      <c r="V759" s="604"/>
      <c r="W759" s="604"/>
      <c r="X759" s="604"/>
      <c r="Y759" s="604"/>
      <c r="Z759" s="604"/>
    </row>
    <row r="760" spans="1:26" ht="18.75" hidden="1">
      <c r="A760" s="649"/>
      <c r="B760" s="607"/>
      <c r="C760" s="759"/>
      <c r="D760" s="759"/>
      <c r="E760" s="759"/>
      <c r="F760" s="759" t="s">
        <v>187</v>
      </c>
      <c r="G760" s="603"/>
      <c r="H760" s="165" t="s">
        <v>12</v>
      </c>
      <c r="I760" s="617"/>
      <c r="J760" s="617"/>
      <c r="K760" s="93"/>
      <c r="L760" s="93"/>
      <c r="M760" s="93"/>
      <c r="N760" s="93"/>
      <c r="O760" s="93"/>
      <c r="P760" s="93"/>
      <c r="Q760" s="604"/>
      <c r="R760" s="604"/>
      <c r="S760" s="604"/>
      <c r="T760" s="604"/>
      <c r="U760" s="604"/>
      <c r="V760" s="604"/>
      <c r="W760" s="604"/>
      <c r="X760" s="604"/>
      <c r="Y760" s="604"/>
      <c r="Z760" s="604"/>
    </row>
    <row r="761" spans="1:26" ht="18.75" hidden="1">
      <c r="A761" s="649"/>
      <c r="B761" s="607"/>
      <c r="C761" s="759"/>
      <c r="D761" s="759"/>
      <c r="E761" s="759"/>
      <c r="F761" s="759" t="s">
        <v>188</v>
      </c>
      <c r="G761" s="603"/>
      <c r="H761" s="165" t="s">
        <v>12</v>
      </c>
      <c r="I761" s="617"/>
      <c r="J761" s="617"/>
      <c r="K761" s="93"/>
      <c r="L761" s="93"/>
      <c r="M761" s="93"/>
      <c r="N761" s="93"/>
      <c r="O761" s="93"/>
      <c r="P761" s="93"/>
      <c r="Q761" s="604"/>
      <c r="R761" s="604"/>
      <c r="S761" s="604"/>
      <c r="T761" s="604"/>
      <c r="U761" s="604"/>
      <c r="V761" s="604"/>
      <c r="W761" s="604"/>
      <c r="X761" s="604"/>
      <c r="Y761" s="604"/>
      <c r="Z761" s="604"/>
    </row>
    <row r="762" spans="1:26" ht="18.75" hidden="1">
      <c r="A762" s="649"/>
      <c r="B762" s="607"/>
      <c r="C762" s="759"/>
      <c r="D762" s="759"/>
      <c r="E762" s="759"/>
      <c r="F762" s="759" t="s">
        <v>189</v>
      </c>
      <c r="G762" s="603"/>
      <c r="H762" s="165" t="s">
        <v>12</v>
      </c>
      <c r="I762" s="617"/>
      <c r="J762" s="617"/>
      <c r="K762" s="93"/>
      <c r="L762" s="93"/>
      <c r="M762" s="93"/>
      <c r="N762" s="93"/>
      <c r="O762" s="93"/>
      <c r="P762" s="93"/>
      <c r="Q762" s="604"/>
      <c r="R762" s="604"/>
      <c r="S762" s="604"/>
      <c r="T762" s="604"/>
      <c r="U762" s="604"/>
      <c r="V762" s="604"/>
      <c r="W762" s="604"/>
      <c r="X762" s="604"/>
      <c r="Y762" s="604"/>
      <c r="Z762" s="604"/>
    </row>
    <row r="763" spans="1:26" ht="18.75" hidden="1">
      <c r="A763" s="649"/>
      <c r="B763" s="607"/>
      <c r="C763" s="759"/>
      <c r="D763" s="759"/>
      <c r="E763" s="759"/>
      <c r="F763" s="759" t="s">
        <v>190</v>
      </c>
      <c r="G763" s="603"/>
      <c r="H763" s="165" t="s">
        <v>12</v>
      </c>
      <c r="I763" s="617"/>
      <c r="J763" s="617"/>
      <c r="K763" s="93"/>
      <c r="L763" s="93"/>
      <c r="M763" s="93"/>
      <c r="N763" s="93"/>
      <c r="O763" s="93"/>
      <c r="P763" s="93"/>
      <c r="Q763" s="604"/>
      <c r="R763" s="604"/>
      <c r="S763" s="604"/>
      <c r="T763" s="604"/>
      <c r="U763" s="604"/>
      <c r="V763" s="604"/>
      <c r="W763" s="604"/>
      <c r="X763" s="604"/>
      <c r="Y763" s="604"/>
      <c r="Z763" s="604"/>
    </row>
    <row r="764" spans="1:26" ht="19.5" hidden="1">
      <c r="A764" s="599"/>
      <c r="B764" s="607"/>
      <c r="C764" s="759"/>
      <c r="D764" s="645" t="s">
        <v>21</v>
      </c>
      <c r="E764" s="759"/>
      <c r="F764" s="759"/>
      <c r="G764" s="603"/>
      <c r="H764" s="783" t="s">
        <v>12</v>
      </c>
      <c r="I764" s="166"/>
      <c r="J764" s="166"/>
      <c r="K764" s="167"/>
      <c r="L764" s="647">
        <f t="shared" ref="L764:N764" si="307">L765+L766</f>
        <v>0</v>
      </c>
      <c r="M764" s="647">
        <f t="shared" si="307"/>
        <v>0</v>
      </c>
      <c r="N764" s="647">
        <f t="shared" si="307"/>
        <v>0</v>
      </c>
      <c r="O764" s="647">
        <f t="shared" ref="O764:O766" si="308">IF(L764&gt;0,N764*100/L764,0)</f>
        <v>0</v>
      </c>
      <c r="P764" s="647">
        <f t="shared" ref="P764:P766" si="309">IF(M764&gt;0,N764*100/M764,0)</f>
        <v>0</v>
      </c>
      <c r="Q764" s="604"/>
      <c r="R764" s="604"/>
      <c r="S764" s="604"/>
      <c r="T764" s="604"/>
      <c r="U764" s="604"/>
      <c r="V764" s="604"/>
      <c r="W764" s="604"/>
      <c r="X764" s="604"/>
      <c r="Y764" s="604"/>
      <c r="Z764" s="604"/>
    </row>
    <row r="765" spans="1:26" ht="18.75" hidden="1">
      <c r="A765" s="599"/>
      <c r="B765" s="607"/>
      <c r="C765" s="759"/>
      <c r="D765" s="759"/>
      <c r="E765" s="759" t="s">
        <v>18</v>
      </c>
      <c r="F765" s="759"/>
      <c r="G765" s="603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4"/>
      <c r="R765" s="604"/>
      <c r="S765" s="604"/>
      <c r="T765" s="604"/>
      <c r="U765" s="604"/>
      <c r="V765" s="604"/>
      <c r="W765" s="604"/>
      <c r="X765" s="604"/>
      <c r="Y765" s="604"/>
      <c r="Z765" s="604"/>
    </row>
    <row r="766" spans="1:26" ht="18.75" hidden="1">
      <c r="A766" s="599"/>
      <c r="B766" s="607"/>
      <c r="C766" s="759"/>
      <c r="D766" s="759"/>
      <c r="E766" s="759" t="s">
        <v>19</v>
      </c>
      <c r="F766" s="759"/>
      <c r="G766" s="603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4"/>
      <c r="R766" s="604"/>
      <c r="S766" s="604"/>
      <c r="T766" s="604"/>
      <c r="U766" s="604"/>
      <c r="V766" s="604"/>
      <c r="W766" s="604"/>
      <c r="X766" s="604"/>
      <c r="Y766" s="604"/>
      <c r="Z766" s="604"/>
    </row>
    <row r="767" spans="1:26" ht="19.5" hidden="1">
      <c r="A767" s="614"/>
      <c r="B767" s="616"/>
      <c r="C767" s="759" t="s">
        <v>16</v>
      </c>
      <c r="D767" s="899" t="s">
        <v>38</v>
      </c>
      <c r="E767" s="651"/>
      <c r="F767" s="651"/>
      <c r="G767" s="652"/>
      <c r="H767" s="366"/>
      <c r="I767" s="166"/>
      <c r="J767" s="166"/>
      <c r="K767" s="167"/>
      <c r="L767" s="167"/>
      <c r="M767" s="167"/>
      <c r="N767" s="167"/>
      <c r="O767" s="167"/>
      <c r="P767" s="167"/>
      <c r="Q767" s="604"/>
      <c r="R767" s="604"/>
      <c r="S767" s="604"/>
      <c r="T767" s="604"/>
      <c r="U767" s="604"/>
      <c r="V767" s="604"/>
      <c r="W767" s="604"/>
      <c r="X767" s="604"/>
      <c r="Y767" s="604"/>
      <c r="Z767" s="604"/>
    </row>
    <row r="768" spans="1:26" ht="18.75" hidden="1">
      <c r="A768" s="649"/>
      <c r="B768" s="607"/>
      <c r="C768" s="759"/>
      <c r="D768" s="759"/>
      <c r="E768" s="759" t="s">
        <v>317</v>
      </c>
      <c r="F768" s="759"/>
      <c r="G768" s="603"/>
      <c r="H768" s="165" t="s">
        <v>46</v>
      </c>
      <c r="I768" s="617"/>
      <c r="J768" s="617"/>
      <c r="K768" s="93"/>
      <c r="L768" s="93"/>
      <c r="M768" s="93"/>
      <c r="N768" s="93"/>
      <c r="O768" s="93"/>
      <c r="P768" s="93"/>
      <c r="Q768" s="604"/>
      <c r="R768" s="604"/>
      <c r="S768" s="604"/>
      <c r="T768" s="604"/>
      <c r="U768" s="604"/>
      <c r="V768" s="604"/>
      <c r="W768" s="604"/>
      <c r="X768" s="604"/>
      <c r="Y768" s="604"/>
      <c r="Z768" s="604"/>
    </row>
    <row r="769" spans="1:26" ht="19.5" hidden="1">
      <c r="A769" s="793">
        <v>11</v>
      </c>
      <c r="B769" s="794" t="s">
        <v>318</v>
      </c>
      <c r="C769" s="795"/>
      <c r="D769" s="795"/>
      <c r="E769" s="795"/>
      <c r="F769" s="795"/>
      <c r="G769" s="796"/>
      <c r="H769" s="797" t="s">
        <v>46</v>
      </c>
      <c r="I769" s="798"/>
      <c r="J769" s="798">
        <f>J784</f>
        <v>0</v>
      </c>
      <c r="K769" s="799">
        <f>IF(I769&gt;0,J769*100/I769,0)</f>
        <v>0</v>
      </c>
      <c r="L769" s="800"/>
      <c r="M769" s="800"/>
      <c r="N769" s="800"/>
      <c r="O769" s="800"/>
      <c r="P769" s="800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</row>
    <row r="770" spans="1:26" ht="19.5" hidden="1">
      <c r="A770" s="599"/>
      <c r="B770" s="759"/>
      <c r="C770" s="759" t="s">
        <v>16</v>
      </c>
      <c r="D770" s="864" t="s">
        <v>17</v>
      </c>
      <c r="E770" s="857"/>
      <c r="F770" s="857"/>
      <c r="G770" s="603"/>
      <c r="H770" s="646" t="s">
        <v>12</v>
      </c>
      <c r="I770" s="617"/>
      <c r="J770" s="617"/>
      <c r="K770" s="93"/>
      <c r="L770" s="647">
        <f t="shared" ref="L770:N770" si="310">L771+L772</f>
        <v>0</v>
      </c>
      <c r="M770" s="647">
        <f t="shared" si="310"/>
        <v>0</v>
      </c>
      <c r="N770" s="647">
        <f t="shared" si="310"/>
        <v>0</v>
      </c>
      <c r="O770" s="647">
        <f t="shared" ref="O770:O775" si="311">IF(L770&gt;0,N770*100/L770,0)</f>
        <v>0</v>
      </c>
      <c r="P770" s="647">
        <f t="shared" ref="P770:P775" si="312">IF(M770&gt;0,N770*100/M770,0)</f>
        <v>0</v>
      </c>
      <c r="Q770" s="604"/>
      <c r="R770" s="604"/>
      <c r="S770" s="604"/>
      <c r="T770" s="604"/>
      <c r="U770" s="604"/>
      <c r="V770" s="604"/>
      <c r="W770" s="604"/>
      <c r="X770" s="604"/>
      <c r="Y770" s="604"/>
      <c r="Z770" s="604"/>
    </row>
    <row r="771" spans="1:26" ht="18.75" hidden="1">
      <c r="A771" s="599"/>
      <c r="B771" s="759"/>
      <c r="C771" s="759"/>
      <c r="D771" s="720"/>
      <c r="E771" s="759" t="s">
        <v>185</v>
      </c>
      <c r="F771" s="759"/>
      <c r="G771" s="603"/>
      <c r="H771" s="165" t="s">
        <v>12</v>
      </c>
      <c r="I771" s="617"/>
      <c r="J771" s="617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4"/>
      <c r="R771" s="604"/>
      <c r="S771" s="604"/>
      <c r="T771" s="604"/>
      <c r="U771" s="604"/>
      <c r="V771" s="604"/>
      <c r="W771" s="604"/>
      <c r="X771" s="604"/>
      <c r="Y771" s="604"/>
      <c r="Z771" s="604"/>
    </row>
    <row r="772" spans="1:26" ht="18.75" hidden="1">
      <c r="A772" s="599"/>
      <c r="B772" s="607"/>
      <c r="C772" s="759"/>
      <c r="D772" s="720"/>
      <c r="E772" s="759" t="s">
        <v>186</v>
      </c>
      <c r="F772" s="759"/>
      <c r="G772" s="603"/>
      <c r="H772" s="165" t="s">
        <v>12</v>
      </c>
      <c r="I772" s="617"/>
      <c r="J772" s="617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4"/>
      <c r="R772" s="604"/>
      <c r="S772" s="604"/>
      <c r="T772" s="604"/>
      <c r="U772" s="604"/>
      <c r="V772" s="604"/>
      <c r="W772" s="604"/>
      <c r="X772" s="604"/>
      <c r="Y772" s="604"/>
      <c r="Z772" s="604"/>
    </row>
    <row r="773" spans="1:26" ht="19.5" hidden="1">
      <c r="A773" s="599"/>
      <c r="B773" s="607"/>
      <c r="C773" s="759"/>
      <c r="D773" s="645" t="s">
        <v>20</v>
      </c>
      <c r="E773" s="759"/>
      <c r="F773" s="759"/>
      <c r="G773" s="603"/>
      <c r="H773" s="646" t="s">
        <v>12</v>
      </c>
      <c r="I773" s="166"/>
      <c r="J773" s="166"/>
      <c r="K773" s="167"/>
      <c r="L773" s="647">
        <f t="shared" ref="L773:N773" si="314">L774+L775</f>
        <v>0</v>
      </c>
      <c r="M773" s="647">
        <f t="shared" si="314"/>
        <v>0</v>
      </c>
      <c r="N773" s="647">
        <f t="shared" si="314"/>
        <v>0</v>
      </c>
      <c r="O773" s="647">
        <f t="shared" si="311"/>
        <v>0</v>
      </c>
      <c r="P773" s="647">
        <f t="shared" si="312"/>
        <v>0</v>
      </c>
      <c r="Q773" s="604"/>
      <c r="R773" s="604"/>
      <c r="S773" s="604"/>
      <c r="T773" s="604"/>
      <c r="U773" s="604"/>
      <c r="V773" s="604"/>
      <c r="W773" s="604"/>
      <c r="X773" s="604"/>
      <c r="Y773" s="604"/>
      <c r="Z773" s="604"/>
    </row>
    <row r="774" spans="1:26" ht="18.75" hidden="1">
      <c r="A774" s="599"/>
      <c r="B774" s="607"/>
      <c r="C774" s="759"/>
      <c r="D774" s="720"/>
      <c r="E774" s="759" t="s">
        <v>185</v>
      </c>
      <c r="F774" s="759"/>
      <c r="G774" s="603"/>
      <c r="H774" s="165" t="s">
        <v>12</v>
      </c>
      <c r="I774" s="617"/>
      <c r="J774" s="617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4"/>
      <c r="R774" s="604"/>
      <c r="S774" s="604"/>
      <c r="T774" s="604"/>
      <c r="U774" s="604"/>
      <c r="V774" s="604"/>
      <c r="W774" s="604"/>
      <c r="X774" s="604"/>
      <c r="Y774" s="604"/>
      <c r="Z774" s="604"/>
    </row>
    <row r="775" spans="1:26" ht="18.75" hidden="1">
      <c r="A775" s="599"/>
      <c r="B775" s="607"/>
      <c r="C775" s="759"/>
      <c r="D775" s="720"/>
      <c r="E775" s="759" t="s">
        <v>186</v>
      </c>
      <c r="F775" s="759"/>
      <c r="G775" s="603"/>
      <c r="H775" s="165" t="s">
        <v>12</v>
      </c>
      <c r="I775" s="617"/>
      <c r="J775" s="617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4"/>
      <c r="R775" s="604"/>
      <c r="S775" s="604"/>
      <c r="T775" s="604"/>
      <c r="U775" s="604"/>
      <c r="V775" s="604"/>
      <c r="W775" s="604"/>
      <c r="X775" s="604"/>
      <c r="Y775" s="604"/>
      <c r="Z775" s="604"/>
    </row>
    <row r="776" spans="1:26" ht="18.75" hidden="1">
      <c r="A776" s="649"/>
      <c r="B776" s="607"/>
      <c r="C776" s="759"/>
      <c r="D776" s="759"/>
      <c r="E776" s="759"/>
      <c r="F776" s="759" t="s">
        <v>187</v>
      </c>
      <c r="G776" s="603"/>
      <c r="H776" s="165" t="s">
        <v>12</v>
      </c>
      <c r="I776" s="617"/>
      <c r="J776" s="617"/>
      <c r="K776" s="93"/>
      <c r="L776" s="93"/>
      <c r="M776" s="93"/>
      <c r="N776" s="93"/>
      <c r="O776" s="93"/>
      <c r="P776" s="93"/>
      <c r="Q776" s="604"/>
      <c r="R776" s="604"/>
      <c r="S776" s="604"/>
      <c r="T776" s="604"/>
      <c r="U776" s="604"/>
      <c r="V776" s="604"/>
      <c r="W776" s="604"/>
      <c r="X776" s="604"/>
      <c r="Y776" s="604"/>
      <c r="Z776" s="604"/>
    </row>
    <row r="777" spans="1:26" ht="18.75" hidden="1">
      <c r="A777" s="649"/>
      <c r="B777" s="607"/>
      <c r="C777" s="759"/>
      <c r="D777" s="759"/>
      <c r="E777" s="759"/>
      <c r="F777" s="759" t="s">
        <v>188</v>
      </c>
      <c r="G777" s="603"/>
      <c r="H777" s="165" t="s">
        <v>12</v>
      </c>
      <c r="I777" s="617"/>
      <c r="J777" s="617"/>
      <c r="K777" s="93"/>
      <c r="L777" s="93"/>
      <c r="M777" s="93"/>
      <c r="N777" s="93"/>
      <c r="O777" s="93"/>
      <c r="P777" s="93"/>
      <c r="Q777" s="604"/>
      <c r="R777" s="604"/>
      <c r="S777" s="604"/>
      <c r="T777" s="604"/>
      <c r="U777" s="604"/>
      <c r="V777" s="604"/>
      <c r="W777" s="604"/>
      <c r="X777" s="604"/>
      <c r="Y777" s="604"/>
      <c r="Z777" s="604"/>
    </row>
    <row r="778" spans="1:26" ht="18.75" hidden="1">
      <c r="A778" s="649"/>
      <c r="B778" s="607"/>
      <c r="C778" s="759"/>
      <c r="D778" s="759"/>
      <c r="E778" s="759"/>
      <c r="F778" s="759" t="s">
        <v>189</v>
      </c>
      <c r="G778" s="603"/>
      <c r="H778" s="165" t="s">
        <v>12</v>
      </c>
      <c r="I778" s="617"/>
      <c r="J778" s="617"/>
      <c r="K778" s="93"/>
      <c r="L778" s="93"/>
      <c r="M778" s="93"/>
      <c r="N778" s="93"/>
      <c r="O778" s="93"/>
      <c r="P778" s="93"/>
      <c r="Q778" s="604"/>
      <c r="R778" s="604"/>
      <c r="S778" s="604"/>
      <c r="T778" s="604"/>
      <c r="U778" s="604"/>
      <c r="V778" s="604"/>
      <c r="W778" s="604"/>
      <c r="X778" s="604"/>
      <c r="Y778" s="604"/>
      <c r="Z778" s="604"/>
    </row>
    <row r="779" spans="1:26" ht="18.75" hidden="1">
      <c r="A779" s="649"/>
      <c r="B779" s="607"/>
      <c r="C779" s="759"/>
      <c r="D779" s="759"/>
      <c r="E779" s="759"/>
      <c r="F779" s="759" t="s">
        <v>190</v>
      </c>
      <c r="G779" s="603"/>
      <c r="H779" s="165" t="s">
        <v>12</v>
      </c>
      <c r="I779" s="617"/>
      <c r="J779" s="617"/>
      <c r="K779" s="93"/>
      <c r="L779" s="93"/>
      <c r="M779" s="93"/>
      <c r="N779" s="93"/>
      <c r="O779" s="93"/>
      <c r="P779" s="93"/>
      <c r="Q779" s="604"/>
      <c r="R779" s="604"/>
      <c r="S779" s="604"/>
      <c r="T779" s="604"/>
      <c r="U779" s="604"/>
      <c r="V779" s="604"/>
      <c r="W779" s="604"/>
      <c r="X779" s="604"/>
      <c r="Y779" s="604"/>
      <c r="Z779" s="604"/>
    </row>
    <row r="780" spans="1:26" ht="19.5" hidden="1">
      <c r="A780" s="599"/>
      <c r="B780" s="607"/>
      <c r="C780" s="759"/>
      <c r="D780" s="645" t="s">
        <v>21</v>
      </c>
      <c r="E780" s="759"/>
      <c r="F780" s="759"/>
      <c r="G780" s="603"/>
      <c r="H780" s="783" t="s">
        <v>12</v>
      </c>
      <c r="I780" s="166"/>
      <c r="J780" s="166"/>
      <c r="K780" s="167"/>
      <c r="L780" s="647">
        <f t="shared" ref="L780:N780" si="315">L781+L782</f>
        <v>0</v>
      </c>
      <c r="M780" s="647">
        <f t="shared" si="315"/>
        <v>0</v>
      </c>
      <c r="N780" s="647">
        <f t="shared" si="315"/>
        <v>0</v>
      </c>
      <c r="O780" s="647">
        <f t="shared" ref="O780:O782" si="316">IF(L780&gt;0,N780*100/L780,0)</f>
        <v>0</v>
      </c>
      <c r="P780" s="647">
        <f t="shared" ref="P780:P782" si="317">IF(M780&gt;0,N780*100/M780,0)</f>
        <v>0</v>
      </c>
      <c r="Q780" s="604"/>
      <c r="R780" s="604"/>
      <c r="S780" s="604"/>
      <c r="T780" s="604"/>
      <c r="U780" s="604"/>
      <c r="V780" s="604"/>
      <c r="W780" s="604"/>
      <c r="X780" s="604"/>
      <c r="Y780" s="604"/>
      <c r="Z780" s="604"/>
    </row>
    <row r="781" spans="1:26" ht="18.75" hidden="1">
      <c r="A781" s="599"/>
      <c r="B781" s="607"/>
      <c r="C781" s="759"/>
      <c r="D781" s="759"/>
      <c r="E781" s="759" t="s">
        <v>18</v>
      </c>
      <c r="F781" s="759"/>
      <c r="G781" s="603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4"/>
      <c r="R781" s="604"/>
      <c r="S781" s="604"/>
      <c r="T781" s="604"/>
      <c r="U781" s="604"/>
      <c r="V781" s="604"/>
      <c r="W781" s="604"/>
      <c r="X781" s="604"/>
      <c r="Y781" s="604"/>
      <c r="Z781" s="604"/>
    </row>
    <row r="782" spans="1:26" ht="18.75" hidden="1">
      <c r="A782" s="599"/>
      <c r="B782" s="607"/>
      <c r="C782" s="759"/>
      <c r="D782" s="759"/>
      <c r="E782" s="759" t="s">
        <v>19</v>
      </c>
      <c r="F782" s="759"/>
      <c r="G782" s="603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4"/>
      <c r="R782" s="604"/>
      <c r="S782" s="604"/>
      <c r="T782" s="604"/>
      <c r="U782" s="604"/>
      <c r="V782" s="604"/>
      <c r="W782" s="604"/>
      <c r="X782" s="604"/>
      <c r="Y782" s="604"/>
      <c r="Z782" s="604"/>
    </row>
    <row r="783" spans="1:26" ht="19.5" hidden="1">
      <c r="A783" s="614"/>
      <c r="B783" s="616"/>
      <c r="C783" s="759" t="s">
        <v>16</v>
      </c>
      <c r="D783" s="899" t="s">
        <v>38</v>
      </c>
      <c r="E783" s="651"/>
      <c r="F783" s="651"/>
      <c r="G783" s="652"/>
      <c r="H783" s="801"/>
      <c r="I783" s="166"/>
      <c r="J783" s="166"/>
      <c r="K783" s="167"/>
      <c r="L783" s="167"/>
      <c r="M783" s="167"/>
      <c r="N783" s="167"/>
      <c r="O783" s="167"/>
      <c r="P783" s="167"/>
      <c r="Q783" s="604"/>
      <c r="R783" s="604"/>
      <c r="S783" s="604"/>
      <c r="T783" s="604"/>
      <c r="U783" s="604"/>
      <c r="V783" s="604"/>
      <c r="W783" s="604"/>
      <c r="X783" s="604"/>
      <c r="Y783" s="604"/>
      <c r="Z783" s="604"/>
    </row>
    <row r="784" spans="1:26" ht="18.75" hidden="1">
      <c r="A784" s="649"/>
      <c r="B784" s="607"/>
      <c r="C784" s="759"/>
      <c r="D784" s="759"/>
      <c r="E784" s="759" t="s">
        <v>319</v>
      </c>
      <c r="F784" s="759"/>
      <c r="G784" s="603"/>
      <c r="H784" s="165" t="s">
        <v>46</v>
      </c>
      <c r="I784" s="617"/>
      <c r="J784" s="617"/>
      <c r="K784" s="93"/>
      <c r="L784" s="93"/>
      <c r="M784" s="93"/>
      <c r="N784" s="93"/>
      <c r="O784" s="93"/>
      <c r="P784" s="93"/>
      <c r="Q784" s="604"/>
      <c r="R784" s="604"/>
      <c r="S784" s="604"/>
      <c r="T784" s="604"/>
      <c r="U784" s="604"/>
      <c r="V784" s="604"/>
      <c r="W784" s="604"/>
      <c r="X784" s="604"/>
      <c r="Y784" s="604"/>
      <c r="Z784" s="604"/>
    </row>
    <row r="785" spans="1:26" ht="19.5" hidden="1">
      <c r="A785" s="802">
        <v>12</v>
      </c>
      <c r="B785" s="803" t="s">
        <v>320</v>
      </c>
      <c r="C785" s="804"/>
      <c r="D785" s="804"/>
      <c r="E785" s="804"/>
      <c r="F785" s="804"/>
      <c r="G785" s="805"/>
      <c r="H785" s="900" t="s">
        <v>46</v>
      </c>
      <c r="I785" s="901">
        <f t="shared" ref="I785:J785" ca="1" si="318">I800</f>
        <v>0</v>
      </c>
      <c r="J785" s="902">
        <f t="shared" ca="1" si="318"/>
        <v>0</v>
      </c>
      <c r="K785" s="903">
        <f ca="1">IF(I785&gt;0,J785*100/I785,0)</f>
        <v>0</v>
      </c>
      <c r="L785" s="809"/>
      <c r="M785" s="809"/>
      <c r="N785" s="809"/>
      <c r="O785" s="809"/>
      <c r="P785" s="809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</row>
    <row r="786" spans="1:26" ht="19.5" hidden="1">
      <c r="A786" s="597"/>
      <c r="B786" s="575"/>
      <c r="C786" s="763" t="s">
        <v>16</v>
      </c>
      <c r="D786" s="863" t="s">
        <v>17</v>
      </c>
      <c r="E786" s="857"/>
      <c r="F786" s="857"/>
      <c r="G786" s="189"/>
      <c r="H786" s="598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</row>
    <row r="787" spans="1:26" ht="18.75" hidden="1">
      <c r="A787" s="599"/>
      <c r="B787" s="607"/>
      <c r="C787" s="759"/>
      <c r="D787" s="720"/>
      <c r="E787" s="759" t="s">
        <v>185</v>
      </c>
      <c r="F787" s="759"/>
      <c r="G787" s="603"/>
      <c r="H787" s="165" t="s">
        <v>12</v>
      </c>
      <c r="I787" s="617"/>
      <c r="J787" s="617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4"/>
      <c r="R787" s="604"/>
      <c r="S787" s="604"/>
      <c r="T787" s="604"/>
      <c r="U787" s="604"/>
      <c r="V787" s="604"/>
      <c r="W787" s="604"/>
      <c r="X787" s="604"/>
      <c r="Y787" s="604"/>
      <c r="Z787" s="604"/>
    </row>
    <row r="788" spans="1:26" ht="18.75" hidden="1">
      <c r="A788" s="599"/>
      <c r="B788" s="607"/>
      <c r="C788" s="607"/>
      <c r="D788" s="616"/>
      <c r="E788" s="759" t="s">
        <v>186</v>
      </c>
      <c r="F788" s="759"/>
      <c r="G788" s="603"/>
      <c r="H788" s="165" t="s">
        <v>12</v>
      </c>
      <c r="I788" s="617"/>
      <c r="J788" s="617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4"/>
      <c r="R788" s="604"/>
      <c r="S788" s="604"/>
      <c r="T788" s="604"/>
      <c r="U788" s="604"/>
      <c r="V788" s="604"/>
      <c r="W788" s="604"/>
      <c r="X788" s="604"/>
      <c r="Y788" s="604"/>
      <c r="Z788" s="604"/>
    </row>
    <row r="789" spans="1:26" ht="18.75" hidden="1">
      <c r="A789" s="597"/>
      <c r="B789" s="575"/>
      <c r="C789" s="575"/>
      <c r="D789" s="606" t="s">
        <v>20</v>
      </c>
      <c r="E789" s="763"/>
      <c r="F789" s="763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</row>
    <row r="790" spans="1:26" ht="18.75" hidden="1">
      <c r="A790" s="599"/>
      <c r="B790" s="607"/>
      <c r="C790" s="607"/>
      <c r="D790" s="616"/>
      <c r="E790" s="759" t="s">
        <v>185</v>
      </c>
      <c r="F790" s="759"/>
      <c r="G790" s="603"/>
      <c r="H790" s="165" t="s">
        <v>12</v>
      </c>
      <c r="I790" s="617"/>
      <c r="J790" s="617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4"/>
      <c r="R790" s="604"/>
      <c r="S790" s="604"/>
      <c r="T790" s="604"/>
      <c r="U790" s="604"/>
      <c r="V790" s="604"/>
      <c r="W790" s="604"/>
      <c r="X790" s="604"/>
      <c r="Y790" s="604"/>
      <c r="Z790" s="604"/>
    </row>
    <row r="791" spans="1:26" ht="18.75" hidden="1">
      <c r="A791" s="599"/>
      <c r="B791" s="607"/>
      <c r="C791" s="607"/>
      <c r="D791" s="616"/>
      <c r="E791" s="759" t="s">
        <v>186</v>
      </c>
      <c r="F791" s="759"/>
      <c r="G791" s="603"/>
      <c r="H791" s="165" t="s">
        <v>12</v>
      </c>
      <c r="I791" s="617"/>
      <c r="J791" s="617"/>
      <c r="K791" s="93"/>
      <c r="L791" s="93">
        <f ca="1">IFERROR(__xludf.DUMMYFUNCTION("IMPORTRANGE(""https://docs.google.com/spreadsheets/d/1QqKyyYR6Q21VydFLVH3TRQUabQu_ym0Zz7PgGX0-kHA/edit?usp=sharing"",""แผน!JJ33"")"),0)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4"/>
      <c r="R791" s="604"/>
      <c r="S791" s="604"/>
      <c r="T791" s="604"/>
      <c r="U791" s="604"/>
      <c r="V791" s="604"/>
      <c r="W791" s="604"/>
      <c r="X791" s="604"/>
      <c r="Y791" s="604"/>
      <c r="Z791" s="604"/>
    </row>
    <row r="792" spans="1:26" ht="18.75" hidden="1">
      <c r="A792" s="574"/>
      <c r="B792" s="575"/>
      <c r="C792" s="763"/>
      <c r="D792" s="763"/>
      <c r="E792" s="763"/>
      <c r="F792" s="763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40">
        <v>0</v>
      </c>
      <c r="O792" s="498"/>
      <c r="P792" s="49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</row>
    <row r="793" spans="1:26" ht="18.75" hidden="1">
      <c r="A793" s="574"/>
      <c r="B793" s="575"/>
      <c r="C793" s="763"/>
      <c r="D793" s="763"/>
      <c r="E793" s="763"/>
      <c r="F793" s="763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40">
        <v>0</v>
      </c>
      <c r="O793" s="498"/>
      <c r="P793" s="49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</row>
    <row r="794" spans="1:26" ht="18.75" hidden="1">
      <c r="A794" s="574"/>
      <c r="B794" s="575"/>
      <c r="C794" s="763"/>
      <c r="D794" s="763"/>
      <c r="E794" s="763"/>
      <c r="F794" s="763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40">
        <v>0</v>
      </c>
      <c r="O794" s="498"/>
      <c r="P794" s="49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</row>
    <row r="795" spans="1:26" ht="18.75" hidden="1">
      <c r="A795" s="574"/>
      <c r="B795" s="575"/>
      <c r="C795" s="763"/>
      <c r="D795" s="763"/>
      <c r="E795" s="763"/>
      <c r="F795" s="763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40">
        <v>0</v>
      </c>
      <c r="O795" s="498"/>
      <c r="P795" s="49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</row>
    <row r="796" spans="1:26" ht="18.75" hidden="1">
      <c r="A796" s="597"/>
      <c r="B796" s="575"/>
      <c r="C796" s="763"/>
      <c r="D796" s="606" t="s">
        <v>21</v>
      </c>
      <c r="E796" s="763"/>
      <c r="F796" s="763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</row>
    <row r="797" spans="1:26" ht="18.75" hidden="1">
      <c r="A797" s="599"/>
      <c r="B797" s="607"/>
      <c r="C797" s="759"/>
      <c r="D797" s="759"/>
      <c r="E797" s="759" t="s">
        <v>18</v>
      </c>
      <c r="F797" s="759"/>
      <c r="G797" s="603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4"/>
      <c r="R797" s="604"/>
      <c r="S797" s="604"/>
      <c r="T797" s="604"/>
      <c r="U797" s="604"/>
      <c r="V797" s="604"/>
      <c r="W797" s="604"/>
      <c r="X797" s="604"/>
      <c r="Y797" s="604"/>
      <c r="Z797" s="604"/>
    </row>
    <row r="798" spans="1:26" ht="18.75" hidden="1">
      <c r="A798" s="599"/>
      <c r="B798" s="607"/>
      <c r="C798" s="759"/>
      <c r="D798" s="759"/>
      <c r="E798" s="759" t="s">
        <v>19</v>
      </c>
      <c r="F798" s="759"/>
      <c r="G798" s="603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4"/>
      <c r="R798" s="604"/>
      <c r="S798" s="604"/>
      <c r="T798" s="604"/>
      <c r="U798" s="604"/>
      <c r="V798" s="604"/>
      <c r="W798" s="604"/>
      <c r="X798" s="604"/>
      <c r="Y798" s="604"/>
      <c r="Z798" s="604"/>
    </row>
    <row r="799" spans="1:26" ht="19.5" hidden="1">
      <c r="A799" s="608"/>
      <c r="B799" s="618"/>
      <c r="C799" s="763" t="s">
        <v>16</v>
      </c>
      <c r="D799" s="898" t="s">
        <v>38</v>
      </c>
      <c r="E799" s="761"/>
      <c r="F799" s="761"/>
      <c r="G799" s="613"/>
      <c r="H799" s="904"/>
      <c r="I799" s="184"/>
      <c r="J799" s="184"/>
      <c r="K799" s="163"/>
      <c r="L799" s="163"/>
      <c r="M799" s="163"/>
      <c r="N799" s="163"/>
      <c r="O799" s="163"/>
      <c r="P799" s="163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</row>
    <row r="800" spans="1:26" ht="18.75" hidden="1">
      <c r="A800" s="608"/>
      <c r="B800" s="618"/>
      <c r="C800" s="618"/>
      <c r="D800" s="618"/>
      <c r="E800" s="626"/>
      <c r="F800" s="626" t="s">
        <v>321</v>
      </c>
      <c r="G800" s="762"/>
      <c r="H800" s="185" t="s">
        <v>46</v>
      </c>
      <c r="I800" s="184">
        <f ca="1">IFERROR(__xludf.DUMMYFUNCTION("IMPORTRANGE(""https://docs.google.com/spreadsheets/d/1QqKyyYR6Q21VydFLVH3TRQUabQu_ym0Zz7PgGX0-kHA/edit?usp=sharing"",""แผน!JN33"")"),0)</f>
        <v>0</v>
      </c>
      <c r="J800" s="184">
        <f ca="1">IFERROR(__xludf.DUMMYFUNCTION("IMPORTRANGE(""https://docs.google.com/spreadsheets/d/1MaWodYyGHDf7siQLGxnXhG4mBNTNIuy296niS2xXulU/edit?usp=sharing"",""RTK!H33"")"),0)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</row>
    <row r="801" spans="1:26" ht="18.75" hidden="1">
      <c r="A801" s="608"/>
      <c r="B801" s="618"/>
      <c r="C801" s="618"/>
      <c r="D801" s="618"/>
      <c r="E801" s="626"/>
      <c r="F801" s="626"/>
      <c r="G801" s="762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IFERROR(__xludf.DUMMYFUNCTION("IMPORTRANGE(""https://docs.google.com/spreadsheets/d/1MaWodYyGHDf7siQLGxnXhG4mBNTNIuy296niS2xXulU/edit?usp=sharing"",""RTK!I33"")"),0)</f>
        <v>0</v>
      </c>
      <c r="K801" s="498"/>
      <c r="L801" s="498"/>
      <c r="M801" s="498"/>
      <c r="N801" s="498"/>
      <c r="O801" s="163"/>
      <c r="P801" s="163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</row>
    <row r="802" spans="1:26" ht="18.75" hidden="1">
      <c r="A802" s="614"/>
      <c r="B802" s="616"/>
      <c r="C802" s="616"/>
      <c r="D802" s="616"/>
      <c r="E802" s="720"/>
      <c r="F802" s="720" t="s">
        <v>322</v>
      </c>
      <c r="G802" s="366"/>
      <c r="H802" s="653" t="s">
        <v>46</v>
      </c>
      <c r="I802" s="166"/>
      <c r="J802" s="617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4"/>
      <c r="R802" s="604"/>
      <c r="S802" s="604"/>
      <c r="T802" s="604"/>
      <c r="U802" s="604"/>
      <c r="V802" s="604"/>
      <c r="W802" s="604"/>
      <c r="X802" s="604"/>
      <c r="Y802" s="604"/>
      <c r="Z802" s="604"/>
    </row>
    <row r="803" spans="1:26" ht="18.75" hidden="1">
      <c r="A803" s="614"/>
      <c r="B803" s="616"/>
      <c r="C803" s="616"/>
      <c r="D803" s="616"/>
      <c r="E803" s="720"/>
      <c r="F803" s="720"/>
      <c r="G803" s="366"/>
      <c r="H803" s="653" t="s">
        <v>34</v>
      </c>
      <c r="I803" s="166"/>
      <c r="J803" s="617">
        <v>0</v>
      </c>
      <c r="K803" s="167"/>
      <c r="L803" s="167"/>
      <c r="M803" s="167"/>
      <c r="N803" s="167"/>
      <c r="O803" s="167"/>
      <c r="P803" s="167"/>
      <c r="Q803" s="604"/>
      <c r="R803" s="604"/>
      <c r="S803" s="604"/>
      <c r="T803" s="604"/>
      <c r="U803" s="604"/>
      <c r="V803" s="604"/>
      <c r="W803" s="604"/>
      <c r="X803" s="604"/>
      <c r="Y803" s="604"/>
      <c r="Z803" s="604"/>
    </row>
    <row r="804" spans="1:26" ht="19.5" hidden="1">
      <c r="A804" s="793">
        <v>13</v>
      </c>
      <c r="B804" s="794" t="s">
        <v>323</v>
      </c>
      <c r="C804" s="795"/>
      <c r="D804" s="825"/>
      <c r="E804" s="795"/>
      <c r="F804" s="795"/>
      <c r="G804" s="796"/>
      <c r="H804" s="797" t="s">
        <v>46</v>
      </c>
      <c r="I804" s="798"/>
      <c r="J804" s="798">
        <f>J819</f>
        <v>0</v>
      </c>
      <c r="K804" s="799">
        <f>IF(I804&gt;0,J804*100/I804,0)</f>
        <v>0</v>
      </c>
      <c r="L804" s="800"/>
      <c r="M804" s="800"/>
      <c r="N804" s="800"/>
      <c r="O804" s="800"/>
      <c r="P804" s="800"/>
      <c r="Q804" s="604"/>
      <c r="R804" s="604"/>
      <c r="S804" s="604"/>
      <c r="T804" s="604"/>
      <c r="U804" s="604"/>
      <c r="V804" s="604"/>
      <c r="W804" s="604"/>
      <c r="X804" s="604"/>
      <c r="Y804" s="604"/>
      <c r="Z804" s="604"/>
    </row>
    <row r="805" spans="1:26" ht="19.5" hidden="1">
      <c r="A805" s="599"/>
      <c r="B805" s="759"/>
      <c r="C805" s="759" t="s">
        <v>16</v>
      </c>
      <c r="D805" s="864" t="s">
        <v>17</v>
      </c>
      <c r="E805" s="857"/>
      <c r="F805" s="857"/>
      <c r="G805" s="603"/>
      <c r="H805" s="646" t="s">
        <v>12</v>
      </c>
      <c r="I805" s="617"/>
      <c r="J805" s="617"/>
      <c r="K805" s="93"/>
      <c r="L805" s="647">
        <f t="shared" ref="L805:N805" si="327">L806+L807</f>
        <v>0</v>
      </c>
      <c r="M805" s="647">
        <f t="shared" si="327"/>
        <v>0</v>
      </c>
      <c r="N805" s="647">
        <f t="shared" si="327"/>
        <v>0</v>
      </c>
      <c r="O805" s="647">
        <f t="shared" ref="O805:O810" si="328">IF(L805&gt;0,N805*100/L805,0)</f>
        <v>0</v>
      </c>
      <c r="P805" s="647">
        <f t="shared" ref="P805:P810" si="329">IF(M805&gt;0,N805*100/M805,0)</f>
        <v>0</v>
      </c>
      <c r="Q805" s="604"/>
      <c r="R805" s="604"/>
      <c r="S805" s="604"/>
      <c r="T805" s="604"/>
      <c r="U805" s="604"/>
      <c r="V805" s="604"/>
      <c r="W805" s="604"/>
      <c r="X805" s="604"/>
      <c r="Y805" s="604"/>
      <c r="Z805" s="604"/>
    </row>
    <row r="806" spans="1:26" ht="18.75" hidden="1">
      <c r="A806" s="599"/>
      <c r="B806" s="759"/>
      <c r="C806" s="759"/>
      <c r="D806" s="616"/>
      <c r="E806" s="759" t="s">
        <v>185</v>
      </c>
      <c r="F806" s="759"/>
      <c r="G806" s="603"/>
      <c r="H806" s="165" t="s">
        <v>12</v>
      </c>
      <c r="I806" s="617"/>
      <c r="J806" s="617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4"/>
      <c r="R806" s="604"/>
      <c r="S806" s="604"/>
      <c r="T806" s="604"/>
      <c r="U806" s="604"/>
      <c r="V806" s="604"/>
      <c r="W806" s="604"/>
      <c r="X806" s="604"/>
      <c r="Y806" s="604"/>
      <c r="Z806" s="604"/>
    </row>
    <row r="807" spans="1:26" ht="18.75" hidden="1">
      <c r="A807" s="599"/>
      <c r="B807" s="759"/>
      <c r="C807" s="759"/>
      <c r="D807" s="616"/>
      <c r="E807" s="759" t="s">
        <v>186</v>
      </c>
      <c r="F807" s="759"/>
      <c r="G807" s="603"/>
      <c r="H807" s="165" t="s">
        <v>12</v>
      </c>
      <c r="I807" s="617"/>
      <c r="J807" s="617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4"/>
      <c r="R807" s="604"/>
      <c r="S807" s="604"/>
      <c r="T807" s="604"/>
      <c r="U807" s="604"/>
      <c r="V807" s="604"/>
      <c r="W807" s="604"/>
      <c r="X807" s="604"/>
      <c r="Y807" s="604"/>
      <c r="Z807" s="604"/>
    </row>
    <row r="808" spans="1:26" ht="19.5" hidden="1">
      <c r="A808" s="599"/>
      <c r="B808" s="607"/>
      <c r="C808" s="759"/>
      <c r="D808" s="905" t="s">
        <v>20</v>
      </c>
      <c r="E808" s="857"/>
      <c r="F808" s="857"/>
      <c r="G808" s="603"/>
      <c r="H808" s="646" t="s">
        <v>12</v>
      </c>
      <c r="I808" s="166"/>
      <c r="J808" s="166"/>
      <c r="K808" s="167"/>
      <c r="L808" s="647">
        <f t="shared" ref="L808:N808" si="331">L809+L810</f>
        <v>0</v>
      </c>
      <c r="M808" s="647">
        <f t="shared" si="331"/>
        <v>0</v>
      </c>
      <c r="N808" s="647">
        <f t="shared" si="331"/>
        <v>0</v>
      </c>
      <c r="O808" s="647">
        <f t="shared" si="328"/>
        <v>0</v>
      </c>
      <c r="P808" s="647">
        <f t="shared" si="329"/>
        <v>0</v>
      </c>
      <c r="Q808" s="604"/>
      <c r="R808" s="604"/>
      <c r="S808" s="604"/>
      <c r="T808" s="604"/>
      <c r="U808" s="604"/>
      <c r="V808" s="604"/>
      <c r="W808" s="604"/>
      <c r="X808" s="604"/>
      <c r="Y808" s="604"/>
      <c r="Z808" s="604"/>
    </row>
    <row r="809" spans="1:26" ht="18.75" hidden="1">
      <c r="A809" s="599"/>
      <c r="B809" s="759"/>
      <c r="C809" s="759"/>
      <c r="D809" s="616"/>
      <c r="E809" s="759" t="s">
        <v>185</v>
      </c>
      <c r="F809" s="759"/>
      <c r="G809" s="603"/>
      <c r="H809" s="165" t="s">
        <v>12</v>
      </c>
      <c r="I809" s="617"/>
      <c r="J809" s="617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4"/>
      <c r="R809" s="604"/>
      <c r="S809" s="604"/>
      <c r="T809" s="604"/>
      <c r="U809" s="604"/>
      <c r="V809" s="604"/>
      <c r="W809" s="604"/>
      <c r="X809" s="604"/>
      <c r="Y809" s="604"/>
      <c r="Z809" s="604"/>
    </row>
    <row r="810" spans="1:26" ht="18.75" hidden="1">
      <c r="A810" s="599"/>
      <c r="B810" s="759"/>
      <c r="C810" s="759"/>
      <c r="D810" s="616"/>
      <c r="E810" s="759" t="s">
        <v>186</v>
      </c>
      <c r="F810" s="759"/>
      <c r="G810" s="603"/>
      <c r="H810" s="165" t="s">
        <v>12</v>
      </c>
      <c r="I810" s="617"/>
      <c r="J810" s="617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4"/>
      <c r="R810" s="604"/>
      <c r="S810" s="604"/>
      <c r="T810" s="604"/>
      <c r="U810" s="604"/>
      <c r="V810" s="604"/>
      <c r="W810" s="604"/>
      <c r="X810" s="604"/>
      <c r="Y810" s="604"/>
      <c r="Z810" s="604"/>
    </row>
    <row r="811" spans="1:26" ht="18.75" hidden="1">
      <c r="A811" s="649"/>
      <c r="B811" s="607"/>
      <c r="C811" s="759"/>
      <c r="D811" s="607"/>
      <c r="E811" s="759"/>
      <c r="F811" s="759" t="s">
        <v>187</v>
      </c>
      <c r="G811" s="603"/>
      <c r="H811" s="165" t="s">
        <v>12</v>
      </c>
      <c r="I811" s="617"/>
      <c r="J811" s="617"/>
      <c r="K811" s="93"/>
      <c r="L811" s="93"/>
      <c r="M811" s="93"/>
      <c r="N811" s="93"/>
      <c r="O811" s="93"/>
      <c r="P811" s="93"/>
      <c r="Q811" s="604"/>
      <c r="R811" s="604"/>
      <c r="S811" s="604"/>
      <c r="T811" s="604"/>
      <c r="U811" s="604"/>
      <c r="V811" s="604"/>
      <c r="W811" s="604"/>
      <c r="X811" s="604"/>
      <c r="Y811" s="604"/>
      <c r="Z811" s="604"/>
    </row>
    <row r="812" spans="1:26" ht="18.75" hidden="1">
      <c r="A812" s="649"/>
      <c r="B812" s="607"/>
      <c r="C812" s="759"/>
      <c r="D812" s="607"/>
      <c r="E812" s="759"/>
      <c r="F812" s="759" t="s">
        <v>188</v>
      </c>
      <c r="G812" s="603"/>
      <c r="H812" s="165" t="s">
        <v>12</v>
      </c>
      <c r="I812" s="617"/>
      <c r="J812" s="617"/>
      <c r="K812" s="93"/>
      <c r="L812" s="93"/>
      <c r="M812" s="93"/>
      <c r="N812" s="93"/>
      <c r="O812" s="93"/>
      <c r="P812" s="93"/>
      <c r="Q812" s="604"/>
      <c r="R812" s="604"/>
      <c r="S812" s="604"/>
      <c r="T812" s="604"/>
      <c r="U812" s="604"/>
      <c r="V812" s="604"/>
      <c r="W812" s="604"/>
      <c r="X812" s="604"/>
      <c r="Y812" s="604"/>
      <c r="Z812" s="604"/>
    </row>
    <row r="813" spans="1:26" ht="18.75" hidden="1">
      <c r="A813" s="649"/>
      <c r="B813" s="607"/>
      <c r="C813" s="759"/>
      <c r="D813" s="607"/>
      <c r="E813" s="759"/>
      <c r="F813" s="759" t="s">
        <v>189</v>
      </c>
      <c r="G813" s="603"/>
      <c r="H813" s="165" t="s">
        <v>12</v>
      </c>
      <c r="I813" s="617"/>
      <c r="J813" s="617"/>
      <c r="K813" s="93"/>
      <c r="L813" s="93"/>
      <c r="M813" s="93"/>
      <c r="N813" s="93"/>
      <c r="O813" s="93"/>
      <c r="P813" s="93"/>
      <c r="Q813" s="604"/>
      <c r="R813" s="604"/>
      <c r="S813" s="604"/>
      <c r="T813" s="604"/>
      <c r="U813" s="604"/>
      <c r="V813" s="604"/>
      <c r="W813" s="604"/>
      <c r="X813" s="604"/>
      <c r="Y813" s="604"/>
      <c r="Z813" s="604"/>
    </row>
    <row r="814" spans="1:26" ht="18.75" hidden="1">
      <c r="A814" s="649"/>
      <c r="B814" s="607"/>
      <c r="C814" s="759"/>
      <c r="D814" s="607"/>
      <c r="E814" s="759"/>
      <c r="F814" s="759" t="s">
        <v>190</v>
      </c>
      <c r="G814" s="603"/>
      <c r="H814" s="165" t="s">
        <v>12</v>
      </c>
      <c r="I814" s="617"/>
      <c r="J814" s="617"/>
      <c r="K814" s="93"/>
      <c r="L814" s="93"/>
      <c r="M814" s="93"/>
      <c r="N814" s="93"/>
      <c r="O814" s="93"/>
      <c r="P814" s="93"/>
      <c r="Q814" s="604"/>
      <c r="R814" s="604"/>
      <c r="S814" s="604"/>
      <c r="T814" s="604"/>
      <c r="U814" s="604"/>
      <c r="V814" s="604"/>
      <c r="W814" s="604"/>
      <c r="X814" s="604"/>
      <c r="Y814" s="604"/>
      <c r="Z814" s="604"/>
    </row>
    <row r="815" spans="1:26" ht="19.5" hidden="1">
      <c r="A815" s="599"/>
      <c r="B815" s="607"/>
      <c r="C815" s="759"/>
      <c r="D815" s="905" t="s">
        <v>21</v>
      </c>
      <c r="E815" s="857"/>
      <c r="F815" s="857"/>
      <c r="G815" s="603"/>
      <c r="H815" s="783" t="s">
        <v>12</v>
      </c>
      <c r="I815" s="166"/>
      <c r="J815" s="166"/>
      <c r="K815" s="167"/>
      <c r="L815" s="647">
        <f t="shared" ref="L815:N815" si="332">L816+L817</f>
        <v>0</v>
      </c>
      <c r="M815" s="647">
        <f t="shared" si="332"/>
        <v>0</v>
      </c>
      <c r="N815" s="647">
        <f t="shared" si="332"/>
        <v>0</v>
      </c>
      <c r="O815" s="647">
        <f t="shared" ref="O815:O817" si="333">IF(L815&gt;0,N815*100/L815,0)</f>
        <v>0</v>
      </c>
      <c r="P815" s="647">
        <f t="shared" ref="P815:P817" si="334">IF(M815&gt;0,N815*100/M815,0)</f>
        <v>0</v>
      </c>
      <c r="Q815" s="604"/>
      <c r="R815" s="604"/>
      <c r="S815" s="604"/>
      <c r="T815" s="604"/>
      <c r="U815" s="604"/>
      <c r="V815" s="604"/>
      <c r="W815" s="604"/>
      <c r="X815" s="604"/>
      <c r="Y815" s="604"/>
      <c r="Z815" s="604"/>
    </row>
    <row r="816" spans="1:26" ht="18.75" hidden="1">
      <c r="A816" s="599"/>
      <c r="B816" s="607"/>
      <c r="C816" s="759"/>
      <c r="D816" s="607"/>
      <c r="E816" s="759" t="s">
        <v>18</v>
      </c>
      <c r="F816" s="759"/>
      <c r="G816" s="603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4"/>
      <c r="R816" s="604"/>
      <c r="S816" s="604"/>
      <c r="T816" s="604"/>
      <c r="U816" s="604"/>
      <c r="V816" s="604"/>
      <c r="W816" s="604"/>
      <c r="X816" s="604"/>
      <c r="Y816" s="604"/>
      <c r="Z816" s="604"/>
    </row>
    <row r="817" spans="1:26" ht="18.75" hidden="1">
      <c r="A817" s="599"/>
      <c r="B817" s="607"/>
      <c r="C817" s="759"/>
      <c r="D817" s="607"/>
      <c r="E817" s="759" t="s">
        <v>19</v>
      </c>
      <c r="F817" s="759"/>
      <c r="G817" s="603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4"/>
      <c r="R817" s="604"/>
      <c r="S817" s="604"/>
      <c r="T817" s="604"/>
      <c r="U817" s="604"/>
      <c r="V817" s="604"/>
      <c r="W817" s="604"/>
      <c r="X817" s="604"/>
      <c r="Y817" s="604"/>
      <c r="Z817" s="604"/>
    </row>
    <row r="818" spans="1:26" ht="19.5" hidden="1">
      <c r="A818" s="614"/>
      <c r="B818" s="616"/>
      <c r="C818" s="759" t="s">
        <v>16</v>
      </c>
      <c r="D818" s="906" t="s">
        <v>38</v>
      </c>
      <c r="E818" s="651"/>
      <c r="F818" s="651"/>
      <c r="G818" s="652"/>
      <c r="H818" s="366"/>
      <c r="I818" s="166"/>
      <c r="J818" s="166"/>
      <c r="K818" s="167"/>
      <c r="L818" s="167"/>
      <c r="M818" s="167"/>
      <c r="N818" s="167"/>
      <c r="O818" s="167"/>
      <c r="P818" s="167"/>
      <c r="Q818" s="604"/>
      <c r="R818" s="604"/>
      <c r="S818" s="604"/>
      <c r="T818" s="604"/>
      <c r="U818" s="604"/>
      <c r="V818" s="604"/>
      <c r="W818" s="604"/>
      <c r="X818" s="604"/>
      <c r="Y818" s="604"/>
      <c r="Z818" s="604"/>
    </row>
    <row r="819" spans="1:26" ht="19.5" hidden="1" thickBot="1">
      <c r="A819" s="827"/>
      <c r="B819" s="828"/>
      <c r="C819" s="830"/>
      <c r="D819" s="828"/>
      <c r="E819" s="830" t="s">
        <v>324</v>
      </c>
      <c r="F819" s="830"/>
      <c r="G819" s="831"/>
      <c r="H819" s="832" t="s">
        <v>46</v>
      </c>
      <c r="I819" s="833"/>
      <c r="J819" s="833"/>
      <c r="K819" s="834"/>
      <c r="L819" s="834"/>
      <c r="M819" s="834"/>
      <c r="N819" s="834"/>
      <c r="O819" s="834"/>
      <c r="P819" s="834"/>
      <c r="Q819" s="604"/>
      <c r="R819" s="604"/>
      <c r="S819" s="604"/>
      <c r="T819" s="604"/>
      <c r="U819" s="604"/>
      <c r="V819" s="604"/>
      <c r="W819" s="604"/>
      <c r="X819" s="604"/>
      <c r="Y819" s="604"/>
      <c r="Z819" s="604"/>
    </row>
    <row r="820" spans="1:26" ht="19.5">
      <c r="A820" s="907" t="s">
        <v>337</v>
      </c>
      <c r="B820" s="908"/>
      <c r="C820" s="908"/>
      <c r="D820" s="909"/>
      <c r="E820" s="908"/>
      <c r="F820" s="908"/>
      <c r="G820" s="910"/>
      <c r="H820" s="91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912"/>
      <c r="J820" s="912"/>
      <c r="K820" s="913"/>
      <c r="L820" s="913"/>
      <c r="M820" s="913"/>
      <c r="N820" s="913"/>
      <c r="O820" s="913"/>
      <c r="P820" s="913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</row>
    <row r="821" spans="1:26" ht="18.75">
      <c r="A821" s="744"/>
      <c r="B821" s="763" t="s">
        <v>326</v>
      </c>
      <c r="C821" s="763"/>
      <c r="D821" s="575"/>
      <c r="E821" s="763"/>
      <c r="F821" s="763"/>
      <c r="G821" s="189"/>
      <c r="H821" s="623" t="s">
        <v>12</v>
      </c>
      <c r="I821" s="270">
        <f ca="1">IFERROR(__xludf.DUMMYFUNCTION("IMPORTRANGE(""https://docs.google.com/spreadsheets/d/19vJNZY_5yjcGF2XGBMNZRCAIB0Kwfpjp8YEOfu-bneM/edit?usp=sharing"",""งานกองทุน!D33"")"),4397640.41)</f>
        <v>4397640.41</v>
      </c>
      <c r="J821" s="270">
        <f ca="1">IFERROR(__xludf.DUMMYFUNCTION("IMPORTRANGE(""https://docs.google.com/spreadsheets/d/19vJNZY_5yjcGF2XGBMNZRCAIB0Kwfpjp8YEOfu-bneM/edit?usp=sharing"",""งานกองทุน!F33"")"),3510002.79)</f>
        <v>3510002.79</v>
      </c>
      <c r="K821" s="498">
        <f t="shared" ref="K821:K828" ca="1" si="335">IF(I821&gt;0,J821*100/I821,0)</f>
        <v>79.815593426384766</v>
      </c>
      <c r="L821" s="498"/>
      <c r="M821" s="498"/>
      <c r="N821" s="498"/>
      <c r="O821" s="498"/>
      <c r="P821" s="49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</row>
    <row r="822" spans="1:26" ht="18.75">
      <c r="A822" s="744"/>
      <c r="B822" s="763"/>
      <c r="C822" s="763"/>
      <c r="D822" s="575"/>
      <c r="E822" s="763"/>
      <c r="F822" s="763"/>
      <c r="G822" s="189"/>
      <c r="H822" s="623" t="s">
        <v>35</v>
      </c>
      <c r="I822" s="270">
        <f ca="1">IFERROR(__xludf.DUMMYFUNCTION("IMPORTRANGE(""https://docs.google.com/spreadsheets/d/19vJNZY_5yjcGF2XGBMNZRCAIB0Kwfpjp8YEOfu-bneM/edit?usp=sharing"",""งานกองทุน!C33"")"),275)</f>
        <v>275</v>
      </c>
      <c r="J822" s="270">
        <f ca="1">IFERROR(__xludf.DUMMYFUNCTION("IMPORTRANGE(""https://docs.google.com/spreadsheets/d/19vJNZY_5yjcGF2XGBMNZRCAIB0Kwfpjp8YEOfu-bneM/edit?usp=sharing"",""งานกองทุน!E33"")"),226)</f>
        <v>226</v>
      </c>
      <c r="K822" s="498">
        <f t="shared" ca="1" si="335"/>
        <v>82.181818181818187</v>
      </c>
      <c r="L822" s="498"/>
      <c r="M822" s="498"/>
      <c r="N822" s="498"/>
      <c r="O822" s="498"/>
      <c r="P822" s="49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</row>
    <row r="823" spans="1:26" ht="18.75">
      <c r="A823" s="744"/>
      <c r="B823" s="763" t="s">
        <v>327</v>
      </c>
      <c r="C823" s="763"/>
      <c r="D823" s="575"/>
      <c r="E823" s="763"/>
      <c r="F823" s="763"/>
      <c r="G823" s="189"/>
      <c r="H823" s="623" t="s">
        <v>12</v>
      </c>
      <c r="I823" s="270">
        <f ca="1">IFERROR(__xludf.DUMMYFUNCTION("IMPORTRANGE(""https://docs.google.com/spreadsheets/d/19vJNZY_5yjcGF2XGBMNZRCAIB0Kwfpjp8YEOfu-bneM/edit?usp=sharing"",""งานกองทุน!I33"")"),13694054.33)</f>
        <v>13694054.33</v>
      </c>
      <c r="J823" s="270">
        <f ca="1">IFERROR(__xludf.DUMMYFUNCTION("IMPORTRANGE(""https://docs.google.com/spreadsheets/d/19vJNZY_5yjcGF2XGBMNZRCAIB0Kwfpjp8YEOfu-bneM/edit?usp=sharing"",""งานกองทุน!K33"")"),1925049.84)</f>
        <v>1925049.84</v>
      </c>
      <c r="K823" s="498">
        <f t="shared" ca="1" si="335"/>
        <v>14.057559533576057</v>
      </c>
      <c r="L823" s="498"/>
      <c r="M823" s="498"/>
      <c r="N823" s="498"/>
      <c r="O823" s="498"/>
      <c r="P823" s="49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</row>
    <row r="824" spans="1:26" ht="18.75">
      <c r="A824" s="744"/>
      <c r="B824" s="763"/>
      <c r="C824" s="763"/>
      <c r="D824" s="575"/>
      <c r="E824" s="763"/>
      <c r="F824" s="763"/>
      <c r="G824" s="189"/>
      <c r="H824" s="623" t="s">
        <v>35</v>
      </c>
      <c r="I824" s="270">
        <f ca="1">IFERROR(__xludf.DUMMYFUNCTION("IMPORTRANGE(""https://docs.google.com/spreadsheets/d/19vJNZY_5yjcGF2XGBMNZRCAIB0Kwfpjp8YEOfu-bneM/edit?usp=sharing"",""งานกองทุน!H33"")"),529)</f>
        <v>529</v>
      </c>
      <c r="J824" s="270">
        <f ca="1">IFERROR(__xludf.DUMMYFUNCTION("IMPORTRANGE(""https://docs.google.com/spreadsheets/d/19vJNZY_5yjcGF2XGBMNZRCAIB0Kwfpjp8YEOfu-bneM/edit?usp=sharing"",""งานกองทุน!J33"")"),195)</f>
        <v>195</v>
      </c>
      <c r="K824" s="498">
        <f t="shared" ca="1" si="335"/>
        <v>36.862003780718339</v>
      </c>
      <c r="L824" s="498"/>
      <c r="M824" s="498"/>
      <c r="N824" s="498"/>
      <c r="O824" s="498"/>
      <c r="P824" s="49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</row>
    <row r="825" spans="1:26" ht="18.75">
      <c r="A825" s="744"/>
      <c r="B825" s="763" t="s">
        <v>328</v>
      </c>
      <c r="C825" s="763"/>
      <c r="D825" s="575"/>
      <c r="E825" s="763"/>
      <c r="F825" s="763"/>
      <c r="G825" s="189"/>
      <c r="H825" s="623" t="s">
        <v>12</v>
      </c>
      <c r="I825" s="270">
        <f ca="1">IFERROR(__xludf.DUMMYFUNCTION("IMPORTRANGE(""https://docs.google.com/spreadsheets/d/19vJNZY_5yjcGF2XGBMNZRCAIB0Kwfpjp8YEOfu-bneM/edit?usp=sharing"",""งานกองทุน!N33"")"),409037.72)</f>
        <v>409037.72</v>
      </c>
      <c r="J825" s="270">
        <f ca="1">IFERROR(__xludf.DUMMYFUNCTION("IMPORTRANGE(""https://docs.google.com/spreadsheets/d/19vJNZY_5yjcGF2XGBMNZRCAIB0Kwfpjp8YEOfu-bneM/edit?usp=sharing"",""งานกองทุน!P33"")"),369030.08)</f>
        <v>369030.08</v>
      </c>
      <c r="K825" s="498">
        <f t="shared" ca="1" si="335"/>
        <v>90.219082973570266</v>
      </c>
      <c r="L825" s="498"/>
      <c r="M825" s="498"/>
      <c r="N825" s="498"/>
      <c r="O825" s="498"/>
      <c r="P825" s="49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</row>
    <row r="826" spans="1:26" ht="18.75">
      <c r="A826" s="744"/>
      <c r="B826" s="763"/>
      <c r="C826" s="763"/>
      <c r="D826" s="575"/>
      <c r="E826" s="763"/>
      <c r="F826" s="763"/>
      <c r="G826" s="189"/>
      <c r="H826" s="623" t="s">
        <v>35</v>
      </c>
      <c r="I826" s="270">
        <f ca="1">IFERROR(__xludf.DUMMYFUNCTION("IMPORTRANGE(""https://docs.google.com/spreadsheets/d/19vJNZY_5yjcGF2XGBMNZRCAIB0Kwfpjp8YEOfu-bneM/edit?usp=sharing"",""งานกองทุน!M33"")"),59)</f>
        <v>59</v>
      </c>
      <c r="J826" s="270">
        <f ca="1">IFERROR(__xludf.DUMMYFUNCTION("IMPORTRANGE(""https://docs.google.com/spreadsheets/d/19vJNZY_5yjcGF2XGBMNZRCAIB0Kwfpjp8YEOfu-bneM/edit?usp=sharing"",""งานกองทุน!O33"")"),69)</f>
        <v>69</v>
      </c>
      <c r="K826" s="498">
        <f t="shared" ca="1" si="335"/>
        <v>116.94915254237289</v>
      </c>
      <c r="L826" s="498"/>
      <c r="M826" s="498"/>
      <c r="N826" s="498"/>
      <c r="O826" s="498"/>
      <c r="P826" s="49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</row>
    <row r="827" spans="1:26" ht="18.75">
      <c r="A827" s="744"/>
      <c r="B827" s="763" t="s">
        <v>329</v>
      </c>
      <c r="C827" s="763"/>
      <c r="D827" s="575"/>
      <c r="E827" s="763"/>
      <c r="F827" s="763"/>
      <c r="G827" s="189"/>
      <c r="H827" s="623" t="s">
        <v>12</v>
      </c>
      <c r="I827" s="270">
        <f ca="1">IFERROR(__xludf.DUMMYFUNCTION("IMPORTRANGE(""https://docs.google.com/spreadsheets/d/19vJNZY_5yjcGF2XGBMNZRCAIB0Kwfpjp8YEOfu-bneM/edit?usp=sharing"",""งานกองทุน!S33"")"),5080000)</f>
        <v>5080000</v>
      </c>
      <c r="J827" s="270">
        <f ca="1">IFERROR(__xludf.DUMMYFUNCTION("IMPORTRANGE(""https://docs.google.com/spreadsheets/d/19vJNZY_5yjcGF2XGBMNZRCAIB0Kwfpjp8YEOfu-bneM/edit?usp=sharing"",""งานกองทุน!U33"")"),7820000)</f>
        <v>7820000</v>
      </c>
      <c r="K827" s="498">
        <f t="shared" ca="1" si="335"/>
        <v>153.93700787401573</v>
      </c>
      <c r="L827" s="498"/>
      <c r="M827" s="498"/>
      <c r="N827" s="498"/>
      <c r="O827" s="498"/>
      <c r="P827" s="49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</row>
    <row r="828" spans="1:26" ht="18.75">
      <c r="A828" s="841"/>
      <c r="B828" s="749"/>
      <c r="C828" s="749"/>
      <c r="D828" s="748"/>
      <c r="E828" s="749"/>
      <c r="F828" s="749"/>
      <c r="G828" s="842"/>
      <c r="H828" s="843" t="s">
        <v>35</v>
      </c>
      <c r="I828" s="506">
        <f ca="1">IFERROR(__xludf.DUMMYFUNCTION("IMPORTRANGE(""https://docs.google.com/spreadsheets/d/19vJNZY_5yjcGF2XGBMNZRCAIB0Kwfpjp8YEOfu-bneM/edit?usp=sharing"",""งานกองทุน!R33"")"),203)</f>
        <v>203</v>
      </c>
      <c r="J828" s="506">
        <f ca="1">IFERROR(__xludf.DUMMYFUNCTION("IMPORTRANGE(""https://docs.google.com/spreadsheets/d/19vJNZY_5yjcGF2XGBMNZRCAIB0Kwfpjp8YEOfu-bneM/edit?usp=sharing"",""งานกองทุน!T33"")"),213)</f>
        <v>213</v>
      </c>
      <c r="K828" s="507">
        <f t="shared" ca="1" si="335"/>
        <v>104.92610837438424</v>
      </c>
      <c r="L828" s="507"/>
      <c r="M828" s="507"/>
      <c r="N828" s="507"/>
      <c r="O828" s="507"/>
      <c r="P828" s="507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</row>
    <row r="829" spans="1:26" ht="18.75">
      <c r="A829" s="682"/>
      <c r="B829" s="682"/>
      <c r="C829" s="682"/>
      <c r="D829" s="914"/>
      <c r="E829" s="682"/>
      <c r="F829" s="682"/>
      <c r="G829" s="682"/>
      <c r="H829" s="915"/>
      <c r="I829" s="916"/>
      <c r="J829" s="916"/>
      <c r="K829" s="917"/>
      <c r="L829" s="917"/>
      <c r="M829" s="917"/>
      <c r="N829" s="917"/>
      <c r="O829" s="917"/>
      <c r="P829" s="917"/>
      <c r="Q829" s="578"/>
      <c r="R829" s="578"/>
      <c r="S829" s="578"/>
      <c r="T829" s="578"/>
      <c r="U829" s="578"/>
      <c r="V829" s="578"/>
      <c r="W829" s="578"/>
      <c r="X829" s="578"/>
      <c r="Y829" s="578"/>
      <c r="Z829" s="578"/>
    </row>
    <row r="830" spans="1:26" ht="18.75">
      <c r="A830" s="682"/>
      <c r="B830" s="682"/>
      <c r="C830" s="682"/>
      <c r="D830" s="914"/>
      <c r="E830" s="682"/>
      <c r="F830" s="682"/>
      <c r="G830" s="682"/>
      <c r="H830" s="915"/>
      <c r="I830" s="916"/>
      <c r="J830" s="916"/>
      <c r="K830" s="917"/>
      <c r="L830" s="917"/>
      <c r="M830" s="917"/>
      <c r="N830" s="917"/>
      <c r="O830" s="917"/>
      <c r="P830" s="917"/>
      <c r="Q830" s="578"/>
      <c r="R830" s="578"/>
      <c r="S830" s="578"/>
      <c r="T830" s="578"/>
      <c r="U830" s="578"/>
      <c r="V830" s="578"/>
      <c r="W830" s="578"/>
      <c r="X830" s="578"/>
      <c r="Y830" s="578"/>
      <c r="Z830" s="578"/>
    </row>
    <row r="831" spans="1:26" ht="18.75">
      <c r="A831" s="682"/>
      <c r="B831" s="682"/>
      <c r="C831" s="682"/>
      <c r="D831" s="914"/>
      <c r="E831" s="682"/>
      <c r="F831" s="682"/>
      <c r="G831" s="682"/>
      <c r="H831" s="915"/>
      <c r="I831" s="916"/>
      <c r="J831" s="916"/>
      <c r="K831" s="917"/>
      <c r="L831" s="917"/>
      <c r="M831" s="917"/>
      <c r="N831" s="917"/>
      <c r="O831" s="917"/>
      <c r="P831" s="917"/>
      <c r="Q831" s="578"/>
      <c r="R831" s="578"/>
      <c r="S831" s="578"/>
      <c r="T831" s="578"/>
      <c r="U831" s="578"/>
      <c r="V831" s="578"/>
      <c r="W831" s="578"/>
      <c r="X831" s="578"/>
      <c r="Y831" s="578"/>
      <c r="Z831" s="578"/>
    </row>
    <row r="832" spans="1:26" ht="18.75">
      <c r="A832" s="682"/>
      <c r="B832" s="682"/>
      <c r="C832" s="682"/>
      <c r="D832" s="914"/>
      <c r="E832" s="682"/>
      <c r="F832" s="682"/>
      <c r="G832" s="682"/>
      <c r="H832" s="915"/>
      <c r="I832" s="916"/>
      <c r="J832" s="916"/>
      <c r="K832" s="917"/>
      <c r="L832" s="917"/>
      <c r="M832" s="917"/>
      <c r="N832" s="917"/>
      <c r="O832" s="917"/>
      <c r="P832" s="917"/>
      <c r="Q832" s="578"/>
      <c r="R832" s="578"/>
      <c r="S832" s="578"/>
      <c r="T832" s="578"/>
      <c r="U832" s="578"/>
      <c r="V832" s="578"/>
      <c r="W832" s="578"/>
      <c r="X832" s="578"/>
      <c r="Y832" s="578"/>
      <c r="Z832" s="578"/>
    </row>
    <row r="833" spans="1:26" ht="18.75">
      <c r="A833" s="682"/>
      <c r="B833" s="682"/>
      <c r="C833" s="682"/>
      <c r="D833" s="914"/>
      <c r="E833" s="682"/>
      <c r="F833" s="682"/>
      <c r="G833" s="682"/>
      <c r="H833" s="915"/>
      <c r="I833" s="916"/>
      <c r="J833" s="916"/>
      <c r="K833" s="917"/>
      <c r="L833" s="917"/>
      <c r="M833" s="917"/>
      <c r="N833" s="917"/>
      <c r="O833" s="917"/>
      <c r="P833" s="917"/>
      <c r="Q833" s="578"/>
      <c r="R833" s="578"/>
      <c r="S833" s="578"/>
      <c r="T833" s="578"/>
      <c r="U833" s="578"/>
      <c r="V833" s="578"/>
      <c r="W833" s="578"/>
      <c r="X833" s="578"/>
      <c r="Y833" s="578"/>
      <c r="Z833" s="578"/>
    </row>
    <row r="834" spans="1:26" ht="18.75">
      <c r="A834" s="682"/>
      <c r="B834" s="682"/>
      <c r="C834" s="682"/>
      <c r="D834" s="914"/>
      <c r="E834" s="682"/>
      <c r="F834" s="682"/>
      <c r="G834" s="682"/>
      <c r="H834" s="915"/>
      <c r="I834" s="916"/>
      <c r="J834" s="916"/>
      <c r="K834" s="917"/>
      <c r="L834" s="917"/>
      <c r="M834" s="917"/>
      <c r="N834" s="917"/>
      <c r="O834" s="917"/>
      <c r="P834" s="917"/>
      <c r="Q834" s="578"/>
      <c r="R834" s="578"/>
      <c r="S834" s="578"/>
      <c r="T834" s="578"/>
      <c r="U834" s="578"/>
      <c r="V834" s="578"/>
      <c r="W834" s="578"/>
      <c r="X834" s="578"/>
      <c r="Y834" s="578"/>
      <c r="Z834" s="578"/>
    </row>
    <row r="835" spans="1:26" ht="18.75">
      <c r="A835" s="682"/>
      <c r="B835" s="682"/>
      <c r="C835" s="682"/>
      <c r="D835" s="914"/>
      <c r="E835" s="682"/>
      <c r="F835" s="682"/>
      <c r="G835" s="682"/>
      <c r="H835" s="915"/>
      <c r="I835" s="916"/>
      <c r="J835" s="916"/>
      <c r="K835" s="917"/>
      <c r="L835" s="917"/>
      <c r="M835" s="917"/>
      <c r="N835" s="917"/>
      <c r="O835" s="917"/>
      <c r="P835" s="917"/>
      <c r="Q835" s="578"/>
      <c r="R835" s="578"/>
      <c r="S835" s="578"/>
      <c r="T835" s="578"/>
      <c r="U835" s="578"/>
      <c r="V835" s="578"/>
      <c r="W835" s="578"/>
      <c r="X835" s="578"/>
      <c r="Y835" s="578"/>
      <c r="Z835" s="578"/>
    </row>
    <row r="836" spans="1:26" ht="18.75">
      <c r="A836" s="682"/>
      <c r="B836" s="682"/>
      <c r="C836" s="682"/>
      <c r="D836" s="914"/>
      <c r="E836" s="682"/>
      <c r="F836" s="682"/>
      <c r="G836" s="682"/>
      <c r="H836" s="915"/>
      <c r="I836" s="916"/>
      <c r="J836" s="916"/>
      <c r="K836" s="917"/>
      <c r="L836" s="917"/>
      <c r="M836" s="917"/>
      <c r="N836" s="917"/>
      <c r="O836" s="917"/>
      <c r="P836" s="917"/>
      <c r="Q836" s="578"/>
      <c r="R836" s="578"/>
      <c r="S836" s="578"/>
      <c r="T836" s="578"/>
      <c r="U836" s="578"/>
      <c r="V836" s="578"/>
      <c r="W836" s="578"/>
      <c r="X836" s="578"/>
      <c r="Y836" s="578"/>
      <c r="Z836" s="578"/>
    </row>
    <row r="837" spans="1:26" ht="18.75">
      <c r="A837" s="682"/>
      <c r="B837" s="682"/>
      <c r="C837" s="682"/>
      <c r="D837" s="914"/>
      <c r="E837" s="682"/>
      <c r="F837" s="682"/>
      <c r="G837" s="682"/>
      <c r="H837" s="915"/>
      <c r="I837" s="916"/>
      <c r="J837" s="916"/>
      <c r="K837" s="917"/>
      <c r="L837" s="917"/>
      <c r="M837" s="917"/>
      <c r="N837" s="917"/>
      <c r="O837" s="917"/>
      <c r="P837" s="917"/>
      <c r="Q837" s="578"/>
      <c r="R837" s="578"/>
      <c r="S837" s="578"/>
      <c r="T837" s="578"/>
      <c r="U837" s="578"/>
      <c r="V837" s="578"/>
      <c r="W837" s="578"/>
      <c r="X837" s="578"/>
      <c r="Y837" s="578"/>
      <c r="Z837" s="578"/>
    </row>
    <row r="838" spans="1:26" ht="18.75">
      <c r="A838" s="682"/>
      <c r="B838" s="682"/>
      <c r="C838" s="682"/>
      <c r="D838" s="914"/>
      <c r="E838" s="682"/>
      <c r="F838" s="682"/>
      <c r="G838" s="682"/>
      <c r="H838" s="915"/>
      <c r="I838" s="916"/>
      <c r="J838" s="916"/>
      <c r="K838" s="917"/>
      <c r="L838" s="917"/>
      <c r="M838" s="917"/>
      <c r="N838" s="917"/>
      <c r="O838" s="917"/>
      <c r="P838" s="917"/>
      <c r="Q838" s="578"/>
      <c r="R838" s="578"/>
      <c r="S838" s="578"/>
      <c r="T838" s="578"/>
      <c r="U838" s="578"/>
      <c r="V838" s="578"/>
      <c r="W838" s="578"/>
      <c r="X838" s="578"/>
      <c r="Y838" s="578"/>
      <c r="Z838" s="578"/>
    </row>
    <row r="839" spans="1:26" ht="18.75">
      <c r="A839" s="682"/>
      <c r="B839" s="682"/>
      <c r="C839" s="682"/>
      <c r="D839" s="914"/>
      <c r="E839" s="682"/>
      <c r="F839" s="682"/>
      <c r="G839" s="682"/>
      <c r="H839" s="915"/>
      <c r="I839" s="916"/>
      <c r="J839" s="916"/>
      <c r="K839" s="917"/>
      <c r="L839" s="917"/>
      <c r="M839" s="917"/>
      <c r="N839" s="917"/>
      <c r="O839" s="917"/>
      <c r="P839" s="917"/>
      <c r="Q839" s="578"/>
      <c r="R839" s="578"/>
      <c r="S839" s="578"/>
      <c r="T839" s="578"/>
      <c r="U839" s="578"/>
      <c r="V839" s="578"/>
      <c r="W839" s="578"/>
      <c r="X839" s="578"/>
      <c r="Y839" s="578"/>
      <c r="Z839" s="578"/>
    </row>
    <row r="840" spans="1:26" ht="18.75">
      <c r="A840" s="682"/>
      <c r="B840" s="682"/>
      <c r="C840" s="682"/>
      <c r="D840" s="914"/>
      <c r="E840" s="682"/>
      <c r="F840" s="682"/>
      <c r="G840" s="682"/>
      <c r="H840" s="915"/>
      <c r="I840" s="916"/>
      <c r="J840" s="916"/>
      <c r="K840" s="917"/>
      <c r="L840" s="917"/>
      <c r="M840" s="917"/>
      <c r="N840" s="917"/>
      <c r="O840" s="917"/>
      <c r="P840" s="917"/>
      <c r="Q840" s="578"/>
      <c r="R840" s="578"/>
      <c r="S840" s="578"/>
      <c r="T840" s="578"/>
      <c r="U840" s="578"/>
      <c r="V840" s="578"/>
      <c r="W840" s="578"/>
      <c r="X840" s="578"/>
      <c r="Y840" s="578"/>
      <c r="Z840" s="578"/>
    </row>
    <row r="841" spans="1:26" ht="18.75">
      <c r="A841" s="682"/>
      <c r="B841" s="682"/>
      <c r="C841" s="682"/>
      <c r="D841" s="914"/>
      <c r="E841" s="682"/>
      <c r="F841" s="682"/>
      <c r="G841" s="682"/>
      <c r="H841" s="915"/>
      <c r="I841" s="916"/>
      <c r="J841" s="916"/>
      <c r="K841" s="917"/>
      <c r="L841" s="917"/>
      <c r="M841" s="917"/>
      <c r="N841" s="917"/>
      <c r="O841" s="917"/>
      <c r="P841" s="917"/>
      <c r="Q841" s="578"/>
      <c r="R841" s="578"/>
      <c r="S841" s="578"/>
      <c r="T841" s="578"/>
      <c r="U841" s="578"/>
      <c r="V841" s="578"/>
      <c r="W841" s="578"/>
      <c r="X841" s="578"/>
      <c r="Y841" s="578"/>
      <c r="Z841" s="578"/>
    </row>
    <row r="842" spans="1:26" ht="18.75">
      <c r="A842" s="682"/>
      <c r="B842" s="682"/>
      <c r="C842" s="682"/>
      <c r="D842" s="914"/>
      <c r="E842" s="682"/>
      <c r="F842" s="682"/>
      <c r="G842" s="682"/>
      <c r="H842" s="915"/>
      <c r="I842" s="916"/>
      <c r="J842" s="916"/>
      <c r="K842" s="917"/>
      <c r="L842" s="917"/>
      <c r="M842" s="917"/>
      <c r="N842" s="917"/>
      <c r="O842" s="917"/>
      <c r="P842" s="917"/>
      <c r="Q842" s="578"/>
      <c r="R842" s="578"/>
      <c r="S842" s="578"/>
      <c r="T842" s="578"/>
      <c r="U842" s="578"/>
      <c r="V842" s="578"/>
      <c r="W842" s="578"/>
      <c r="X842" s="578"/>
      <c r="Y842" s="578"/>
      <c r="Z842" s="578"/>
    </row>
    <row r="843" spans="1:26" ht="18.75">
      <c r="A843" s="682"/>
      <c r="B843" s="682"/>
      <c r="C843" s="682"/>
      <c r="D843" s="914"/>
      <c r="E843" s="682"/>
      <c r="F843" s="682"/>
      <c r="G843" s="682"/>
      <c r="H843" s="915"/>
      <c r="I843" s="916"/>
      <c r="J843" s="916"/>
      <c r="K843" s="917"/>
      <c r="L843" s="917"/>
      <c r="M843" s="917"/>
      <c r="N843" s="917"/>
      <c r="O843" s="917"/>
      <c r="P843" s="917"/>
      <c r="Q843" s="578"/>
      <c r="R843" s="578"/>
      <c r="S843" s="578"/>
      <c r="T843" s="578"/>
      <c r="U843" s="578"/>
      <c r="V843" s="578"/>
      <c r="W843" s="578"/>
      <c r="X843" s="578"/>
      <c r="Y843" s="578"/>
      <c r="Z843" s="578"/>
    </row>
    <row r="844" spans="1:26" ht="18.75">
      <c r="A844" s="682"/>
      <c r="B844" s="682"/>
      <c r="C844" s="682"/>
      <c r="D844" s="914"/>
      <c r="E844" s="682"/>
      <c r="F844" s="682"/>
      <c r="G844" s="682"/>
      <c r="H844" s="915"/>
      <c r="I844" s="916"/>
      <c r="J844" s="916"/>
      <c r="K844" s="917"/>
      <c r="L844" s="917"/>
      <c r="M844" s="917"/>
      <c r="N844" s="917"/>
      <c r="O844" s="917"/>
      <c r="P844" s="917"/>
      <c r="Q844" s="578"/>
      <c r="R844" s="578"/>
      <c r="S844" s="578"/>
      <c r="T844" s="578"/>
      <c r="U844" s="578"/>
      <c r="V844" s="578"/>
      <c r="W844" s="578"/>
      <c r="X844" s="578"/>
      <c r="Y844" s="578"/>
      <c r="Z844" s="578"/>
    </row>
    <row r="845" spans="1:26" ht="18.75">
      <c r="A845" s="682"/>
      <c r="B845" s="682"/>
      <c r="C845" s="682"/>
      <c r="D845" s="914"/>
      <c r="E845" s="682"/>
      <c r="F845" s="682"/>
      <c r="G845" s="682"/>
      <c r="H845" s="915"/>
      <c r="I845" s="916"/>
      <c r="J845" s="916"/>
      <c r="K845" s="917"/>
      <c r="L845" s="917"/>
      <c r="M845" s="917"/>
      <c r="N845" s="917"/>
      <c r="O845" s="917"/>
      <c r="P845" s="917"/>
      <c r="Q845" s="578"/>
      <c r="R845" s="578"/>
      <c r="S845" s="578"/>
      <c r="T845" s="578"/>
      <c r="U845" s="578"/>
      <c r="V845" s="578"/>
      <c r="W845" s="578"/>
      <c r="X845" s="578"/>
      <c r="Y845" s="578"/>
      <c r="Z845" s="578"/>
    </row>
    <row r="846" spans="1:26" ht="18.75">
      <c r="A846" s="682"/>
      <c r="B846" s="682"/>
      <c r="C846" s="682"/>
      <c r="D846" s="914"/>
      <c r="E846" s="682"/>
      <c r="F846" s="682"/>
      <c r="G846" s="682"/>
      <c r="H846" s="915"/>
      <c r="I846" s="916"/>
      <c r="J846" s="916"/>
      <c r="K846" s="917"/>
      <c r="L846" s="917"/>
      <c r="M846" s="917"/>
      <c r="N846" s="917"/>
      <c r="O846" s="917"/>
      <c r="P846" s="917"/>
      <c r="Q846" s="578"/>
      <c r="R846" s="578"/>
      <c r="S846" s="578"/>
      <c r="T846" s="578"/>
      <c r="U846" s="578"/>
      <c r="V846" s="578"/>
      <c r="W846" s="578"/>
      <c r="X846" s="578"/>
      <c r="Y846" s="578"/>
      <c r="Z846" s="578"/>
    </row>
    <row r="847" spans="1:26" ht="18.75">
      <c r="A847" s="682"/>
      <c r="B847" s="682"/>
      <c r="C847" s="682"/>
      <c r="D847" s="914"/>
      <c r="E847" s="682"/>
      <c r="F847" s="682"/>
      <c r="G847" s="682"/>
      <c r="H847" s="915"/>
      <c r="I847" s="916"/>
      <c r="J847" s="916"/>
      <c r="K847" s="917"/>
      <c r="L847" s="917"/>
      <c r="M847" s="917"/>
      <c r="N847" s="917"/>
      <c r="O847" s="917"/>
      <c r="P847" s="917"/>
      <c r="Q847" s="578"/>
      <c r="R847" s="578"/>
      <c r="S847" s="578"/>
      <c r="T847" s="578"/>
      <c r="U847" s="578"/>
      <c r="V847" s="578"/>
      <c r="W847" s="578"/>
      <c r="X847" s="578"/>
      <c r="Y847" s="578"/>
      <c r="Z847" s="578"/>
    </row>
    <row r="848" spans="1:26" ht="18.75">
      <c r="A848" s="682"/>
      <c r="B848" s="682"/>
      <c r="C848" s="682"/>
      <c r="D848" s="914"/>
      <c r="E848" s="682"/>
      <c r="F848" s="682"/>
      <c r="G848" s="682"/>
      <c r="H848" s="915"/>
      <c r="I848" s="916"/>
      <c r="J848" s="916"/>
      <c r="K848" s="917"/>
      <c r="L848" s="917"/>
      <c r="M848" s="917"/>
      <c r="N848" s="917"/>
      <c r="O848" s="917"/>
      <c r="P848" s="917"/>
      <c r="Q848" s="578"/>
      <c r="R848" s="578"/>
      <c r="S848" s="578"/>
      <c r="T848" s="578"/>
      <c r="U848" s="578"/>
      <c r="V848" s="578"/>
      <c r="W848" s="578"/>
      <c r="X848" s="578"/>
      <c r="Y848" s="578"/>
      <c r="Z848" s="578"/>
    </row>
    <row r="849" spans="1:26" ht="18.75">
      <c r="A849" s="682"/>
      <c r="B849" s="682"/>
      <c r="C849" s="682"/>
      <c r="D849" s="914"/>
      <c r="E849" s="682"/>
      <c r="F849" s="682"/>
      <c r="G849" s="682"/>
      <c r="H849" s="915"/>
      <c r="I849" s="916"/>
      <c r="J849" s="916"/>
      <c r="K849" s="917"/>
      <c r="L849" s="917"/>
      <c r="M849" s="917"/>
      <c r="N849" s="917"/>
      <c r="O849" s="917"/>
      <c r="P849" s="917"/>
      <c r="Q849" s="578"/>
      <c r="R849" s="578"/>
      <c r="S849" s="578"/>
      <c r="T849" s="578"/>
      <c r="U849" s="578"/>
      <c r="V849" s="578"/>
      <c r="W849" s="578"/>
      <c r="X849" s="578"/>
      <c r="Y849" s="578"/>
      <c r="Z849" s="578"/>
    </row>
    <row r="850" spans="1:26" ht="18.75">
      <c r="A850" s="682"/>
      <c r="B850" s="682"/>
      <c r="C850" s="682"/>
      <c r="D850" s="914"/>
      <c r="E850" s="682"/>
      <c r="F850" s="682"/>
      <c r="G850" s="682"/>
      <c r="H850" s="915"/>
      <c r="I850" s="916"/>
      <c r="J850" s="916"/>
      <c r="K850" s="917"/>
      <c r="L850" s="917"/>
      <c r="M850" s="917"/>
      <c r="N850" s="917"/>
      <c r="O850" s="917"/>
      <c r="P850" s="917"/>
      <c r="Q850" s="578"/>
      <c r="R850" s="578"/>
      <c r="S850" s="578"/>
      <c r="T850" s="578"/>
      <c r="U850" s="578"/>
      <c r="V850" s="578"/>
      <c r="W850" s="578"/>
      <c r="X850" s="578"/>
      <c r="Y850" s="578"/>
      <c r="Z850" s="578"/>
    </row>
    <row r="851" spans="1:26" ht="18.75">
      <c r="A851" s="682"/>
      <c r="B851" s="682"/>
      <c r="C851" s="682"/>
      <c r="D851" s="914"/>
      <c r="E851" s="682"/>
      <c r="F851" s="682"/>
      <c r="G851" s="682"/>
      <c r="H851" s="915"/>
      <c r="I851" s="916"/>
      <c r="J851" s="916"/>
      <c r="K851" s="917"/>
      <c r="L851" s="917"/>
      <c r="M851" s="917"/>
      <c r="N851" s="917"/>
      <c r="O851" s="917"/>
      <c r="P851" s="917"/>
      <c r="Q851" s="578"/>
      <c r="R851" s="578"/>
      <c r="S851" s="578"/>
      <c r="T851" s="578"/>
      <c r="U851" s="578"/>
      <c r="V851" s="578"/>
      <c r="W851" s="578"/>
      <c r="X851" s="578"/>
      <c r="Y851" s="578"/>
      <c r="Z851" s="578"/>
    </row>
    <row r="852" spans="1:26" ht="18.75">
      <c r="A852" s="682"/>
      <c r="B852" s="682"/>
      <c r="C852" s="682"/>
      <c r="D852" s="914"/>
      <c r="E852" s="682"/>
      <c r="F852" s="682"/>
      <c r="G852" s="682"/>
      <c r="H852" s="915"/>
      <c r="I852" s="916"/>
      <c r="J852" s="916"/>
      <c r="K852" s="917"/>
      <c r="L852" s="917"/>
      <c r="M852" s="917"/>
      <c r="N852" s="917"/>
      <c r="O852" s="917"/>
      <c r="P852" s="917"/>
      <c r="Q852" s="578"/>
      <c r="R852" s="578"/>
      <c r="S852" s="578"/>
      <c r="T852" s="578"/>
      <c r="U852" s="578"/>
      <c r="V852" s="578"/>
      <c r="W852" s="578"/>
      <c r="X852" s="578"/>
      <c r="Y852" s="578"/>
      <c r="Z852" s="578"/>
    </row>
    <row r="853" spans="1:26" ht="18.75">
      <c r="A853" s="682"/>
      <c r="B853" s="682"/>
      <c r="C853" s="682"/>
      <c r="D853" s="914"/>
      <c r="E853" s="682"/>
      <c r="F853" s="682"/>
      <c r="G853" s="682"/>
      <c r="H853" s="915"/>
      <c r="I853" s="916"/>
      <c r="J853" s="916"/>
      <c r="K853" s="917"/>
      <c r="L853" s="917"/>
      <c r="M853" s="917"/>
      <c r="N853" s="917"/>
      <c r="O853" s="917"/>
      <c r="P853" s="917"/>
      <c r="Q853" s="578"/>
      <c r="R853" s="578"/>
      <c r="S853" s="578"/>
      <c r="T853" s="578"/>
      <c r="U853" s="578"/>
      <c r="V853" s="578"/>
      <c r="W853" s="578"/>
      <c r="X853" s="578"/>
      <c r="Y853" s="578"/>
      <c r="Z853" s="578"/>
    </row>
    <row r="854" spans="1:26" ht="18.75">
      <c r="A854" s="682"/>
      <c r="B854" s="682"/>
      <c r="C854" s="682"/>
      <c r="D854" s="914"/>
      <c r="E854" s="682"/>
      <c r="F854" s="682"/>
      <c r="G854" s="682"/>
      <c r="H854" s="915"/>
      <c r="I854" s="916"/>
      <c r="J854" s="916"/>
      <c r="K854" s="917"/>
      <c r="L854" s="917"/>
      <c r="M854" s="917"/>
      <c r="N854" s="917"/>
      <c r="O854" s="917"/>
      <c r="P854" s="917"/>
      <c r="Q854" s="578"/>
      <c r="R854" s="578"/>
      <c r="S854" s="578"/>
      <c r="T854" s="578"/>
      <c r="U854" s="578"/>
      <c r="V854" s="578"/>
      <c r="W854" s="578"/>
      <c r="X854" s="578"/>
      <c r="Y854" s="578"/>
      <c r="Z854" s="578"/>
    </row>
    <row r="855" spans="1:26" ht="18.75">
      <c r="A855" s="682"/>
      <c r="B855" s="682"/>
      <c r="C855" s="682"/>
      <c r="D855" s="914"/>
      <c r="E855" s="682"/>
      <c r="F855" s="682"/>
      <c r="G855" s="682"/>
      <c r="H855" s="915"/>
      <c r="I855" s="916"/>
      <c r="J855" s="916"/>
      <c r="K855" s="917"/>
      <c r="L855" s="917"/>
      <c r="M855" s="917"/>
      <c r="N855" s="917"/>
      <c r="O855" s="917"/>
      <c r="P855" s="917"/>
      <c r="Q855" s="578"/>
      <c r="R855" s="578"/>
      <c r="S855" s="578"/>
      <c r="T855" s="578"/>
      <c r="U855" s="578"/>
      <c r="V855" s="578"/>
      <c r="W855" s="578"/>
      <c r="X855" s="578"/>
      <c r="Y855" s="578"/>
      <c r="Z855" s="578"/>
    </row>
    <row r="856" spans="1:26" ht="18.75">
      <c r="A856" s="682"/>
      <c r="B856" s="682"/>
      <c r="C856" s="682"/>
      <c r="D856" s="914"/>
      <c r="E856" s="682"/>
      <c r="F856" s="682"/>
      <c r="G856" s="682"/>
      <c r="H856" s="915"/>
      <c r="I856" s="916"/>
      <c r="J856" s="916"/>
      <c r="K856" s="917"/>
      <c r="L856" s="917"/>
      <c r="M856" s="917"/>
      <c r="N856" s="917"/>
      <c r="O856" s="917"/>
      <c r="P856" s="917"/>
      <c r="Q856" s="578"/>
      <c r="R856" s="578"/>
      <c r="S856" s="578"/>
      <c r="T856" s="578"/>
      <c r="U856" s="578"/>
      <c r="V856" s="578"/>
      <c r="W856" s="578"/>
      <c r="X856" s="578"/>
      <c r="Y856" s="578"/>
      <c r="Z856" s="578"/>
    </row>
    <row r="857" spans="1:26" ht="18.75">
      <c r="A857" s="682"/>
      <c r="B857" s="682"/>
      <c r="C857" s="682"/>
      <c r="D857" s="914"/>
      <c r="E857" s="682"/>
      <c r="F857" s="682"/>
      <c r="G857" s="682"/>
      <c r="H857" s="915"/>
      <c r="I857" s="916"/>
      <c r="J857" s="916"/>
      <c r="K857" s="917"/>
      <c r="L857" s="917"/>
      <c r="M857" s="917"/>
      <c r="N857" s="917"/>
      <c r="O857" s="917"/>
      <c r="P857" s="917"/>
      <c r="Q857" s="578"/>
      <c r="R857" s="578"/>
      <c r="S857" s="578"/>
      <c r="T857" s="578"/>
      <c r="U857" s="578"/>
      <c r="V857" s="578"/>
      <c r="W857" s="578"/>
      <c r="X857" s="578"/>
      <c r="Y857" s="578"/>
      <c r="Z857" s="578"/>
    </row>
    <row r="858" spans="1:26" ht="18.75">
      <c r="A858" s="682"/>
      <c r="B858" s="682"/>
      <c r="C858" s="682"/>
      <c r="D858" s="914"/>
      <c r="E858" s="682"/>
      <c r="F858" s="682"/>
      <c r="G858" s="682"/>
      <c r="H858" s="915"/>
      <c r="I858" s="916"/>
      <c r="J858" s="916"/>
      <c r="K858" s="917"/>
      <c r="L858" s="917"/>
      <c r="M858" s="917"/>
      <c r="N858" s="917"/>
      <c r="O858" s="917"/>
      <c r="P858" s="917"/>
      <c r="Q858" s="578"/>
      <c r="R858" s="578"/>
      <c r="S858" s="578"/>
      <c r="T858" s="578"/>
      <c r="U858" s="578"/>
      <c r="V858" s="578"/>
      <c r="W858" s="578"/>
      <c r="X858" s="578"/>
      <c r="Y858" s="578"/>
      <c r="Z858" s="578"/>
    </row>
    <row r="859" spans="1:26" ht="18.75">
      <c r="A859" s="682"/>
      <c r="B859" s="682"/>
      <c r="C859" s="682"/>
      <c r="D859" s="914"/>
      <c r="E859" s="682"/>
      <c r="F859" s="682"/>
      <c r="G859" s="682"/>
      <c r="H859" s="915"/>
      <c r="I859" s="916"/>
      <c r="J859" s="916"/>
      <c r="K859" s="917"/>
      <c r="L859" s="917"/>
      <c r="M859" s="917"/>
      <c r="N859" s="917"/>
      <c r="O859" s="917"/>
      <c r="P859" s="917"/>
      <c r="Q859" s="578"/>
      <c r="R859" s="578"/>
      <c r="S859" s="578"/>
      <c r="T859" s="578"/>
      <c r="U859" s="578"/>
      <c r="V859" s="578"/>
      <c r="W859" s="578"/>
      <c r="X859" s="578"/>
      <c r="Y859" s="578"/>
      <c r="Z859" s="578"/>
    </row>
    <row r="860" spans="1:26" ht="18.75">
      <c r="A860" s="682"/>
      <c r="B860" s="682"/>
      <c r="C860" s="682"/>
      <c r="D860" s="914"/>
      <c r="E860" s="682"/>
      <c r="F860" s="682"/>
      <c r="G860" s="682"/>
      <c r="H860" s="915"/>
      <c r="I860" s="916"/>
      <c r="J860" s="916"/>
      <c r="K860" s="917"/>
      <c r="L860" s="917"/>
      <c r="M860" s="917"/>
      <c r="N860" s="917"/>
      <c r="O860" s="917"/>
      <c r="P860" s="917"/>
      <c r="Q860" s="578"/>
      <c r="R860" s="578"/>
      <c r="S860" s="578"/>
      <c r="T860" s="578"/>
      <c r="U860" s="578"/>
      <c r="V860" s="578"/>
      <c r="W860" s="578"/>
      <c r="X860" s="578"/>
      <c r="Y860" s="578"/>
      <c r="Z860" s="578"/>
    </row>
    <row r="861" spans="1:26" ht="18.75">
      <c r="A861" s="682"/>
      <c r="B861" s="682"/>
      <c r="C861" s="682"/>
      <c r="D861" s="914"/>
      <c r="E861" s="682"/>
      <c r="F861" s="682"/>
      <c r="G861" s="682"/>
      <c r="H861" s="915"/>
      <c r="I861" s="916"/>
      <c r="J861" s="916"/>
      <c r="K861" s="917"/>
      <c r="L861" s="917"/>
      <c r="M861" s="917"/>
      <c r="N861" s="917"/>
      <c r="O861" s="917"/>
      <c r="P861" s="917"/>
      <c r="Q861" s="578"/>
      <c r="R861" s="578"/>
      <c r="S861" s="578"/>
      <c r="T861" s="578"/>
      <c r="U861" s="578"/>
      <c r="V861" s="578"/>
      <c r="W861" s="578"/>
      <c r="X861" s="578"/>
      <c r="Y861" s="578"/>
      <c r="Z861" s="578"/>
    </row>
    <row r="862" spans="1:26" ht="18.75">
      <c r="A862" s="682"/>
      <c r="B862" s="682"/>
      <c r="C862" s="682"/>
      <c r="D862" s="914"/>
      <c r="E862" s="682"/>
      <c r="F862" s="682"/>
      <c r="G862" s="682"/>
      <c r="H862" s="915"/>
      <c r="I862" s="916"/>
      <c r="J862" s="916"/>
      <c r="K862" s="917"/>
      <c r="L862" s="917"/>
      <c r="M862" s="917"/>
      <c r="N862" s="917"/>
      <c r="O862" s="917"/>
      <c r="P862" s="917"/>
      <c r="Q862" s="578"/>
      <c r="R862" s="578"/>
      <c r="S862" s="578"/>
      <c r="T862" s="578"/>
      <c r="U862" s="578"/>
      <c r="V862" s="578"/>
      <c r="W862" s="578"/>
      <c r="X862" s="578"/>
      <c r="Y862" s="578"/>
      <c r="Z862" s="578"/>
    </row>
    <row r="863" spans="1:26" ht="18.75">
      <c r="A863" s="682"/>
      <c r="B863" s="682"/>
      <c r="C863" s="682"/>
      <c r="D863" s="914"/>
      <c r="E863" s="682"/>
      <c r="F863" s="682"/>
      <c r="G863" s="682"/>
      <c r="H863" s="915"/>
      <c r="I863" s="916"/>
      <c r="J863" s="916"/>
      <c r="K863" s="917"/>
      <c r="L863" s="917"/>
      <c r="M863" s="917"/>
      <c r="N863" s="917"/>
      <c r="O863" s="917"/>
      <c r="P863" s="917"/>
      <c r="Q863" s="578"/>
      <c r="R863" s="578"/>
      <c r="S863" s="578"/>
      <c r="T863" s="578"/>
      <c r="U863" s="578"/>
      <c r="V863" s="578"/>
      <c r="W863" s="578"/>
      <c r="X863" s="578"/>
      <c r="Y863" s="578"/>
      <c r="Z863" s="578"/>
    </row>
    <row r="864" spans="1:26" ht="18.75">
      <c r="A864" s="682"/>
      <c r="B864" s="682"/>
      <c r="C864" s="682"/>
      <c r="D864" s="914"/>
      <c r="E864" s="682"/>
      <c r="F864" s="682"/>
      <c r="G864" s="682"/>
      <c r="H864" s="915"/>
      <c r="I864" s="916"/>
      <c r="J864" s="916"/>
      <c r="K864" s="917"/>
      <c r="L864" s="917"/>
      <c r="M864" s="917"/>
      <c r="N864" s="917"/>
      <c r="O864" s="917"/>
      <c r="P864" s="917"/>
      <c r="Q864" s="578"/>
      <c r="R864" s="578"/>
      <c r="S864" s="578"/>
      <c r="T864" s="578"/>
      <c r="U864" s="578"/>
      <c r="V864" s="578"/>
      <c r="W864" s="578"/>
      <c r="X864" s="578"/>
      <c r="Y864" s="578"/>
      <c r="Z864" s="578"/>
    </row>
    <row r="865" spans="1:26" ht="18.75">
      <c r="A865" s="682"/>
      <c r="B865" s="682"/>
      <c r="C865" s="682"/>
      <c r="D865" s="914"/>
      <c r="E865" s="682"/>
      <c r="F865" s="682"/>
      <c r="G865" s="682"/>
      <c r="H865" s="915"/>
      <c r="I865" s="916"/>
      <c r="J865" s="916"/>
      <c r="K865" s="917"/>
      <c r="L865" s="917"/>
      <c r="M865" s="917"/>
      <c r="N865" s="917"/>
      <c r="O865" s="917"/>
      <c r="P865" s="917"/>
      <c r="Q865" s="578"/>
      <c r="R865" s="578"/>
      <c r="S865" s="578"/>
      <c r="T865" s="578"/>
      <c r="U865" s="578"/>
      <c r="V865" s="578"/>
      <c r="W865" s="578"/>
      <c r="X865" s="578"/>
      <c r="Y865" s="578"/>
      <c r="Z865" s="578"/>
    </row>
    <row r="866" spans="1:26" ht="18.75">
      <c r="A866" s="682"/>
      <c r="B866" s="682"/>
      <c r="C866" s="682"/>
      <c r="D866" s="914"/>
      <c r="E866" s="682"/>
      <c r="F866" s="682"/>
      <c r="G866" s="682"/>
      <c r="H866" s="915"/>
      <c r="I866" s="916"/>
      <c r="J866" s="916"/>
      <c r="K866" s="917"/>
      <c r="L866" s="917"/>
      <c r="M866" s="917"/>
      <c r="N866" s="917"/>
      <c r="O866" s="917"/>
      <c r="P866" s="917"/>
      <c r="Q866" s="578"/>
      <c r="R866" s="578"/>
      <c r="S866" s="578"/>
      <c r="T866" s="578"/>
      <c r="U866" s="578"/>
      <c r="V866" s="578"/>
      <c r="W866" s="578"/>
      <c r="X866" s="578"/>
      <c r="Y866" s="578"/>
      <c r="Z866" s="578"/>
    </row>
    <row r="867" spans="1:26" ht="18.75">
      <c r="A867" s="682"/>
      <c r="B867" s="682"/>
      <c r="C867" s="682"/>
      <c r="D867" s="914"/>
      <c r="E867" s="682"/>
      <c r="F867" s="682"/>
      <c r="G867" s="682"/>
      <c r="H867" s="915"/>
      <c r="I867" s="916"/>
      <c r="J867" s="916"/>
      <c r="K867" s="917"/>
      <c r="L867" s="917"/>
      <c r="M867" s="917"/>
      <c r="N867" s="917"/>
      <c r="O867" s="917"/>
      <c r="P867" s="917"/>
      <c r="Q867" s="578"/>
      <c r="R867" s="578"/>
      <c r="S867" s="578"/>
      <c r="T867" s="578"/>
      <c r="U867" s="578"/>
      <c r="V867" s="578"/>
      <c r="W867" s="578"/>
      <c r="X867" s="578"/>
      <c r="Y867" s="578"/>
      <c r="Z867" s="578"/>
    </row>
    <row r="868" spans="1:26" ht="18.75">
      <c r="A868" s="682"/>
      <c r="B868" s="682"/>
      <c r="C868" s="682"/>
      <c r="D868" s="914"/>
      <c r="E868" s="682"/>
      <c r="F868" s="682"/>
      <c r="G868" s="682"/>
      <c r="H868" s="915"/>
      <c r="I868" s="916"/>
      <c r="J868" s="916"/>
      <c r="K868" s="917"/>
      <c r="L868" s="917"/>
      <c r="M868" s="917"/>
      <c r="N868" s="917"/>
      <c r="O868" s="917"/>
      <c r="P868" s="917"/>
      <c r="Q868" s="578"/>
      <c r="R868" s="578"/>
      <c r="S868" s="578"/>
      <c r="T868" s="578"/>
      <c r="U868" s="578"/>
      <c r="V868" s="578"/>
      <c r="W868" s="578"/>
      <c r="X868" s="578"/>
      <c r="Y868" s="578"/>
      <c r="Z868" s="578"/>
    </row>
    <row r="869" spans="1:26" ht="18.75">
      <c r="A869" s="682"/>
      <c r="B869" s="682"/>
      <c r="C869" s="682"/>
      <c r="D869" s="914"/>
      <c r="E869" s="682"/>
      <c r="F869" s="682"/>
      <c r="G869" s="682"/>
      <c r="H869" s="915"/>
      <c r="I869" s="916"/>
      <c r="J869" s="916"/>
      <c r="K869" s="917"/>
      <c r="L869" s="917"/>
      <c r="M869" s="917"/>
      <c r="N869" s="917"/>
      <c r="O869" s="917"/>
      <c r="P869" s="917"/>
      <c r="Q869" s="578"/>
      <c r="R869" s="578"/>
      <c r="S869" s="578"/>
      <c r="T869" s="578"/>
      <c r="U869" s="578"/>
      <c r="V869" s="578"/>
      <c r="W869" s="578"/>
      <c r="X869" s="578"/>
      <c r="Y869" s="578"/>
      <c r="Z869" s="578"/>
    </row>
    <row r="870" spans="1:26" ht="18.75">
      <c r="A870" s="682"/>
      <c r="B870" s="682"/>
      <c r="C870" s="682"/>
      <c r="D870" s="914"/>
      <c r="E870" s="682"/>
      <c r="F870" s="682"/>
      <c r="G870" s="682"/>
      <c r="H870" s="915"/>
      <c r="I870" s="916"/>
      <c r="J870" s="916"/>
      <c r="K870" s="917"/>
      <c r="L870" s="917"/>
      <c r="M870" s="917"/>
      <c r="N870" s="917"/>
      <c r="O870" s="917"/>
      <c r="P870" s="917"/>
      <c r="Q870" s="578"/>
      <c r="R870" s="578"/>
      <c r="S870" s="578"/>
      <c r="T870" s="578"/>
      <c r="U870" s="578"/>
      <c r="V870" s="578"/>
      <c r="W870" s="578"/>
      <c r="X870" s="578"/>
      <c r="Y870" s="578"/>
      <c r="Z870" s="578"/>
    </row>
    <row r="871" spans="1:26" ht="18.75">
      <c r="A871" s="682"/>
      <c r="B871" s="682"/>
      <c r="C871" s="682"/>
      <c r="D871" s="914"/>
      <c r="E871" s="682"/>
      <c r="F871" s="682"/>
      <c r="G871" s="682"/>
      <c r="H871" s="915"/>
      <c r="I871" s="916"/>
      <c r="J871" s="916"/>
      <c r="K871" s="917"/>
      <c r="L871" s="917"/>
      <c r="M871" s="917"/>
      <c r="N871" s="917"/>
      <c r="O871" s="917"/>
      <c r="P871" s="917"/>
      <c r="Q871" s="578"/>
      <c r="R871" s="578"/>
      <c r="S871" s="578"/>
      <c r="T871" s="578"/>
      <c r="U871" s="578"/>
      <c r="V871" s="578"/>
      <c r="W871" s="578"/>
      <c r="X871" s="578"/>
      <c r="Y871" s="578"/>
      <c r="Z871" s="578"/>
    </row>
    <row r="872" spans="1:26" ht="18.75">
      <c r="A872" s="682"/>
      <c r="B872" s="682"/>
      <c r="C872" s="682"/>
      <c r="D872" s="914"/>
      <c r="E872" s="682"/>
      <c r="F872" s="682"/>
      <c r="G872" s="682"/>
      <c r="H872" s="915"/>
      <c r="I872" s="916"/>
      <c r="J872" s="916"/>
      <c r="K872" s="917"/>
      <c r="L872" s="917"/>
      <c r="M872" s="917"/>
      <c r="N872" s="917"/>
      <c r="O872" s="917"/>
      <c r="P872" s="917"/>
      <c r="Q872" s="578"/>
      <c r="R872" s="578"/>
      <c r="S872" s="578"/>
      <c r="T872" s="578"/>
      <c r="U872" s="578"/>
      <c r="V872" s="578"/>
      <c r="W872" s="578"/>
      <c r="X872" s="578"/>
      <c r="Y872" s="578"/>
      <c r="Z872" s="578"/>
    </row>
    <row r="873" spans="1:26" ht="18.75">
      <c r="A873" s="682"/>
      <c r="B873" s="682"/>
      <c r="C873" s="682"/>
      <c r="D873" s="914"/>
      <c r="E873" s="682"/>
      <c r="F873" s="682"/>
      <c r="G873" s="682"/>
      <c r="H873" s="915"/>
      <c r="I873" s="916"/>
      <c r="J873" s="916"/>
      <c r="K873" s="917"/>
      <c r="L873" s="917"/>
      <c r="M873" s="917"/>
      <c r="N873" s="917"/>
      <c r="O873" s="917"/>
      <c r="P873" s="917"/>
      <c r="Q873" s="578"/>
      <c r="R873" s="578"/>
      <c r="S873" s="578"/>
      <c r="T873" s="578"/>
      <c r="U873" s="578"/>
      <c r="V873" s="578"/>
      <c r="W873" s="578"/>
      <c r="X873" s="578"/>
      <c r="Y873" s="578"/>
      <c r="Z873" s="578"/>
    </row>
    <row r="874" spans="1:26" ht="18.75">
      <c r="A874" s="682"/>
      <c r="B874" s="682"/>
      <c r="C874" s="682"/>
      <c r="D874" s="914"/>
      <c r="E874" s="682"/>
      <c r="F874" s="682"/>
      <c r="G874" s="682"/>
      <c r="H874" s="915"/>
      <c r="I874" s="916"/>
      <c r="J874" s="916"/>
      <c r="K874" s="917"/>
      <c r="L874" s="917"/>
      <c r="M874" s="917"/>
      <c r="N874" s="917"/>
      <c r="O874" s="917"/>
      <c r="P874" s="917"/>
      <c r="Q874" s="578"/>
      <c r="R874" s="578"/>
      <c r="S874" s="578"/>
      <c r="T874" s="578"/>
      <c r="U874" s="578"/>
      <c r="V874" s="578"/>
      <c r="W874" s="578"/>
      <c r="X874" s="578"/>
      <c r="Y874" s="578"/>
      <c r="Z874" s="578"/>
    </row>
    <row r="875" spans="1:26" ht="18.75">
      <c r="A875" s="682"/>
      <c r="B875" s="682"/>
      <c r="C875" s="682"/>
      <c r="D875" s="914"/>
      <c r="E875" s="682"/>
      <c r="F875" s="682"/>
      <c r="G875" s="682"/>
      <c r="H875" s="915"/>
      <c r="I875" s="916"/>
      <c r="J875" s="916"/>
      <c r="K875" s="917"/>
      <c r="L875" s="917"/>
      <c r="M875" s="917"/>
      <c r="N875" s="917"/>
      <c r="O875" s="917"/>
      <c r="P875" s="917"/>
      <c r="Q875" s="578"/>
      <c r="R875" s="578"/>
      <c r="S875" s="578"/>
      <c r="T875" s="578"/>
      <c r="U875" s="578"/>
      <c r="V875" s="578"/>
      <c r="W875" s="578"/>
      <c r="X875" s="578"/>
      <c r="Y875" s="578"/>
      <c r="Z875" s="578"/>
    </row>
    <row r="876" spans="1:26" ht="18.75">
      <c r="A876" s="682"/>
      <c r="B876" s="682"/>
      <c r="C876" s="682"/>
      <c r="D876" s="914"/>
      <c r="E876" s="682"/>
      <c r="F876" s="682"/>
      <c r="G876" s="682"/>
      <c r="H876" s="915"/>
      <c r="I876" s="916"/>
      <c r="J876" s="916"/>
      <c r="K876" s="917"/>
      <c r="L876" s="917"/>
      <c r="M876" s="917"/>
      <c r="N876" s="917"/>
      <c r="O876" s="917"/>
      <c r="P876" s="917"/>
      <c r="Q876" s="578"/>
      <c r="R876" s="578"/>
      <c r="S876" s="578"/>
      <c r="T876" s="578"/>
      <c r="U876" s="578"/>
      <c r="V876" s="578"/>
      <c r="W876" s="578"/>
      <c r="X876" s="578"/>
      <c r="Y876" s="578"/>
      <c r="Z876" s="578"/>
    </row>
    <row r="877" spans="1:26" ht="18.75">
      <c r="A877" s="682"/>
      <c r="B877" s="682"/>
      <c r="C877" s="682"/>
      <c r="D877" s="914"/>
      <c r="E877" s="682"/>
      <c r="F877" s="682"/>
      <c r="G877" s="682"/>
      <c r="H877" s="915"/>
      <c r="I877" s="916"/>
      <c r="J877" s="916"/>
      <c r="K877" s="917"/>
      <c r="L877" s="917"/>
      <c r="M877" s="917"/>
      <c r="N877" s="917"/>
      <c r="O877" s="917"/>
      <c r="P877" s="917"/>
      <c r="Q877" s="578"/>
      <c r="R877" s="578"/>
      <c r="S877" s="578"/>
      <c r="T877" s="578"/>
      <c r="U877" s="578"/>
      <c r="V877" s="578"/>
      <c r="W877" s="578"/>
      <c r="X877" s="578"/>
      <c r="Y877" s="578"/>
      <c r="Z877" s="578"/>
    </row>
    <row r="878" spans="1:26" ht="18.75">
      <c r="A878" s="682"/>
      <c r="B878" s="682"/>
      <c r="C878" s="682"/>
      <c r="D878" s="914"/>
      <c r="E878" s="682"/>
      <c r="F878" s="682"/>
      <c r="G878" s="682"/>
      <c r="H878" s="915"/>
      <c r="I878" s="916"/>
      <c r="J878" s="916"/>
      <c r="K878" s="917"/>
      <c r="L878" s="917"/>
      <c r="M878" s="917"/>
      <c r="N878" s="917"/>
      <c r="O878" s="917"/>
      <c r="P878" s="917"/>
      <c r="Q878" s="578"/>
      <c r="R878" s="578"/>
      <c r="S878" s="578"/>
      <c r="T878" s="578"/>
      <c r="U878" s="578"/>
      <c r="V878" s="578"/>
      <c r="W878" s="578"/>
      <c r="X878" s="578"/>
      <c r="Y878" s="578"/>
      <c r="Z878" s="578"/>
    </row>
    <row r="879" spans="1:26" ht="18.75">
      <c r="A879" s="682"/>
      <c r="B879" s="682"/>
      <c r="C879" s="682"/>
      <c r="D879" s="914"/>
      <c r="E879" s="682"/>
      <c r="F879" s="682"/>
      <c r="G879" s="682"/>
      <c r="H879" s="915"/>
      <c r="I879" s="916"/>
      <c r="J879" s="916"/>
      <c r="K879" s="917"/>
      <c r="L879" s="917"/>
      <c r="M879" s="917"/>
      <c r="N879" s="917"/>
      <c r="O879" s="917"/>
      <c r="P879" s="917"/>
      <c r="Q879" s="578"/>
      <c r="R879" s="578"/>
      <c r="S879" s="578"/>
      <c r="T879" s="578"/>
      <c r="U879" s="578"/>
      <c r="V879" s="578"/>
      <c r="W879" s="578"/>
      <c r="X879" s="578"/>
      <c r="Y879" s="578"/>
      <c r="Z879" s="578"/>
    </row>
    <row r="880" spans="1:26" ht="18.75">
      <c r="A880" s="682"/>
      <c r="B880" s="682"/>
      <c r="C880" s="682"/>
      <c r="D880" s="914"/>
      <c r="E880" s="682"/>
      <c r="F880" s="682"/>
      <c r="G880" s="682"/>
      <c r="H880" s="915"/>
      <c r="I880" s="916"/>
      <c r="J880" s="916"/>
      <c r="K880" s="917"/>
      <c r="L880" s="917"/>
      <c r="M880" s="917"/>
      <c r="N880" s="917"/>
      <c r="O880" s="917"/>
      <c r="P880" s="917"/>
      <c r="Q880" s="578"/>
      <c r="R880" s="578"/>
      <c r="S880" s="578"/>
      <c r="T880" s="578"/>
      <c r="U880" s="578"/>
      <c r="V880" s="578"/>
      <c r="W880" s="578"/>
      <c r="X880" s="578"/>
      <c r="Y880" s="578"/>
      <c r="Z880" s="578"/>
    </row>
    <row r="881" spans="1:26" ht="18.75">
      <c r="A881" s="682"/>
      <c r="B881" s="682"/>
      <c r="C881" s="682"/>
      <c r="D881" s="914"/>
      <c r="E881" s="682"/>
      <c r="F881" s="682"/>
      <c r="G881" s="682"/>
      <c r="H881" s="915"/>
      <c r="I881" s="916"/>
      <c r="J881" s="916"/>
      <c r="K881" s="917"/>
      <c r="L881" s="917"/>
      <c r="M881" s="917"/>
      <c r="N881" s="917"/>
      <c r="O881" s="917"/>
      <c r="P881" s="917"/>
      <c r="Q881" s="578"/>
      <c r="R881" s="578"/>
      <c r="S881" s="578"/>
      <c r="T881" s="578"/>
      <c r="U881" s="578"/>
      <c r="V881" s="578"/>
      <c r="W881" s="578"/>
      <c r="X881" s="578"/>
      <c r="Y881" s="578"/>
      <c r="Z881" s="578"/>
    </row>
    <row r="882" spans="1:26" ht="18.75">
      <c r="A882" s="682"/>
      <c r="B882" s="682"/>
      <c r="C882" s="682"/>
      <c r="D882" s="914"/>
      <c r="E882" s="682"/>
      <c r="F882" s="682"/>
      <c r="G882" s="682"/>
      <c r="H882" s="915"/>
      <c r="I882" s="916"/>
      <c r="J882" s="916"/>
      <c r="K882" s="917"/>
      <c r="L882" s="917"/>
      <c r="M882" s="917"/>
      <c r="N882" s="917"/>
      <c r="O882" s="917"/>
      <c r="P882" s="917"/>
      <c r="Q882" s="578"/>
      <c r="R882" s="578"/>
      <c r="S882" s="578"/>
      <c r="T882" s="578"/>
      <c r="U882" s="578"/>
      <c r="V882" s="578"/>
      <c r="W882" s="578"/>
      <c r="X882" s="578"/>
      <c r="Y882" s="578"/>
      <c r="Z882" s="578"/>
    </row>
    <row r="883" spans="1:26" ht="18.75">
      <c r="A883" s="682"/>
      <c r="B883" s="682"/>
      <c r="C883" s="682"/>
      <c r="D883" s="914"/>
      <c r="E883" s="682"/>
      <c r="F883" s="682"/>
      <c r="G883" s="682"/>
      <c r="H883" s="915"/>
      <c r="I883" s="916"/>
      <c r="J883" s="916"/>
      <c r="K883" s="917"/>
      <c r="L883" s="917"/>
      <c r="M883" s="917"/>
      <c r="N883" s="917"/>
      <c r="O883" s="917"/>
      <c r="P883" s="917"/>
      <c r="Q883" s="578"/>
      <c r="R883" s="578"/>
      <c r="S883" s="578"/>
      <c r="T883" s="578"/>
      <c r="U883" s="578"/>
      <c r="V883" s="578"/>
      <c r="W883" s="578"/>
      <c r="X883" s="578"/>
      <c r="Y883" s="578"/>
      <c r="Z883" s="578"/>
    </row>
    <row r="884" spans="1:26" ht="18.75">
      <c r="A884" s="682"/>
      <c r="B884" s="682"/>
      <c r="C884" s="682"/>
      <c r="D884" s="914"/>
      <c r="E884" s="682"/>
      <c r="F884" s="682"/>
      <c r="G884" s="682"/>
      <c r="H884" s="915"/>
      <c r="I884" s="916"/>
      <c r="J884" s="916"/>
      <c r="K884" s="917"/>
      <c r="L884" s="917"/>
      <c r="M884" s="917"/>
      <c r="N884" s="917"/>
      <c r="O884" s="917"/>
      <c r="P884" s="917"/>
      <c r="Q884" s="578"/>
      <c r="R884" s="578"/>
      <c r="S884" s="578"/>
      <c r="T884" s="578"/>
      <c r="U884" s="578"/>
      <c r="V884" s="578"/>
      <c r="W884" s="578"/>
      <c r="X884" s="578"/>
      <c r="Y884" s="578"/>
      <c r="Z884" s="578"/>
    </row>
    <row r="885" spans="1:26" ht="18.75">
      <c r="A885" s="682"/>
      <c r="B885" s="682"/>
      <c r="C885" s="682"/>
      <c r="D885" s="914"/>
      <c r="E885" s="682"/>
      <c r="F885" s="682"/>
      <c r="G885" s="682"/>
      <c r="H885" s="915"/>
      <c r="I885" s="916"/>
      <c r="J885" s="916"/>
      <c r="K885" s="917"/>
      <c r="L885" s="917"/>
      <c r="M885" s="917"/>
      <c r="N885" s="917"/>
      <c r="O885" s="917"/>
      <c r="P885" s="917"/>
      <c r="Q885" s="578"/>
      <c r="R885" s="578"/>
      <c r="S885" s="578"/>
      <c r="T885" s="578"/>
      <c r="U885" s="578"/>
      <c r="V885" s="578"/>
      <c r="W885" s="578"/>
      <c r="X885" s="578"/>
      <c r="Y885" s="578"/>
      <c r="Z885" s="578"/>
    </row>
    <row r="886" spans="1:26" ht="18.75">
      <c r="A886" s="682"/>
      <c r="B886" s="682"/>
      <c r="C886" s="682"/>
      <c r="D886" s="914"/>
      <c r="E886" s="682"/>
      <c r="F886" s="682"/>
      <c r="G886" s="682"/>
      <c r="H886" s="915"/>
      <c r="I886" s="916"/>
      <c r="J886" s="916"/>
      <c r="K886" s="917"/>
      <c r="L886" s="917"/>
      <c r="M886" s="917"/>
      <c r="N886" s="917"/>
      <c r="O886" s="917"/>
      <c r="P886" s="917"/>
      <c r="Q886" s="578"/>
      <c r="R886" s="578"/>
      <c r="S886" s="578"/>
      <c r="T886" s="578"/>
      <c r="U886" s="578"/>
      <c r="V886" s="578"/>
      <c r="W886" s="578"/>
      <c r="X886" s="578"/>
      <c r="Y886" s="578"/>
      <c r="Z886" s="578"/>
    </row>
    <row r="887" spans="1:26" ht="18.75">
      <c r="A887" s="682"/>
      <c r="B887" s="682"/>
      <c r="C887" s="682"/>
      <c r="D887" s="914"/>
      <c r="E887" s="682"/>
      <c r="F887" s="682"/>
      <c r="G887" s="682"/>
      <c r="H887" s="915"/>
      <c r="I887" s="916"/>
      <c r="J887" s="916"/>
      <c r="K887" s="917"/>
      <c r="L887" s="917"/>
      <c r="M887" s="917"/>
      <c r="N887" s="917"/>
      <c r="O887" s="917"/>
      <c r="P887" s="917"/>
      <c r="Q887" s="578"/>
      <c r="R887" s="578"/>
      <c r="S887" s="578"/>
      <c r="T887" s="578"/>
      <c r="U887" s="578"/>
      <c r="V887" s="578"/>
      <c r="W887" s="578"/>
      <c r="X887" s="578"/>
      <c r="Y887" s="578"/>
      <c r="Z887" s="578"/>
    </row>
    <row r="888" spans="1:26" ht="18.75">
      <c r="A888" s="682"/>
      <c r="B888" s="682"/>
      <c r="C888" s="682"/>
      <c r="D888" s="914"/>
      <c r="E888" s="682"/>
      <c r="F888" s="682"/>
      <c r="G888" s="682"/>
      <c r="H888" s="915"/>
      <c r="I888" s="916"/>
      <c r="J888" s="916"/>
      <c r="K888" s="917"/>
      <c r="L888" s="917"/>
      <c r="M888" s="917"/>
      <c r="N888" s="917"/>
      <c r="O888" s="917"/>
      <c r="P888" s="917"/>
      <c r="Q888" s="578"/>
      <c r="R888" s="578"/>
      <c r="S888" s="578"/>
      <c r="T888" s="578"/>
      <c r="U888" s="578"/>
      <c r="V888" s="578"/>
      <c r="W888" s="578"/>
      <c r="X888" s="578"/>
      <c r="Y888" s="578"/>
      <c r="Z888" s="578"/>
    </row>
    <row r="889" spans="1:26" ht="18.75">
      <c r="A889" s="682"/>
      <c r="B889" s="682"/>
      <c r="C889" s="682"/>
      <c r="D889" s="914"/>
      <c r="E889" s="682"/>
      <c r="F889" s="682"/>
      <c r="G889" s="682"/>
      <c r="H889" s="915"/>
      <c r="I889" s="916"/>
      <c r="J889" s="916"/>
      <c r="K889" s="917"/>
      <c r="L889" s="917"/>
      <c r="M889" s="917"/>
      <c r="N889" s="917"/>
      <c r="O889" s="917"/>
      <c r="P889" s="917"/>
      <c r="Q889" s="578"/>
      <c r="R889" s="578"/>
      <c r="S889" s="578"/>
      <c r="T889" s="578"/>
      <c r="U889" s="578"/>
      <c r="V889" s="578"/>
      <c r="W889" s="578"/>
      <c r="X889" s="578"/>
      <c r="Y889" s="578"/>
      <c r="Z889" s="578"/>
    </row>
    <row r="890" spans="1:26" ht="18.75">
      <c r="A890" s="682"/>
      <c r="B890" s="682"/>
      <c r="C890" s="682"/>
      <c r="D890" s="914"/>
      <c r="E890" s="682"/>
      <c r="F890" s="682"/>
      <c r="G890" s="682"/>
      <c r="H890" s="915"/>
      <c r="I890" s="916"/>
      <c r="J890" s="916"/>
      <c r="K890" s="917"/>
      <c r="L890" s="917"/>
      <c r="M890" s="917"/>
      <c r="N890" s="917"/>
      <c r="O890" s="917"/>
      <c r="P890" s="917"/>
      <c r="Q890" s="578"/>
      <c r="R890" s="578"/>
      <c r="S890" s="578"/>
      <c r="T890" s="578"/>
      <c r="U890" s="578"/>
      <c r="V890" s="578"/>
      <c r="W890" s="578"/>
      <c r="X890" s="578"/>
      <c r="Y890" s="578"/>
      <c r="Z890" s="578"/>
    </row>
    <row r="891" spans="1:26" ht="18.75">
      <c r="A891" s="682"/>
      <c r="B891" s="682"/>
      <c r="C891" s="682"/>
      <c r="D891" s="914"/>
      <c r="E891" s="682"/>
      <c r="F891" s="682"/>
      <c r="G891" s="682"/>
      <c r="H891" s="915"/>
      <c r="I891" s="916"/>
      <c r="J891" s="916"/>
      <c r="K891" s="917"/>
      <c r="L891" s="917"/>
      <c r="M891" s="917"/>
      <c r="N891" s="917"/>
      <c r="O891" s="917"/>
      <c r="P891" s="917"/>
      <c r="Q891" s="578"/>
      <c r="R891" s="578"/>
      <c r="S891" s="578"/>
      <c r="T891" s="578"/>
      <c r="U891" s="578"/>
      <c r="V891" s="578"/>
      <c r="W891" s="578"/>
      <c r="X891" s="578"/>
      <c r="Y891" s="578"/>
      <c r="Z891" s="578"/>
    </row>
    <row r="892" spans="1:26" ht="18.75">
      <c r="A892" s="682"/>
      <c r="B892" s="682"/>
      <c r="C892" s="682"/>
      <c r="D892" s="914"/>
      <c r="E892" s="682"/>
      <c r="F892" s="682"/>
      <c r="G892" s="682"/>
      <c r="H892" s="915"/>
      <c r="I892" s="916"/>
      <c r="J892" s="916"/>
      <c r="K892" s="917"/>
      <c r="L892" s="917"/>
      <c r="M892" s="917"/>
      <c r="N892" s="917"/>
      <c r="O892" s="917"/>
      <c r="P892" s="917"/>
      <c r="Q892" s="578"/>
      <c r="R892" s="578"/>
      <c r="S892" s="578"/>
      <c r="T892" s="578"/>
      <c r="U892" s="578"/>
      <c r="V892" s="578"/>
      <c r="W892" s="578"/>
      <c r="X892" s="578"/>
      <c r="Y892" s="578"/>
      <c r="Z892" s="578"/>
    </row>
    <row r="893" spans="1:26" ht="18.75">
      <c r="A893" s="682"/>
      <c r="B893" s="682"/>
      <c r="C893" s="682"/>
      <c r="D893" s="914"/>
      <c r="E893" s="682"/>
      <c r="F893" s="682"/>
      <c r="G893" s="682"/>
      <c r="H893" s="915"/>
      <c r="I893" s="916"/>
      <c r="J893" s="916"/>
      <c r="K893" s="917"/>
      <c r="L893" s="917"/>
      <c r="M893" s="917"/>
      <c r="N893" s="917"/>
      <c r="O893" s="917"/>
      <c r="P893" s="917"/>
      <c r="Q893" s="578"/>
      <c r="R893" s="578"/>
      <c r="S893" s="578"/>
      <c r="T893" s="578"/>
      <c r="U893" s="578"/>
      <c r="V893" s="578"/>
      <c r="W893" s="578"/>
      <c r="X893" s="578"/>
      <c r="Y893" s="578"/>
      <c r="Z893" s="578"/>
    </row>
    <row r="894" spans="1:26" ht="18.75">
      <c r="A894" s="682"/>
      <c r="B894" s="682"/>
      <c r="C894" s="682"/>
      <c r="D894" s="914"/>
      <c r="E894" s="682"/>
      <c r="F894" s="682"/>
      <c r="G894" s="682"/>
      <c r="H894" s="915"/>
      <c r="I894" s="916"/>
      <c r="J894" s="916"/>
      <c r="K894" s="917"/>
      <c r="L894" s="917"/>
      <c r="M894" s="917"/>
      <c r="N894" s="917"/>
      <c r="O894" s="917"/>
      <c r="P894" s="917"/>
      <c r="Q894" s="578"/>
      <c r="R894" s="578"/>
      <c r="S894" s="578"/>
      <c r="T894" s="578"/>
      <c r="U894" s="578"/>
      <c r="V894" s="578"/>
      <c r="W894" s="578"/>
      <c r="X894" s="578"/>
      <c r="Y894" s="578"/>
      <c r="Z894" s="578"/>
    </row>
    <row r="895" spans="1:26" ht="18.75">
      <c r="A895" s="682"/>
      <c r="B895" s="682"/>
      <c r="C895" s="682"/>
      <c r="D895" s="914"/>
      <c r="E895" s="682"/>
      <c r="F895" s="682"/>
      <c r="G895" s="682"/>
      <c r="H895" s="915"/>
      <c r="I895" s="916"/>
      <c r="J895" s="916"/>
      <c r="K895" s="917"/>
      <c r="L895" s="917"/>
      <c r="M895" s="917"/>
      <c r="N895" s="917"/>
      <c r="O895" s="917"/>
      <c r="P895" s="917"/>
      <c r="Q895" s="578"/>
      <c r="R895" s="578"/>
      <c r="S895" s="578"/>
      <c r="T895" s="578"/>
      <c r="U895" s="578"/>
      <c r="V895" s="578"/>
      <c r="W895" s="578"/>
      <c r="X895" s="578"/>
      <c r="Y895" s="578"/>
      <c r="Z895" s="578"/>
    </row>
    <row r="896" spans="1:26" ht="18.75">
      <c r="A896" s="682"/>
      <c r="B896" s="682"/>
      <c r="C896" s="682"/>
      <c r="D896" s="914"/>
      <c r="E896" s="682"/>
      <c r="F896" s="682"/>
      <c r="G896" s="682"/>
      <c r="H896" s="915"/>
      <c r="I896" s="916"/>
      <c r="J896" s="916"/>
      <c r="K896" s="917"/>
      <c r="L896" s="917"/>
      <c r="M896" s="917"/>
      <c r="N896" s="917"/>
      <c r="O896" s="917"/>
      <c r="P896" s="917"/>
      <c r="Q896" s="578"/>
      <c r="R896" s="578"/>
      <c r="S896" s="578"/>
      <c r="T896" s="578"/>
      <c r="U896" s="578"/>
      <c r="V896" s="578"/>
      <c r="W896" s="578"/>
      <c r="X896" s="578"/>
      <c r="Y896" s="578"/>
      <c r="Z896" s="578"/>
    </row>
    <row r="897" spans="1:26" ht="18.75">
      <c r="A897" s="682"/>
      <c r="B897" s="682"/>
      <c r="C897" s="682"/>
      <c r="D897" s="914"/>
      <c r="E897" s="682"/>
      <c r="F897" s="682"/>
      <c r="G897" s="682"/>
      <c r="H897" s="915"/>
      <c r="I897" s="916"/>
      <c r="J897" s="916"/>
      <c r="K897" s="917"/>
      <c r="L897" s="917"/>
      <c r="M897" s="917"/>
      <c r="N897" s="917"/>
      <c r="O897" s="917"/>
      <c r="P897" s="917"/>
      <c r="Q897" s="578"/>
      <c r="R897" s="578"/>
      <c r="S897" s="578"/>
      <c r="T897" s="578"/>
      <c r="U897" s="578"/>
      <c r="V897" s="578"/>
      <c r="W897" s="578"/>
      <c r="X897" s="578"/>
      <c r="Y897" s="578"/>
      <c r="Z897" s="578"/>
    </row>
    <row r="898" spans="1:26" ht="18.75">
      <c r="A898" s="682"/>
      <c r="B898" s="682"/>
      <c r="C898" s="682"/>
      <c r="D898" s="914"/>
      <c r="E898" s="682"/>
      <c r="F898" s="682"/>
      <c r="G898" s="682"/>
      <c r="H898" s="915"/>
      <c r="I898" s="916"/>
      <c r="J898" s="916"/>
      <c r="K898" s="917"/>
      <c r="L898" s="917"/>
      <c r="M898" s="917"/>
      <c r="N898" s="917"/>
      <c r="O898" s="917"/>
      <c r="P898" s="917"/>
      <c r="Q898" s="578"/>
      <c r="R898" s="578"/>
      <c r="S898" s="578"/>
      <c r="T898" s="578"/>
      <c r="U898" s="578"/>
      <c r="V898" s="578"/>
      <c r="W898" s="578"/>
      <c r="X898" s="578"/>
      <c r="Y898" s="578"/>
      <c r="Z898" s="578"/>
    </row>
    <row r="899" spans="1:26" ht="18.75">
      <c r="A899" s="682"/>
      <c r="B899" s="682"/>
      <c r="C899" s="682"/>
      <c r="D899" s="914"/>
      <c r="E899" s="682"/>
      <c r="F899" s="682"/>
      <c r="G899" s="682"/>
      <c r="H899" s="915"/>
      <c r="I899" s="916"/>
      <c r="J899" s="916"/>
      <c r="K899" s="917"/>
      <c r="L899" s="917"/>
      <c r="M899" s="917"/>
      <c r="N899" s="917"/>
      <c r="O899" s="917"/>
      <c r="P899" s="917"/>
      <c r="Q899" s="578"/>
      <c r="R899" s="578"/>
      <c r="S899" s="578"/>
      <c r="T899" s="578"/>
      <c r="U899" s="578"/>
      <c r="V899" s="578"/>
      <c r="W899" s="578"/>
      <c r="X899" s="578"/>
      <c r="Y899" s="578"/>
      <c r="Z899" s="578"/>
    </row>
    <row r="900" spans="1:26" ht="18.75">
      <c r="A900" s="682"/>
      <c r="B900" s="682"/>
      <c r="C900" s="682"/>
      <c r="D900" s="914"/>
      <c r="E900" s="682"/>
      <c r="F900" s="682"/>
      <c r="G900" s="682"/>
      <c r="H900" s="915"/>
      <c r="I900" s="916"/>
      <c r="J900" s="916"/>
      <c r="K900" s="917"/>
      <c r="L900" s="917"/>
      <c r="M900" s="917"/>
      <c r="N900" s="917"/>
      <c r="O900" s="917"/>
      <c r="P900" s="917"/>
      <c r="Q900" s="578"/>
      <c r="R900" s="578"/>
      <c r="S900" s="578"/>
      <c r="T900" s="578"/>
      <c r="U900" s="578"/>
      <c r="V900" s="578"/>
      <c r="W900" s="578"/>
      <c r="X900" s="578"/>
      <c r="Y900" s="578"/>
      <c r="Z900" s="578"/>
    </row>
    <row r="901" spans="1:26" ht="18.75">
      <c r="A901" s="682"/>
      <c r="B901" s="682"/>
      <c r="C901" s="682"/>
      <c r="D901" s="914"/>
      <c r="E901" s="682"/>
      <c r="F901" s="682"/>
      <c r="G901" s="682"/>
      <c r="H901" s="915"/>
      <c r="I901" s="916"/>
      <c r="J901" s="916"/>
      <c r="K901" s="917"/>
      <c r="L901" s="917"/>
      <c r="M901" s="917"/>
      <c r="N901" s="917"/>
      <c r="O901" s="917"/>
      <c r="P901" s="917"/>
      <c r="Q901" s="578"/>
      <c r="R901" s="578"/>
      <c r="S901" s="578"/>
      <c r="T901" s="578"/>
      <c r="U901" s="578"/>
      <c r="V901" s="578"/>
      <c r="W901" s="578"/>
      <c r="X901" s="578"/>
      <c r="Y901" s="578"/>
      <c r="Z901" s="578"/>
    </row>
    <row r="902" spans="1:26" ht="18.75">
      <c r="A902" s="682"/>
      <c r="B902" s="682"/>
      <c r="C902" s="682"/>
      <c r="D902" s="914"/>
      <c r="E902" s="682"/>
      <c r="F902" s="682"/>
      <c r="G902" s="682"/>
      <c r="H902" s="915"/>
      <c r="I902" s="916"/>
      <c r="J902" s="916"/>
      <c r="K902" s="917"/>
      <c r="L902" s="917"/>
      <c r="M902" s="917"/>
      <c r="N902" s="917"/>
      <c r="O902" s="917"/>
      <c r="P902" s="917"/>
      <c r="Q902" s="578"/>
      <c r="R902" s="578"/>
      <c r="S902" s="578"/>
      <c r="T902" s="578"/>
      <c r="U902" s="578"/>
      <c r="V902" s="578"/>
      <c r="W902" s="578"/>
      <c r="X902" s="578"/>
      <c r="Y902" s="578"/>
      <c r="Z902" s="578"/>
    </row>
    <row r="903" spans="1:26" ht="18.75">
      <c r="A903" s="682"/>
      <c r="B903" s="682"/>
      <c r="C903" s="682"/>
      <c r="D903" s="914"/>
      <c r="E903" s="682"/>
      <c r="F903" s="682"/>
      <c r="G903" s="682"/>
      <c r="H903" s="915"/>
      <c r="I903" s="916"/>
      <c r="J903" s="916"/>
      <c r="K903" s="917"/>
      <c r="L903" s="917"/>
      <c r="M903" s="917"/>
      <c r="N903" s="917"/>
      <c r="O903" s="917"/>
      <c r="P903" s="917"/>
      <c r="Q903" s="578"/>
      <c r="R903" s="578"/>
      <c r="S903" s="578"/>
      <c r="T903" s="578"/>
      <c r="U903" s="578"/>
      <c r="V903" s="578"/>
      <c r="W903" s="578"/>
      <c r="X903" s="578"/>
      <c r="Y903" s="578"/>
      <c r="Z903" s="578"/>
    </row>
    <row r="904" spans="1:26" ht="18.75">
      <c r="A904" s="682"/>
      <c r="B904" s="682"/>
      <c r="C904" s="682"/>
      <c r="D904" s="914"/>
      <c r="E904" s="682"/>
      <c r="F904" s="682"/>
      <c r="G904" s="682"/>
      <c r="H904" s="915"/>
      <c r="I904" s="916"/>
      <c r="J904" s="916"/>
      <c r="K904" s="917"/>
      <c r="L904" s="917"/>
      <c r="M904" s="917"/>
      <c r="N904" s="917"/>
      <c r="O904" s="917"/>
      <c r="P904" s="917"/>
      <c r="Q904" s="578"/>
      <c r="R904" s="578"/>
      <c r="S904" s="578"/>
      <c r="T904" s="578"/>
      <c r="U904" s="578"/>
      <c r="V904" s="578"/>
      <c r="W904" s="578"/>
      <c r="X904" s="578"/>
      <c r="Y904" s="578"/>
      <c r="Z904" s="578"/>
    </row>
    <row r="905" spans="1:26" ht="18.75">
      <c r="A905" s="682"/>
      <c r="B905" s="682"/>
      <c r="C905" s="682"/>
      <c r="D905" s="914"/>
      <c r="E905" s="682"/>
      <c r="F905" s="682"/>
      <c r="G905" s="682"/>
      <c r="H905" s="915"/>
      <c r="I905" s="916"/>
      <c r="J905" s="916"/>
      <c r="K905" s="917"/>
      <c r="L905" s="917"/>
      <c r="M905" s="917"/>
      <c r="N905" s="917"/>
      <c r="O905" s="917"/>
      <c r="P905" s="917"/>
      <c r="Q905" s="578"/>
      <c r="R905" s="578"/>
      <c r="S905" s="578"/>
      <c r="T905" s="578"/>
      <c r="U905" s="578"/>
      <c r="V905" s="578"/>
      <c r="W905" s="578"/>
      <c r="X905" s="578"/>
      <c r="Y905" s="578"/>
      <c r="Z905" s="578"/>
    </row>
    <row r="906" spans="1:26" ht="18.75">
      <c r="A906" s="682"/>
      <c r="B906" s="682"/>
      <c r="C906" s="682"/>
      <c r="D906" s="914"/>
      <c r="E906" s="682"/>
      <c r="F906" s="682"/>
      <c r="G906" s="682"/>
      <c r="H906" s="915"/>
      <c r="I906" s="916"/>
      <c r="J906" s="916"/>
      <c r="K906" s="917"/>
      <c r="L906" s="917"/>
      <c r="M906" s="917"/>
      <c r="N906" s="917"/>
      <c r="O906" s="917"/>
      <c r="P906" s="917"/>
      <c r="Q906" s="578"/>
      <c r="R906" s="578"/>
      <c r="S906" s="578"/>
      <c r="T906" s="578"/>
      <c r="U906" s="578"/>
      <c r="V906" s="578"/>
      <c r="W906" s="578"/>
      <c r="X906" s="578"/>
      <c r="Y906" s="578"/>
      <c r="Z906" s="578"/>
    </row>
    <row r="907" spans="1:26" ht="18.75">
      <c r="A907" s="682"/>
      <c r="B907" s="682"/>
      <c r="C907" s="682"/>
      <c r="D907" s="914"/>
      <c r="E907" s="682"/>
      <c r="F907" s="682"/>
      <c r="G907" s="682"/>
      <c r="H907" s="915"/>
      <c r="I907" s="916"/>
      <c r="J907" s="916"/>
      <c r="K907" s="917"/>
      <c r="L907" s="917"/>
      <c r="M907" s="917"/>
      <c r="N907" s="917"/>
      <c r="O907" s="917"/>
      <c r="P907" s="917"/>
      <c r="Q907" s="578"/>
      <c r="R907" s="578"/>
      <c r="S907" s="578"/>
      <c r="T907" s="578"/>
      <c r="U907" s="578"/>
      <c r="V907" s="578"/>
      <c r="W907" s="578"/>
      <c r="X907" s="578"/>
      <c r="Y907" s="578"/>
      <c r="Z907" s="578"/>
    </row>
    <row r="908" spans="1:26" ht="18.75">
      <c r="A908" s="682"/>
      <c r="B908" s="682"/>
      <c r="C908" s="682"/>
      <c r="D908" s="914"/>
      <c r="E908" s="682"/>
      <c r="F908" s="682"/>
      <c r="G908" s="682"/>
      <c r="H908" s="915"/>
      <c r="I908" s="916"/>
      <c r="J908" s="916"/>
      <c r="K908" s="917"/>
      <c r="L908" s="917"/>
      <c r="M908" s="917"/>
      <c r="N908" s="917"/>
      <c r="O908" s="917"/>
      <c r="P908" s="917"/>
      <c r="Q908" s="578"/>
      <c r="R908" s="578"/>
      <c r="S908" s="578"/>
      <c r="T908" s="578"/>
      <c r="U908" s="578"/>
      <c r="V908" s="578"/>
      <c r="W908" s="578"/>
      <c r="X908" s="578"/>
      <c r="Y908" s="578"/>
      <c r="Z908" s="578"/>
    </row>
    <row r="909" spans="1:26" ht="18.75">
      <c r="A909" s="682"/>
      <c r="B909" s="682"/>
      <c r="C909" s="682"/>
      <c r="D909" s="914"/>
      <c r="E909" s="682"/>
      <c r="F909" s="682"/>
      <c r="G909" s="682"/>
      <c r="H909" s="915"/>
      <c r="I909" s="916"/>
      <c r="J909" s="916"/>
      <c r="K909" s="917"/>
      <c r="L909" s="917"/>
      <c r="M909" s="917"/>
      <c r="N909" s="917"/>
      <c r="O909" s="917"/>
      <c r="P909" s="917"/>
      <c r="Q909" s="578"/>
      <c r="R909" s="578"/>
      <c r="S909" s="578"/>
      <c r="T909" s="578"/>
      <c r="U909" s="578"/>
      <c r="V909" s="578"/>
      <c r="W909" s="578"/>
      <c r="X909" s="578"/>
      <c r="Y909" s="578"/>
      <c r="Z909" s="578"/>
    </row>
    <row r="910" spans="1:26" ht="18.75">
      <c r="A910" s="682"/>
      <c r="B910" s="682"/>
      <c r="C910" s="682"/>
      <c r="D910" s="914"/>
      <c r="E910" s="682"/>
      <c r="F910" s="682"/>
      <c r="G910" s="682"/>
      <c r="H910" s="915"/>
      <c r="I910" s="916"/>
      <c r="J910" s="916"/>
      <c r="K910" s="917"/>
      <c r="L910" s="917"/>
      <c r="M910" s="917"/>
      <c r="N910" s="917"/>
      <c r="O910" s="917"/>
      <c r="P910" s="917"/>
      <c r="Q910" s="578"/>
      <c r="R910" s="578"/>
      <c r="S910" s="578"/>
      <c r="T910" s="578"/>
      <c r="U910" s="578"/>
      <c r="V910" s="578"/>
      <c r="W910" s="578"/>
      <c r="X910" s="578"/>
      <c r="Y910" s="578"/>
      <c r="Z910" s="578"/>
    </row>
    <row r="911" spans="1:26" ht="18.75">
      <c r="A911" s="682"/>
      <c r="B911" s="682"/>
      <c r="C911" s="682"/>
      <c r="D911" s="914"/>
      <c r="E911" s="682"/>
      <c r="F911" s="682"/>
      <c r="G911" s="682"/>
      <c r="H911" s="915"/>
      <c r="I911" s="916"/>
      <c r="J911" s="916"/>
      <c r="K911" s="917"/>
      <c r="L911" s="917"/>
      <c r="M911" s="917"/>
      <c r="N911" s="917"/>
      <c r="O911" s="917"/>
      <c r="P911" s="917"/>
      <c r="Q911" s="578"/>
      <c r="R911" s="578"/>
      <c r="S911" s="578"/>
      <c r="T911" s="578"/>
      <c r="U911" s="578"/>
      <c r="V911" s="578"/>
      <c r="W911" s="578"/>
      <c r="X911" s="578"/>
      <c r="Y911" s="578"/>
      <c r="Z911" s="578"/>
    </row>
    <row r="912" spans="1:26" ht="18.75">
      <c r="A912" s="682"/>
      <c r="B912" s="682"/>
      <c r="C912" s="682"/>
      <c r="D912" s="914"/>
      <c r="E912" s="682"/>
      <c r="F912" s="682"/>
      <c r="G912" s="682"/>
      <c r="H912" s="915"/>
      <c r="I912" s="916"/>
      <c r="J912" s="916"/>
      <c r="K912" s="917"/>
      <c r="L912" s="917"/>
      <c r="M912" s="917"/>
      <c r="N912" s="917"/>
      <c r="O912" s="917"/>
      <c r="P912" s="917"/>
      <c r="Q912" s="578"/>
      <c r="R912" s="578"/>
      <c r="S912" s="578"/>
      <c r="T912" s="578"/>
      <c r="U912" s="578"/>
      <c r="V912" s="578"/>
      <c r="W912" s="578"/>
      <c r="X912" s="578"/>
      <c r="Y912" s="578"/>
      <c r="Z912" s="578"/>
    </row>
    <row r="913" spans="1:26" ht="18.75">
      <c r="A913" s="682"/>
      <c r="B913" s="682"/>
      <c r="C913" s="682"/>
      <c r="D913" s="914"/>
      <c r="E913" s="682"/>
      <c r="F913" s="682"/>
      <c r="G913" s="682"/>
      <c r="H913" s="915"/>
      <c r="I913" s="916"/>
      <c r="J913" s="916"/>
      <c r="K913" s="917"/>
      <c r="L913" s="917"/>
      <c r="M913" s="917"/>
      <c r="N913" s="917"/>
      <c r="O913" s="917"/>
      <c r="P913" s="917"/>
      <c r="Q913" s="578"/>
      <c r="R913" s="578"/>
      <c r="S913" s="578"/>
      <c r="T913" s="578"/>
      <c r="U913" s="578"/>
      <c r="V913" s="578"/>
      <c r="W913" s="578"/>
      <c r="X913" s="578"/>
      <c r="Y913" s="578"/>
      <c r="Z913" s="578"/>
    </row>
    <row r="914" spans="1:26" ht="18.75">
      <c r="A914" s="682"/>
      <c r="B914" s="682"/>
      <c r="C914" s="682"/>
      <c r="D914" s="914"/>
      <c r="E914" s="682"/>
      <c r="F914" s="682"/>
      <c r="G914" s="682"/>
      <c r="H914" s="915"/>
      <c r="I914" s="916"/>
      <c r="J914" s="916"/>
      <c r="K914" s="917"/>
      <c r="L914" s="917"/>
      <c r="M914" s="917"/>
      <c r="N914" s="917"/>
      <c r="O914" s="917"/>
      <c r="P914" s="917"/>
      <c r="Q914" s="578"/>
      <c r="R914" s="578"/>
      <c r="S914" s="578"/>
      <c r="T914" s="578"/>
      <c r="U914" s="578"/>
      <c r="V914" s="578"/>
      <c r="W914" s="578"/>
      <c r="X914" s="578"/>
      <c r="Y914" s="578"/>
      <c r="Z914" s="578"/>
    </row>
    <row r="915" spans="1:26" ht="18.75">
      <c r="A915" s="682"/>
      <c r="B915" s="682"/>
      <c r="C915" s="682"/>
      <c r="D915" s="914"/>
      <c r="E915" s="682"/>
      <c r="F915" s="682"/>
      <c r="G915" s="682"/>
      <c r="H915" s="915"/>
      <c r="I915" s="916"/>
      <c r="J915" s="916"/>
      <c r="K915" s="917"/>
      <c r="L915" s="917"/>
      <c r="M915" s="917"/>
      <c r="N915" s="917"/>
      <c r="O915" s="917"/>
      <c r="P915" s="917"/>
      <c r="Q915" s="578"/>
      <c r="R915" s="578"/>
      <c r="S915" s="578"/>
      <c r="T915" s="578"/>
      <c r="U915" s="578"/>
      <c r="V915" s="578"/>
      <c r="W915" s="578"/>
      <c r="X915" s="578"/>
      <c r="Y915" s="578"/>
      <c r="Z915" s="578"/>
    </row>
    <row r="916" spans="1:26" ht="18.75">
      <c r="A916" s="682"/>
      <c r="B916" s="682"/>
      <c r="C916" s="682"/>
      <c r="D916" s="914"/>
      <c r="E916" s="682"/>
      <c r="F916" s="682"/>
      <c r="G916" s="682"/>
      <c r="H916" s="915"/>
      <c r="I916" s="916"/>
      <c r="J916" s="916"/>
      <c r="K916" s="917"/>
      <c r="L916" s="917"/>
      <c r="M916" s="917"/>
      <c r="N916" s="917"/>
      <c r="O916" s="917"/>
      <c r="P916" s="917"/>
      <c r="Q916" s="578"/>
      <c r="R916" s="578"/>
      <c r="S916" s="578"/>
      <c r="T916" s="578"/>
      <c r="U916" s="578"/>
      <c r="V916" s="578"/>
      <c r="W916" s="578"/>
      <c r="X916" s="578"/>
      <c r="Y916" s="578"/>
      <c r="Z916" s="578"/>
    </row>
    <row r="917" spans="1:26" ht="18.75">
      <c r="A917" s="682"/>
      <c r="B917" s="682"/>
      <c r="C917" s="682"/>
      <c r="D917" s="914"/>
      <c r="E917" s="682"/>
      <c r="F917" s="682"/>
      <c r="G917" s="682"/>
      <c r="H917" s="915"/>
      <c r="I917" s="916"/>
      <c r="J917" s="916"/>
      <c r="K917" s="917"/>
      <c r="L917" s="917"/>
      <c r="M917" s="917"/>
      <c r="N917" s="917"/>
      <c r="O917" s="917"/>
      <c r="P917" s="917"/>
      <c r="Q917" s="578"/>
      <c r="R917" s="578"/>
      <c r="S917" s="578"/>
      <c r="T917" s="578"/>
      <c r="U917" s="578"/>
      <c r="V917" s="578"/>
      <c r="W917" s="578"/>
      <c r="X917" s="578"/>
      <c r="Y917" s="578"/>
      <c r="Z917" s="578"/>
    </row>
    <row r="918" spans="1:26" ht="18.75">
      <c r="A918" s="682"/>
      <c r="B918" s="682"/>
      <c r="C918" s="682"/>
      <c r="D918" s="914"/>
      <c r="E918" s="682"/>
      <c r="F918" s="682"/>
      <c r="G918" s="682"/>
      <c r="H918" s="915"/>
      <c r="I918" s="916"/>
      <c r="J918" s="916"/>
      <c r="K918" s="917"/>
      <c r="L918" s="917"/>
      <c r="M918" s="917"/>
      <c r="N918" s="917"/>
      <c r="O918" s="917"/>
      <c r="P918" s="917"/>
      <c r="Q918" s="578"/>
      <c r="R918" s="578"/>
      <c r="S918" s="578"/>
      <c r="T918" s="578"/>
      <c r="U918" s="578"/>
      <c r="V918" s="578"/>
      <c r="W918" s="578"/>
      <c r="X918" s="578"/>
      <c r="Y918" s="578"/>
      <c r="Z918" s="578"/>
    </row>
    <row r="919" spans="1:26" ht="18.75">
      <c r="A919" s="682"/>
      <c r="B919" s="682"/>
      <c r="C919" s="682"/>
      <c r="D919" s="914"/>
      <c r="E919" s="682"/>
      <c r="F919" s="682"/>
      <c r="G919" s="682"/>
      <c r="H919" s="915"/>
      <c r="I919" s="916"/>
      <c r="J919" s="916"/>
      <c r="K919" s="917"/>
      <c r="L919" s="917"/>
      <c r="M919" s="917"/>
      <c r="N919" s="917"/>
      <c r="O919" s="917"/>
      <c r="P919" s="917"/>
      <c r="Q919" s="578"/>
      <c r="R919" s="578"/>
      <c r="S919" s="578"/>
      <c r="T919" s="578"/>
      <c r="U919" s="578"/>
      <c r="V919" s="578"/>
      <c r="W919" s="578"/>
      <c r="X919" s="578"/>
      <c r="Y919" s="578"/>
      <c r="Z919" s="578"/>
    </row>
    <row r="920" spans="1:26" ht="18.75">
      <c r="A920" s="682"/>
      <c r="B920" s="682"/>
      <c r="C920" s="682"/>
      <c r="D920" s="914"/>
      <c r="E920" s="682"/>
      <c r="F920" s="682"/>
      <c r="G920" s="682"/>
      <c r="H920" s="915"/>
      <c r="I920" s="916"/>
      <c r="J920" s="916"/>
      <c r="K920" s="917"/>
      <c r="L920" s="917"/>
      <c r="M920" s="917"/>
      <c r="N920" s="917"/>
      <c r="O920" s="917"/>
      <c r="P920" s="917"/>
      <c r="Q920" s="578"/>
      <c r="R920" s="578"/>
      <c r="S920" s="578"/>
      <c r="T920" s="578"/>
      <c r="U920" s="578"/>
      <c r="V920" s="578"/>
      <c r="W920" s="578"/>
      <c r="X920" s="578"/>
      <c r="Y920" s="578"/>
      <c r="Z920" s="578"/>
    </row>
    <row r="921" spans="1:26" ht="18.75">
      <c r="A921" s="682"/>
      <c r="B921" s="682"/>
      <c r="C921" s="682"/>
      <c r="D921" s="914"/>
      <c r="E921" s="682"/>
      <c r="F921" s="682"/>
      <c r="G921" s="682"/>
      <c r="H921" s="915"/>
      <c r="I921" s="916"/>
      <c r="J921" s="916"/>
      <c r="K921" s="917"/>
      <c r="L921" s="917"/>
      <c r="M921" s="917"/>
      <c r="N921" s="917"/>
      <c r="O921" s="917"/>
      <c r="P921" s="917"/>
      <c r="Q921" s="578"/>
      <c r="R921" s="578"/>
      <c r="S921" s="578"/>
      <c r="T921" s="578"/>
      <c r="U921" s="578"/>
      <c r="V921" s="578"/>
      <c r="W921" s="578"/>
      <c r="X921" s="578"/>
      <c r="Y921" s="578"/>
      <c r="Z921" s="578"/>
    </row>
    <row r="922" spans="1:26" ht="18.75">
      <c r="A922" s="682"/>
      <c r="B922" s="682"/>
      <c r="C922" s="682"/>
      <c r="D922" s="914"/>
      <c r="E922" s="682"/>
      <c r="F922" s="682"/>
      <c r="G922" s="682"/>
      <c r="H922" s="915"/>
      <c r="I922" s="916"/>
      <c r="J922" s="916"/>
      <c r="K922" s="917"/>
      <c r="L922" s="917"/>
      <c r="M922" s="917"/>
      <c r="N922" s="917"/>
      <c r="O922" s="917"/>
      <c r="P922" s="917"/>
      <c r="Q922" s="578"/>
      <c r="R922" s="578"/>
      <c r="S922" s="578"/>
      <c r="T922" s="578"/>
      <c r="U922" s="578"/>
      <c r="V922" s="578"/>
      <c r="W922" s="578"/>
      <c r="X922" s="578"/>
      <c r="Y922" s="578"/>
      <c r="Z922" s="578"/>
    </row>
    <row r="923" spans="1:26" ht="18.75">
      <c r="A923" s="682"/>
      <c r="B923" s="682"/>
      <c r="C923" s="682"/>
      <c r="D923" s="914"/>
      <c r="E923" s="682"/>
      <c r="F923" s="682"/>
      <c r="G923" s="682"/>
      <c r="H923" s="915"/>
      <c r="I923" s="916"/>
      <c r="J923" s="916"/>
      <c r="K923" s="917"/>
      <c r="L923" s="917"/>
      <c r="M923" s="917"/>
      <c r="N923" s="917"/>
      <c r="O923" s="917"/>
      <c r="P923" s="917"/>
      <c r="Q923" s="578"/>
      <c r="R923" s="578"/>
      <c r="S923" s="578"/>
      <c r="T923" s="578"/>
      <c r="U923" s="578"/>
      <c r="V923" s="578"/>
      <c r="W923" s="578"/>
      <c r="X923" s="578"/>
      <c r="Y923" s="578"/>
      <c r="Z923" s="578"/>
    </row>
    <row r="924" spans="1:26" ht="18.75">
      <c r="A924" s="682"/>
      <c r="B924" s="682"/>
      <c r="C924" s="682"/>
      <c r="D924" s="914"/>
      <c r="E924" s="682"/>
      <c r="F924" s="682"/>
      <c r="G924" s="682"/>
      <c r="H924" s="915"/>
      <c r="I924" s="916"/>
      <c r="J924" s="916"/>
      <c r="K924" s="917"/>
      <c r="L924" s="917"/>
      <c r="M924" s="917"/>
      <c r="N924" s="917"/>
      <c r="O924" s="917"/>
      <c r="P924" s="917"/>
      <c r="Q924" s="578"/>
      <c r="R924" s="578"/>
      <c r="S924" s="578"/>
      <c r="T924" s="578"/>
      <c r="U924" s="578"/>
      <c r="V924" s="578"/>
      <c r="W924" s="578"/>
      <c r="X924" s="578"/>
      <c r="Y924" s="578"/>
      <c r="Z924" s="578"/>
    </row>
    <row r="925" spans="1:26" ht="18.75">
      <c r="A925" s="682"/>
      <c r="B925" s="682"/>
      <c r="C925" s="682"/>
      <c r="D925" s="914"/>
      <c r="E925" s="682"/>
      <c r="F925" s="682"/>
      <c r="G925" s="682"/>
      <c r="H925" s="915"/>
      <c r="I925" s="916"/>
      <c r="J925" s="916"/>
      <c r="K925" s="917"/>
      <c r="L925" s="917"/>
      <c r="M925" s="917"/>
      <c r="N925" s="917"/>
      <c r="O925" s="917"/>
      <c r="P925" s="917"/>
      <c r="Q925" s="578"/>
      <c r="R925" s="578"/>
      <c r="S925" s="578"/>
      <c r="T925" s="578"/>
      <c r="U925" s="578"/>
      <c r="V925" s="578"/>
      <c r="W925" s="578"/>
      <c r="X925" s="578"/>
      <c r="Y925" s="578"/>
      <c r="Z925" s="578"/>
    </row>
    <row r="926" spans="1:26" ht="18.75">
      <c r="A926" s="682"/>
      <c r="B926" s="682"/>
      <c r="C926" s="682"/>
      <c r="D926" s="914"/>
      <c r="E926" s="682"/>
      <c r="F926" s="682"/>
      <c r="G926" s="682"/>
      <c r="H926" s="915"/>
      <c r="I926" s="916"/>
      <c r="J926" s="916"/>
      <c r="K926" s="917"/>
      <c r="L926" s="917"/>
      <c r="M926" s="917"/>
      <c r="N926" s="917"/>
      <c r="O926" s="917"/>
      <c r="P926" s="917"/>
      <c r="Q926" s="578"/>
      <c r="R926" s="578"/>
      <c r="S926" s="578"/>
      <c r="T926" s="578"/>
      <c r="U926" s="578"/>
      <c r="V926" s="578"/>
      <c r="W926" s="578"/>
      <c r="X926" s="578"/>
      <c r="Y926" s="578"/>
      <c r="Z926" s="578"/>
    </row>
    <row r="927" spans="1:26" ht="18.75">
      <c r="A927" s="682"/>
      <c r="B927" s="682"/>
      <c r="C927" s="682"/>
      <c r="D927" s="914"/>
      <c r="E927" s="682"/>
      <c r="F927" s="682"/>
      <c r="G927" s="682"/>
      <c r="H927" s="915"/>
      <c r="I927" s="916"/>
      <c r="J927" s="916"/>
      <c r="K927" s="917"/>
      <c r="L927" s="917"/>
      <c r="M927" s="917"/>
      <c r="N927" s="917"/>
      <c r="O927" s="917"/>
      <c r="P927" s="917"/>
      <c r="Q927" s="578"/>
      <c r="R927" s="578"/>
      <c r="S927" s="578"/>
      <c r="T927" s="578"/>
      <c r="U927" s="578"/>
      <c r="V927" s="578"/>
      <c r="W927" s="578"/>
      <c r="X927" s="578"/>
      <c r="Y927" s="578"/>
      <c r="Z927" s="578"/>
    </row>
    <row r="928" spans="1:26" ht="18.75">
      <c r="A928" s="682"/>
      <c r="B928" s="682"/>
      <c r="C928" s="682"/>
      <c r="D928" s="914"/>
      <c r="E928" s="682"/>
      <c r="F928" s="682"/>
      <c r="G928" s="682"/>
      <c r="H928" s="915"/>
      <c r="I928" s="916"/>
      <c r="J928" s="916"/>
      <c r="K928" s="917"/>
      <c r="L928" s="917"/>
      <c r="M928" s="917"/>
      <c r="N928" s="917"/>
      <c r="O928" s="917"/>
      <c r="P928" s="917"/>
      <c r="Q928" s="578"/>
      <c r="R928" s="578"/>
      <c r="S928" s="578"/>
      <c r="T928" s="578"/>
      <c r="U928" s="578"/>
      <c r="V928" s="578"/>
      <c r="W928" s="578"/>
      <c r="X928" s="578"/>
      <c r="Y928" s="578"/>
      <c r="Z928" s="578"/>
    </row>
    <row r="929" spans="1:26" ht="18.75">
      <c r="A929" s="682"/>
      <c r="B929" s="682"/>
      <c r="C929" s="682"/>
      <c r="D929" s="914"/>
      <c r="E929" s="682"/>
      <c r="F929" s="682"/>
      <c r="G929" s="682"/>
      <c r="H929" s="915"/>
      <c r="I929" s="916"/>
      <c r="J929" s="916"/>
      <c r="K929" s="917"/>
      <c r="L929" s="917"/>
      <c r="M929" s="917"/>
      <c r="N929" s="917"/>
      <c r="O929" s="917"/>
      <c r="P929" s="917"/>
      <c r="Q929" s="578"/>
      <c r="R929" s="578"/>
      <c r="S929" s="578"/>
      <c r="T929" s="578"/>
      <c r="U929" s="578"/>
      <c r="V929" s="578"/>
      <c r="W929" s="578"/>
      <c r="X929" s="578"/>
      <c r="Y929" s="578"/>
      <c r="Z929" s="578"/>
    </row>
    <row r="930" spans="1:26" ht="18.75">
      <c r="A930" s="682"/>
      <c r="B930" s="682"/>
      <c r="C930" s="682"/>
      <c r="D930" s="914"/>
      <c r="E930" s="682"/>
      <c r="F930" s="682"/>
      <c r="G930" s="682"/>
      <c r="H930" s="915"/>
      <c r="I930" s="916"/>
      <c r="J930" s="916"/>
      <c r="K930" s="917"/>
      <c r="L930" s="917"/>
      <c r="M930" s="917"/>
      <c r="N930" s="917"/>
      <c r="O930" s="917"/>
      <c r="P930" s="917"/>
      <c r="Q930" s="578"/>
      <c r="R930" s="578"/>
      <c r="S930" s="578"/>
      <c r="T930" s="578"/>
      <c r="U930" s="578"/>
      <c r="V930" s="578"/>
      <c r="W930" s="578"/>
      <c r="X930" s="578"/>
      <c r="Y930" s="578"/>
      <c r="Z930" s="578"/>
    </row>
    <row r="931" spans="1:26" ht="18.75">
      <c r="A931" s="682"/>
      <c r="B931" s="682"/>
      <c r="C931" s="682"/>
      <c r="D931" s="914"/>
      <c r="E931" s="682"/>
      <c r="F931" s="682"/>
      <c r="G931" s="682"/>
      <c r="H931" s="915"/>
      <c r="I931" s="916"/>
      <c r="J931" s="916"/>
      <c r="K931" s="917"/>
      <c r="L931" s="917"/>
      <c r="M931" s="917"/>
      <c r="N931" s="917"/>
      <c r="O931" s="917"/>
      <c r="P931" s="917"/>
      <c r="Q931" s="578"/>
      <c r="R931" s="578"/>
      <c r="S931" s="578"/>
      <c r="T931" s="578"/>
      <c r="U931" s="578"/>
      <c r="V931" s="578"/>
      <c r="W931" s="578"/>
      <c r="X931" s="578"/>
      <c r="Y931" s="578"/>
      <c r="Z931" s="578"/>
    </row>
    <row r="932" spans="1:26" ht="18.75">
      <c r="A932" s="682"/>
      <c r="B932" s="682"/>
      <c r="C932" s="682"/>
      <c r="D932" s="914"/>
      <c r="E932" s="682"/>
      <c r="F932" s="682"/>
      <c r="G932" s="682"/>
      <c r="H932" s="915"/>
      <c r="I932" s="916"/>
      <c r="J932" s="916"/>
      <c r="K932" s="917"/>
      <c r="L932" s="917"/>
      <c r="M932" s="917"/>
      <c r="N932" s="917"/>
      <c r="O932" s="917"/>
      <c r="P932" s="917"/>
      <c r="Q932" s="578"/>
      <c r="R932" s="578"/>
      <c r="S932" s="578"/>
      <c r="T932" s="578"/>
      <c r="U932" s="578"/>
      <c r="V932" s="578"/>
      <c r="W932" s="578"/>
      <c r="X932" s="578"/>
      <c r="Y932" s="578"/>
      <c r="Z932" s="578"/>
    </row>
    <row r="933" spans="1:26" ht="18.75">
      <c r="A933" s="682"/>
      <c r="B933" s="682"/>
      <c r="C933" s="682"/>
      <c r="D933" s="914"/>
      <c r="E933" s="682"/>
      <c r="F933" s="682"/>
      <c r="G933" s="682"/>
      <c r="H933" s="915"/>
      <c r="I933" s="916"/>
      <c r="J933" s="916"/>
      <c r="K933" s="917"/>
      <c r="L933" s="917"/>
      <c r="M933" s="917"/>
      <c r="N933" s="917"/>
      <c r="O933" s="917"/>
      <c r="P933" s="917"/>
      <c r="Q933" s="578"/>
      <c r="R933" s="578"/>
      <c r="S933" s="578"/>
      <c r="T933" s="578"/>
      <c r="U933" s="578"/>
      <c r="V933" s="578"/>
      <c r="W933" s="578"/>
      <c r="X933" s="578"/>
      <c r="Y933" s="578"/>
      <c r="Z933" s="578"/>
    </row>
    <row r="934" spans="1:26" ht="18.75">
      <c r="A934" s="682"/>
      <c r="B934" s="682"/>
      <c r="C934" s="682"/>
      <c r="D934" s="914"/>
      <c r="E934" s="682"/>
      <c r="F934" s="682"/>
      <c r="G934" s="682"/>
      <c r="H934" s="915"/>
      <c r="I934" s="916"/>
      <c r="J934" s="916"/>
      <c r="K934" s="917"/>
      <c r="L934" s="917"/>
      <c r="M934" s="917"/>
      <c r="N934" s="917"/>
      <c r="O934" s="917"/>
      <c r="P934" s="917"/>
      <c r="Q934" s="578"/>
      <c r="R934" s="578"/>
      <c r="S934" s="578"/>
      <c r="T934" s="578"/>
      <c r="U934" s="578"/>
      <c r="V934" s="578"/>
      <c r="W934" s="578"/>
      <c r="X934" s="578"/>
      <c r="Y934" s="578"/>
      <c r="Z934" s="578"/>
    </row>
    <row r="935" spans="1:26" ht="18.75">
      <c r="A935" s="682"/>
      <c r="B935" s="682"/>
      <c r="C935" s="682"/>
      <c r="D935" s="914"/>
      <c r="E935" s="682"/>
      <c r="F935" s="682"/>
      <c r="G935" s="682"/>
      <c r="H935" s="915"/>
      <c r="I935" s="916"/>
      <c r="J935" s="916"/>
      <c r="K935" s="917"/>
      <c r="L935" s="917"/>
      <c r="M935" s="917"/>
      <c r="N935" s="917"/>
      <c r="O935" s="917"/>
      <c r="P935" s="917"/>
      <c r="Q935" s="578"/>
      <c r="R935" s="578"/>
      <c r="S935" s="578"/>
      <c r="T935" s="578"/>
      <c r="U935" s="578"/>
      <c r="V935" s="578"/>
      <c r="W935" s="578"/>
      <c r="X935" s="578"/>
      <c r="Y935" s="578"/>
      <c r="Z935" s="578"/>
    </row>
    <row r="936" spans="1:26" ht="18.75">
      <c r="A936" s="682"/>
      <c r="B936" s="682"/>
      <c r="C936" s="682"/>
      <c r="D936" s="914"/>
      <c r="E936" s="682"/>
      <c r="F936" s="682"/>
      <c r="G936" s="682"/>
      <c r="H936" s="915"/>
      <c r="I936" s="916"/>
      <c r="J936" s="916"/>
      <c r="K936" s="917"/>
      <c r="L936" s="917"/>
      <c r="M936" s="917"/>
      <c r="N936" s="917"/>
      <c r="O936" s="917"/>
      <c r="P936" s="917"/>
      <c r="Q936" s="578"/>
      <c r="R936" s="578"/>
      <c r="S936" s="578"/>
      <c r="T936" s="578"/>
      <c r="U936" s="578"/>
      <c r="V936" s="578"/>
      <c r="W936" s="578"/>
      <c r="X936" s="578"/>
      <c r="Y936" s="578"/>
      <c r="Z936" s="578"/>
    </row>
    <row r="937" spans="1:26" ht="18.75">
      <c r="A937" s="682"/>
      <c r="B937" s="682"/>
      <c r="C937" s="682"/>
      <c r="D937" s="914"/>
      <c r="E937" s="682"/>
      <c r="F937" s="682"/>
      <c r="G937" s="682"/>
      <c r="H937" s="915"/>
      <c r="I937" s="916"/>
      <c r="J937" s="916"/>
      <c r="K937" s="917"/>
      <c r="L937" s="917"/>
      <c r="M937" s="917"/>
      <c r="N937" s="917"/>
      <c r="O937" s="917"/>
      <c r="P937" s="917"/>
      <c r="Q937" s="578"/>
      <c r="R937" s="578"/>
      <c r="S937" s="578"/>
      <c r="T937" s="578"/>
      <c r="U937" s="578"/>
      <c r="V937" s="578"/>
      <c r="W937" s="578"/>
      <c r="X937" s="578"/>
      <c r="Y937" s="578"/>
      <c r="Z937" s="578"/>
    </row>
    <row r="938" spans="1:26" ht="18.75">
      <c r="A938" s="682"/>
      <c r="B938" s="682"/>
      <c r="C938" s="682"/>
      <c r="D938" s="914"/>
      <c r="E938" s="682"/>
      <c r="F938" s="682"/>
      <c r="G938" s="682"/>
      <c r="H938" s="915"/>
      <c r="I938" s="916"/>
      <c r="J938" s="916"/>
      <c r="K938" s="917"/>
      <c r="L938" s="917"/>
      <c r="M938" s="917"/>
      <c r="N938" s="917"/>
      <c r="O938" s="917"/>
      <c r="P938" s="917"/>
      <c r="Q938" s="578"/>
      <c r="R938" s="578"/>
      <c r="S938" s="578"/>
      <c r="T938" s="578"/>
      <c r="U938" s="578"/>
      <c r="V938" s="578"/>
      <c r="W938" s="578"/>
      <c r="X938" s="578"/>
      <c r="Y938" s="578"/>
      <c r="Z938" s="578"/>
    </row>
    <row r="939" spans="1:26" ht="18.75">
      <c r="A939" s="682"/>
      <c r="B939" s="682"/>
      <c r="C939" s="682"/>
      <c r="D939" s="914"/>
      <c r="E939" s="682"/>
      <c r="F939" s="682"/>
      <c r="G939" s="682"/>
      <c r="H939" s="915"/>
      <c r="I939" s="916"/>
      <c r="J939" s="916"/>
      <c r="K939" s="917"/>
      <c r="L939" s="917"/>
      <c r="M939" s="917"/>
      <c r="N939" s="917"/>
      <c r="O939" s="917"/>
      <c r="P939" s="917"/>
      <c r="Q939" s="578"/>
      <c r="R939" s="578"/>
      <c r="S939" s="578"/>
      <c r="T939" s="578"/>
      <c r="U939" s="578"/>
      <c r="V939" s="578"/>
      <c r="W939" s="578"/>
      <c r="X939" s="578"/>
      <c r="Y939" s="578"/>
      <c r="Z939" s="578"/>
    </row>
    <row r="940" spans="1:26" ht="18.75">
      <c r="A940" s="682"/>
      <c r="B940" s="682"/>
      <c r="C940" s="682"/>
      <c r="D940" s="914"/>
      <c r="E940" s="682"/>
      <c r="F940" s="682"/>
      <c r="G940" s="682"/>
      <c r="H940" s="915"/>
      <c r="I940" s="916"/>
      <c r="J940" s="916"/>
      <c r="K940" s="917"/>
      <c r="L940" s="917"/>
      <c r="M940" s="917"/>
      <c r="N940" s="917"/>
      <c r="O940" s="917"/>
      <c r="P940" s="917"/>
      <c r="Q940" s="578"/>
      <c r="R940" s="578"/>
      <c r="S940" s="578"/>
      <c r="T940" s="578"/>
      <c r="U940" s="578"/>
      <c r="V940" s="578"/>
      <c r="W940" s="578"/>
      <c r="X940" s="578"/>
      <c r="Y940" s="578"/>
      <c r="Z940" s="578"/>
    </row>
    <row r="941" spans="1:26" ht="18.75">
      <c r="A941" s="682"/>
      <c r="B941" s="682"/>
      <c r="C941" s="682"/>
      <c r="D941" s="914"/>
      <c r="E941" s="682"/>
      <c r="F941" s="682"/>
      <c r="G941" s="682"/>
      <c r="H941" s="915"/>
      <c r="I941" s="916"/>
      <c r="J941" s="916"/>
      <c r="K941" s="917"/>
      <c r="L941" s="917"/>
      <c r="M941" s="917"/>
      <c r="N941" s="917"/>
      <c r="O941" s="917"/>
      <c r="P941" s="917"/>
      <c r="Q941" s="578"/>
      <c r="R941" s="578"/>
      <c r="S941" s="578"/>
      <c r="T941" s="578"/>
      <c r="U941" s="578"/>
      <c r="V941" s="578"/>
      <c r="W941" s="578"/>
      <c r="X941" s="578"/>
      <c r="Y941" s="578"/>
      <c r="Z941" s="578"/>
    </row>
    <row r="942" spans="1:26" ht="18.75">
      <c r="A942" s="682"/>
      <c r="B942" s="682"/>
      <c r="C942" s="682"/>
      <c r="D942" s="914"/>
      <c r="E942" s="682"/>
      <c r="F942" s="682"/>
      <c r="G942" s="682"/>
      <c r="H942" s="915"/>
      <c r="I942" s="916"/>
      <c r="J942" s="916"/>
      <c r="K942" s="917"/>
      <c r="L942" s="917"/>
      <c r="M942" s="917"/>
      <c r="N942" s="917"/>
      <c r="O942" s="917"/>
      <c r="P942" s="917"/>
      <c r="Q942" s="578"/>
      <c r="R942" s="578"/>
      <c r="S942" s="578"/>
      <c r="T942" s="578"/>
      <c r="U942" s="578"/>
      <c r="V942" s="578"/>
      <c r="W942" s="578"/>
      <c r="X942" s="578"/>
      <c r="Y942" s="578"/>
      <c r="Z942" s="578"/>
    </row>
    <row r="943" spans="1:26" ht="18.75">
      <c r="A943" s="682"/>
      <c r="B943" s="682"/>
      <c r="C943" s="682"/>
      <c r="D943" s="914"/>
      <c r="E943" s="682"/>
      <c r="F943" s="682"/>
      <c r="G943" s="682"/>
      <c r="H943" s="915"/>
      <c r="I943" s="916"/>
      <c r="J943" s="916"/>
      <c r="K943" s="917"/>
      <c r="L943" s="917"/>
      <c r="M943" s="917"/>
      <c r="N943" s="917"/>
      <c r="O943" s="917"/>
      <c r="P943" s="917"/>
      <c r="Q943" s="578"/>
      <c r="R943" s="578"/>
      <c r="S943" s="578"/>
      <c r="T943" s="578"/>
      <c r="U943" s="578"/>
      <c r="V943" s="578"/>
      <c r="W943" s="578"/>
      <c r="X943" s="578"/>
      <c r="Y943" s="578"/>
      <c r="Z943" s="578"/>
    </row>
    <row r="944" spans="1:26" ht="18.75">
      <c r="A944" s="682"/>
      <c r="B944" s="682"/>
      <c r="C944" s="682"/>
      <c r="D944" s="914"/>
      <c r="E944" s="682"/>
      <c r="F944" s="682"/>
      <c r="G944" s="682"/>
      <c r="H944" s="915"/>
      <c r="I944" s="916"/>
      <c r="J944" s="916"/>
      <c r="K944" s="917"/>
      <c r="L944" s="917"/>
      <c r="M944" s="917"/>
      <c r="N944" s="917"/>
      <c r="O944" s="917"/>
      <c r="P944" s="917"/>
      <c r="Q944" s="578"/>
      <c r="R944" s="578"/>
      <c r="S944" s="578"/>
      <c r="T944" s="578"/>
      <c r="U944" s="578"/>
      <c r="V944" s="578"/>
      <c r="W944" s="578"/>
      <c r="X944" s="578"/>
      <c r="Y944" s="578"/>
      <c r="Z944" s="578"/>
    </row>
    <row r="945" spans="1:26" ht="18.75">
      <c r="A945" s="682"/>
      <c r="B945" s="682"/>
      <c r="C945" s="682"/>
      <c r="D945" s="914"/>
      <c r="E945" s="682"/>
      <c r="F945" s="682"/>
      <c r="G945" s="682"/>
      <c r="H945" s="915"/>
      <c r="I945" s="916"/>
      <c r="J945" s="916"/>
      <c r="K945" s="917"/>
      <c r="L945" s="917"/>
      <c r="M945" s="917"/>
      <c r="N945" s="917"/>
      <c r="O945" s="917"/>
      <c r="P945" s="917"/>
      <c r="Q945" s="578"/>
      <c r="R945" s="578"/>
      <c r="S945" s="578"/>
      <c r="T945" s="578"/>
      <c r="U945" s="578"/>
      <c r="V945" s="578"/>
      <c r="W945" s="578"/>
      <c r="X945" s="578"/>
      <c r="Y945" s="578"/>
      <c r="Z945" s="578"/>
    </row>
    <row r="946" spans="1:26" ht="18.75">
      <c r="A946" s="682"/>
      <c r="B946" s="682"/>
      <c r="C946" s="682"/>
      <c r="D946" s="914"/>
      <c r="E946" s="682"/>
      <c r="F946" s="682"/>
      <c r="G946" s="682"/>
      <c r="H946" s="915"/>
      <c r="I946" s="916"/>
      <c r="J946" s="916"/>
      <c r="K946" s="917"/>
      <c r="L946" s="917"/>
      <c r="M946" s="917"/>
      <c r="N946" s="917"/>
      <c r="O946" s="917"/>
      <c r="P946" s="917"/>
      <c r="Q946" s="578"/>
      <c r="R946" s="578"/>
      <c r="S946" s="578"/>
      <c r="T946" s="578"/>
      <c r="U946" s="578"/>
      <c r="V946" s="578"/>
      <c r="W946" s="578"/>
      <c r="X946" s="578"/>
      <c r="Y946" s="578"/>
      <c r="Z946" s="578"/>
    </row>
    <row r="947" spans="1:26" ht="18.75">
      <c r="A947" s="682"/>
      <c r="B947" s="682"/>
      <c r="C947" s="682"/>
      <c r="D947" s="914"/>
      <c r="E947" s="682"/>
      <c r="F947" s="682"/>
      <c r="G947" s="682"/>
      <c r="H947" s="915"/>
      <c r="I947" s="916"/>
      <c r="J947" s="916"/>
      <c r="K947" s="917"/>
      <c r="L947" s="917"/>
      <c r="M947" s="917"/>
      <c r="N947" s="917"/>
      <c r="O947" s="917"/>
      <c r="P947" s="917"/>
      <c r="Q947" s="578"/>
      <c r="R947" s="578"/>
      <c r="S947" s="578"/>
      <c r="T947" s="578"/>
      <c r="U947" s="578"/>
      <c r="V947" s="578"/>
      <c r="W947" s="578"/>
      <c r="X947" s="578"/>
      <c r="Y947" s="578"/>
      <c r="Z947" s="578"/>
    </row>
    <row r="948" spans="1:26" ht="18.75">
      <c r="A948" s="682"/>
      <c r="B948" s="682"/>
      <c r="C948" s="682"/>
      <c r="D948" s="914"/>
      <c r="E948" s="682"/>
      <c r="F948" s="682"/>
      <c r="G948" s="682"/>
      <c r="H948" s="915"/>
      <c r="I948" s="916"/>
      <c r="J948" s="916"/>
      <c r="K948" s="917"/>
      <c r="L948" s="917"/>
      <c r="M948" s="917"/>
      <c r="N948" s="917"/>
      <c r="O948" s="917"/>
      <c r="P948" s="917"/>
      <c r="Q948" s="578"/>
      <c r="R948" s="578"/>
      <c r="S948" s="578"/>
      <c r="T948" s="578"/>
      <c r="U948" s="578"/>
      <c r="V948" s="578"/>
      <c r="W948" s="578"/>
      <c r="X948" s="578"/>
      <c r="Y948" s="578"/>
      <c r="Z948" s="578"/>
    </row>
    <row r="949" spans="1:26" ht="18.75">
      <c r="A949" s="682"/>
      <c r="B949" s="682"/>
      <c r="C949" s="682"/>
      <c r="D949" s="914"/>
      <c r="E949" s="682"/>
      <c r="F949" s="682"/>
      <c r="G949" s="682"/>
      <c r="H949" s="915"/>
      <c r="I949" s="916"/>
      <c r="J949" s="916"/>
      <c r="K949" s="917"/>
      <c r="L949" s="917"/>
      <c r="M949" s="917"/>
      <c r="N949" s="917"/>
      <c r="O949" s="917"/>
      <c r="P949" s="917"/>
      <c r="Q949" s="578"/>
      <c r="R949" s="578"/>
      <c r="S949" s="578"/>
      <c r="T949" s="578"/>
      <c r="U949" s="578"/>
      <c r="V949" s="578"/>
      <c r="W949" s="578"/>
      <c r="X949" s="578"/>
      <c r="Y949" s="578"/>
      <c r="Z949" s="578"/>
    </row>
    <row r="950" spans="1:26" ht="18.75">
      <c r="A950" s="682"/>
      <c r="B950" s="682"/>
      <c r="C950" s="682"/>
      <c r="D950" s="914"/>
      <c r="E950" s="682"/>
      <c r="F950" s="682"/>
      <c r="G950" s="682"/>
      <c r="H950" s="915"/>
      <c r="I950" s="916"/>
      <c r="J950" s="916"/>
      <c r="K950" s="917"/>
      <c r="L950" s="917"/>
      <c r="M950" s="917"/>
      <c r="N950" s="917"/>
      <c r="O950" s="917"/>
      <c r="P950" s="917"/>
      <c r="Q950" s="578"/>
      <c r="R950" s="578"/>
      <c r="S950" s="578"/>
      <c r="T950" s="578"/>
      <c r="U950" s="578"/>
      <c r="V950" s="578"/>
      <c r="W950" s="578"/>
      <c r="X950" s="578"/>
      <c r="Y950" s="578"/>
      <c r="Z950" s="578"/>
    </row>
    <row r="951" spans="1:26" ht="18.75">
      <c r="A951" s="682"/>
      <c r="B951" s="682"/>
      <c r="C951" s="682"/>
      <c r="D951" s="914"/>
      <c r="E951" s="682"/>
      <c r="F951" s="682"/>
      <c r="G951" s="682"/>
      <c r="H951" s="915"/>
      <c r="I951" s="916"/>
      <c r="J951" s="916"/>
      <c r="K951" s="917"/>
      <c r="L951" s="917"/>
      <c r="M951" s="917"/>
      <c r="N951" s="917"/>
      <c r="O951" s="917"/>
      <c r="P951" s="917"/>
      <c r="Q951" s="578"/>
      <c r="R951" s="578"/>
      <c r="S951" s="578"/>
      <c r="T951" s="578"/>
      <c r="U951" s="578"/>
      <c r="V951" s="578"/>
      <c r="W951" s="578"/>
      <c r="X951" s="578"/>
      <c r="Y951" s="578"/>
      <c r="Z951" s="578"/>
    </row>
    <row r="952" spans="1:26" ht="18.75">
      <c r="A952" s="682"/>
      <c r="B952" s="682"/>
      <c r="C952" s="682"/>
      <c r="D952" s="914"/>
      <c r="E952" s="682"/>
      <c r="F952" s="682"/>
      <c r="G952" s="682"/>
      <c r="H952" s="915"/>
      <c r="I952" s="916"/>
      <c r="J952" s="916"/>
      <c r="K952" s="917"/>
      <c r="L952" s="917"/>
      <c r="M952" s="917"/>
      <c r="N952" s="917"/>
      <c r="O952" s="917"/>
      <c r="P952" s="917"/>
      <c r="Q952" s="578"/>
      <c r="R952" s="578"/>
      <c r="S952" s="578"/>
      <c r="T952" s="578"/>
      <c r="U952" s="578"/>
      <c r="V952" s="578"/>
      <c r="W952" s="578"/>
      <c r="X952" s="578"/>
      <c r="Y952" s="578"/>
      <c r="Z952" s="578"/>
    </row>
    <row r="953" spans="1:26" ht="18.75">
      <c r="A953" s="682"/>
      <c r="B953" s="682"/>
      <c r="C953" s="682"/>
      <c r="D953" s="914"/>
      <c r="E953" s="682"/>
      <c r="F953" s="682"/>
      <c r="G953" s="682"/>
      <c r="H953" s="915"/>
      <c r="I953" s="916"/>
      <c r="J953" s="916"/>
      <c r="K953" s="917"/>
      <c r="L953" s="917"/>
      <c r="M953" s="917"/>
      <c r="N953" s="917"/>
      <c r="O953" s="917"/>
      <c r="P953" s="917"/>
      <c r="Q953" s="578"/>
      <c r="R953" s="578"/>
      <c r="S953" s="578"/>
      <c r="T953" s="578"/>
      <c r="U953" s="578"/>
      <c r="V953" s="578"/>
      <c r="W953" s="578"/>
      <c r="X953" s="578"/>
      <c r="Y953" s="578"/>
      <c r="Z953" s="578"/>
    </row>
    <row r="954" spans="1:26" ht="18.75">
      <c r="A954" s="682"/>
      <c r="B954" s="682"/>
      <c r="C954" s="682"/>
      <c r="D954" s="914"/>
      <c r="E954" s="682"/>
      <c r="F954" s="682"/>
      <c r="G954" s="682"/>
      <c r="H954" s="915"/>
      <c r="I954" s="916"/>
      <c r="J954" s="916"/>
      <c r="K954" s="917"/>
      <c r="L954" s="917"/>
      <c r="M954" s="917"/>
      <c r="N954" s="917"/>
      <c r="O954" s="917"/>
      <c r="P954" s="917"/>
      <c r="Q954" s="578"/>
      <c r="R954" s="578"/>
      <c r="S954" s="578"/>
      <c r="T954" s="578"/>
      <c r="U954" s="578"/>
      <c r="V954" s="578"/>
      <c r="W954" s="578"/>
      <c r="X954" s="578"/>
      <c r="Y954" s="578"/>
      <c r="Z954" s="578"/>
    </row>
    <row r="955" spans="1:26" ht="18.75">
      <c r="A955" s="682"/>
      <c r="B955" s="682"/>
      <c r="C955" s="682"/>
      <c r="D955" s="914"/>
      <c r="E955" s="682"/>
      <c r="F955" s="682"/>
      <c r="G955" s="682"/>
      <c r="H955" s="915"/>
      <c r="I955" s="916"/>
      <c r="J955" s="916"/>
      <c r="K955" s="917"/>
      <c r="L955" s="917"/>
      <c r="M955" s="917"/>
      <c r="N955" s="917"/>
      <c r="O955" s="917"/>
      <c r="P955" s="917"/>
      <c r="Q955" s="578"/>
      <c r="R955" s="578"/>
      <c r="S955" s="578"/>
      <c r="T955" s="578"/>
      <c r="U955" s="578"/>
      <c r="V955" s="578"/>
      <c r="W955" s="578"/>
      <c r="X955" s="578"/>
      <c r="Y955" s="578"/>
      <c r="Z955" s="578"/>
    </row>
    <row r="956" spans="1:26" ht="18.75">
      <c r="A956" s="682"/>
      <c r="B956" s="682"/>
      <c r="C956" s="682"/>
      <c r="D956" s="914"/>
      <c r="E956" s="682"/>
      <c r="F956" s="682"/>
      <c r="G956" s="682"/>
      <c r="H956" s="915"/>
      <c r="I956" s="916"/>
      <c r="J956" s="916"/>
      <c r="K956" s="917"/>
      <c r="L956" s="917"/>
      <c r="M956" s="917"/>
      <c r="N956" s="917"/>
      <c r="O956" s="917"/>
      <c r="P956" s="917"/>
      <c r="Q956" s="578"/>
      <c r="R956" s="578"/>
      <c r="S956" s="578"/>
      <c r="T956" s="578"/>
      <c r="U956" s="578"/>
      <c r="V956" s="578"/>
      <c r="W956" s="578"/>
      <c r="X956" s="578"/>
      <c r="Y956" s="578"/>
      <c r="Z956" s="578"/>
    </row>
    <row r="957" spans="1:26" ht="18.75">
      <c r="A957" s="682"/>
      <c r="B957" s="682"/>
      <c r="C957" s="682"/>
      <c r="D957" s="914"/>
      <c r="E957" s="682"/>
      <c r="F957" s="682"/>
      <c r="G957" s="682"/>
      <c r="H957" s="915"/>
      <c r="I957" s="916"/>
      <c r="J957" s="916"/>
      <c r="K957" s="917"/>
      <c r="L957" s="917"/>
      <c r="M957" s="917"/>
      <c r="N957" s="917"/>
      <c r="O957" s="917"/>
      <c r="P957" s="917"/>
      <c r="Q957" s="578"/>
      <c r="R957" s="578"/>
      <c r="S957" s="578"/>
      <c r="T957" s="578"/>
      <c r="U957" s="578"/>
      <c r="V957" s="578"/>
      <c r="W957" s="578"/>
      <c r="X957" s="578"/>
      <c r="Y957" s="578"/>
      <c r="Z957" s="578"/>
    </row>
    <row r="958" spans="1:26" ht="18.75">
      <c r="A958" s="682"/>
      <c r="B958" s="682"/>
      <c r="C958" s="682"/>
      <c r="D958" s="914"/>
      <c r="E958" s="682"/>
      <c r="F958" s="682"/>
      <c r="G958" s="682"/>
      <c r="H958" s="915"/>
      <c r="I958" s="916"/>
      <c r="J958" s="916"/>
      <c r="K958" s="917"/>
      <c r="L958" s="917"/>
      <c r="M958" s="917"/>
      <c r="N958" s="917"/>
      <c r="O958" s="917"/>
      <c r="P958" s="917"/>
      <c r="Q958" s="578"/>
      <c r="R958" s="578"/>
      <c r="S958" s="578"/>
      <c r="T958" s="578"/>
      <c r="U958" s="578"/>
      <c r="V958" s="578"/>
      <c r="W958" s="578"/>
      <c r="X958" s="578"/>
      <c r="Y958" s="578"/>
      <c r="Z958" s="578"/>
    </row>
    <row r="959" spans="1:26" ht="18.75">
      <c r="A959" s="682"/>
      <c r="B959" s="682"/>
      <c r="C959" s="682"/>
      <c r="D959" s="914"/>
      <c r="E959" s="682"/>
      <c r="F959" s="682"/>
      <c r="G959" s="682"/>
      <c r="H959" s="915"/>
      <c r="I959" s="916"/>
      <c r="J959" s="916"/>
      <c r="K959" s="917"/>
      <c r="L959" s="917"/>
      <c r="M959" s="917"/>
      <c r="N959" s="917"/>
      <c r="O959" s="917"/>
      <c r="P959" s="917"/>
      <c r="Q959" s="578"/>
      <c r="R959" s="578"/>
      <c r="S959" s="578"/>
      <c r="T959" s="578"/>
      <c r="U959" s="578"/>
      <c r="V959" s="578"/>
      <c r="W959" s="578"/>
      <c r="X959" s="578"/>
      <c r="Y959" s="578"/>
      <c r="Z959" s="578"/>
    </row>
    <row r="960" spans="1:26" ht="18.75">
      <c r="A960" s="682"/>
      <c r="B960" s="682"/>
      <c r="C960" s="682"/>
      <c r="D960" s="914"/>
      <c r="E960" s="682"/>
      <c r="F960" s="682"/>
      <c r="G960" s="682"/>
      <c r="H960" s="915"/>
      <c r="I960" s="916"/>
      <c r="J960" s="916"/>
      <c r="K960" s="917"/>
      <c r="L960" s="917"/>
      <c r="M960" s="917"/>
      <c r="N960" s="917"/>
      <c r="O960" s="917"/>
      <c r="P960" s="917"/>
      <c r="Q960" s="578"/>
      <c r="R960" s="578"/>
      <c r="S960" s="578"/>
      <c r="T960" s="578"/>
      <c r="U960" s="578"/>
      <c r="V960" s="578"/>
      <c r="W960" s="578"/>
      <c r="X960" s="578"/>
      <c r="Y960" s="578"/>
      <c r="Z960" s="578"/>
    </row>
    <row r="961" spans="1:26" ht="18.75">
      <c r="A961" s="682"/>
      <c r="B961" s="682"/>
      <c r="C961" s="682"/>
      <c r="D961" s="914"/>
      <c r="E961" s="682"/>
      <c r="F961" s="682"/>
      <c r="G961" s="682"/>
      <c r="H961" s="915"/>
      <c r="I961" s="916"/>
      <c r="J961" s="916"/>
      <c r="K961" s="917"/>
      <c r="L961" s="917"/>
      <c r="M961" s="917"/>
      <c r="N961" s="917"/>
      <c r="O961" s="917"/>
      <c r="P961" s="917"/>
      <c r="Q961" s="578"/>
      <c r="R961" s="578"/>
      <c r="S961" s="578"/>
      <c r="T961" s="578"/>
      <c r="U961" s="578"/>
      <c r="V961" s="578"/>
      <c r="W961" s="578"/>
      <c r="X961" s="578"/>
      <c r="Y961" s="578"/>
      <c r="Z961" s="578"/>
    </row>
    <row r="962" spans="1:26" ht="18.75">
      <c r="A962" s="682"/>
      <c r="B962" s="682"/>
      <c r="C962" s="682"/>
      <c r="D962" s="914"/>
      <c r="E962" s="682"/>
      <c r="F962" s="682"/>
      <c r="G962" s="682"/>
      <c r="H962" s="915"/>
      <c r="I962" s="916"/>
      <c r="J962" s="916"/>
      <c r="K962" s="917"/>
      <c r="L962" s="917"/>
      <c r="M962" s="917"/>
      <c r="N962" s="917"/>
      <c r="O962" s="917"/>
      <c r="P962" s="917"/>
      <c r="Q962" s="578"/>
      <c r="R962" s="578"/>
      <c r="S962" s="578"/>
      <c r="T962" s="578"/>
      <c r="U962" s="578"/>
      <c r="V962" s="578"/>
      <c r="W962" s="578"/>
      <c r="X962" s="578"/>
      <c r="Y962" s="578"/>
      <c r="Z962" s="578"/>
    </row>
    <row r="963" spans="1:26" ht="18.75">
      <c r="A963" s="682"/>
      <c r="B963" s="682"/>
      <c r="C963" s="682"/>
      <c r="D963" s="914"/>
      <c r="E963" s="682"/>
      <c r="F963" s="682"/>
      <c r="G963" s="682"/>
      <c r="H963" s="915"/>
      <c r="I963" s="916"/>
      <c r="J963" s="916"/>
      <c r="K963" s="917"/>
      <c r="L963" s="917"/>
      <c r="M963" s="917"/>
      <c r="N963" s="917"/>
      <c r="O963" s="917"/>
      <c r="P963" s="917"/>
      <c r="Q963" s="578"/>
      <c r="R963" s="578"/>
      <c r="S963" s="578"/>
      <c r="T963" s="578"/>
      <c r="U963" s="578"/>
      <c r="V963" s="578"/>
      <c r="W963" s="578"/>
      <c r="X963" s="578"/>
      <c r="Y963" s="578"/>
      <c r="Z963" s="578"/>
    </row>
    <row r="964" spans="1:26" ht="18.75">
      <c r="A964" s="682"/>
      <c r="B964" s="682"/>
      <c r="C964" s="682"/>
      <c r="D964" s="914"/>
      <c r="E964" s="682"/>
      <c r="F964" s="682"/>
      <c r="G964" s="682"/>
      <c r="H964" s="915"/>
      <c r="I964" s="916"/>
      <c r="J964" s="916"/>
      <c r="K964" s="917"/>
      <c r="L964" s="917"/>
      <c r="M964" s="917"/>
      <c r="N964" s="917"/>
      <c r="O964" s="917"/>
      <c r="P964" s="917"/>
      <c r="Q964" s="578"/>
      <c r="R964" s="578"/>
      <c r="S964" s="578"/>
      <c r="T964" s="578"/>
      <c r="U964" s="578"/>
      <c r="V964" s="578"/>
      <c r="W964" s="578"/>
      <c r="X964" s="578"/>
      <c r="Y964" s="578"/>
      <c r="Z964" s="578"/>
    </row>
    <row r="965" spans="1:26" ht="18.75">
      <c r="A965" s="682"/>
      <c r="B965" s="682"/>
      <c r="C965" s="682"/>
      <c r="D965" s="914"/>
      <c r="E965" s="682"/>
      <c r="F965" s="682"/>
      <c r="G965" s="682"/>
      <c r="H965" s="915"/>
      <c r="I965" s="916"/>
      <c r="J965" s="916"/>
      <c r="K965" s="917"/>
      <c r="L965" s="917"/>
      <c r="M965" s="917"/>
      <c r="N965" s="917"/>
      <c r="O965" s="917"/>
      <c r="P965" s="917"/>
      <c r="Q965" s="578"/>
      <c r="R965" s="578"/>
      <c r="S965" s="578"/>
      <c r="T965" s="578"/>
      <c r="U965" s="578"/>
      <c r="V965" s="578"/>
      <c r="W965" s="578"/>
      <c r="X965" s="578"/>
      <c r="Y965" s="578"/>
      <c r="Z965" s="578"/>
    </row>
    <row r="966" spans="1:26" ht="18.75">
      <c r="A966" s="682"/>
      <c r="B966" s="682"/>
      <c r="C966" s="682"/>
      <c r="D966" s="914"/>
      <c r="E966" s="682"/>
      <c r="F966" s="682"/>
      <c r="G966" s="682"/>
      <c r="H966" s="915"/>
      <c r="I966" s="916"/>
      <c r="J966" s="916"/>
      <c r="K966" s="917"/>
      <c r="L966" s="917"/>
      <c r="M966" s="917"/>
      <c r="N966" s="917"/>
      <c r="O966" s="917"/>
      <c r="P966" s="917"/>
      <c r="Q966" s="578"/>
      <c r="R966" s="578"/>
      <c r="S966" s="578"/>
      <c r="T966" s="578"/>
      <c r="U966" s="578"/>
      <c r="V966" s="578"/>
      <c r="W966" s="578"/>
      <c r="X966" s="578"/>
      <c r="Y966" s="578"/>
      <c r="Z966" s="578"/>
    </row>
    <row r="967" spans="1:26" ht="18.75">
      <c r="A967" s="682"/>
      <c r="B967" s="682"/>
      <c r="C967" s="682"/>
      <c r="D967" s="914"/>
      <c r="E967" s="682"/>
      <c r="F967" s="682"/>
      <c r="G967" s="682"/>
      <c r="H967" s="915"/>
      <c r="I967" s="916"/>
      <c r="J967" s="916"/>
      <c r="K967" s="917"/>
      <c r="L967" s="917"/>
      <c r="M967" s="917"/>
      <c r="N967" s="917"/>
      <c r="O967" s="917"/>
      <c r="P967" s="917"/>
      <c r="Q967" s="578"/>
      <c r="R967" s="578"/>
      <c r="S967" s="578"/>
      <c r="T967" s="578"/>
      <c r="U967" s="578"/>
      <c r="V967" s="578"/>
      <c r="W967" s="578"/>
      <c r="X967" s="578"/>
      <c r="Y967" s="578"/>
      <c r="Z967" s="578"/>
    </row>
    <row r="968" spans="1:26" ht="18.75">
      <c r="A968" s="682"/>
      <c r="B968" s="682"/>
      <c r="C968" s="682"/>
      <c r="D968" s="914"/>
      <c r="E968" s="682"/>
      <c r="F968" s="682"/>
      <c r="G968" s="682"/>
      <c r="H968" s="915"/>
      <c r="I968" s="916"/>
      <c r="J968" s="916"/>
      <c r="K968" s="917"/>
      <c r="L968" s="917"/>
      <c r="M968" s="917"/>
      <c r="N968" s="917"/>
      <c r="O968" s="917"/>
      <c r="P968" s="917"/>
      <c r="Q968" s="578"/>
      <c r="R968" s="578"/>
      <c r="S968" s="578"/>
      <c r="T968" s="578"/>
      <c r="U968" s="578"/>
      <c r="V968" s="578"/>
      <c r="W968" s="578"/>
      <c r="X968" s="578"/>
      <c r="Y968" s="578"/>
      <c r="Z968" s="578"/>
    </row>
    <row r="969" spans="1:26" ht="18.75">
      <c r="A969" s="682"/>
      <c r="B969" s="682"/>
      <c r="C969" s="682"/>
      <c r="D969" s="914"/>
      <c r="E969" s="682"/>
      <c r="F969" s="682"/>
      <c r="G969" s="682"/>
      <c r="H969" s="915"/>
      <c r="I969" s="916"/>
      <c r="J969" s="916"/>
      <c r="K969" s="917"/>
      <c r="L969" s="917"/>
      <c r="M969" s="917"/>
      <c r="N969" s="917"/>
      <c r="O969" s="917"/>
      <c r="P969" s="917"/>
      <c r="Q969" s="578"/>
      <c r="R969" s="578"/>
      <c r="S969" s="578"/>
      <c r="T969" s="578"/>
      <c r="U969" s="578"/>
      <c r="V969" s="578"/>
      <c r="W969" s="578"/>
      <c r="X969" s="578"/>
      <c r="Y969" s="578"/>
      <c r="Z969" s="578"/>
    </row>
    <row r="970" spans="1:26" ht="18.75">
      <c r="A970" s="682"/>
      <c r="B970" s="682"/>
      <c r="C970" s="682"/>
      <c r="D970" s="914"/>
      <c r="E970" s="682"/>
      <c r="F970" s="682"/>
      <c r="G970" s="682"/>
      <c r="H970" s="915"/>
      <c r="I970" s="916"/>
      <c r="J970" s="916"/>
      <c r="K970" s="917"/>
      <c r="L970" s="917"/>
      <c r="M970" s="917"/>
      <c r="N970" s="917"/>
      <c r="O970" s="917"/>
      <c r="P970" s="917"/>
      <c r="Q970" s="578"/>
      <c r="R970" s="578"/>
      <c r="S970" s="578"/>
      <c r="T970" s="578"/>
      <c r="U970" s="578"/>
      <c r="V970" s="578"/>
      <c r="W970" s="578"/>
      <c r="X970" s="578"/>
      <c r="Y970" s="578"/>
      <c r="Z970" s="578"/>
    </row>
    <row r="971" spans="1:26" ht="18.75">
      <c r="A971" s="682"/>
      <c r="B971" s="682"/>
      <c r="C971" s="682"/>
      <c r="D971" s="914"/>
      <c r="E971" s="682"/>
      <c r="F971" s="682"/>
      <c r="G971" s="682"/>
      <c r="H971" s="915"/>
      <c r="I971" s="916"/>
      <c r="J971" s="916"/>
      <c r="K971" s="917"/>
      <c r="L971" s="917"/>
      <c r="M971" s="917"/>
      <c r="N971" s="917"/>
      <c r="O971" s="917"/>
      <c r="P971" s="917"/>
      <c r="Q971" s="578"/>
      <c r="R971" s="578"/>
      <c r="S971" s="578"/>
      <c r="T971" s="578"/>
      <c r="U971" s="578"/>
      <c r="V971" s="578"/>
      <c r="W971" s="578"/>
      <c r="X971" s="578"/>
      <c r="Y971" s="578"/>
      <c r="Z971" s="578"/>
    </row>
    <row r="972" spans="1:26" ht="18.75">
      <c r="A972" s="682"/>
      <c r="B972" s="682"/>
      <c r="C972" s="682"/>
      <c r="D972" s="914"/>
      <c r="E972" s="682"/>
      <c r="F972" s="682"/>
      <c r="G972" s="682"/>
      <c r="H972" s="915"/>
      <c r="I972" s="916"/>
      <c r="J972" s="916"/>
      <c r="K972" s="917"/>
      <c r="L972" s="917"/>
      <c r="M972" s="917"/>
      <c r="N972" s="917"/>
      <c r="O972" s="917"/>
      <c r="P972" s="917"/>
      <c r="Q972" s="578"/>
      <c r="R972" s="578"/>
      <c r="S972" s="578"/>
      <c r="T972" s="578"/>
      <c r="U972" s="578"/>
      <c r="V972" s="578"/>
      <c r="W972" s="578"/>
      <c r="X972" s="578"/>
      <c r="Y972" s="578"/>
      <c r="Z972" s="578"/>
    </row>
    <row r="973" spans="1:26" ht="18.75">
      <c r="A973" s="682"/>
      <c r="B973" s="682"/>
      <c r="C973" s="682"/>
      <c r="D973" s="914"/>
      <c r="E973" s="682"/>
      <c r="F973" s="682"/>
      <c r="G973" s="682"/>
      <c r="H973" s="915"/>
      <c r="I973" s="916"/>
      <c r="J973" s="916"/>
      <c r="K973" s="917"/>
      <c r="L973" s="917"/>
      <c r="M973" s="917"/>
      <c r="N973" s="917"/>
      <c r="O973" s="917"/>
      <c r="P973" s="917"/>
      <c r="Q973" s="578"/>
      <c r="R973" s="578"/>
      <c r="S973" s="578"/>
      <c r="T973" s="578"/>
      <c r="U973" s="578"/>
      <c r="V973" s="578"/>
      <c r="W973" s="578"/>
      <c r="X973" s="578"/>
      <c r="Y973" s="578"/>
      <c r="Z973" s="578"/>
    </row>
    <row r="974" spans="1:26" ht="18.75">
      <c r="A974" s="682"/>
      <c r="B974" s="682"/>
      <c r="C974" s="682"/>
      <c r="D974" s="914"/>
      <c r="E974" s="682"/>
      <c r="F974" s="682"/>
      <c r="G974" s="682"/>
      <c r="H974" s="915"/>
      <c r="I974" s="916"/>
      <c r="J974" s="916"/>
      <c r="K974" s="917"/>
      <c r="L974" s="917"/>
      <c r="M974" s="917"/>
      <c r="N974" s="917"/>
      <c r="O974" s="917"/>
      <c r="P974" s="917"/>
      <c r="Q974" s="578"/>
      <c r="R974" s="578"/>
      <c r="S974" s="578"/>
      <c r="T974" s="578"/>
      <c r="U974" s="578"/>
      <c r="V974" s="578"/>
      <c r="W974" s="578"/>
      <c r="X974" s="578"/>
      <c r="Y974" s="578"/>
      <c r="Z974" s="578"/>
    </row>
    <row r="975" spans="1:26" ht="18.75">
      <c r="A975" s="682"/>
      <c r="B975" s="682"/>
      <c r="C975" s="682"/>
      <c r="D975" s="914"/>
      <c r="E975" s="682"/>
      <c r="F975" s="682"/>
      <c r="G975" s="682"/>
      <c r="H975" s="915"/>
      <c r="I975" s="916"/>
      <c r="J975" s="916"/>
      <c r="K975" s="917"/>
      <c r="L975" s="917"/>
      <c r="M975" s="917"/>
      <c r="N975" s="917"/>
      <c r="O975" s="917"/>
      <c r="P975" s="917"/>
      <c r="Q975" s="578"/>
      <c r="R975" s="578"/>
      <c r="S975" s="578"/>
      <c r="T975" s="578"/>
      <c r="U975" s="578"/>
      <c r="V975" s="578"/>
      <c r="W975" s="578"/>
      <c r="X975" s="578"/>
      <c r="Y975" s="578"/>
      <c r="Z975" s="578"/>
    </row>
    <row r="976" spans="1:26" ht="18.75">
      <c r="A976" s="682"/>
      <c r="B976" s="682"/>
      <c r="C976" s="682"/>
      <c r="D976" s="914"/>
      <c r="E976" s="682"/>
      <c r="F976" s="682"/>
      <c r="G976" s="682"/>
      <c r="H976" s="915"/>
      <c r="I976" s="916"/>
      <c r="J976" s="916"/>
      <c r="K976" s="917"/>
      <c r="L976" s="917"/>
      <c r="M976" s="917"/>
      <c r="N976" s="917"/>
      <c r="O976" s="917"/>
      <c r="P976" s="917"/>
      <c r="Q976" s="578"/>
      <c r="R976" s="578"/>
      <c r="S976" s="578"/>
      <c r="T976" s="578"/>
      <c r="U976" s="578"/>
      <c r="V976" s="578"/>
      <c r="W976" s="578"/>
      <c r="X976" s="578"/>
      <c r="Y976" s="578"/>
      <c r="Z976" s="578"/>
    </row>
    <row r="977" spans="1:26" ht="18.75">
      <c r="A977" s="682"/>
      <c r="B977" s="682"/>
      <c r="C977" s="682"/>
      <c r="D977" s="914"/>
      <c r="E977" s="682"/>
      <c r="F977" s="682"/>
      <c r="G977" s="682"/>
      <c r="H977" s="915"/>
      <c r="I977" s="916"/>
      <c r="J977" s="916"/>
      <c r="K977" s="917"/>
      <c r="L977" s="917"/>
      <c r="M977" s="917"/>
      <c r="N977" s="917"/>
      <c r="O977" s="917"/>
      <c r="P977" s="917"/>
      <c r="Q977" s="578"/>
      <c r="R977" s="578"/>
      <c r="S977" s="578"/>
      <c r="T977" s="578"/>
      <c r="U977" s="578"/>
      <c r="V977" s="578"/>
      <c r="W977" s="578"/>
      <c r="X977" s="578"/>
      <c r="Y977" s="578"/>
      <c r="Z977" s="578"/>
    </row>
    <row r="978" spans="1:26" ht="18.75">
      <c r="A978" s="682"/>
      <c r="B978" s="682"/>
      <c r="C978" s="682"/>
      <c r="D978" s="914"/>
      <c r="E978" s="682"/>
      <c r="F978" s="682"/>
      <c r="G978" s="682"/>
      <c r="H978" s="915"/>
      <c r="I978" s="916"/>
      <c r="J978" s="916"/>
      <c r="K978" s="917"/>
      <c r="L978" s="917"/>
      <c r="M978" s="917"/>
      <c r="N978" s="917"/>
      <c r="O978" s="917"/>
      <c r="P978" s="917"/>
      <c r="Q978" s="578"/>
      <c r="R978" s="578"/>
      <c r="S978" s="578"/>
      <c r="T978" s="578"/>
      <c r="U978" s="578"/>
      <c r="V978" s="578"/>
      <c r="W978" s="578"/>
      <c r="X978" s="578"/>
      <c r="Y978" s="578"/>
      <c r="Z978" s="578"/>
    </row>
    <row r="979" spans="1:26" ht="18.75">
      <c r="A979" s="682"/>
      <c r="B979" s="682"/>
      <c r="C979" s="682"/>
      <c r="D979" s="914"/>
      <c r="E979" s="682"/>
      <c r="F979" s="682"/>
      <c r="G979" s="682"/>
      <c r="H979" s="915"/>
      <c r="I979" s="916"/>
      <c r="J979" s="916"/>
      <c r="K979" s="917"/>
      <c r="L979" s="917"/>
      <c r="M979" s="917"/>
      <c r="N979" s="917"/>
      <c r="O979" s="917"/>
      <c r="P979" s="917"/>
      <c r="Q979" s="578"/>
      <c r="R979" s="578"/>
      <c r="S979" s="578"/>
      <c r="T979" s="578"/>
      <c r="U979" s="578"/>
      <c r="V979" s="578"/>
      <c r="W979" s="578"/>
      <c r="X979" s="578"/>
      <c r="Y979" s="578"/>
      <c r="Z979" s="578"/>
    </row>
    <row r="980" spans="1:26" ht="18.75">
      <c r="A980" s="682"/>
      <c r="B980" s="682"/>
      <c r="C980" s="682"/>
      <c r="D980" s="914"/>
      <c r="E980" s="682"/>
      <c r="F980" s="682"/>
      <c r="G980" s="682"/>
      <c r="H980" s="915"/>
      <c r="I980" s="916"/>
      <c r="J980" s="916"/>
      <c r="K980" s="917"/>
      <c r="L980" s="917"/>
      <c r="M980" s="917"/>
      <c r="N980" s="917"/>
      <c r="O980" s="917"/>
      <c r="P980" s="917"/>
      <c r="Q980" s="578"/>
      <c r="R980" s="578"/>
      <c r="S980" s="578"/>
      <c r="T980" s="578"/>
      <c r="U980" s="578"/>
      <c r="V980" s="578"/>
      <c r="W980" s="578"/>
      <c r="X980" s="578"/>
      <c r="Y980" s="578"/>
      <c r="Z980" s="578"/>
    </row>
    <row r="981" spans="1:26" ht="18.75">
      <c r="A981" s="682"/>
      <c r="B981" s="682"/>
      <c r="C981" s="682"/>
      <c r="D981" s="914"/>
      <c r="E981" s="682"/>
      <c r="F981" s="682"/>
      <c r="G981" s="682"/>
      <c r="H981" s="915"/>
      <c r="I981" s="916"/>
      <c r="J981" s="916"/>
      <c r="K981" s="917"/>
      <c r="L981" s="917"/>
      <c r="M981" s="917"/>
      <c r="N981" s="917"/>
      <c r="O981" s="917"/>
      <c r="P981" s="917"/>
      <c r="Q981" s="578"/>
      <c r="R981" s="578"/>
      <c r="S981" s="578"/>
      <c r="T981" s="578"/>
      <c r="U981" s="578"/>
      <c r="V981" s="578"/>
      <c r="W981" s="578"/>
      <c r="X981" s="578"/>
      <c r="Y981" s="578"/>
      <c r="Z981" s="578"/>
    </row>
    <row r="982" spans="1:26" ht="18.75">
      <c r="A982" s="682"/>
      <c r="B982" s="682"/>
      <c r="C982" s="682"/>
      <c r="D982" s="914"/>
      <c r="E982" s="682"/>
      <c r="F982" s="682"/>
      <c r="G982" s="682"/>
      <c r="H982" s="915"/>
      <c r="I982" s="916"/>
      <c r="J982" s="916"/>
      <c r="K982" s="917"/>
      <c r="L982" s="917"/>
      <c r="M982" s="917"/>
      <c r="N982" s="917"/>
      <c r="O982" s="917"/>
      <c r="P982" s="917"/>
      <c r="Q982" s="578"/>
      <c r="R982" s="578"/>
      <c r="S982" s="578"/>
      <c r="T982" s="578"/>
      <c r="U982" s="578"/>
      <c r="V982" s="578"/>
      <c r="W982" s="578"/>
      <c r="X982" s="578"/>
      <c r="Y982" s="578"/>
      <c r="Z982" s="578"/>
    </row>
    <row r="983" spans="1:26" ht="18.75">
      <c r="A983" s="682"/>
      <c r="B983" s="682"/>
      <c r="C983" s="682"/>
      <c r="D983" s="914"/>
      <c r="E983" s="682"/>
      <c r="F983" s="682"/>
      <c r="G983" s="682"/>
      <c r="H983" s="915"/>
      <c r="I983" s="916"/>
      <c r="J983" s="916"/>
      <c r="K983" s="917"/>
      <c r="L983" s="917"/>
      <c r="M983" s="917"/>
      <c r="N983" s="917"/>
      <c r="O983" s="917"/>
      <c r="P983" s="917"/>
      <c r="Q983" s="578"/>
      <c r="R983" s="578"/>
      <c r="S983" s="578"/>
      <c r="T983" s="578"/>
      <c r="U983" s="578"/>
      <c r="V983" s="578"/>
      <c r="W983" s="578"/>
      <c r="X983" s="578"/>
      <c r="Y983" s="578"/>
      <c r="Z983" s="578"/>
    </row>
    <row r="984" spans="1:26" ht="18.75">
      <c r="A984" s="682"/>
      <c r="B984" s="682"/>
      <c r="C984" s="682"/>
      <c r="D984" s="914"/>
      <c r="E984" s="682"/>
      <c r="F984" s="682"/>
      <c r="G984" s="682"/>
      <c r="H984" s="915"/>
      <c r="I984" s="916"/>
      <c r="J984" s="916"/>
      <c r="K984" s="917"/>
      <c r="L984" s="917"/>
      <c r="M984" s="917"/>
      <c r="N984" s="917"/>
      <c r="O984" s="917"/>
      <c r="P984" s="917"/>
      <c r="Q984" s="578"/>
      <c r="R984" s="578"/>
      <c r="S984" s="578"/>
      <c r="T984" s="578"/>
      <c r="U984" s="578"/>
      <c r="V984" s="578"/>
      <c r="W984" s="578"/>
      <c r="X984" s="578"/>
      <c r="Y984" s="578"/>
      <c r="Z984" s="578"/>
    </row>
    <row r="985" spans="1:26" ht="18.75">
      <c r="A985" s="682"/>
      <c r="B985" s="682"/>
      <c r="C985" s="682"/>
      <c r="D985" s="914"/>
      <c r="E985" s="682"/>
      <c r="F985" s="682"/>
      <c r="G985" s="682"/>
      <c r="H985" s="915"/>
      <c r="I985" s="916"/>
      <c r="J985" s="916"/>
      <c r="K985" s="917"/>
      <c r="L985" s="917"/>
      <c r="M985" s="917"/>
      <c r="N985" s="917"/>
      <c r="O985" s="917"/>
      <c r="P985" s="917"/>
      <c r="Q985" s="578"/>
      <c r="R985" s="578"/>
      <c r="S985" s="578"/>
      <c r="T985" s="578"/>
      <c r="U985" s="578"/>
      <c r="V985" s="578"/>
      <c r="W985" s="578"/>
      <c r="X985" s="578"/>
      <c r="Y985" s="578"/>
      <c r="Z985" s="578"/>
    </row>
    <row r="986" spans="1:26" ht="18.75">
      <c r="A986" s="682"/>
      <c r="B986" s="682"/>
      <c r="C986" s="682"/>
      <c r="D986" s="914"/>
      <c r="E986" s="682"/>
      <c r="F986" s="682"/>
      <c r="G986" s="682"/>
      <c r="H986" s="915"/>
      <c r="I986" s="916"/>
      <c r="J986" s="916"/>
      <c r="K986" s="917"/>
      <c r="L986" s="917"/>
      <c r="M986" s="917"/>
      <c r="N986" s="917"/>
      <c r="O986" s="917"/>
      <c r="P986" s="917"/>
      <c r="Q986" s="578"/>
      <c r="R986" s="578"/>
      <c r="S986" s="578"/>
      <c r="T986" s="578"/>
      <c r="U986" s="578"/>
      <c r="V986" s="578"/>
      <c r="W986" s="578"/>
      <c r="X986" s="578"/>
      <c r="Y986" s="578"/>
      <c r="Z986" s="578"/>
    </row>
    <row r="987" spans="1:26" ht="18.75">
      <c r="A987" s="682"/>
      <c r="B987" s="682"/>
      <c r="C987" s="682"/>
      <c r="D987" s="914"/>
      <c r="E987" s="682"/>
      <c r="F987" s="682"/>
      <c r="G987" s="682"/>
      <c r="H987" s="915"/>
      <c r="I987" s="916"/>
      <c r="J987" s="916"/>
      <c r="K987" s="917"/>
      <c r="L987" s="917"/>
      <c r="M987" s="917"/>
      <c r="N987" s="917"/>
      <c r="O987" s="917"/>
      <c r="P987" s="917"/>
      <c r="Q987" s="578"/>
      <c r="R987" s="578"/>
      <c r="S987" s="578"/>
      <c r="T987" s="578"/>
      <c r="U987" s="578"/>
      <c r="V987" s="578"/>
      <c r="W987" s="578"/>
      <c r="X987" s="578"/>
      <c r="Y987" s="578"/>
      <c r="Z987" s="578"/>
    </row>
    <row r="988" spans="1:26" ht="18.75">
      <c r="A988" s="682"/>
      <c r="B988" s="682"/>
      <c r="C988" s="682"/>
      <c r="D988" s="914"/>
      <c r="E988" s="682"/>
      <c r="F988" s="682"/>
      <c r="G988" s="682"/>
      <c r="H988" s="915"/>
      <c r="I988" s="916"/>
      <c r="J988" s="916"/>
      <c r="K988" s="917"/>
      <c r="L988" s="917"/>
      <c r="M988" s="917"/>
      <c r="N988" s="917"/>
      <c r="O988" s="917"/>
      <c r="P988" s="917"/>
      <c r="Q988" s="578"/>
      <c r="R988" s="578"/>
      <c r="S988" s="578"/>
      <c r="T988" s="578"/>
      <c r="U988" s="578"/>
      <c r="V988" s="578"/>
      <c r="W988" s="578"/>
      <c r="X988" s="578"/>
      <c r="Y988" s="578"/>
      <c r="Z988" s="578"/>
    </row>
    <row r="989" spans="1:26" ht="18.75">
      <c r="A989" s="682"/>
      <c r="B989" s="682"/>
      <c r="C989" s="682"/>
      <c r="D989" s="914"/>
      <c r="E989" s="682"/>
      <c r="F989" s="682"/>
      <c r="G989" s="682"/>
      <c r="H989" s="915"/>
      <c r="I989" s="916"/>
      <c r="J989" s="916"/>
      <c r="K989" s="917"/>
      <c r="L989" s="917"/>
      <c r="M989" s="917"/>
      <c r="N989" s="917"/>
      <c r="O989" s="917"/>
      <c r="P989" s="917"/>
      <c r="Q989" s="578"/>
      <c r="R989" s="578"/>
      <c r="S989" s="578"/>
      <c r="T989" s="578"/>
      <c r="U989" s="578"/>
      <c r="V989" s="578"/>
      <c r="W989" s="578"/>
      <c r="X989" s="578"/>
      <c r="Y989" s="578"/>
      <c r="Z989" s="578"/>
    </row>
    <row r="990" spans="1:26" ht="18.75">
      <c r="A990" s="682"/>
      <c r="B990" s="682"/>
      <c r="C990" s="682"/>
      <c r="D990" s="914"/>
      <c r="E990" s="682"/>
      <c r="F990" s="682"/>
      <c r="G990" s="682"/>
      <c r="H990" s="915"/>
      <c r="I990" s="916"/>
      <c r="J990" s="916"/>
      <c r="K990" s="917"/>
      <c r="L990" s="917"/>
      <c r="M990" s="917"/>
      <c r="N990" s="917"/>
      <c r="O990" s="917"/>
      <c r="P990" s="917"/>
      <c r="Q990" s="578"/>
      <c r="R990" s="578"/>
      <c r="S990" s="578"/>
      <c r="T990" s="578"/>
      <c r="U990" s="578"/>
      <c r="V990" s="578"/>
      <c r="W990" s="578"/>
      <c r="X990" s="578"/>
      <c r="Y990" s="578"/>
      <c r="Z990" s="578"/>
    </row>
    <row r="991" spans="1:26" ht="18.75">
      <c r="A991" s="682"/>
      <c r="B991" s="682"/>
      <c r="C991" s="682"/>
      <c r="D991" s="914"/>
      <c r="E991" s="682"/>
      <c r="F991" s="682"/>
      <c r="G991" s="682"/>
      <c r="H991" s="915"/>
      <c r="I991" s="916"/>
      <c r="J991" s="916"/>
      <c r="K991" s="917"/>
      <c r="L991" s="917"/>
      <c r="M991" s="917"/>
      <c r="N991" s="917"/>
      <c r="O991" s="917"/>
      <c r="P991" s="917"/>
      <c r="Q991" s="578"/>
      <c r="R991" s="578"/>
      <c r="S991" s="578"/>
      <c r="T991" s="578"/>
      <c r="U991" s="578"/>
      <c r="V991" s="578"/>
      <c r="W991" s="578"/>
      <c r="X991" s="578"/>
      <c r="Y991" s="578"/>
      <c r="Z991" s="578"/>
    </row>
    <row r="992" spans="1:26" ht="18.75">
      <c r="A992" s="682"/>
      <c r="B992" s="682"/>
      <c r="C992" s="682"/>
      <c r="D992" s="914"/>
      <c r="E992" s="682"/>
      <c r="F992" s="682"/>
      <c r="G992" s="682"/>
      <c r="H992" s="915"/>
      <c r="I992" s="916"/>
      <c r="J992" s="916"/>
      <c r="K992" s="917"/>
      <c r="L992" s="917"/>
      <c r="M992" s="917"/>
      <c r="N992" s="917"/>
      <c r="O992" s="917"/>
      <c r="P992" s="917"/>
      <c r="Q992" s="578"/>
      <c r="R992" s="578"/>
      <c r="S992" s="578"/>
      <c r="T992" s="578"/>
      <c r="U992" s="578"/>
      <c r="V992" s="578"/>
      <c r="W992" s="578"/>
      <c r="X992" s="578"/>
      <c r="Y992" s="578"/>
      <c r="Z992" s="578"/>
    </row>
    <row r="993" spans="1:26" ht="18.75">
      <c r="A993" s="682"/>
      <c r="B993" s="682"/>
      <c r="C993" s="682"/>
      <c r="D993" s="914"/>
      <c r="E993" s="682"/>
      <c r="F993" s="682"/>
      <c r="G993" s="682"/>
      <c r="H993" s="915"/>
      <c r="I993" s="916"/>
      <c r="J993" s="916"/>
      <c r="K993" s="917"/>
      <c r="L993" s="917"/>
      <c r="M993" s="917"/>
      <c r="N993" s="917"/>
      <c r="O993" s="917"/>
      <c r="P993" s="917"/>
      <c r="Q993" s="578"/>
      <c r="R993" s="578"/>
      <c r="S993" s="578"/>
      <c r="T993" s="578"/>
      <c r="U993" s="578"/>
      <c r="V993" s="578"/>
      <c r="W993" s="578"/>
      <c r="X993" s="578"/>
      <c r="Y993" s="578"/>
      <c r="Z993" s="578"/>
    </row>
    <row r="994" spans="1:26" ht="18.75">
      <c r="A994" s="682"/>
      <c r="B994" s="682"/>
      <c r="C994" s="682"/>
      <c r="D994" s="914"/>
      <c r="E994" s="682"/>
      <c r="F994" s="682"/>
      <c r="G994" s="682"/>
      <c r="H994" s="915"/>
      <c r="I994" s="916"/>
      <c r="J994" s="916"/>
      <c r="K994" s="917"/>
      <c r="L994" s="917"/>
      <c r="M994" s="917"/>
      <c r="N994" s="917"/>
      <c r="O994" s="917"/>
      <c r="P994" s="917"/>
      <c r="Q994" s="578"/>
      <c r="R994" s="578"/>
      <c r="S994" s="578"/>
      <c r="T994" s="578"/>
      <c r="U994" s="578"/>
      <c r="V994" s="578"/>
      <c r="W994" s="578"/>
      <c r="X994" s="578"/>
      <c r="Y994" s="578"/>
      <c r="Z994" s="578"/>
    </row>
    <row r="995" spans="1:26" ht="18.75">
      <c r="A995" s="682"/>
      <c r="B995" s="682"/>
      <c r="C995" s="682"/>
      <c r="D995" s="914"/>
      <c r="E995" s="682"/>
      <c r="F995" s="682"/>
      <c r="G995" s="682"/>
      <c r="H995" s="915"/>
      <c r="I995" s="916"/>
      <c r="J995" s="916"/>
      <c r="K995" s="917"/>
      <c r="L995" s="917"/>
      <c r="M995" s="917"/>
      <c r="N995" s="917"/>
      <c r="O995" s="917"/>
      <c r="P995" s="917"/>
      <c r="Q995" s="578"/>
      <c r="R995" s="578"/>
      <c r="S995" s="578"/>
      <c r="T995" s="578"/>
      <c r="U995" s="578"/>
      <c r="V995" s="578"/>
      <c r="W995" s="578"/>
      <c r="X995" s="578"/>
      <c r="Y995" s="578"/>
      <c r="Z995" s="578"/>
    </row>
    <row r="996" spans="1:26" ht="18.75">
      <c r="A996" s="682"/>
      <c r="B996" s="682"/>
      <c r="C996" s="682"/>
      <c r="D996" s="914"/>
      <c r="E996" s="682"/>
      <c r="F996" s="682"/>
      <c r="G996" s="682"/>
      <c r="H996" s="915"/>
      <c r="I996" s="916"/>
      <c r="J996" s="916"/>
      <c r="K996" s="917"/>
      <c r="L996" s="917"/>
      <c r="M996" s="917"/>
      <c r="N996" s="917"/>
      <c r="O996" s="917"/>
      <c r="P996" s="917"/>
      <c r="Q996" s="578"/>
      <c r="R996" s="578"/>
      <c r="S996" s="578"/>
      <c r="T996" s="578"/>
      <c r="U996" s="578"/>
      <c r="V996" s="578"/>
      <c r="W996" s="578"/>
      <c r="X996" s="578"/>
      <c r="Y996" s="578"/>
      <c r="Z996" s="578"/>
    </row>
    <row r="997" spans="1:26" ht="18.75">
      <c r="A997" s="682"/>
      <c r="B997" s="682"/>
      <c r="C997" s="682"/>
      <c r="D997" s="914"/>
      <c r="E997" s="682"/>
      <c r="F997" s="682"/>
      <c r="G997" s="682"/>
      <c r="H997" s="915"/>
      <c r="I997" s="916"/>
      <c r="J997" s="916"/>
      <c r="K997" s="917"/>
      <c r="L997" s="917"/>
      <c r="M997" s="917"/>
      <c r="N997" s="917"/>
      <c r="O997" s="917"/>
      <c r="P997" s="917"/>
      <c r="Q997" s="578"/>
      <c r="R997" s="578"/>
      <c r="S997" s="578"/>
      <c r="T997" s="578"/>
      <c r="U997" s="578"/>
      <c r="V997" s="578"/>
      <c r="W997" s="578"/>
      <c r="X997" s="578"/>
      <c r="Y997" s="578"/>
      <c r="Z997" s="578"/>
    </row>
    <row r="998" spans="1:26" ht="18.75">
      <c r="A998" s="682"/>
      <c r="B998" s="682"/>
      <c r="C998" s="682"/>
      <c r="D998" s="914"/>
      <c r="E998" s="682"/>
      <c r="F998" s="682"/>
      <c r="G998" s="682"/>
      <c r="H998" s="915"/>
      <c r="I998" s="916"/>
      <c r="J998" s="916"/>
      <c r="K998" s="917"/>
      <c r="L998" s="917"/>
      <c r="M998" s="917"/>
      <c r="N998" s="917"/>
      <c r="O998" s="917"/>
      <c r="P998" s="917"/>
      <c r="Q998" s="578"/>
      <c r="R998" s="578"/>
      <c r="S998" s="578"/>
      <c r="T998" s="578"/>
      <c r="U998" s="578"/>
      <c r="V998" s="578"/>
      <c r="W998" s="578"/>
      <c r="X998" s="578"/>
      <c r="Y998" s="578"/>
      <c r="Z998" s="578"/>
    </row>
    <row r="999" spans="1:26" ht="18.75">
      <c r="A999" s="682"/>
      <c r="B999" s="682"/>
      <c r="C999" s="682"/>
      <c r="D999" s="914"/>
      <c r="E999" s="682"/>
      <c r="F999" s="682"/>
      <c r="G999" s="682"/>
      <c r="H999" s="915"/>
      <c r="I999" s="916"/>
      <c r="J999" s="916"/>
      <c r="K999" s="917"/>
      <c r="L999" s="917"/>
      <c r="M999" s="917"/>
      <c r="N999" s="917"/>
      <c r="O999" s="917"/>
      <c r="P999" s="917"/>
      <c r="Q999" s="578"/>
      <c r="R999" s="578"/>
      <c r="S999" s="578"/>
      <c r="T999" s="578"/>
      <c r="U999" s="578"/>
      <c r="V999" s="578"/>
      <c r="W999" s="578"/>
      <c r="X999" s="578"/>
      <c r="Y999" s="578"/>
      <c r="Z999" s="578"/>
    </row>
    <row r="1000" spans="1:26" ht="18.75">
      <c r="A1000" s="682"/>
      <c r="B1000" s="682"/>
      <c r="C1000" s="682"/>
      <c r="D1000" s="914"/>
      <c r="E1000" s="682"/>
      <c r="F1000" s="682"/>
      <c r="G1000" s="682"/>
      <c r="H1000" s="915"/>
      <c r="I1000" s="916"/>
      <c r="J1000" s="916"/>
      <c r="K1000" s="917"/>
      <c r="L1000" s="917"/>
      <c r="M1000" s="917"/>
      <c r="N1000" s="917"/>
      <c r="O1000" s="917"/>
      <c r="P1000" s="917"/>
      <c r="Q1000" s="578"/>
      <c r="R1000" s="578"/>
      <c r="S1000" s="578"/>
      <c r="T1000" s="578"/>
      <c r="U1000" s="578"/>
      <c r="V1000" s="578"/>
      <c r="W1000" s="578"/>
      <c r="X1000" s="578"/>
      <c r="Y1000" s="578"/>
      <c r="Z1000" s="578"/>
    </row>
    <row r="1001" spans="1:26" ht="18.75">
      <c r="A1001" s="682"/>
      <c r="B1001" s="682"/>
      <c r="C1001" s="682"/>
      <c r="D1001" s="914"/>
      <c r="E1001" s="682"/>
      <c r="F1001" s="682"/>
      <c r="G1001" s="682"/>
      <c r="H1001" s="915"/>
      <c r="I1001" s="916"/>
      <c r="J1001" s="916"/>
      <c r="K1001" s="917"/>
      <c r="L1001" s="917"/>
      <c r="M1001" s="917"/>
      <c r="N1001" s="917"/>
      <c r="O1001" s="917"/>
      <c r="P1001" s="917"/>
      <c r="Q1001" s="578"/>
      <c r="R1001" s="578"/>
      <c r="S1001" s="578"/>
      <c r="T1001" s="578"/>
      <c r="U1001" s="578"/>
      <c r="V1001" s="578"/>
      <c r="W1001" s="578"/>
      <c r="X1001" s="578"/>
      <c r="Y1001" s="578"/>
      <c r="Z1001" s="578"/>
    </row>
    <row r="1002" spans="1:26" ht="18.75">
      <c r="A1002" s="682"/>
      <c r="B1002" s="682"/>
      <c r="C1002" s="682"/>
      <c r="D1002" s="914"/>
      <c r="E1002" s="682"/>
      <c r="F1002" s="682"/>
      <c r="G1002" s="682"/>
      <c r="H1002" s="915"/>
      <c r="I1002" s="916"/>
      <c r="J1002" s="916"/>
      <c r="K1002" s="917"/>
      <c r="L1002" s="917"/>
      <c r="M1002" s="917"/>
      <c r="N1002" s="917"/>
      <c r="O1002" s="917"/>
      <c r="P1002" s="917"/>
      <c r="Q1002" s="578"/>
      <c r="R1002" s="578"/>
      <c r="S1002" s="578"/>
      <c r="T1002" s="578"/>
      <c r="U1002" s="578"/>
      <c r="V1002" s="578"/>
      <c r="W1002" s="578"/>
      <c r="X1002" s="578"/>
      <c r="Y1002" s="578"/>
      <c r="Z1002" s="578"/>
    </row>
    <row r="1003" spans="1:26" ht="18.75">
      <c r="A1003" s="682"/>
      <c r="B1003" s="682"/>
      <c r="C1003" s="682"/>
      <c r="D1003" s="914"/>
      <c r="E1003" s="682"/>
      <c r="F1003" s="682"/>
      <c r="G1003" s="682"/>
      <c r="H1003" s="915"/>
      <c r="I1003" s="916"/>
      <c r="J1003" s="916"/>
      <c r="K1003" s="917"/>
      <c r="L1003" s="917"/>
      <c r="M1003" s="917"/>
      <c r="N1003" s="917"/>
      <c r="O1003" s="917"/>
      <c r="P1003" s="917"/>
      <c r="Q1003" s="578"/>
      <c r="R1003" s="578"/>
      <c r="S1003" s="578"/>
      <c r="T1003" s="578"/>
      <c r="U1003" s="578"/>
      <c r="V1003" s="578"/>
      <c r="W1003" s="578"/>
      <c r="X1003" s="578"/>
      <c r="Y1003" s="578"/>
      <c r="Z1003" s="578"/>
    </row>
    <row r="1004" spans="1:26" ht="18.75">
      <c r="A1004" s="682"/>
      <c r="B1004" s="682"/>
      <c r="C1004" s="682"/>
      <c r="D1004" s="914"/>
      <c r="E1004" s="682"/>
      <c r="F1004" s="682"/>
      <c r="G1004" s="682"/>
      <c r="H1004" s="915"/>
      <c r="I1004" s="916"/>
      <c r="J1004" s="916"/>
      <c r="K1004" s="917"/>
      <c r="L1004" s="917"/>
      <c r="M1004" s="917"/>
      <c r="N1004" s="917"/>
      <c r="O1004" s="917"/>
      <c r="P1004" s="917"/>
      <c r="Q1004" s="578"/>
      <c r="R1004" s="578"/>
      <c r="S1004" s="578"/>
      <c r="T1004" s="578"/>
      <c r="U1004" s="578"/>
      <c r="V1004" s="578"/>
      <c r="W1004" s="578"/>
      <c r="X1004" s="578"/>
      <c r="Y1004" s="578"/>
      <c r="Z1004" s="578"/>
    </row>
    <row r="1005" spans="1:26" ht="18.75">
      <c r="A1005" s="682"/>
      <c r="B1005" s="682"/>
      <c r="C1005" s="682"/>
      <c r="D1005" s="914"/>
      <c r="E1005" s="682"/>
      <c r="F1005" s="682"/>
      <c r="G1005" s="682"/>
      <c r="H1005" s="915"/>
      <c r="I1005" s="916"/>
      <c r="J1005" s="916"/>
      <c r="K1005" s="917"/>
      <c r="L1005" s="917"/>
      <c r="M1005" s="917"/>
      <c r="N1005" s="917"/>
      <c r="O1005" s="917"/>
      <c r="P1005" s="917"/>
      <c r="Q1005" s="578"/>
      <c r="R1005" s="578"/>
      <c r="S1005" s="578"/>
      <c r="T1005" s="578"/>
      <c r="U1005" s="578"/>
      <c r="V1005" s="578"/>
      <c r="W1005" s="578"/>
      <c r="X1005" s="578"/>
      <c r="Y1005" s="578"/>
      <c r="Z1005" s="578"/>
    </row>
    <row r="1006" spans="1:26" ht="18.75">
      <c r="A1006" s="682"/>
      <c r="B1006" s="682"/>
      <c r="C1006" s="682"/>
      <c r="D1006" s="914"/>
      <c r="E1006" s="682"/>
      <c r="F1006" s="682"/>
      <c r="G1006" s="682"/>
      <c r="H1006" s="915"/>
      <c r="I1006" s="916"/>
      <c r="J1006" s="916"/>
      <c r="K1006" s="917"/>
      <c r="L1006" s="917"/>
      <c r="M1006" s="917"/>
      <c r="N1006" s="917"/>
      <c r="O1006" s="917"/>
      <c r="P1006" s="917"/>
      <c r="Q1006" s="578"/>
      <c r="R1006" s="578"/>
      <c r="S1006" s="578"/>
      <c r="T1006" s="578"/>
      <c r="U1006" s="578"/>
      <c r="V1006" s="578"/>
      <c r="W1006" s="578"/>
      <c r="X1006" s="578"/>
      <c r="Y1006" s="578"/>
      <c r="Z1006" s="578"/>
    </row>
    <row r="1007" spans="1:26" ht="18.75">
      <c r="A1007" s="682"/>
      <c r="B1007" s="682"/>
      <c r="C1007" s="682"/>
      <c r="D1007" s="914"/>
      <c r="E1007" s="682"/>
      <c r="F1007" s="682"/>
      <c r="G1007" s="682"/>
      <c r="H1007" s="915"/>
      <c r="I1007" s="916"/>
      <c r="J1007" s="916"/>
      <c r="K1007" s="917"/>
      <c r="L1007" s="917"/>
      <c r="M1007" s="917"/>
      <c r="N1007" s="917"/>
      <c r="O1007" s="917"/>
      <c r="P1007" s="917"/>
      <c r="Q1007" s="578"/>
      <c r="R1007" s="578"/>
      <c r="S1007" s="578"/>
      <c r="T1007" s="578"/>
      <c r="U1007" s="578"/>
      <c r="V1007" s="578"/>
      <c r="W1007" s="578"/>
      <c r="X1007" s="578"/>
      <c r="Y1007" s="578"/>
      <c r="Z1007" s="578"/>
    </row>
    <row r="1008" spans="1:26" ht="18.75">
      <c r="A1008" s="682"/>
      <c r="B1008" s="682"/>
      <c r="C1008" s="682"/>
      <c r="D1008" s="914"/>
      <c r="E1008" s="682"/>
      <c r="F1008" s="682"/>
      <c r="G1008" s="682"/>
      <c r="H1008" s="915"/>
      <c r="I1008" s="916"/>
      <c r="J1008" s="916"/>
      <c r="K1008" s="917"/>
      <c r="L1008" s="917"/>
      <c r="M1008" s="917"/>
      <c r="N1008" s="917"/>
      <c r="O1008" s="917"/>
      <c r="P1008" s="917"/>
      <c r="Q1008" s="578"/>
      <c r="R1008" s="578"/>
      <c r="S1008" s="578"/>
      <c r="T1008" s="578"/>
      <c r="U1008" s="578"/>
      <c r="V1008" s="578"/>
      <c r="W1008" s="578"/>
      <c r="X1008" s="578"/>
      <c r="Y1008" s="578"/>
      <c r="Z1008" s="578"/>
    </row>
    <row r="1009" spans="1:26" ht="18.75">
      <c r="A1009" s="682"/>
      <c r="B1009" s="682"/>
      <c r="C1009" s="682"/>
      <c r="D1009" s="914"/>
      <c r="E1009" s="682"/>
      <c r="F1009" s="682"/>
      <c r="G1009" s="682"/>
      <c r="H1009" s="915"/>
      <c r="I1009" s="916"/>
      <c r="J1009" s="916"/>
      <c r="K1009" s="917"/>
      <c r="L1009" s="917"/>
      <c r="M1009" s="917"/>
      <c r="N1009" s="917"/>
      <c r="O1009" s="917"/>
      <c r="P1009" s="917"/>
      <c r="Q1009" s="578"/>
      <c r="R1009" s="578"/>
      <c r="S1009" s="578"/>
      <c r="T1009" s="578"/>
      <c r="U1009" s="578"/>
      <c r="V1009" s="578"/>
      <c r="W1009" s="578"/>
      <c r="X1009" s="578"/>
      <c r="Y1009" s="578"/>
      <c r="Z1009" s="578"/>
    </row>
    <row r="1010" spans="1:26" ht="18.75">
      <c r="A1010" s="682"/>
      <c r="B1010" s="682"/>
      <c r="C1010" s="682"/>
      <c r="D1010" s="914"/>
      <c r="E1010" s="682"/>
      <c r="F1010" s="682"/>
      <c r="G1010" s="682"/>
      <c r="H1010" s="915"/>
      <c r="I1010" s="916"/>
      <c r="J1010" s="916"/>
      <c r="K1010" s="917"/>
      <c r="L1010" s="917"/>
      <c r="M1010" s="917"/>
      <c r="N1010" s="917"/>
      <c r="O1010" s="917"/>
      <c r="P1010" s="917"/>
      <c r="Q1010" s="578"/>
      <c r="R1010" s="578"/>
      <c r="S1010" s="578"/>
      <c r="T1010" s="578"/>
      <c r="U1010" s="578"/>
      <c r="V1010" s="578"/>
      <c r="W1010" s="578"/>
      <c r="X1010" s="578"/>
      <c r="Y1010" s="578"/>
      <c r="Z1010" s="578"/>
    </row>
    <row r="1011" spans="1:26" ht="18.75">
      <c r="A1011" s="682"/>
      <c r="B1011" s="682"/>
      <c r="C1011" s="682"/>
      <c r="D1011" s="914"/>
      <c r="E1011" s="682"/>
      <c r="F1011" s="682"/>
      <c r="G1011" s="682"/>
      <c r="H1011" s="915"/>
      <c r="I1011" s="916"/>
      <c r="J1011" s="916"/>
      <c r="K1011" s="917"/>
      <c r="L1011" s="917"/>
      <c r="M1011" s="917"/>
      <c r="N1011" s="917"/>
      <c r="O1011" s="917"/>
      <c r="P1011" s="917"/>
      <c r="Q1011" s="578"/>
      <c r="R1011" s="578"/>
      <c r="S1011" s="578"/>
      <c r="T1011" s="578"/>
      <c r="U1011" s="578"/>
      <c r="V1011" s="578"/>
      <c r="W1011" s="578"/>
      <c r="X1011" s="578"/>
      <c r="Y1011" s="578"/>
      <c r="Z1011" s="578"/>
    </row>
    <row r="1012" spans="1:26" ht="18.75">
      <c r="A1012" s="682"/>
      <c r="B1012" s="682"/>
      <c r="C1012" s="682"/>
      <c r="D1012" s="914"/>
      <c r="E1012" s="682"/>
      <c r="F1012" s="682"/>
      <c r="G1012" s="682"/>
      <c r="H1012" s="915"/>
      <c r="I1012" s="916"/>
      <c r="J1012" s="916"/>
      <c r="K1012" s="917"/>
      <c r="L1012" s="917"/>
      <c r="M1012" s="917"/>
      <c r="N1012" s="917"/>
      <c r="O1012" s="917"/>
      <c r="P1012" s="917"/>
      <c r="Q1012" s="578"/>
      <c r="R1012" s="578"/>
      <c r="S1012" s="578"/>
      <c r="T1012" s="578"/>
      <c r="U1012" s="578"/>
      <c r="V1012" s="578"/>
      <c r="W1012" s="578"/>
      <c r="X1012" s="578"/>
      <c r="Y1012" s="578"/>
      <c r="Z1012" s="578"/>
    </row>
    <row r="1013" spans="1:26" ht="18.75">
      <c r="A1013" s="682"/>
      <c r="B1013" s="682"/>
      <c r="C1013" s="682"/>
      <c r="D1013" s="914"/>
      <c r="E1013" s="682"/>
      <c r="F1013" s="682"/>
      <c r="G1013" s="682"/>
      <c r="H1013" s="915"/>
      <c r="I1013" s="916"/>
      <c r="J1013" s="916"/>
      <c r="K1013" s="917"/>
      <c r="L1013" s="917"/>
      <c r="M1013" s="917"/>
      <c r="N1013" s="917"/>
      <c r="O1013" s="917"/>
      <c r="P1013" s="917"/>
      <c r="Q1013" s="578"/>
      <c r="R1013" s="578"/>
      <c r="S1013" s="578"/>
      <c r="T1013" s="578"/>
      <c r="U1013" s="578"/>
      <c r="V1013" s="578"/>
      <c r="W1013" s="578"/>
      <c r="X1013" s="578"/>
      <c r="Y1013" s="578"/>
      <c r="Z1013" s="578"/>
    </row>
    <row r="1014" spans="1:26" ht="18.75">
      <c r="A1014" s="682"/>
      <c r="B1014" s="682"/>
      <c r="C1014" s="682"/>
      <c r="D1014" s="914"/>
      <c r="E1014" s="682"/>
      <c r="F1014" s="682"/>
      <c r="G1014" s="682"/>
      <c r="H1014" s="915"/>
      <c r="I1014" s="916"/>
      <c r="J1014" s="916"/>
      <c r="K1014" s="917"/>
      <c r="L1014" s="917"/>
      <c r="M1014" s="917"/>
      <c r="N1014" s="917"/>
      <c r="O1014" s="917"/>
      <c r="P1014" s="917"/>
      <c r="Q1014" s="578"/>
      <c r="R1014" s="578"/>
      <c r="S1014" s="578"/>
      <c r="T1014" s="578"/>
      <c r="U1014" s="578"/>
      <c r="V1014" s="578"/>
      <c r="W1014" s="578"/>
      <c r="X1014" s="578"/>
      <c r="Y1014" s="578"/>
      <c r="Z1014" s="578"/>
    </row>
    <row r="1015" spans="1:26" ht="18.75">
      <c r="A1015" s="682"/>
      <c r="B1015" s="682"/>
      <c r="C1015" s="682"/>
      <c r="D1015" s="914"/>
      <c r="E1015" s="682"/>
      <c r="F1015" s="682"/>
      <c r="G1015" s="682"/>
      <c r="H1015" s="915"/>
      <c r="I1015" s="916"/>
      <c r="J1015" s="916"/>
      <c r="K1015" s="917"/>
      <c r="L1015" s="917"/>
      <c r="M1015" s="917"/>
      <c r="N1015" s="917"/>
      <c r="O1015" s="917"/>
      <c r="P1015" s="917"/>
      <c r="Q1015" s="578"/>
      <c r="R1015" s="578"/>
      <c r="S1015" s="578"/>
      <c r="T1015" s="578"/>
      <c r="U1015" s="578"/>
      <c r="V1015" s="578"/>
      <c r="W1015" s="578"/>
      <c r="X1015" s="578"/>
      <c r="Y1015" s="578"/>
      <c r="Z1015" s="578"/>
    </row>
    <row r="1016" spans="1:26" ht="18.75">
      <c r="A1016" s="682"/>
      <c r="B1016" s="682"/>
      <c r="C1016" s="682"/>
      <c r="D1016" s="914"/>
      <c r="E1016" s="682"/>
      <c r="F1016" s="682"/>
      <c r="G1016" s="682"/>
      <c r="H1016" s="915"/>
      <c r="I1016" s="916"/>
      <c r="J1016" s="916"/>
      <c r="K1016" s="917"/>
      <c r="L1016" s="917"/>
      <c r="M1016" s="917"/>
      <c r="N1016" s="917"/>
      <c r="O1016" s="917"/>
      <c r="P1016" s="917"/>
      <c r="Q1016" s="578"/>
      <c r="R1016" s="578"/>
      <c r="S1016" s="578"/>
      <c r="T1016" s="578"/>
      <c r="U1016" s="578"/>
      <c r="V1016" s="578"/>
      <c r="W1016" s="578"/>
      <c r="X1016" s="578"/>
      <c r="Y1016" s="578"/>
      <c r="Z1016" s="578"/>
    </row>
    <row r="1017" spans="1:26" ht="18.75">
      <c r="A1017" s="682"/>
      <c r="B1017" s="682"/>
      <c r="C1017" s="682"/>
      <c r="D1017" s="914"/>
      <c r="E1017" s="682"/>
      <c r="F1017" s="682"/>
      <c r="G1017" s="682"/>
      <c r="H1017" s="915"/>
      <c r="I1017" s="916"/>
      <c r="J1017" s="916"/>
      <c r="K1017" s="917"/>
      <c r="L1017" s="917"/>
      <c r="M1017" s="917"/>
      <c r="N1017" s="917"/>
      <c r="O1017" s="917"/>
      <c r="P1017" s="917"/>
      <c r="Q1017" s="578"/>
      <c r="R1017" s="578"/>
      <c r="S1017" s="578"/>
      <c r="T1017" s="578"/>
      <c r="U1017" s="578"/>
      <c r="V1017" s="578"/>
      <c r="W1017" s="578"/>
      <c r="X1017" s="578"/>
      <c r="Y1017" s="578"/>
      <c r="Z1017" s="578"/>
    </row>
    <row r="1018" spans="1:26" ht="18.75">
      <c r="A1018" s="682"/>
      <c r="B1018" s="682"/>
      <c r="C1018" s="682"/>
      <c r="D1018" s="914"/>
      <c r="E1018" s="682"/>
      <c r="F1018" s="682"/>
      <c r="G1018" s="682"/>
      <c r="H1018" s="915"/>
      <c r="I1018" s="916"/>
      <c r="J1018" s="916"/>
      <c r="K1018" s="917"/>
      <c r="L1018" s="917"/>
      <c r="M1018" s="917"/>
      <c r="N1018" s="917"/>
      <c r="O1018" s="917"/>
      <c r="P1018" s="917"/>
      <c r="Q1018" s="578"/>
      <c r="R1018" s="578"/>
      <c r="S1018" s="578"/>
      <c r="T1018" s="578"/>
      <c r="U1018" s="578"/>
      <c r="V1018" s="578"/>
      <c r="W1018" s="578"/>
      <c r="X1018" s="578"/>
      <c r="Y1018" s="578"/>
      <c r="Z1018" s="578"/>
    </row>
    <row r="1019" spans="1:26" ht="18.75">
      <c r="A1019" s="682"/>
      <c r="B1019" s="682"/>
      <c r="C1019" s="682"/>
      <c r="D1019" s="914"/>
      <c r="E1019" s="682"/>
      <c r="F1019" s="682"/>
      <c r="G1019" s="682"/>
      <c r="H1019" s="915"/>
      <c r="I1019" s="916"/>
      <c r="J1019" s="916"/>
      <c r="K1019" s="917"/>
      <c r="L1019" s="917"/>
      <c r="M1019" s="917"/>
      <c r="N1019" s="917"/>
      <c r="O1019" s="917"/>
      <c r="P1019" s="917"/>
      <c r="Q1019" s="578"/>
      <c r="R1019" s="578"/>
      <c r="S1019" s="578"/>
      <c r="T1019" s="578"/>
      <c r="U1019" s="578"/>
      <c r="V1019" s="578"/>
      <c r="W1019" s="578"/>
      <c r="X1019" s="578"/>
      <c r="Y1019" s="578"/>
      <c r="Z1019" s="578"/>
    </row>
    <row r="1020" spans="1:26" ht="18.75">
      <c r="A1020" s="682"/>
      <c r="B1020" s="682"/>
      <c r="C1020" s="682"/>
      <c r="D1020" s="914"/>
      <c r="E1020" s="682"/>
      <c r="F1020" s="682"/>
      <c r="G1020" s="682"/>
      <c r="H1020" s="915"/>
      <c r="I1020" s="916"/>
      <c r="J1020" s="916"/>
      <c r="K1020" s="917"/>
      <c r="L1020" s="917"/>
      <c r="M1020" s="917"/>
      <c r="N1020" s="917"/>
      <c r="O1020" s="917"/>
      <c r="P1020" s="917"/>
      <c r="Q1020" s="578"/>
      <c r="R1020" s="578"/>
      <c r="S1020" s="578"/>
      <c r="T1020" s="578"/>
      <c r="U1020" s="578"/>
      <c r="V1020" s="578"/>
      <c r="W1020" s="578"/>
      <c r="X1020" s="578"/>
      <c r="Y1020" s="578"/>
      <c r="Z1020" s="578"/>
    </row>
    <row r="1021" spans="1:26" ht="18.75">
      <c r="A1021" s="682"/>
      <c r="B1021" s="682"/>
      <c r="C1021" s="682"/>
      <c r="D1021" s="914"/>
      <c r="E1021" s="682"/>
      <c r="F1021" s="682"/>
      <c r="G1021" s="682"/>
      <c r="H1021" s="915"/>
      <c r="I1021" s="916"/>
      <c r="J1021" s="916"/>
      <c r="K1021" s="917"/>
      <c r="L1021" s="917"/>
      <c r="M1021" s="917"/>
      <c r="N1021" s="917"/>
      <c r="O1021" s="917"/>
      <c r="P1021" s="917"/>
      <c r="Q1021" s="578"/>
      <c r="R1021" s="578"/>
      <c r="S1021" s="578"/>
      <c r="T1021" s="578"/>
      <c r="U1021" s="578"/>
      <c r="V1021" s="578"/>
      <c r="W1021" s="578"/>
      <c r="X1021" s="578"/>
      <c r="Y1021" s="578"/>
      <c r="Z1021" s="578"/>
    </row>
    <row r="1022" spans="1:26" ht="18.75">
      <c r="A1022" s="682"/>
      <c r="B1022" s="682"/>
      <c r="C1022" s="682"/>
      <c r="D1022" s="914"/>
      <c r="E1022" s="682"/>
      <c r="F1022" s="682"/>
      <c r="G1022" s="682"/>
      <c r="H1022" s="915"/>
      <c r="I1022" s="916"/>
      <c r="J1022" s="916"/>
      <c r="K1022" s="917"/>
      <c r="L1022" s="917"/>
      <c r="M1022" s="917"/>
      <c r="N1022" s="917"/>
      <c r="O1022" s="917"/>
      <c r="P1022" s="917"/>
      <c r="Q1022" s="578"/>
      <c r="R1022" s="578"/>
      <c r="S1022" s="578"/>
      <c r="T1022" s="578"/>
      <c r="U1022" s="578"/>
      <c r="V1022" s="578"/>
      <c r="W1022" s="578"/>
      <c r="X1022" s="578"/>
      <c r="Y1022" s="578"/>
      <c r="Z1022" s="578"/>
    </row>
    <row r="1023" spans="1:26" ht="18.75">
      <c r="A1023" s="682"/>
      <c r="B1023" s="682"/>
      <c r="C1023" s="682"/>
      <c r="D1023" s="914"/>
      <c r="E1023" s="682"/>
      <c r="F1023" s="682"/>
      <c r="G1023" s="682"/>
      <c r="H1023" s="915"/>
      <c r="I1023" s="916"/>
      <c r="J1023" s="916"/>
      <c r="K1023" s="917"/>
      <c r="L1023" s="917"/>
      <c r="M1023" s="917"/>
      <c r="N1023" s="917"/>
      <c r="O1023" s="917"/>
      <c r="P1023" s="917"/>
      <c r="Q1023" s="578"/>
      <c r="R1023" s="578"/>
      <c r="S1023" s="578"/>
      <c r="T1023" s="578"/>
      <c r="U1023" s="578"/>
      <c r="V1023" s="578"/>
      <c r="W1023" s="578"/>
      <c r="X1023" s="578"/>
      <c r="Y1023" s="578"/>
      <c r="Z1023" s="578"/>
    </row>
    <row r="1024" spans="1:26" ht="18.75">
      <c r="A1024" s="682"/>
      <c r="B1024" s="682"/>
      <c r="C1024" s="682"/>
      <c r="D1024" s="914"/>
      <c r="E1024" s="682"/>
      <c r="F1024" s="682"/>
      <c r="G1024" s="682"/>
      <c r="H1024" s="915"/>
      <c r="I1024" s="916"/>
      <c r="J1024" s="916"/>
      <c r="K1024" s="917"/>
      <c r="L1024" s="917"/>
      <c r="M1024" s="917"/>
      <c r="N1024" s="917"/>
      <c r="O1024" s="917"/>
      <c r="P1024" s="917"/>
      <c r="Q1024" s="578"/>
      <c r="R1024" s="578"/>
      <c r="S1024" s="578"/>
      <c r="T1024" s="578"/>
      <c r="U1024" s="578"/>
      <c r="V1024" s="578"/>
      <c r="W1024" s="578"/>
      <c r="X1024" s="578"/>
      <c r="Y1024" s="578"/>
      <c r="Z1024" s="578"/>
    </row>
    <row r="1025" spans="1:26" ht="18.75">
      <c r="A1025" s="682"/>
      <c r="B1025" s="682"/>
      <c r="C1025" s="682"/>
      <c r="D1025" s="914"/>
      <c r="E1025" s="682"/>
      <c r="F1025" s="682"/>
      <c r="G1025" s="682"/>
      <c r="H1025" s="915"/>
      <c r="I1025" s="916"/>
      <c r="J1025" s="916"/>
      <c r="K1025" s="917"/>
      <c r="L1025" s="917"/>
      <c r="M1025" s="917"/>
      <c r="N1025" s="917"/>
      <c r="O1025" s="917"/>
      <c r="P1025" s="917"/>
      <c r="Q1025" s="578"/>
      <c r="R1025" s="578"/>
      <c r="S1025" s="578"/>
      <c r="T1025" s="578"/>
      <c r="U1025" s="578"/>
      <c r="V1025" s="578"/>
      <c r="W1025" s="578"/>
      <c r="X1025" s="578"/>
      <c r="Y1025" s="578"/>
      <c r="Z1025" s="578"/>
    </row>
    <row r="1026" spans="1:26" ht="18.75">
      <c r="A1026" s="682"/>
      <c r="B1026" s="682"/>
      <c r="C1026" s="682"/>
      <c r="D1026" s="914"/>
      <c r="E1026" s="682"/>
      <c r="F1026" s="682"/>
      <c r="G1026" s="682"/>
      <c r="H1026" s="915"/>
      <c r="I1026" s="916"/>
      <c r="J1026" s="916"/>
      <c r="K1026" s="917"/>
      <c r="L1026" s="917"/>
      <c r="M1026" s="917"/>
      <c r="N1026" s="917"/>
      <c r="O1026" s="917"/>
      <c r="P1026" s="917"/>
      <c r="Q1026" s="578"/>
      <c r="R1026" s="578"/>
      <c r="S1026" s="578"/>
      <c r="T1026" s="578"/>
      <c r="U1026" s="578"/>
      <c r="V1026" s="578"/>
      <c r="W1026" s="578"/>
      <c r="X1026" s="578"/>
      <c r="Y1026" s="578"/>
      <c r="Z1026" s="578"/>
    </row>
    <row r="1027" spans="1:26" ht="18.75">
      <c r="A1027" s="682"/>
      <c r="B1027" s="682"/>
      <c r="C1027" s="682"/>
      <c r="D1027" s="914"/>
      <c r="E1027" s="682"/>
      <c r="F1027" s="682"/>
      <c r="G1027" s="682"/>
      <c r="H1027" s="915"/>
      <c r="I1027" s="916"/>
      <c r="J1027" s="916"/>
      <c r="K1027" s="917"/>
      <c r="L1027" s="917"/>
      <c r="M1027" s="917"/>
      <c r="N1027" s="917"/>
      <c r="O1027" s="917"/>
      <c r="P1027" s="917"/>
      <c r="Q1027" s="578"/>
      <c r="R1027" s="578"/>
      <c r="S1027" s="578"/>
      <c r="T1027" s="578"/>
      <c r="U1027" s="578"/>
      <c r="V1027" s="578"/>
      <c r="W1027" s="578"/>
      <c r="X1027" s="578"/>
      <c r="Y1027" s="578"/>
      <c r="Z1027" s="578"/>
    </row>
    <row r="1028" spans="1:26" ht="18.75">
      <c r="A1028" s="682"/>
      <c r="B1028" s="682"/>
      <c r="C1028" s="682"/>
      <c r="D1028" s="914"/>
      <c r="E1028" s="682"/>
      <c r="F1028" s="682"/>
      <c r="G1028" s="682"/>
      <c r="H1028" s="915"/>
      <c r="I1028" s="916"/>
      <c r="J1028" s="916"/>
      <c r="K1028" s="917"/>
      <c r="L1028" s="917"/>
      <c r="M1028" s="917"/>
      <c r="N1028" s="917"/>
      <c r="O1028" s="917"/>
      <c r="P1028" s="917"/>
      <c r="Q1028" s="578"/>
      <c r="R1028" s="578"/>
      <c r="S1028" s="578"/>
      <c r="T1028" s="578"/>
      <c r="U1028" s="578"/>
      <c r="V1028" s="578"/>
      <c r="W1028" s="578"/>
      <c r="X1028" s="578"/>
      <c r="Y1028" s="578"/>
      <c r="Z1028" s="578"/>
    </row>
    <row r="1029" spans="1:26" ht="18.75">
      <c r="A1029" s="682"/>
      <c r="B1029" s="682"/>
      <c r="C1029" s="682"/>
      <c r="D1029" s="914"/>
      <c r="E1029" s="682"/>
      <c r="F1029" s="682"/>
      <c r="G1029" s="682"/>
      <c r="H1029" s="915"/>
      <c r="I1029" s="916"/>
      <c r="J1029" s="916"/>
      <c r="K1029" s="917"/>
      <c r="L1029" s="917"/>
      <c r="M1029" s="917"/>
      <c r="N1029" s="917"/>
      <c r="O1029" s="917"/>
      <c r="P1029" s="917"/>
      <c r="Q1029" s="578"/>
      <c r="R1029" s="578"/>
      <c r="S1029" s="578"/>
      <c r="T1029" s="578"/>
      <c r="U1029" s="578"/>
      <c r="V1029" s="578"/>
      <c r="W1029" s="578"/>
      <c r="X1029" s="578"/>
      <c r="Y1029" s="578"/>
      <c r="Z1029" s="578"/>
    </row>
    <row r="1030" spans="1:26" ht="18.75">
      <c r="A1030" s="682"/>
      <c r="B1030" s="682"/>
      <c r="C1030" s="682"/>
      <c r="D1030" s="914"/>
      <c r="E1030" s="682"/>
      <c r="F1030" s="682"/>
      <c r="G1030" s="682"/>
      <c r="H1030" s="915"/>
      <c r="I1030" s="916"/>
      <c r="J1030" s="916"/>
      <c r="K1030" s="917"/>
      <c r="L1030" s="917"/>
      <c r="M1030" s="917"/>
      <c r="N1030" s="917"/>
      <c r="O1030" s="917"/>
      <c r="P1030" s="917"/>
      <c r="Q1030" s="578"/>
      <c r="R1030" s="578"/>
      <c r="S1030" s="578"/>
      <c r="T1030" s="578"/>
      <c r="U1030" s="578"/>
      <c r="V1030" s="578"/>
      <c r="W1030" s="578"/>
      <c r="X1030" s="578"/>
      <c r="Y1030" s="578"/>
      <c r="Z1030" s="578"/>
    </row>
    <row r="1031" spans="1:26" ht="18.75">
      <c r="A1031" s="682"/>
      <c r="B1031" s="682"/>
      <c r="C1031" s="682"/>
      <c r="D1031" s="914"/>
      <c r="E1031" s="682"/>
      <c r="F1031" s="682"/>
      <c r="G1031" s="682"/>
      <c r="H1031" s="915"/>
      <c r="I1031" s="916"/>
      <c r="J1031" s="916"/>
      <c r="K1031" s="917"/>
      <c r="L1031" s="917"/>
      <c r="M1031" s="917"/>
      <c r="N1031" s="917"/>
      <c r="O1031" s="917"/>
      <c r="P1031" s="917"/>
      <c r="Q1031" s="578"/>
      <c r="R1031" s="578"/>
      <c r="S1031" s="578"/>
      <c r="T1031" s="578"/>
      <c r="U1031" s="578"/>
      <c r="V1031" s="578"/>
      <c r="W1031" s="578"/>
      <c r="X1031" s="578"/>
      <c r="Y1031" s="578"/>
      <c r="Z1031" s="578"/>
    </row>
    <row r="1032" spans="1:26" ht="18.75">
      <c r="A1032" s="682"/>
      <c r="B1032" s="682"/>
      <c r="C1032" s="682"/>
      <c r="D1032" s="914"/>
      <c r="E1032" s="682"/>
      <c r="F1032" s="682"/>
      <c r="G1032" s="682"/>
      <c r="H1032" s="915"/>
      <c r="I1032" s="916"/>
      <c r="J1032" s="916"/>
      <c r="K1032" s="917"/>
      <c r="L1032" s="917"/>
      <c r="M1032" s="917"/>
      <c r="N1032" s="917"/>
      <c r="O1032" s="917"/>
      <c r="P1032" s="917"/>
      <c r="Q1032" s="578"/>
      <c r="R1032" s="578"/>
      <c r="S1032" s="578"/>
      <c r="T1032" s="578"/>
      <c r="U1032" s="578"/>
      <c r="V1032" s="578"/>
      <c r="W1032" s="578"/>
      <c r="X1032" s="578"/>
      <c r="Y1032" s="578"/>
      <c r="Z1032" s="578"/>
    </row>
    <row r="1033" spans="1:26" ht="18.75">
      <c r="A1033" s="682"/>
      <c r="B1033" s="682"/>
      <c r="C1033" s="682"/>
      <c r="D1033" s="914"/>
      <c r="E1033" s="682"/>
      <c r="F1033" s="682"/>
      <c r="G1033" s="682"/>
      <c r="H1033" s="915"/>
      <c r="I1033" s="916"/>
      <c r="J1033" s="916"/>
      <c r="K1033" s="917"/>
      <c r="L1033" s="917"/>
      <c r="M1033" s="917"/>
      <c r="N1033" s="917"/>
      <c r="O1033" s="917"/>
      <c r="P1033" s="917"/>
      <c r="Q1033" s="578"/>
      <c r="R1033" s="578"/>
      <c r="S1033" s="578"/>
      <c r="T1033" s="578"/>
      <c r="U1033" s="578"/>
      <c r="V1033" s="578"/>
      <c r="W1033" s="578"/>
      <c r="X1033" s="578"/>
      <c r="Y1033" s="578"/>
      <c r="Z1033" s="578"/>
    </row>
    <row r="1034" spans="1:26" ht="18.75">
      <c r="A1034" s="682"/>
      <c r="B1034" s="682"/>
      <c r="C1034" s="682"/>
      <c r="D1034" s="914"/>
      <c r="E1034" s="682"/>
      <c r="F1034" s="682"/>
      <c r="G1034" s="682"/>
      <c r="H1034" s="915"/>
      <c r="I1034" s="916"/>
      <c r="J1034" s="916"/>
      <c r="K1034" s="917"/>
      <c r="L1034" s="917"/>
      <c r="M1034" s="917"/>
      <c r="N1034" s="917"/>
      <c r="O1034" s="917"/>
      <c r="P1034" s="917"/>
      <c r="Q1034" s="578"/>
      <c r="R1034" s="578"/>
      <c r="S1034" s="578"/>
      <c r="T1034" s="578"/>
      <c r="U1034" s="578"/>
      <c r="V1034" s="578"/>
      <c r="W1034" s="578"/>
      <c r="X1034" s="578"/>
      <c r="Y1034" s="578"/>
      <c r="Z1034" s="578"/>
    </row>
    <row r="1035" spans="1:26" ht="18.75">
      <c r="A1035" s="682"/>
      <c r="B1035" s="682"/>
      <c r="C1035" s="682"/>
      <c r="D1035" s="914"/>
      <c r="E1035" s="682"/>
      <c r="F1035" s="682"/>
      <c r="G1035" s="682"/>
      <c r="H1035" s="915"/>
      <c r="I1035" s="916"/>
      <c r="J1035" s="916"/>
      <c r="K1035" s="917"/>
      <c r="L1035" s="917"/>
      <c r="M1035" s="917"/>
      <c r="N1035" s="917"/>
      <c r="O1035" s="917"/>
      <c r="P1035" s="917"/>
      <c r="Q1035" s="578"/>
      <c r="R1035" s="578"/>
      <c r="S1035" s="578"/>
      <c r="T1035" s="578"/>
      <c r="U1035" s="578"/>
      <c r="V1035" s="578"/>
      <c r="W1035" s="578"/>
      <c r="X1035" s="578"/>
      <c r="Y1035" s="578"/>
      <c r="Z1035" s="578"/>
    </row>
    <row r="1036" spans="1:26" ht="18.75">
      <c r="A1036" s="682"/>
      <c r="B1036" s="682"/>
      <c r="C1036" s="682"/>
      <c r="D1036" s="914"/>
      <c r="E1036" s="682"/>
      <c r="F1036" s="682"/>
      <c r="G1036" s="682"/>
      <c r="H1036" s="915"/>
      <c r="I1036" s="916"/>
      <c r="J1036" s="916"/>
      <c r="K1036" s="917"/>
      <c r="L1036" s="917"/>
      <c r="M1036" s="917"/>
      <c r="N1036" s="917"/>
      <c r="O1036" s="917"/>
      <c r="P1036" s="917"/>
      <c r="Q1036" s="578"/>
      <c r="R1036" s="578"/>
      <c r="S1036" s="578"/>
      <c r="T1036" s="578"/>
      <c r="U1036" s="578"/>
      <c r="V1036" s="578"/>
      <c r="W1036" s="578"/>
      <c r="X1036" s="578"/>
      <c r="Y1036" s="578"/>
      <c r="Z1036" s="578"/>
    </row>
    <row r="1037" spans="1:26" ht="18.75">
      <c r="A1037" s="682"/>
      <c r="B1037" s="682"/>
      <c r="C1037" s="682"/>
      <c r="D1037" s="914"/>
      <c r="E1037" s="682"/>
      <c r="F1037" s="682"/>
      <c r="G1037" s="682"/>
      <c r="H1037" s="915"/>
      <c r="I1037" s="916"/>
      <c r="J1037" s="916"/>
      <c r="K1037" s="917"/>
      <c r="L1037" s="917"/>
      <c r="M1037" s="917"/>
      <c r="N1037" s="917"/>
      <c r="O1037" s="917"/>
      <c r="P1037" s="917"/>
      <c r="Q1037" s="578"/>
      <c r="R1037" s="578"/>
      <c r="S1037" s="578"/>
      <c r="T1037" s="578"/>
      <c r="U1037" s="578"/>
      <c r="V1037" s="578"/>
      <c r="W1037" s="578"/>
      <c r="X1037" s="578"/>
      <c r="Y1037" s="578"/>
      <c r="Z1037" s="578"/>
    </row>
    <row r="1038" spans="1:26" ht="18.75">
      <c r="A1038" s="682"/>
      <c r="B1038" s="682"/>
      <c r="C1038" s="682"/>
      <c r="D1038" s="914"/>
      <c r="E1038" s="682"/>
      <c r="F1038" s="682"/>
      <c r="G1038" s="682"/>
      <c r="H1038" s="915"/>
      <c r="I1038" s="916"/>
      <c r="J1038" s="916"/>
      <c r="K1038" s="917"/>
      <c r="L1038" s="917"/>
      <c r="M1038" s="917"/>
      <c r="N1038" s="917"/>
      <c r="O1038" s="917"/>
      <c r="P1038" s="917"/>
      <c r="Q1038" s="578"/>
      <c r="R1038" s="578"/>
      <c r="S1038" s="578"/>
      <c r="T1038" s="578"/>
      <c r="U1038" s="578"/>
      <c r="V1038" s="578"/>
      <c r="W1038" s="578"/>
      <c r="X1038" s="578"/>
      <c r="Y1038" s="578"/>
      <c r="Z1038" s="578"/>
    </row>
    <row r="1039" spans="1:26" ht="18.75">
      <c r="A1039" s="682"/>
      <c r="B1039" s="682"/>
      <c r="C1039" s="682"/>
      <c r="D1039" s="914"/>
      <c r="E1039" s="682"/>
      <c r="F1039" s="682"/>
      <c r="G1039" s="682"/>
      <c r="H1039" s="915"/>
      <c r="I1039" s="916"/>
      <c r="J1039" s="916"/>
      <c r="K1039" s="917"/>
      <c r="L1039" s="917"/>
      <c r="M1039" s="917"/>
      <c r="N1039" s="917"/>
      <c r="O1039" s="917"/>
      <c r="P1039" s="917"/>
      <c r="Q1039" s="578"/>
      <c r="R1039" s="578"/>
      <c r="S1039" s="578"/>
      <c r="T1039" s="578"/>
      <c r="U1039" s="578"/>
      <c r="V1039" s="578"/>
      <c r="W1039" s="578"/>
      <c r="X1039" s="578"/>
      <c r="Y1039" s="578"/>
      <c r="Z1039" s="578"/>
    </row>
    <row r="1040" spans="1:26" ht="18.75">
      <c r="A1040" s="682"/>
      <c r="B1040" s="682"/>
      <c r="C1040" s="682"/>
      <c r="D1040" s="914"/>
      <c r="E1040" s="682"/>
      <c r="F1040" s="682"/>
      <c r="G1040" s="682"/>
      <c r="H1040" s="915"/>
      <c r="I1040" s="916"/>
      <c r="J1040" s="916"/>
      <c r="K1040" s="917"/>
      <c r="L1040" s="917"/>
      <c r="M1040" s="917"/>
      <c r="N1040" s="917"/>
      <c r="O1040" s="917"/>
      <c r="P1040" s="917"/>
      <c r="Q1040" s="578"/>
      <c r="R1040" s="578"/>
      <c r="S1040" s="578"/>
      <c r="T1040" s="578"/>
      <c r="U1040" s="578"/>
      <c r="V1040" s="578"/>
      <c r="W1040" s="578"/>
      <c r="X1040" s="578"/>
      <c r="Y1040" s="578"/>
      <c r="Z1040" s="578"/>
    </row>
    <row r="1041" spans="1:26" ht="18.75">
      <c r="A1041" s="682"/>
      <c r="B1041" s="682"/>
      <c r="C1041" s="682"/>
      <c r="D1041" s="914"/>
      <c r="E1041" s="682"/>
      <c r="F1041" s="682"/>
      <c r="G1041" s="682"/>
      <c r="H1041" s="915"/>
      <c r="I1041" s="916"/>
      <c r="J1041" s="916"/>
      <c r="K1041" s="917"/>
      <c r="L1041" s="917"/>
      <c r="M1041" s="917"/>
      <c r="N1041" s="917"/>
      <c r="O1041" s="917"/>
      <c r="P1041" s="917"/>
      <c r="Q1041" s="578"/>
      <c r="R1041" s="578"/>
      <c r="S1041" s="578"/>
      <c r="T1041" s="578"/>
      <c r="U1041" s="578"/>
      <c r="V1041" s="578"/>
      <c r="W1041" s="578"/>
      <c r="X1041" s="578"/>
      <c r="Y1041" s="578"/>
      <c r="Z1041" s="578"/>
    </row>
    <row r="1042" spans="1:26" ht="18.75">
      <c r="A1042" s="682"/>
      <c r="B1042" s="682"/>
      <c r="C1042" s="682"/>
      <c r="D1042" s="914"/>
      <c r="E1042" s="682"/>
      <c r="F1042" s="682"/>
      <c r="G1042" s="682"/>
      <c r="H1042" s="915"/>
      <c r="I1042" s="916"/>
      <c r="J1042" s="916"/>
      <c r="K1042" s="917"/>
      <c r="L1042" s="917"/>
      <c r="M1042" s="917"/>
      <c r="N1042" s="917"/>
      <c r="O1042" s="917"/>
      <c r="P1042" s="917"/>
      <c r="Q1042" s="578"/>
      <c r="R1042" s="578"/>
      <c r="S1042" s="578"/>
      <c r="T1042" s="578"/>
      <c r="U1042" s="578"/>
      <c r="V1042" s="578"/>
      <c r="W1042" s="578"/>
      <c r="X1042" s="578"/>
      <c r="Y1042" s="578"/>
      <c r="Z1042" s="578"/>
    </row>
    <row r="1043" spans="1:26" ht="18.75">
      <c r="A1043" s="682"/>
      <c r="B1043" s="682"/>
      <c r="C1043" s="682"/>
      <c r="D1043" s="914"/>
      <c r="E1043" s="682"/>
      <c r="F1043" s="682"/>
      <c r="G1043" s="682"/>
      <c r="H1043" s="915"/>
      <c r="I1043" s="916"/>
      <c r="J1043" s="916"/>
      <c r="K1043" s="917"/>
      <c r="L1043" s="917"/>
      <c r="M1043" s="917"/>
      <c r="N1043" s="917"/>
      <c r="O1043" s="917"/>
      <c r="P1043" s="917"/>
      <c r="Q1043" s="578"/>
      <c r="R1043" s="578"/>
      <c r="S1043" s="578"/>
      <c r="T1043" s="578"/>
      <c r="U1043" s="578"/>
      <c r="V1043" s="578"/>
      <c r="W1043" s="578"/>
      <c r="X1043" s="578"/>
      <c r="Y1043" s="578"/>
      <c r="Z1043" s="578"/>
    </row>
    <row r="1044" spans="1:26" ht="18.75">
      <c r="A1044" s="682"/>
      <c r="B1044" s="682"/>
      <c r="C1044" s="682"/>
      <c r="D1044" s="914"/>
      <c r="E1044" s="682"/>
      <c r="F1044" s="682"/>
      <c r="G1044" s="682"/>
      <c r="H1044" s="915"/>
      <c r="I1044" s="916"/>
      <c r="J1044" s="916"/>
      <c r="K1044" s="917"/>
      <c r="L1044" s="917"/>
      <c r="M1044" s="917"/>
      <c r="N1044" s="917"/>
      <c r="O1044" s="917"/>
      <c r="P1044" s="917"/>
      <c r="Q1044" s="578"/>
      <c r="R1044" s="578"/>
      <c r="S1044" s="578"/>
      <c r="T1044" s="578"/>
      <c r="U1044" s="578"/>
      <c r="V1044" s="578"/>
      <c r="W1044" s="578"/>
      <c r="X1044" s="578"/>
      <c r="Y1044" s="578"/>
      <c r="Z1044" s="578"/>
    </row>
    <row r="1045" spans="1:26" ht="18.75">
      <c r="A1045" s="682"/>
      <c r="B1045" s="682"/>
      <c r="C1045" s="682"/>
      <c r="D1045" s="914"/>
      <c r="E1045" s="682"/>
      <c r="F1045" s="682"/>
      <c r="G1045" s="682"/>
      <c r="H1045" s="915"/>
      <c r="I1045" s="916"/>
      <c r="J1045" s="916"/>
      <c r="K1045" s="917"/>
      <c r="L1045" s="917"/>
      <c r="M1045" s="917"/>
      <c r="N1045" s="917"/>
      <c r="O1045" s="917"/>
      <c r="P1045" s="917"/>
      <c r="Q1045" s="578"/>
      <c r="R1045" s="578"/>
      <c r="S1045" s="578"/>
      <c r="T1045" s="578"/>
      <c r="U1045" s="578"/>
      <c r="V1045" s="578"/>
      <c r="W1045" s="578"/>
      <c r="X1045" s="578"/>
      <c r="Y1045" s="578"/>
      <c r="Z1045" s="578"/>
    </row>
    <row r="1046" spans="1:26" ht="18.75">
      <c r="A1046" s="682"/>
      <c r="B1046" s="682"/>
      <c r="C1046" s="682"/>
      <c r="D1046" s="914"/>
      <c r="E1046" s="682"/>
      <c r="F1046" s="682"/>
      <c r="G1046" s="682"/>
      <c r="H1046" s="915"/>
      <c r="I1046" s="916"/>
      <c r="J1046" s="916"/>
      <c r="K1046" s="917"/>
      <c r="L1046" s="917"/>
      <c r="M1046" s="917"/>
      <c r="N1046" s="917"/>
      <c r="O1046" s="917"/>
      <c r="P1046" s="917"/>
      <c r="Q1046" s="578"/>
      <c r="R1046" s="578"/>
      <c r="S1046" s="578"/>
      <c r="T1046" s="578"/>
      <c r="U1046" s="578"/>
      <c r="V1046" s="578"/>
      <c r="W1046" s="578"/>
      <c r="X1046" s="578"/>
      <c r="Y1046" s="578"/>
      <c r="Z1046" s="578"/>
    </row>
    <row r="1047" spans="1:26" ht="18.75">
      <c r="A1047" s="682"/>
      <c r="B1047" s="682"/>
      <c r="C1047" s="682"/>
      <c r="D1047" s="914"/>
      <c r="E1047" s="682"/>
      <c r="F1047" s="682"/>
      <c r="G1047" s="682"/>
      <c r="H1047" s="915"/>
      <c r="I1047" s="916"/>
      <c r="J1047" s="916"/>
      <c r="K1047" s="917"/>
      <c r="L1047" s="917"/>
      <c r="M1047" s="917"/>
      <c r="N1047" s="917"/>
      <c r="O1047" s="917"/>
      <c r="P1047" s="917"/>
      <c r="Q1047" s="578"/>
      <c r="R1047" s="578"/>
      <c r="S1047" s="578"/>
      <c r="T1047" s="578"/>
      <c r="U1047" s="578"/>
      <c r="V1047" s="578"/>
      <c r="W1047" s="578"/>
      <c r="X1047" s="578"/>
      <c r="Y1047" s="578"/>
      <c r="Z1047" s="578"/>
    </row>
    <row r="1048" spans="1:26" ht="18.75">
      <c r="A1048" s="682"/>
      <c r="B1048" s="682"/>
      <c r="C1048" s="682"/>
      <c r="D1048" s="914"/>
      <c r="E1048" s="682"/>
      <c r="F1048" s="682"/>
      <c r="G1048" s="682"/>
      <c r="H1048" s="915"/>
      <c r="I1048" s="916"/>
      <c r="J1048" s="916"/>
      <c r="K1048" s="917"/>
      <c r="L1048" s="917"/>
      <c r="M1048" s="917"/>
      <c r="N1048" s="917"/>
      <c r="O1048" s="917"/>
      <c r="P1048" s="917"/>
      <c r="Q1048" s="578"/>
      <c r="R1048" s="578"/>
      <c r="S1048" s="578"/>
      <c r="T1048" s="578"/>
      <c r="U1048" s="578"/>
      <c r="V1048" s="578"/>
      <c r="W1048" s="578"/>
      <c r="X1048" s="578"/>
      <c r="Y1048" s="578"/>
      <c r="Z1048" s="578"/>
    </row>
    <row r="1049" spans="1:26" ht="18.75">
      <c r="A1049" s="682"/>
      <c r="B1049" s="682"/>
      <c r="C1049" s="682"/>
      <c r="D1049" s="914"/>
      <c r="E1049" s="682"/>
      <c r="F1049" s="682"/>
      <c r="G1049" s="682"/>
      <c r="H1049" s="915"/>
      <c r="I1049" s="916"/>
      <c r="J1049" s="916"/>
      <c r="K1049" s="917"/>
      <c r="L1049" s="917"/>
      <c r="M1049" s="917"/>
      <c r="N1049" s="917"/>
      <c r="O1049" s="917"/>
      <c r="P1049" s="917"/>
      <c r="Q1049" s="578"/>
      <c r="R1049" s="578"/>
      <c r="S1049" s="578"/>
      <c r="T1049" s="578"/>
      <c r="U1049" s="578"/>
      <c r="V1049" s="578"/>
      <c r="W1049" s="578"/>
      <c r="X1049" s="578"/>
      <c r="Y1049" s="578"/>
      <c r="Z1049" s="578"/>
    </row>
    <row r="1050" spans="1:26" ht="18.75">
      <c r="A1050" s="682"/>
      <c r="B1050" s="682"/>
      <c r="C1050" s="682"/>
      <c r="D1050" s="914"/>
      <c r="E1050" s="682"/>
      <c r="F1050" s="682"/>
      <c r="G1050" s="682"/>
      <c r="H1050" s="915"/>
      <c r="I1050" s="916"/>
      <c r="J1050" s="916"/>
      <c r="K1050" s="917"/>
      <c r="L1050" s="917"/>
      <c r="M1050" s="917"/>
      <c r="N1050" s="917"/>
      <c r="O1050" s="917"/>
      <c r="P1050" s="917"/>
      <c r="Q1050" s="578"/>
      <c r="R1050" s="578"/>
      <c r="S1050" s="578"/>
      <c r="T1050" s="578"/>
      <c r="U1050" s="578"/>
      <c r="V1050" s="578"/>
      <c r="W1050" s="578"/>
      <c r="X1050" s="578"/>
      <c r="Y1050" s="578"/>
      <c r="Z1050" s="578"/>
    </row>
    <row r="1051" spans="1:26" ht="18.75">
      <c r="A1051" s="682"/>
      <c r="B1051" s="682"/>
      <c r="C1051" s="682"/>
      <c r="D1051" s="914"/>
      <c r="E1051" s="682"/>
      <c r="F1051" s="682"/>
      <c r="G1051" s="682"/>
      <c r="H1051" s="915"/>
      <c r="I1051" s="916"/>
      <c r="J1051" s="916"/>
      <c r="K1051" s="917"/>
      <c r="L1051" s="917"/>
      <c r="M1051" s="917"/>
      <c r="N1051" s="917"/>
      <c r="O1051" s="917"/>
      <c r="P1051" s="917"/>
      <c r="Q1051" s="578"/>
      <c r="R1051" s="578"/>
      <c r="S1051" s="578"/>
      <c r="T1051" s="578"/>
      <c r="U1051" s="578"/>
      <c r="V1051" s="578"/>
      <c r="W1051" s="578"/>
      <c r="X1051" s="578"/>
      <c r="Y1051" s="578"/>
      <c r="Z1051" s="578"/>
    </row>
    <row r="1052" spans="1:26" ht="18.75">
      <c r="A1052" s="682"/>
      <c r="B1052" s="682"/>
      <c r="C1052" s="682"/>
      <c r="D1052" s="914"/>
      <c r="E1052" s="682"/>
      <c r="F1052" s="682"/>
      <c r="G1052" s="682"/>
      <c r="H1052" s="915"/>
      <c r="I1052" s="916"/>
      <c r="J1052" s="916"/>
      <c r="K1052" s="917"/>
      <c r="L1052" s="917"/>
      <c r="M1052" s="917"/>
      <c r="N1052" s="917"/>
      <c r="O1052" s="917"/>
      <c r="P1052" s="917"/>
      <c r="Q1052" s="578"/>
      <c r="R1052" s="578"/>
      <c r="S1052" s="578"/>
      <c r="T1052" s="578"/>
      <c r="U1052" s="578"/>
      <c r="V1052" s="578"/>
      <c r="W1052" s="578"/>
      <c r="X1052" s="578"/>
      <c r="Y1052" s="578"/>
      <c r="Z1052" s="578"/>
    </row>
    <row r="1053" spans="1:26" ht="18.75">
      <c r="A1053" s="682"/>
      <c r="B1053" s="682"/>
      <c r="C1053" s="682"/>
      <c r="D1053" s="914"/>
      <c r="E1053" s="682"/>
      <c r="F1053" s="682"/>
      <c r="G1053" s="682"/>
      <c r="H1053" s="915"/>
      <c r="I1053" s="916"/>
      <c r="J1053" s="916"/>
      <c r="K1053" s="917"/>
      <c r="L1053" s="917"/>
      <c r="M1053" s="917"/>
      <c r="N1053" s="917"/>
      <c r="O1053" s="917"/>
      <c r="P1053" s="917"/>
      <c r="Q1053" s="578"/>
      <c r="R1053" s="578"/>
      <c r="S1053" s="578"/>
      <c r="T1053" s="578"/>
      <c r="U1053" s="578"/>
      <c r="V1053" s="578"/>
      <c r="W1053" s="578"/>
      <c r="X1053" s="578"/>
      <c r="Y1053" s="578"/>
      <c r="Z1053" s="578"/>
    </row>
    <row r="1054" spans="1:26" ht="18.75">
      <c r="A1054" s="682"/>
      <c r="B1054" s="682"/>
      <c r="C1054" s="682"/>
      <c r="D1054" s="914"/>
      <c r="E1054" s="682"/>
      <c r="F1054" s="682"/>
      <c r="G1054" s="682"/>
      <c r="H1054" s="915"/>
      <c r="I1054" s="916"/>
      <c r="J1054" s="916"/>
      <c r="K1054" s="917"/>
      <c r="L1054" s="917"/>
      <c r="M1054" s="917"/>
      <c r="N1054" s="917"/>
      <c r="O1054" s="917"/>
      <c r="P1054" s="917"/>
      <c r="Q1054" s="578"/>
      <c r="R1054" s="578"/>
      <c r="S1054" s="578"/>
      <c r="T1054" s="578"/>
      <c r="U1054" s="578"/>
      <c r="V1054" s="578"/>
      <c r="W1054" s="578"/>
      <c r="X1054" s="578"/>
      <c r="Y1054" s="578"/>
      <c r="Z1054" s="578"/>
    </row>
    <row r="1055" spans="1:26" ht="18.75">
      <c r="A1055" s="682"/>
      <c r="B1055" s="682"/>
      <c r="C1055" s="682"/>
      <c r="D1055" s="914"/>
      <c r="E1055" s="682"/>
      <c r="F1055" s="682"/>
      <c r="G1055" s="682"/>
      <c r="H1055" s="915"/>
      <c r="I1055" s="916"/>
      <c r="J1055" s="916"/>
      <c r="K1055" s="917"/>
      <c r="L1055" s="917"/>
      <c r="M1055" s="917"/>
      <c r="N1055" s="917"/>
      <c r="O1055" s="917"/>
      <c r="P1055" s="917"/>
      <c r="Q1055" s="578"/>
      <c r="R1055" s="578"/>
      <c r="S1055" s="578"/>
      <c r="T1055" s="578"/>
      <c r="U1055" s="578"/>
      <c r="V1055" s="578"/>
      <c r="W1055" s="578"/>
      <c r="X1055" s="578"/>
      <c r="Y1055" s="578"/>
      <c r="Z1055" s="578"/>
    </row>
    <row r="1056" spans="1:26" ht="18.75">
      <c r="A1056" s="682"/>
      <c r="B1056" s="682"/>
      <c r="C1056" s="682"/>
      <c r="D1056" s="914"/>
      <c r="E1056" s="682"/>
      <c r="F1056" s="682"/>
      <c r="G1056" s="682"/>
      <c r="H1056" s="915"/>
      <c r="I1056" s="916"/>
      <c r="J1056" s="916"/>
      <c r="K1056" s="917"/>
      <c r="L1056" s="917"/>
      <c r="M1056" s="917"/>
      <c r="N1056" s="917"/>
      <c r="O1056" s="917"/>
      <c r="P1056" s="917"/>
      <c r="Q1056" s="578"/>
      <c r="R1056" s="578"/>
      <c r="S1056" s="578"/>
      <c r="T1056" s="578"/>
      <c r="U1056" s="578"/>
      <c r="V1056" s="578"/>
      <c r="W1056" s="578"/>
      <c r="X1056" s="578"/>
      <c r="Y1056" s="578"/>
      <c r="Z1056" s="578"/>
    </row>
    <row r="1057" spans="1:26" ht="18.75">
      <c r="A1057" s="682"/>
      <c r="B1057" s="682"/>
      <c r="C1057" s="682"/>
      <c r="D1057" s="914"/>
      <c r="E1057" s="682"/>
      <c r="F1057" s="682"/>
      <c r="G1057" s="682"/>
      <c r="H1057" s="915"/>
      <c r="I1057" s="916"/>
      <c r="J1057" s="916"/>
      <c r="K1057" s="917"/>
      <c r="L1057" s="917"/>
      <c r="M1057" s="917"/>
      <c r="N1057" s="917"/>
      <c r="O1057" s="917"/>
      <c r="P1057" s="917"/>
      <c r="Q1057" s="578"/>
      <c r="R1057" s="578"/>
      <c r="S1057" s="578"/>
      <c r="T1057" s="578"/>
      <c r="U1057" s="578"/>
      <c r="V1057" s="578"/>
      <c r="W1057" s="578"/>
      <c r="X1057" s="578"/>
      <c r="Y1057" s="578"/>
      <c r="Z1057" s="578"/>
    </row>
    <row r="1058" spans="1:26" ht="18.75">
      <c r="A1058" s="682"/>
      <c r="B1058" s="682"/>
      <c r="C1058" s="682"/>
      <c r="D1058" s="914"/>
      <c r="E1058" s="682"/>
      <c r="F1058" s="682"/>
      <c r="G1058" s="682"/>
      <c r="H1058" s="915"/>
      <c r="I1058" s="916"/>
      <c r="J1058" s="916"/>
      <c r="K1058" s="917"/>
      <c r="L1058" s="917"/>
      <c r="M1058" s="917"/>
      <c r="N1058" s="917"/>
      <c r="O1058" s="917"/>
      <c r="P1058" s="917"/>
      <c r="Q1058" s="578"/>
      <c r="R1058" s="578"/>
      <c r="S1058" s="578"/>
      <c r="T1058" s="578"/>
      <c r="U1058" s="578"/>
      <c r="V1058" s="578"/>
      <c r="W1058" s="578"/>
      <c r="X1058" s="578"/>
      <c r="Y1058" s="578"/>
      <c r="Z1058" s="578"/>
    </row>
    <row r="1059" spans="1:26" ht="18.75">
      <c r="A1059" s="682"/>
      <c r="B1059" s="682"/>
      <c r="C1059" s="682"/>
      <c r="D1059" s="914"/>
      <c r="E1059" s="682"/>
      <c r="F1059" s="682"/>
      <c r="G1059" s="682"/>
      <c r="H1059" s="915"/>
      <c r="I1059" s="916"/>
      <c r="J1059" s="916"/>
      <c r="K1059" s="917"/>
      <c r="L1059" s="917"/>
      <c r="M1059" s="917"/>
      <c r="N1059" s="917"/>
      <c r="O1059" s="917"/>
      <c r="P1059" s="917"/>
      <c r="Q1059" s="578"/>
      <c r="R1059" s="578"/>
      <c r="S1059" s="578"/>
      <c r="T1059" s="578"/>
      <c r="U1059" s="578"/>
      <c r="V1059" s="578"/>
      <c r="W1059" s="578"/>
      <c r="X1059" s="578"/>
      <c r="Y1059" s="578"/>
      <c r="Z1059" s="578"/>
    </row>
    <row r="1060" spans="1:26" ht="18.75">
      <c r="A1060" s="682"/>
      <c r="B1060" s="682"/>
      <c r="C1060" s="682"/>
      <c r="D1060" s="914"/>
      <c r="E1060" s="682"/>
      <c r="F1060" s="682"/>
      <c r="G1060" s="682"/>
      <c r="H1060" s="915"/>
      <c r="I1060" s="916"/>
      <c r="J1060" s="916"/>
      <c r="K1060" s="917"/>
      <c r="L1060" s="917"/>
      <c r="M1060" s="917"/>
      <c r="N1060" s="917"/>
      <c r="O1060" s="917"/>
      <c r="P1060" s="917"/>
      <c r="Q1060" s="578"/>
      <c r="R1060" s="578"/>
      <c r="S1060" s="578"/>
      <c r="T1060" s="578"/>
      <c r="U1060" s="578"/>
      <c r="V1060" s="578"/>
      <c r="W1060" s="578"/>
      <c r="X1060" s="578"/>
      <c r="Y1060" s="578"/>
      <c r="Z1060" s="578"/>
    </row>
    <row r="1061" spans="1:26" ht="18.75">
      <c r="A1061" s="682"/>
      <c r="B1061" s="682"/>
      <c r="C1061" s="682"/>
      <c r="D1061" s="914"/>
      <c r="E1061" s="682"/>
      <c r="F1061" s="682"/>
      <c r="G1061" s="682"/>
      <c r="H1061" s="915"/>
      <c r="I1061" s="916"/>
      <c r="J1061" s="916"/>
      <c r="K1061" s="917"/>
      <c r="L1061" s="917"/>
      <c r="M1061" s="917"/>
      <c r="N1061" s="917"/>
      <c r="O1061" s="917"/>
      <c r="P1061" s="917"/>
      <c r="Q1061" s="578"/>
      <c r="R1061" s="578"/>
      <c r="S1061" s="578"/>
      <c r="T1061" s="578"/>
      <c r="U1061" s="578"/>
      <c r="V1061" s="578"/>
      <c r="W1061" s="578"/>
      <c r="X1061" s="578"/>
      <c r="Y1061" s="578"/>
      <c r="Z1061" s="578"/>
    </row>
    <row r="1062" spans="1:26" ht="18.75">
      <c r="A1062" s="682"/>
      <c r="B1062" s="682"/>
      <c r="C1062" s="682"/>
      <c r="D1062" s="914"/>
      <c r="E1062" s="682"/>
      <c r="F1062" s="682"/>
      <c r="G1062" s="682"/>
      <c r="H1062" s="915"/>
      <c r="I1062" s="916"/>
      <c r="J1062" s="916"/>
      <c r="K1062" s="917"/>
      <c r="L1062" s="917"/>
      <c r="M1062" s="917"/>
      <c r="N1062" s="917"/>
      <c r="O1062" s="917"/>
      <c r="P1062" s="917"/>
      <c r="Q1062" s="578"/>
      <c r="R1062" s="578"/>
      <c r="S1062" s="578"/>
      <c r="T1062" s="578"/>
      <c r="U1062" s="578"/>
      <c r="V1062" s="578"/>
      <c r="W1062" s="578"/>
      <c r="X1062" s="578"/>
      <c r="Y1062" s="578"/>
      <c r="Z1062" s="578"/>
    </row>
    <row r="1063" spans="1:26" ht="18.75">
      <c r="A1063" s="682"/>
      <c r="B1063" s="682"/>
      <c r="C1063" s="682"/>
      <c r="D1063" s="914"/>
      <c r="E1063" s="682"/>
      <c r="F1063" s="682"/>
      <c r="G1063" s="682"/>
      <c r="H1063" s="915"/>
      <c r="I1063" s="916"/>
      <c r="J1063" s="916"/>
      <c r="K1063" s="917"/>
      <c r="L1063" s="917"/>
      <c r="M1063" s="917"/>
      <c r="N1063" s="917"/>
      <c r="O1063" s="917"/>
      <c r="P1063" s="917"/>
      <c r="Q1063" s="578"/>
      <c r="R1063" s="578"/>
      <c r="S1063" s="578"/>
      <c r="T1063" s="578"/>
      <c r="U1063" s="578"/>
      <c r="V1063" s="578"/>
      <c r="W1063" s="578"/>
      <c r="X1063" s="578"/>
      <c r="Y1063" s="578"/>
      <c r="Z1063" s="578"/>
    </row>
    <row r="1064" spans="1:26" ht="18.75">
      <c r="A1064" s="682"/>
      <c r="B1064" s="682"/>
      <c r="C1064" s="682"/>
      <c r="D1064" s="914"/>
      <c r="E1064" s="682"/>
      <c r="F1064" s="682"/>
      <c r="G1064" s="682"/>
      <c r="H1064" s="915"/>
      <c r="I1064" s="916"/>
      <c r="J1064" s="916"/>
      <c r="K1064" s="917"/>
      <c r="L1064" s="917"/>
      <c r="M1064" s="917"/>
      <c r="N1064" s="917"/>
      <c r="O1064" s="917"/>
      <c r="P1064" s="917"/>
      <c r="Q1064" s="578"/>
      <c r="R1064" s="578"/>
      <c r="S1064" s="578"/>
      <c r="T1064" s="578"/>
      <c r="U1064" s="578"/>
      <c r="V1064" s="578"/>
      <c r="W1064" s="578"/>
      <c r="X1064" s="578"/>
      <c r="Y1064" s="578"/>
      <c r="Z1064" s="578"/>
    </row>
    <row r="1065" spans="1:26" ht="18.75">
      <c r="A1065" s="682"/>
      <c r="B1065" s="682"/>
      <c r="C1065" s="682"/>
      <c r="D1065" s="914"/>
      <c r="E1065" s="682"/>
      <c r="F1065" s="682"/>
      <c r="G1065" s="682"/>
      <c r="H1065" s="915"/>
      <c r="I1065" s="916"/>
      <c r="J1065" s="916"/>
      <c r="K1065" s="917"/>
      <c r="L1065" s="917"/>
      <c r="M1065" s="917"/>
      <c r="N1065" s="917"/>
      <c r="O1065" s="917"/>
      <c r="P1065" s="917"/>
      <c r="Q1065" s="578"/>
      <c r="R1065" s="578"/>
      <c r="S1065" s="578"/>
      <c r="T1065" s="578"/>
      <c r="U1065" s="578"/>
      <c r="V1065" s="578"/>
      <c r="W1065" s="578"/>
      <c r="X1065" s="578"/>
      <c r="Y1065" s="578"/>
      <c r="Z1065" s="578"/>
    </row>
    <row r="1066" spans="1:26" ht="18.75">
      <c r="A1066" s="682"/>
      <c r="B1066" s="682"/>
      <c r="C1066" s="682"/>
      <c r="D1066" s="914"/>
      <c r="E1066" s="682"/>
      <c r="F1066" s="682"/>
      <c r="G1066" s="682"/>
      <c r="H1066" s="915"/>
      <c r="I1066" s="916"/>
      <c r="J1066" s="916"/>
      <c r="K1066" s="917"/>
      <c r="L1066" s="917"/>
      <c r="M1066" s="917"/>
      <c r="N1066" s="917"/>
      <c r="O1066" s="917"/>
      <c r="P1066" s="917"/>
      <c r="Q1066" s="578"/>
      <c r="R1066" s="578"/>
      <c r="S1066" s="578"/>
      <c r="T1066" s="578"/>
      <c r="U1066" s="578"/>
      <c r="V1066" s="578"/>
      <c r="W1066" s="578"/>
      <c r="X1066" s="578"/>
      <c r="Y1066" s="578"/>
      <c r="Z1066" s="578"/>
    </row>
    <row r="1067" spans="1:26" ht="18.75">
      <c r="A1067" s="682"/>
      <c r="B1067" s="682"/>
      <c r="C1067" s="682"/>
      <c r="D1067" s="914"/>
      <c r="E1067" s="682"/>
      <c r="F1067" s="682"/>
      <c r="G1067" s="682"/>
      <c r="H1067" s="915"/>
      <c r="I1067" s="916"/>
      <c r="J1067" s="916"/>
      <c r="K1067" s="917"/>
      <c r="L1067" s="917"/>
      <c r="M1067" s="917"/>
      <c r="N1067" s="917"/>
      <c r="O1067" s="917"/>
      <c r="P1067" s="917"/>
      <c r="Q1067" s="578"/>
      <c r="R1067" s="578"/>
      <c r="S1067" s="578"/>
      <c r="T1067" s="578"/>
      <c r="U1067" s="578"/>
      <c r="V1067" s="578"/>
      <c r="W1067" s="578"/>
      <c r="X1067" s="578"/>
      <c r="Y1067" s="578"/>
      <c r="Z1067" s="578"/>
    </row>
    <row r="1068" spans="1:26" ht="18.75">
      <c r="A1068" s="682"/>
      <c r="B1068" s="682"/>
      <c r="C1068" s="682"/>
      <c r="D1068" s="914"/>
      <c r="E1068" s="682"/>
      <c r="F1068" s="682"/>
      <c r="G1068" s="682"/>
      <c r="H1068" s="915"/>
      <c r="I1068" s="916"/>
      <c r="J1068" s="916"/>
      <c r="K1068" s="917"/>
      <c r="L1068" s="917"/>
      <c r="M1068" s="917"/>
      <c r="N1068" s="917"/>
      <c r="O1068" s="917"/>
      <c r="P1068" s="917"/>
      <c r="Q1068" s="578"/>
      <c r="R1068" s="578"/>
      <c r="S1068" s="578"/>
      <c r="T1068" s="578"/>
      <c r="U1068" s="578"/>
      <c r="V1068" s="578"/>
      <c r="W1068" s="578"/>
      <c r="X1068" s="578"/>
      <c r="Y1068" s="578"/>
      <c r="Z1068" s="578"/>
    </row>
    <row r="1069" spans="1:26" ht="18.75">
      <c r="A1069" s="682"/>
      <c r="B1069" s="682"/>
      <c r="C1069" s="682"/>
      <c r="D1069" s="914"/>
      <c r="E1069" s="682"/>
      <c r="F1069" s="682"/>
      <c r="G1069" s="682"/>
      <c r="H1069" s="915"/>
      <c r="I1069" s="916"/>
      <c r="J1069" s="916"/>
      <c r="K1069" s="917"/>
      <c r="L1069" s="917"/>
      <c r="M1069" s="917"/>
      <c r="N1069" s="917"/>
      <c r="O1069" s="917"/>
      <c r="P1069" s="917"/>
      <c r="Q1069" s="578"/>
      <c r="R1069" s="578"/>
      <c r="S1069" s="578"/>
      <c r="T1069" s="578"/>
      <c r="U1069" s="578"/>
      <c r="V1069" s="578"/>
      <c r="W1069" s="578"/>
      <c r="X1069" s="578"/>
      <c r="Y1069" s="578"/>
      <c r="Z1069" s="578"/>
    </row>
    <row r="1070" spans="1:26" ht="18.75">
      <c r="A1070" s="682"/>
      <c r="B1070" s="682"/>
      <c r="C1070" s="682"/>
      <c r="D1070" s="914"/>
      <c r="E1070" s="682"/>
      <c r="F1070" s="682"/>
      <c r="G1070" s="682"/>
      <c r="H1070" s="915"/>
      <c r="I1070" s="916"/>
      <c r="J1070" s="916"/>
      <c r="K1070" s="917"/>
      <c r="L1070" s="917"/>
      <c r="M1070" s="917"/>
      <c r="N1070" s="917"/>
      <c r="O1070" s="917"/>
      <c r="P1070" s="917"/>
      <c r="Q1070" s="578"/>
      <c r="R1070" s="578"/>
      <c r="S1070" s="578"/>
      <c r="T1070" s="578"/>
      <c r="U1070" s="578"/>
      <c r="V1070" s="578"/>
      <c r="W1070" s="578"/>
      <c r="X1070" s="578"/>
      <c r="Y1070" s="578"/>
      <c r="Z1070" s="578"/>
    </row>
    <row r="1071" spans="1:26" ht="18.75">
      <c r="A1071" s="682"/>
      <c r="B1071" s="682"/>
      <c r="C1071" s="682"/>
      <c r="D1071" s="914"/>
      <c r="E1071" s="682"/>
      <c r="F1071" s="682"/>
      <c r="G1071" s="682"/>
      <c r="H1071" s="915"/>
      <c r="I1071" s="916"/>
      <c r="J1071" s="916"/>
      <c r="K1071" s="917"/>
      <c r="L1071" s="917"/>
      <c r="M1071" s="917"/>
      <c r="N1071" s="917"/>
      <c r="O1071" s="917"/>
      <c r="P1071" s="917"/>
      <c r="Q1071" s="578"/>
      <c r="R1071" s="578"/>
      <c r="S1071" s="578"/>
      <c r="T1071" s="578"/>
      <c r="U1071" s="578"/>
      <c r="V1071" s="578"/>
      <c r="W1071" s="578"/>
      <c r="X1071" s="578"/>
      <c r="Y1071" s="578"/>
      <c r="Z1071" s="578"/>
    </row>
    <row r="1072" spans="1:26" ht="18.75">
      <c r="A1072" s="682"/>
      <c r="B1072" s="682"/>
      <c r="C1072" s="682"/>
      <c r="D1072" s="914"/>
      <c r="E1072" s="682"/>
      <c r="F1072" s="682"/>
      <c r="G1072" s="682"/>
      <c r="H1072" s="915"/>
      <c r="I1072" s="916"/>
      <c r="J1072" s="916"/>
      <c r="K1072" s="917"/>
      <c r="L1072" s="917"/>
      <c r="M1072" s="917"/>
      <c r="N1072" s="917"/>
      <c r="O1072" s="917"/>
      <c r="P1072" s="917"/>
      <c r="Q1072" s="578"/>
      <c r="R1072" s="578"/>
      <c r="S1072" s="578"/>
      <c r="T1072" s="578"/>
      <c r="U1072" s="578"/>
      <c r="V1072" s="578"/>
      <c r="W1072" s="578"/>
      <c r="X1072" s="578"/>
      <c r="Y1072" s="578"/>
      <c r="Z1072" s="578"/>
    </row>
    <row r="1073" spans="1:26" ht="18.75">
      <c r="A1073" s="682"/>
      <c r="B1073" s="682"/>
      <c r="C1073" s="682"/>
      <c r="D1073" s="914"/>
      <c r="E1073" s="682"/>
      <c r="F1073" s="682"/>
      <c r="G1073" s="682"/>
      <c r="H1073" s="915"/>
      <c r="I1073" s="916"/>
      <c r="J1073" s="916"/>
      <c r="K1073" s="917"/>
      <c r="L1073" s="917"/>
      <c r="M1073" s="917"/>
      <c r="N1073" s="917"/>
      <c r="O1073" s="917"/>
      <c r="P1073" s="917"/>
      <c r="Q1073" s="578"/>
      <c r="R1073" s="578"/>
      <c r="S1073" s="578"/>
      <c r="T1073" s="578"/>
      <c r="U1073" s="578"/>
      <c r="V1073" s="578"/>
      <c r="W1073" s="578"/>
      <c r="X1073" s="578"/>
      <c r="Y1073" s="578"/>
      <c r="Z1073" s="578"/>
    </row>
    <row r="1074" spans="1:26" ht="18.75">
      <c r="A1074" s="682"/>
      <c r="B1074" s="682"/>
      <c r="C1074" s="682"/>
      <c r="D1074" s="914"/>
      <c r="E1074" s="682"/>
      <c r="F1074" s="682"/>
      <c r="G1074" s="682"/>
      <c r="H1074" s="915"/>
      <c r="I1074" s="916"/>
      <c r="J1074" s="916"/>
      <c r="K1074" s="917"/>
      <c r="L1074" s="917"/>
      <c r="M1074" s="917"/>
      <c r="N1074" s="917"/>
      <c r="O1074" s="917"/>
      <c r="P1074" s="917"/>
      <c r="Q1074" s="578"/>
      <c r="R1074" s="578"/>
      <c r="S1074" s="578"/>
      <c r="T1074" s="578"/>
      <c r="U1074" s="578"/>
      <c r="V1074" s="578"/>
      <c r="W1074" s="578"/>
      <c r="X1074" s="578"/>
      <c r="Y1074" s="578"/>
      <c r="Z1074" s="578"/>
    </row>
    <row r="1075" spans="1:26" ht="18.75">
      <c r="A1075" s="682"/>
      <c r="B1075" s="682"/>
      <c r="C1075" s="682"/>
      <c r="D1075" s="914"/>
      <c r="E1075" s="682"/>
      <c r="F1075" s="682"/>
      <c r="G1075" s="682"/>
      <c r="H1075" s="915"/>
      <c r="I1075" s="916"/>
      <c r="J1075" s="916"/>
      <c r="K1075" s="917"/>
      <c r="L1075" s="917"/>
      <c r="M1075" s="917"/>
      <c r="N1075" s="917"/>
      <c r="O1075" s="917"/>
      <c r="P1075" s="917"/>
      <c r="Q1075" s="578"/>
      <c r="R1075" s="578"/>
      <c r="S1075" s="578"/>
      <c r="T1075" s="578"/>
      <c r="U1075" s="578"/>
      <c r="V1075" s="578"/>
      <c r="W1075" s="578"/>
      <c r="X1075" s="578"/>
      <c r="Y1075" s="578"/>
      <c r="Z1075" s="578"/>
    </row>
    <row r="1076" spans="1:26" ht="18.75">
      <c r="A1076" s="682"/>
      <c r="B1076" s="682"/>
      <c r="C1076" s="682"/>
      <c r="D1076" s="914"/>
      <c r="E1076" s="682"/>
      <c r="F1076" s="682"/>
      <c r="G1076" s="682"/>
      <c r="H1076" s="915"/>
      <c r="I1076" s="916"/>
      <c r="J1076" s="916"/>
      <c r="K1076" s="917"/>
      <c r="L1076" s="917"/>
      <c r="M1076" s="917"/>
      <c r="N1076" s="917"/>
      <c r="O1076" s="917"/>
      <c r="P1076" s="917"/>
      <c r="Q1076" s="578"/>
      <c r="R1076" s="578"/>
      <c r="S1076" s="578"/>
      <c r="T1076" s="578"/>
      <c r="U1076" s="578"/>
      <c r="V1076" s="578"/>
      <c r="W1076" s="578"/>
      <c r="X1076" s="578"/>
      <c r="Y1076" s="578"/>
      <c r="Z1076" s="578"/>
    </row>
    <row r="1077" spans="1:26" ht="18.75">
      <c r="A1077" s="682"/>
      <c r="B1077" s="682"/>
      <c r="C1077" s="682"/>
      <c r="D1077" s="914"/>
      <c r="E1077" s="682"/>
      <c r="F1077" s="682"/>
      <c r="G1077" s="682"/>
      <c r="H1077" s="915"/>
      <c r="I1077" s="916"/>
      <c r="J1077" s="916"/>
      <c r="K1077" s="917"/>
      <c r="L1077" s="917"/>
      <c r="M1077" s="917"/>
      <c r="N1077" s="917"/>
      <c r="O1077" s="917"/>
      <c r="P1077" s="917"/>
      <c r="Q1077" s="578"/>
      <c r="R1077" s="578"/>
      <c r="S1077" s="578"/>
      <c r="T1077" s="578"/>
      <c r="U1077" s="578"/>
      <c r="V1077" s="578"/>
      <c r="W1077" s="578"/>
      <c r="X1077" s="578"/>
      <c r="Y1077" s="578"/>
      <c r="Z1077" s="578"/>
    </row>
    <row r="1078" spans="1:26" ht="18.75">
      <c r="A1078" s="682"/>
      <c r="B1078" s="682"/>
      <c r="C1078" s="682"/>
      <c r="D1078" s="914"/>
      <c r="E1078" s="682"/>
      <c r="F1078" s="682"/>
      <c r="G1078" s="682"/>
      <c r="H1078" s="915"/>
      <c r="I1078" s="916"/>
      <c r="J1078" s="916"/>
      <c r="K1078" s="917"/>
      <c r="L1078" s="917"/>
      <c r="M1078" s="917"/>
      <c r="N1078" s="917"/>
      <c r="O1078" s="917"/>
      <c r="P1078" s="917"/>
      <c r="Q1078" s="578"/>
      <c r="R1078" s="578"/>
      <c r="S1078" s="578"/>
      <c r="T1078" s="578"/>
      <c r="U1078" s="578"/>
      <c r="V1078" s="578"/>
      <c r="W1078" s="578"/>
      <c r="X1078" s="578"/>
      <c r="Y1078" s="578"/>
      <c r="Z1078" s="578"/>
    </row>
    <row r="1079" spans="1:26" ht="18.75">
      <c r="A1079" s="682"/>
      <c r="B1079" s="682"/>
      <c r="C1079" s="682"/>
      <c r="D1079" s="914"/>
      <c r="E1079" s="682"/>
      <c r="F1079" s="682"/>
      <c r="G1079" s="682"/>
      <c r="H1079" s="915"/>
      <c r="I1079" s="916"/>
      <c r="J1079" s="916"/>
      <c r="K1079" s="917"/>
      <c r="L1079" s="917"/>
      <c r="M1079" s="917"/>
      <c r="N1079" s="917"/>
      <c r="O1079" s="917"/>
      <c r="P1079" s="917"/>
      <c r="Q1079" s="578"/>
      <c r="R1079" s="578"/>
      <c r="S1079" s="578"/>
      <c r="T1079" s="578"/>
      <c r="U1079" s="578"/>
      <c r="V1079" s="578"/>
      <c r="W1079" s="578"/>
      <c r="X1079" s="578"/>
      <c r="Y1079" s="578"/>
      <c r="Z1079" s="578"/>
    </row>
    <row r="1080" spans="1:26" ht="18.75">
      <c r="A1080" s="682"/>
      <c r="B1080" s="682"/>
      <c r="C1080" s="682"/>
      <c r="D1080" s="914"/>
      <c r="E1080" s="682"/>
      <c r="F1080" s="682"/>
      <c r="G1080" s="682"/>
      <c r="H1080" s="915"/>
      <c r="I1080" s="916"/>
      <c r="J1080" s="916"/>
      <c r="K1080" s="917"/>
      <c r="L1080" s="917"/>
      <c r="M1080" s="917"/>
      <c r="N1080" s="917"/>
      <c r="O1080" s="917"/>
      <c r="P1080" s="917"/>
      <c r="Q1080" s="578"/>
      <c r="R1080" s="578"/>
      <c r="S1080" s="578"/>
      <c r="T1080" s="578"/>
      <c r="U1080" s="578"/>
      <c r="V1080" s="578"/>
      <c r="W1080" s="578"/>
      <c r="X1080" s="578"/>
      <c r="Y1080" s="578"/>
      <c r="Z1080" s="578"/>
    </row>
    <row r="1081" spans="1:26" ht="18.75">
      <c r="A1081" s="682"/>
      <c r="B1081" s="682"/>
      <c r="C1081" s="682"/>
      <c r="D1081" s="914"/>
      <c r="E1081" s="682"/>
      <c r="F1081" s="682"/>
      <c r="G1081" s="682"/>
      <c r="H1081" s="915"/>
      <c r="I1081" s="916"/>
      <c r="J1081" s="916"/>
      <c r="K1081" s="917"/>
      <c r="L1081" s="917"/>
      <c r="M1081" s="917"/>
      <c r="N1081" s="917"/>
      <c r="O1081" s="917"/>
      <c r="P1081" s="917"/>
      <c r="Q1081" s="578"/>
      <c r="R1081" s="578"/>
      <c r="S1081" s="578"/>
      <c r="T1081" s="578"/>
      <c r="U1081" s="578"/>
      <c r="V1081" s="578"/>
      <c r="W1081" s="578"/>
      <c r="X1081" s="578"/>
      <c r="Y1081" s="578"/>
      <c r="Z1081" s="578"/>
    </row>
    <row r="1082" spans="1:26" ht="18.75">
      <c r="A1082" s="682"/>
      <c r="B1082" s="682"/>
      <c r="C1082" s="682"/>
      <c r="D1082" s="914"/>
      <c r="E1082" s="682"/>
      <c r="F1082" s="682"/>
      <c r="G1082" s="682"/>
      <c r="H1082" s="915"/>
      <c r="I1082" s="916"/>
      <c r="J1082" s="916"/>
      <c r="K1082" s="917"/>
      <c r="L1082" s="917"/>
      <c r="M1082" s="917"/>
      <c r="N1082" s="917"/>
      <c r="O1082" s="917"/>
      <c r="P1082" s="917"/>
      <c r="Q1082" s="578"/>
      <c r="R1082" s="578"/>
      <c r="S1082" s="578"/>
      <c r="T1082" s="578"/>
      <c r="U1082" s="578"/>
      <c r="V1082" s="578"/>
      <c r="W1082" s="578"/>
      <c r="X1082" s="578"/>
      <c r="Y1082" s="578"/>
      <c r="Z1082" s="578"/>
    </row>
    <row r="1083" spans="1:26" ht="18.75">
      <c r="A1083" s="682"/>
      <c r="B1083" s="682"/>
      <c r="C1083" s="682"/>
      <c r="D1083" s="914"/>
      <c r="E1083" s="682"/>
      <c r="F1083" s="682"/>
      <c r="G1083" s="682"/>
      <c r="H1083" s="915"/>
      <c r="I1083" s="916"/>
      <c r="J1083" s="916"/>
      <c r="K1083" s="917"/>
      <c r="L1083" s="917"/>
      <c r="M1083" s="917"/>
      <c r="N1083" s="917"/>
      <c r="O1083" s="917"/>
      <c r="P1083" s="917"/>
      <c r="Q1083" s="578"/>
      <c r="R1083" s="578"/>
      <c r="S1083" s="578"/>
      <c r="T1083" s="578"/>
      <c r="U1083" s="578"/>
      <c r="V1083" s="578"/>
      <c r="W1083" s="578"/>
      <c r="X1083" s="578"/>
      <c r="Y1083" s="578"/>
      <c r="Z1083" s="578"/>
    </row>
    <row r="1084" spans="1:26" ht="18.75">
      <c r="A1084" s="682"/>
      <c r="B1084" s="682"/>
      <c r="C1084" s="682"/>
      <c r="D1084" s="914"/>
      <c r="E1084" s="682"/>
      <c r="F1084" s="682"/>
      <c r="G1084" s="682"/>
      <c r="H1084" s="915"/>
      <c r="I1084" s="916"/>
      <c r="J1084" s="916"/>
      <c r="K1084" s="917"/>
      <c r="L1084" s="917"/>
      <c r="M1084" s="917"/>
      <c r="N1084" s="917"/>
      <c r="O1084" s="917"/>
      <c r="P1084" s="917"/>
      <c r="Q1084" s="578"/>
      <c r="R1084" s="578"/>
      <c r="S1084" s="578"/>
      <c r="T1084" s="578"/>
      <c r="U1084" s="578"/>
      <c r="V1084" s="578"/>
      <c r="W1084" s="578"/>
      <c r="X1084" s="578"/>
      <c r="Y1084" s="578"/>
      <c r="Z1084" s="578"/>
    </row>
    <row r="1085" spans="1:26" ht="18.75">
      <c r="A1085" s="682"/>
      <c r="B1085" s="682"/>
      <c r="C1085" s="682"/>
      <c r="D1085" s="914"/>
      <c r="E1085" s="682"/>
      <c r="F1085" s="682"/>
      <c r="G1085" s="682"/>
      <c r="H1085" s="915"/>
      <c r="I1085" s="916"/>
      <c r="J1085" s="916"/>
      <c r="K1085" s="917"/>
      <c r="L1085" s="917"/>
      <c r="M1085" s="917"/>
      <c r="N1085" s="917"/>
      <c r="O1085" s="917"/>
      <c r="P1085" s="917"/>
      <c r="Q1085" s="578"/>
      <c r="R1085" s="578"/>
      <c r="S1085" s="578"/>
      <c r="T1085" s="578"/>
      <c r="U1085" s="578"/>
      <c r="V1085" s="578"/>
      <c r="W1085" s="578"/>
      <c r="X1085" s="578"/>
      <c r="Y1085" s="578"/>
      <c r="Z1085" s="578"/>
    </row>
    <row r="1086" spans="1:26" ht="18.75">
      <c r="A1086" s="682"/>
      <c r="B1086" s="682"/>
      <c r="C1086" s="682"/>
      <c r="D1086" s="914"/>
      <c r="E1086" s="682"/>
      <c r="F1086" s="682"/>
      <c r="G1086" s="682"/>
      <c r="H1086" s="915"/>
      <c r="I1086" s="916"/>
      <c r="J1086" s="916"/>
      <c r="K1086" s="917"/>
      <c r="L1086" s="917"/>
      <c r="M1086" s="917"/>
      <c r="N1086" s="917"/>
      <c r="O1086" s="917"/>
      <c r="P1086" s="917"/>
      <c r="Q1086" s="578"/>
      <c r="R1086" s="578"/>
      <c r="S1086" s="578"/>
      <c r="T1086" s="578"/>
      <c r="U1086" s="578"/>
      <c r="V1086" s="578"/>
      <c r="W1086" s="578"/>
      <c r="X1086" s="578"/>
      <c r="Y1086" s="578"/>
      <c r="Z1086" s="578"/>
    </row>
    <row r="1087" spans="1:26" ht="18.75">
      <c r="A1087" s="682"/>
      <c r="B1087" s="682"/>
      <c r="C1087" s="682"/>
      <c r="D1087" s="914"/>
      <c r="E1087" s="682"/>
      <c r="F1087" s="682"/>
      <c r="G1087" s="682"/>
      <c r="H1087" s="915"/>
      <c r="I1087" s="916"/>
      <c r="J1087" s="916"/>
      <c r="K1087" s="917"/>
      <c r="L1087" s="917"/>
      <c r="M1087" s="917"/>
      <c r="N1087" s="917"/>
      <c r="O1087" s="917"/>
      <c r="P1087" s="917"/>
      <c r="Q1087" s="578"/>
      <c r="R1087" s="578"/>
      <c r="S1087" s="578"/>
      <c r="T1087" s="578"/>
      <c r="U1087" s="578"/>
      <c r="V1087" s="578"/>
      <c r="W1087" s="578"/>
      <c r="X1087" s="578"/>
      <c r="Y1087" s="578"/>
      <c r="Z1087" s="578"/>
    </row>
    <row r="1088" spans="1:26" ht="18.75">
      <c r="A1088" s="682"/>
      <c r="B1088" s="682"/>
      <c r="C1088" s="682"/>
      <c r="D1088" s="914"/>
      <c r="E1088" s="682"/>
      <c r="F1088" s="682"/>
      <c r="G1088" s="682"/>
      <c r="H1088" s="915"/>
      <c r="I1088" s="916"/>
      <c r="J1088" s="916"/>
      <c r="K1088" s="917"/>
      <c r="L1088" s="917"/>
      <c r="M1088" s="917"/>
      <c r="N1088" s="917"/>
      <c r="O1088" s="917"/>
      <c r="P1088" s="917"/>
      <c r="Q1088" s="578"/>
      <c r="R1088" s="578"/>
      <c r="S1088" s="578"/>
      <c r="T1088" s="578"/>
      <c r="U1088" s="578"/>
      <c r="V1088" s="578"/>
      <c r="W1088" s="578"/>
      <c r="X1088" s="578"/>
      <c r="Y1088" s="578"/>
      <c r="Z1088" s="578"/>
    </row>
    <row r="1089" spans="1:26" ht="18.75">
      <c r="A1089" s="682"/>
      <c r="B1089" s="682"/>
      <c r="C1089" s="682"/>
      <c r="D1089" s="914"/>
      <c r="E1089" s="682"/>
      <c r="F1089" s="682"/>
      <c r="G1089" s="682"/>
      <c r="H1089" s="915"/>
      <c r="I1089" s="916"/>
      <c r="J1089" s="916"/>
      <c r="K1089" s="917"/>
      <c r="L1089" s="917"/>
      <c r="M1089" s="917"/>
      <c r="N1089" s="917"/>
      <c r="O1089" s="917"/>
      <c r="P1089" s="917"/>
      <c r="Q1089" s="578"/>
      <c r="R1089" s="578"/>
      <c r="S1089" s="578"/>
      <c r="T1089" s="578"/>
      <c r="U1089" s="578"/>
      <c r="V1089" s="578"/>
      <c r="W1089" s="578"/>
      <c r="X1089" s="578"/>
      <c r="Y1089" s="578"/>
      <c r="Z1089" s="578"/>
    </row>
    <row r="1090" spans="1:26" ht="18.75">
      <c r="A1090" s="682"/>
      <c r="B1090" s="682"/>
      <c r="C1090" s="682"/>
      <c r="D1090" s="914"/>
      <c r="E1090" s="682"/>
      <c r="F1090" s="682"/>
      <c r="G1090" s="682"/>
      <c r="H1090" s="915"/>
      <c r="I1090" s="916"/>
      <c r="J1090" s="916"/>
      <c r="K1090" s="917"/>
      <c r="L1090" s="917"/>
      <c r="M1090" s="917"/>
      <c r="N1090" s="917"/>
      <c r="O1090" s="917"/>
      <c r="P1090" s="917"/>
      <c r="Q1090" s="578"/>
      <c r="R1090" s="578"/>
      <c r="S1090" s="578"/>
      <c r="T1090" s="578"/>
      <c r="U1090" s="578"/>
      <c r="V1090" s="578"/>
      <c r="W1090" s="578"/>
      <c r="X1090" s="578"/>
      <c r="Y1090" s="578"/>
      <c r="Z1090" s="578"/>
    </row>
    <row r="1091" spans="1:26" ht="18.75">
      <c r="A1091" s="682"/>
      <c r="B1091" s="682"/>
      <c r="C1091" s="682"/>
      <c r="D1091" s="914"/>
      <c r="E1091" s="682"/>
      <c r="F1091" s="682"/>
      <c r="G1091" s="682"/>
      <c r="H1091" s="915"/>
      <c r="I1091" s="916"/>
      <c r="J1091" s="916"/>
      <c r="K1091" s="917"/>
      <c r="L1091" s="917"/>
      <c r="M1091" s="917"/>
      <c r="N1091" s="917"/>
      <c r="O1091" s="917"/>
      <c r="P1091" s="917"/>
      <c r="Q1091" s="578"/>
      <c r="R1091" s="578"/>
      <c r="S1091" s="578"/>
      <c r="T1091" s="578"/>
      <c r="U1091" s="578"/>
      <c r="V1091" s="578"/>
      <c r="W1091" s="578"/>
      <c r="X1091" s="578"/>
      <c r="Y1091" s="578"/>
      <c r="Z1091" s="578"/>
    </row>
    <row r="1092" spans="1:26" ht="18.75">
      <c r="A1092" s="682"/>
      <c r="B1092" s="682"/>
      <c r="C1092" s="682"/>
      <c r="D1092" s="914"/>
      <c r="E1092" s="682"/>
      <c r="F1092" s="682"/>
      <c r="G1092" s="682"/>
      <c r="H1092" s="915"/>
      <c r="I1092" s="916"/>
      <c r="J1092" s="916"/>
      <c r="K1092" s="917"/>
      <c r="L1092" s="917"/>
      <c r="M1092" s="917"/>
      <c r="N1092" s="917"/>
      <c r="O1092" s="917"/>
      <c r="P1092" s="917"/>
      <c r="Q1092" s="578"/>
      <c r="R1092" s="578"/>
      <c r="S1092" s="578"/>
      <c r="T1092" s="578"/>
      <c r="U1092" s="578"/>
      <c r="V1092" s="578"/>
      <c r="W1092" s="578"/>
      <c r="X1092" s="578"/>
      <c r="Y1092" s="578"/>
      <c r="Z1092" s="578"/>
    </row>
    <row r="1093" spans="1:26" ht="18.75">
      <c r="A1093" s="682"/>
      <c r="B1093" s="682"/>
      <c r="C1093" s="682"/>
      <c r="D1093" s="914"/>
      <c r="E1093" s="682"/>
      <c r="F1093" s="682"/>
      <c r="G1093" s="682"/>
      <c r="H1093" s="915"/>
      <c r="I1093" s="916"/>
      <c r="J1093" s="916"/>
      <c r="K1093" s="917"/>
      <c r="L1093" s="917"/>
      <c r="M1093" s="917"/>
      <c r="N1093" s="917"/>
      <c r="O1093" s="917"/>
      <c r="P1093" s="917"/>
      <c r="Q1093" s="578"/>
      <c r="R1093" s="578"/>
      <c r="S1093" s="578"/>
      <c r="T1093" s="578"/>
      <c r="U1093" s="578"/>
      <c r="V1093" s="578"/>
      <c r="W1093" s="578"/>
      <c r="X1093" s="578"/>
      <c r="Y1093" s="578"/>
      <c r="Z1093" s="578"/>
    </row>
    <row r="1094" spans="1:26" ht="18.75">
      <c r="A1094" s="682"/>
      <c r="B1094" s="682"/>
      <c r="C1094" s="682"/>
      <c r="D1094" s="914"/>
      <c r="E1094" s="682"/>
      <c r="F1094" s="682"/>
      <c r="G1094" s="682"/>
      <c r="H1094" s="915"/>
      <c r="I1094" s="916"/>
      <c r="J1094" s="916"/>
      <c r="K1094" s="917"/>
      <c r="L1094" s="917"/>
      <c r="M1094" s="917"/>
      <c r="N1094" s="917"/>
      <c r="O1094" s="917"/>
      <c r="P1094" s="917"/>
      <c r="Q1094" s="578"/>
      <c r="R1094" s="578"/>
      <c r="S1094" s="578"/>
      <c r="T1094" s="578"/>
      <c r="U1094" s="578"/>
      <c r="V1094" s="578"/>
      <c r="W1094" s="578"/>
      <c r="X1094" s="578"/>
      <c r="Y1094" s="578"/>
      <c r="Z1094" s="578"/>
    </row>
    <row r="1095" spans="1:26" ht="18.75">
      <c r="A1095" s="682"/>
      <c r="B1095" s="682"/>
      <c r="C1095" s="682"/>
      <c r="D1095" s="914"/>
      <c r="E1095" s="682"/>
      <c r="F1095" s="682"/>
      <c r="G1095" s="682"/>
      <c r="H1095" s="915"/>
      <c r="I1095" s="916"/>
      <c r="J1095" s="916"/>
      <c r="K1095" s="917"/>
      <c r="L1095" s="917"/>
      <c r="M1095" s="917"/>
      <c r="N1095" s="917"/>
      <c r="O1095" s="917"/>
      <c r="P1095" s="917"/>
      <c r="Q1095" s="578"/>
      <c r="R1095" s="578"/>
      <c r="S1095" s="578"/>
      <c r="T1095" s="578"/>
      <c r="U1095" s="578"/>
      <c r="V1095" s="578"/>
      <c r="W1095" s="578"/>
      <c r="X1095" s="578"/>
      <c r="Y1095" s="578"/>
      <c r="Z1095" s="578"/>
    </row>
    <row r="1096" spans="1:26" ht="18.75">
      <c r="A1096" s="682"/>
      <c r="B1096" s="682"/>
      <c r="C1096" s="682"/>
      <c r="D1096" s="914"/>
      <c r="E1096" s="682"/>
      <c r="F1096" s="682"/>
      <c r="G1096" s="682"/>
      <c r="H1096" s="915"/>
      <c r="I1096" s="916"/>
      <c r="J1096" s="916"/>
      <c r="K1096" s="917"/>
      <c r="L1096" s="917"/>
      <c r="M1096" s="917"/>
      <c r="N1096" s="917"/>
      <c r="O1096" s="917"/>
      <c r="P1096" s="917"/>
      <c r="Q1096" s="578"/>
      <c r="R1096" s="578"/>
      <c r="S1096" s="578"/>
      <c r="T1096" s="578"/>
      <c r="U1096" s="578"/>
      <c r="V1096" s="578"/>
      <c r="W1096" s="578"/>
      <c r="X1096" s="578"/>
      <c r="Y1096" s="578"/>
      <c r="Z1096" s="578"/>
    </row>
    <row r="1097" spans="1:26" ht="18.75">
      <c r="A1097" s="682"/>
      <c r="B1097" s="682"/>
      <c r="C1097" s="682"/>
      <c r="D1097" s="914"/>
      <c r="E1097" s="682"/>
      <c r="F1097" s="682"/>
      <c r="G1097" s="682"/>
      <c r="H1097" s="915"/>
      <c r="I1097" s="916"/>
      <c r="J1097" s="916"/>
      <c r="K1097" s="917"/>
      <c r="L1097" s="917"/>
      <c r="M1097" s="917"/>
      <c r="N1097" s="917"/>
      <c r="O1097" s="917"/>
      <c r="P1097" s="917"/>
      <c r="Q1097" s="578"/>
      <c r="R1097" s="578"/>
      <c r="S1097" s="578"/>
      <c r="T1097" s="578"/>
      <c r="U1097" s="578"/>
      <c r="V1097" s="578"/>
      <c r="W1097" s="578"/>
      <c r="X1097" s="578"/>
      <c r="Y1097" s="578"/>
      <c r="Z1097" s="578"/>
    </row>
    <row r="1098" spans="1:26" ht="18.75">
      <c r="A1098" s="682"/>
      <c r="B1098" s="682"/>
      <c r="C1098" s="682"/>
      <c r="D1098" s="914"/>
      <c r="E1098" s="682"/>
      <c r="F1098" s="682"/>
      <c r="G1098" s="682"/>
      <c r="H1098" s="915"/>
      <c r="I1098" s="916"/>
      <c r="J1098" s="916"/>
      <c r="K1098" s="917"/>
      <c r="L1098" s="917"/>
      <c r="M1098" s="917"/>
      <c r="N1098" s="917"/>
      <c r="O1098" s="917"/>
      <c r="P1098" s="917"/>
      <c r="Q1098" s="578"/>
      <c r="R1098" s="578"/>
      <c r="S1098" s="578"/>
      <c r="T1098" s="578"/>
      <c r="U1098" s="578"/>
      <c r="V1098" s="578"/>
      <c r="W1098" s="578"/>
      <c r="X1098" s="578"/>
      <c r="Y1098" s="578"/>
      <c r="Z1098" s="578"/>
    </row>
    <row r="1099" spans="1:26" ht="18.75">
      <c r="A1099" s="682"/>
      <c r="B1099" s="682"/>
      <c r="C1099" s="682"/>
      <c r="D1099" s="914"/>
      <c r="E1099" s="682"/>
      <c r="F1099" s="682"/>
      <c r="G1099" s="682"/>
      <c r="H1099" s="915"/>
      <c r="I1099" s="916"/>
      <c r="J1099" s="916"/>
      <c r="K1099" s="917"/>
      <c r="L1099" s="917"/>
      <c r="M1099" s="917"/>
      <c r="N1099" s="917"/>
      <c r="O1099" s="917"/>
      <c r="P1099" s="917"/>
      <c r="Q1099" s="578"/>
      <c r="R1099" s="578"/>
      <c r="S1099" s="578"/>
      <c r="T1099" s="578"/>
      <c r="U1099" s="578"/>
      <c r="V1099" s="578"/>
      <c r="W1099" s="578"/>
      <c r="X1099" s="578"/>
      <c r="Y1099" s="578"/>
      <c r="Z1099" s="578"/>
    </row>
    <row r="1100" spans="1:26" ht="18.75">
      <c r="A1100" s="682"/>
      <c r="B1100" s="682"/>
      <c r="C1100" s="682"/>
      <c r="D1100" s="914"/>
      <c r="E1100" s="682"/>
      <c r="F1100" s="682"/>
      <c r="G1100" s="682"/>
      <c r="H1100" s="915"/>
      <c r="I1100" s="916"/>
      <c r="J1100" s="916"/>
      <c r="K1100" s="917"/>
      <c r="L1100" s="917"/>
      <c r="M1100" s="917"/>
      <c r="N1100" s="917"/>
      <c r="O1100" s="917"/>
      <c r="P1100" s="917"/>
      <c r="Q1100" s="578"/>
      <c r="R1100" s="578"/>
      <c r="S1100" s="578"/>
      <c r="T1100" s="578"/>
      <c r="U1100" s="578"/>
      <c r="V1100" s="578"/>
      <c r="W1100" s="578"/>
      <c r="X1100" s="578"/>
      <c r="Y1100" s="578"/>
      <c r="Z1100" s="578"/>
    </row>
    <row r="1101" spans="1:26" ht="18.75">
      <c r="A1101" s="682"/>
      <c r="B1101" s="682"/>
      <c r="C1101" s="682"/>
      <c r="D1101" s="914"/>
      <c r="E1101" s="682"/>
      <c r="F1101" s="682"/>
      <c r="G1101" s="682"/>
      <c r="H1101" s="915"/>
      <c r="I1101" s="916"/>
      <c r="J1101" s="916"/>
      <c r="K1101" s="917"/>
      <c r="L1101" s="917"/>
      <c r="M1101" s="917"/>
      <c r="N1101" s="917"/>
      <c r="O1101" s="917"/>
      <c r="P1101" s="917"/>
      <c r="Q1101" s="578"/>
      <c r="R1101" s="578"/>
      <c r="S1101" s="578"/>
      <c r="T1101" s="578"/>
      <c r="U1101" s="578"/>
      <c r="V1101" s="578"/>
      <c r="W1101" s="578"/>
      <c r="X1101" s="578"/>
      <c r="Y1101" s="578"/>
      <c r="Z1101" s="578"/>
    </row>
    <row r="1102" spans="1:26" ht="18.75">
      <c r="A1102" s="682"/>
      <c r="B1102" s="682"/>
      <c r="C1102" s="682"/>
      <c r="D1102" s="914"/>
      <c r="E1102" s="682"/>
      <c r="F1102" s="682"/>
      <c r="G1102" s="682"/>
      <c r="H1102" s="915"/>
      <c r="I1102" s="916"/>
      <c r="J1102" s="916"/>
      <c r="K1102" s="917"/>
      <c r="L1102" s="917"/>
      <c r="M1102" s="917"/>
      <c r="N1102" s="917"/>
      <c r="O1102" s="917"/>
      <c r="P1102" s="917"/>
      <c r="Q1102" s="578"/>
      <c r="R1102" s="578"/>
      <c r="S1102" s="578"/>
      <c r="T1102" s="578"/>
      <c r="U1102" s="578"/>
      <c r="V1102" s="578"/>
      <c r="W1102" s="578"/>
      <c r="X1102" s="578"/>
      <c r="Y1102" s="578"/>
      <c r="Z1102" s="578"/>
    </row>
    <row r="1103" spans="1:26" ht="18.75">
      <c r="A1103" s="682"/>
      <c r="B1103" s="682"/>
      <c r="C1103" s="682"/>
      <c r="D1103" s="914"/>
      <c r="E1103" s="682"/>
      <c r="F1103" s="682"/>
      <c r="G1103" s="682"/>
      <c r="H1103" s="915"/>
      <c r="I1103" s="916"/>
      <c r="J1103" s="916"/>
      <c r="K1103" s="917"/>
      <c r="L1103" s="917"/>
      <c r="M1103" s="917"/>
      <c r="N1103" s="917"/>
      <c r="O1103" s="917"/>
      <c r="P1103" s="917"/>
      <c r="Q1103" s="578"/>
      <c r="R1103" s="578"/>
      <c r="S1103" s="578"/>
      <c r="T1103" s="578"/>
      <c r="U1103" s="578"/>
      <c r="V1103" s="578"/>
      <c r="W1103" s="578"/>
      <c r="X1103" s="578"/>
      <c r="Y1103" s="578"/>
      <c r="Z1103" s="578"/>
    </row>
    <row r="1104" spans="1:26" ht="18.75">
      <c r="A1104" s="682"/>
      <c r="B1104" s="682"/>
      <c r="C1104" s="682"/>
      <c r="D1104" s="914"/>
      <c r="E1104" s="682"/>
      <c r="F1104" s="682"/>
      <c r="G1104" s="682"/>
      <c r="H1104" s="915"/>
      <c r="I1104" s="916"/>
      <c r="J1104" s="916"/>
      <c r="K1104" s="917"/>
      <c r="L1104" s="917"/>
      <c r="M1104" s="917"/>
      <c r="N1104" s="917"/>
      <c r="O1104" s="917"/>
      <c r="P1104" s="917"/>
      <c r="Q1104" s="578"/>
      <c r="R1104" s="578"/>
      <c r="S1104" s="578"/>
      <c r="T1104" s="578"/>
      <c r="U1104" s="578"/>
      <c r="V1104" s="578"/>
      <c r="W1104" s="578"/>
      <c r="X1104" s="578"/>
      <c r="Y1104" s="578"/>
      <c r="Z1104" s="578"/>
    </row>
    <row r="1105" spans="1:26" ht="18.75">
      <c r="A1105" s="682"/>
      <c r="B1105" s="682"/>
      <c r="C1105" s="682"/>
      <c r="D1105" s="914"/>
      <c r="E1105" s="682"/>
      <c r="F1105" s="682"/>
      <c r="G1105" s="682"/>
      <c r="H1105" s="915"/>
      <c r="I1105" s="916"/>
      <c r="J1105" s="916"/>
      <c r="K1105" s="917"/>
      <c r="L1105" s="917"/>
      <c r="M1105" s="917"/>
      <c r="N1105" s="917"/>
      <c r="O1105" s="917"/>
      <c r="P1105" s="917"/>
      <c r="Q1105" s="578"/>
      <c r="R1105" s="578"/>
      <c r="S1105" s="578"/>
      <c r="T1105" s="578"/>
      <c r="U1105" s="578"/>
      <c r="V1105" s="578"/>
      <c r="W1105" s="578"/>
      <c r="X1105" s="578"/>
      <c r="Y1105" s="578"/>
      <c r="Z1105" s="578"/>
    </row>
    <row r="1106" spans="1:26" ht="18.75">
      <c r="A1106" s="682"/>
      <c r="B1106" s="682"/>
      <c r="C1106" s="682"/>
      <c r="D1106" s="914"/>
      <c r="E1106" s="682"/>
      <c r="F1106" s="682"/>
      <c r="G1106" s="682"/>
      <c r="H1106" s="915"/>
      <c r="I1106" s="916"/>
      <c r="J1106" s="916"/>
      <c r="K1106" s="917"/>
      <c r="L1106" s="917"/>
      <c r="M1106" s="917"/>
      <c r="N1106" s="917"/>
      <c r="O1106" s="917"/>
      <c r="P1106" s="917"/>
      <c r="Q1106" s="578"/>
      <c r="R1106" s="578"/>
      <c r="S1106" s="578"/>
      <c r="T1106" s="578"/>
      <c r="U1106" s="578"/>
      <c r="V1106" s="578"/>
      <c r="W1106" s="578"/>
      <c r="X1106" s="578"/>
      <c r="Y1106" s="578"/>
      <c r="Z1106" s="578"/>
    </row>
    <row r="1107" spans="1:26" ht="18.75">
      <c r="A1107" s="682"/>
      <c r="B1107" s="682"/>
      <c r="C1107" s="682"/>
      <c r="D1107" s="914"/>
      <c r="E1107" s="682"/>
      <c r="F1107" s="682"/>
      <c r="G1107" s="682"/>
      <c r="H1107" s="915"/>
      <c r="I1107" s="916"/>
      <c r="J1107" s="916"/>
      <c r="K1107" s="917"/>
      <c r="L1107" s="917"/>
      <c r="M1107" s="917"/>
      <c r="N1107" s="917"/>
      <c r="O1107" s="917"/>
      <c r="P1107" s="917"/>
      <c r="Q1107" s="578"/>
      <c r="R1107" s="578"/>
      <c r="S1107" s="578"/>
      <c r="T1107" s="578"/>
      <c r="U1107" s="578"/>
      <c r="V1107" s="578"/>
      <c r="W1107" s="578"/>
      <c r="X1107" s="578"/>
      <c r="Y1107" s="578"/>
      <c r="Z1107" s="578"/>
    </row>
    <row r="1108" spans="1:26" ht="18.75">
      <c r="A1108" s="682"/>
      <c r="B1108" s="682"/>
      <c r="C1108" s="682"/>
      <c r="D1108" s="914"/>
      <c r="E1108" s="682"/>
      <c r="F1108" s="682"/>
      <c r="G1108" s="682"/>
      <c r="H1108" s="915"/>
      <c r="I1108" s="916"/>
      <c r="J1108" s="916"/>
      <c r="K1108" s="917"/>
      <c r="L1108" s="917"/>
      <c r="M1108" s="917"/>
      <c r="N1108" s="917"/>
      <c r="O1108" s="917"/>
      <c r="P1108" s="917"/>
      <c r="Q1108" s="578"/>
      <c r="R1108" s="578"/>
      <c r="S1108" s="578"/>
      <c r="T1108" s="578"/>
      <c r="U1108" s="578"/>
      <c r="V1108" s="578"/>
      <c r="W1108" s="578"/>
      <c r="X1108" s="578"/>
      <c r="Y1108" s="578"/>
      <c r="Z1108" s="578"/>
    </row>
    <row r="1109" spans="1:26" ht="18.75">
      <c r="A1109" s="682"/>
      <c r="B1109" s="682"/>
      <c r="C1109" s="682"/>
      <c r="D1109" s="914"/>
      <c r="E1109" s="682"/>
      <c r="F1109" s="682"/>
      <c r="G1109" s="682"/>
      <c r="H1109" s="915"/>
      <c r="I1109" s="916"/>
      <c r="J1109" s="916"/>
      <c r="K1109" s="917"/>
      <c r="L1109" s="917"/>
      <c r="M1109" s="917"/>
      <c r="N1109" s="917"/>
      <c r="O1109" s="917"/>
      <c r="P1109" s="917"/>
      <c r="Q1109" s="578"/>
      <c r="R1109" s="578"/>
      <c r="S1109" s="578"/>
      <c r="T1109" s="578"/>
      <c r="U1109" s="578"/>
      <c r="V1109" s="578"/>
      <c r="W1109" s="578"/>
      <c r="X1109" s="578"/>
      <c r="Y1109" s="578"/>
      <c r="Z1109" s="578"/>
    </row>
    <row r="1110" spans="1:26" ht="18.75">
      <c r="A1110" s="682"/>
      <c r="B1110" s="682"/>
      <c r="C1110" s="682"/>
      <c r="D1110" s="914"/>
      <c r="E1110" s="682"/>
      <c r="F1110" s="682"/>
      <c r="G1110" s="682"/>
      <c r="H1110" s="915"/>
      <c r="I1110" s="916"/>
      <c r="J1110" s="916"/>
      <c r="K1110" s="917"/>
      <c r="L1110" s="917"/>
      <c r="M1110" s="917"/>
      <c r="N1110" s="917"/>
      <c r="O1110" s="917"/>
      <c r="P1110" s="917"/>
      <c r="Q1110" s="578"/>
      <c r="R1110" s="578"/>
      <c r="S1110" s="578"/>
      <c r="T1110" s="578"/>
      <c r="U1110" s="578"/>
      <c r="V1110" s="578"/>
      <c r="W1110" s="578"/>
      <c r="X1110" s="578"/>
      <c r="Y1110" s="578"/>
      <c r="Z1110" s="578"/>
    </row>
    <row r="1111" spans="1:26" ht="18.75">
      <c r="A1111" s="682"/>
      <c r="B1111" s="682"/>
      <c r="C1111" s="682"/>
      <c r="D1111" s="914"/>
      <c r="E1111" s="682"/>
      <c r="F1111" s="682"/>
      <c r="G1111" s="682"/>
      <c r="H1111" s="915"/>
      <c r="I1111" s="916"/>
      <c r="J1111" s="916"/>
      <c r="K1111" s="917"/>
      <c r="L1111" s="917"/>
      <c r="M1111" s="917"/>
      <c r="N1111" s="917"/>
      <c r="O1111" s="917"/>
      <c r="P1111" s="917"/>
      <c r="Q1111" s="578"/>
      <c r="R1111" s="578"/>
      <c r="S1111" s="578"/>
      <c r="T1111" s="578"/>
      <c r="U1111" s="578"/>
      <c r="V1111" s="578"/>
      <c r="W1111" s="578"/>
      <c r="X1111" s="578"/>
      <c r="Y1111" s="578"/>
      <c r="Z1111" s="578"/>
    </row>
    <row r="1112" spans="1:26" ht="18.75">
      <c r="A1112" s="682"/>
      <c r="B1112" s="682"/>
      <c r="C1112" s="682"/>
      <c r="D1112" s="914"/>
      <c r="E1112" s="682"/>
      <c r="F1112" s="682"/>
      <c r="G1112" s="682"/>
      <c r="H1112" s="915"/>
      <c r="I1112" s="916"/>
      <c r="J1112" s="916"/>
      <c r="K1112" s="917"/>
      <c r="L1112" s="917"/>
      <c r="M1112" s="917"/>
      <c r="N1112" s="917"/>
      <c r="O1112" s="917"/>
      <c r="P1112" s="917"/>
      <c r="Q1112" s="578"/>
      <c r="R1112" s="578"/>
      <c r="S1112" s="578"/>
      <c r="T1112" s="578"/>
      <c r="U1112" s="578"/>
      <c r="V1112" s="578"/>
      <c r="W1112" s="578"/>
      <c r="X1112" s="578"/>
      <c r="Y1112" s="578"/>
      <c r="Z1112" s="578"/>
    </row>
    <row r="1113" spans="1:26" ht="18.75">
      <c r="A1113" s="682"/>
      <c r="B1113" s="682"/>
      <c r="C1113" s="682"/>
      <c r="D1113" s="914"/>
      <c r="E1113" s="682"/>
      <c r="F1113" s="682"/>
      <c r="G1113" s="682"/>
      <c r="H1113" s="915"/>
      <c r="I1113" s="916"/>
      <c r="J1113" s="916"/>
      <c r="K1113" s="917"/>
      <c r="L1113" s="917"/>
      <c r="M1113" s="917"/>
      <c r="N1113" s="917"/>
      <c r="O1113" s="917"/>
      <c r="P1113" s="917"/>
      <c r="Q1113" s="578"/>
      <c r="R1113" s="578"/>
      <c r="S1113" s="578"/>
      <c r="T1113" s="578"/>
      <c r="U1113" s="578"/>
      <c r="V1113" s="578"/>
      <c r="W1113" s="578"/>
      <c r="X1113" s="578"/>
      <c r="Y1113" s="578"/>
      <c r="Z1113" s="578"/>
    </row>
    <row r="1114" spans="1:26" ht="18.75">
      <c r="A1114" s="682"/>
      <c r="B1114" s="682"/>
      <c r="C1114" s="682"/>
      <c r="D1114" s="914"/>
      <c r="E1114" s="682"/>
      <c r="F1114" s="682"/>
      <c r="G1114" s="682"/>
      <c r="H1114" s="915"/>
      <c r="I1114" s="916"/>
      <c r="J1114" s="916"/>
      <c r="K1114" s="917"/>
      <c r="L1114" s="917"/>
      <c r="M1114" s="917"/>
      <c r="N1114" s="917"/>
      <c r="O1114" s="917"/>
      <c r="P1114" s="917"/>
      <c r="Q1114" s="578"/>
      <c r="R1114" s="578"/>
      <c r="S1114" s="578"/>
      <c r="T1114" s="578"/>
      <c r="U1114" s="578"/>
      <c r="V1114" s="578"/>
      <c r="W1114" s="578"/>
      <c r="X1114" s="578"/>
      <c r="Y1114" s="578"/>
      <c r="Z1114" s="578"/>
    </row>
    <row r="1115" spans="1:26" ht="18.75">
      <c r="A1115" s="682"/>
      <c r="B1115" s="682"/>
      <c r="C1115" s="682"/>
      <c r="D1115" s="914"/>
      <c r="E1115" s="682"/>
      <c r="F1115" s="682"/>
      <c r="G1115" s="682"/>
      <c r="H1115" s="915"/>
      <c r="I1115" s="916"/>
      <c r="J1115" s="916"/>
      <c r="K1115" s="917"/>
      <c r="L1115" s="917"/>
      <c r="M1115" s="917"/>
      <c r="N1115" s="917"/>
      <c r="O1115" s="917"/>
      <c r="P1115" s="917"/>
      <c r="Q1115" s="578"/>
      <c r="R1115" s="578"/>
      <c r="S1115" s="578"/>
      <c r="T1115" s="578"/>
      <c r="U1115" s="578"/>
      <c r="V1115" s="578"/>
      <c r="W1115" s="578"/>
      <c r="X1115" s="578"/>
      <c r="Y1115" s="578"/>
      <c r="Z1115" s="578"/>
    </row>
    <row r="1116" spans="1:26" ht="18.75">
      <c r="A1116" s="682"/>
      <c r="B1116" s="682"/>
      <c r="C1116" s="682"/>
      <c r="D1116" s="914"/>
      <c r="E1116" s="682"/>
      <c r="F1116" s="682"/>
      <c r="G1116" s="682"/>
      <c r="H1116" s="915"/>
      <c r="I1116" s="916"/>
      <c r="J1116" s="916"/>
      <c r="K1116" s="917"/>
      <c r="L1116" s="917"/>
      <c r="M1116" s="917"/>
      <c r="N1116" s="917"/>
      <c r="O1116" s="917"/>
      <c r="P1116" s="917"/>
      <c r="Q1116" s="578"/>
      <c r="R1116" s="578"/>
      <c r="S1116" s="578"/>
      <c r="T1116" s="578"/>
      <c r="U1116" s="578"/>
      <c r="V1116" s="578"/>
      <c r="W1116" s="578"/>
      <c r="X1116" s="578"/>
      <c r="Y1116" s="578"/>
      <c r="Z1116" s="578"/>
    </row>
    <row r="1117" spans="1:26" ht="18.75">
      <c r="A1117" s="682"/>
      <c r="B1117" s="682"/>
      <c r="C1117" s="682"/>
      <c r="D1117" s="914"/>
      <c r="E1117" s="682"/>
      <c r="F1117" s="682"/>
      <c r="G1117" s="682"/>
      <c r="H1117" s="915"/>
      <c r="I1117" s="916"/>
      <c r="J1117" s="916"/>
      <c r="K1117" s="917"/>
      <c r="L1117" s="917"/>
      <c r="M1117" s="917"/>
      <c r="N1117" s="917"/>
      <c r="O1117" s="917"/>
      <c r="P1117" s="917"/>
      <c r="Q1117" s="578"/>
      <c r="R1117" s="578"/>
      <c r="S1117" s="578"/>
      <c r="T1117" s="578"/>
      <c r="U1117" s="578"/>
      <c r="V1117" s="578"/>
      <c r="W1117" s="578"/>
      <c r="X1117" s="578"/>
      <c r="Y1117" s="578"/>
      <c r="Z1117" s="578"/>
    </row>
    <row r="1118" spans="1:26" ht="18.75">
      <c r="A1118" s="682"/>
      <c r="B1118" s="682"/>
      <c r="C1118" s="682"/>
      <c r="D1118" s="914"/>
      <c r="E1118" s="682"/>
      <c r="F1118" s="682"/>
      <c r="G1118" s="682"/>
      <c r="H1118" s="915"/>
      <c r="I1118" s="916"/>
      <c r="J1118" s="916"/>
      <c r="K1118" s="917"/>
      <c r="L1118" s="917"/>
      <c r="M1118" s="917"/>
      <c r="N1118" s="917"/>
      <c r="O1118" s="917"/>
      <c r="P1118" s="917"/>
      <c r="Q1118" s="578"/>
      <c r="R1118" s="578"/>
      <c r="S1118" s="578"/>
      <c r="T1118" s="578"/>
      <c r="U1118" s="578"/>
      <c r="V1118" s="578"/>
      <c r="W1118" s="578"/>
      <c r="X1118" s="578"/>
      <c r="Y1118" s="578"/>
      <c r="Z1118" s="578"/>
    </row>
    <row r="1119" spans="1:26" ht="18.75">
      <c r="A1119" s="682"/>
      <c r="B1119" s="682"/>
      <c r="C1119" s="682"/>
      <c r="D1119" s="914"/>
      <c r="E1119" s="682"/>
      <c r="F1119" s="682"/>
      <c r="G1119" s="682"/>
      <c r="H1119" s="915"/>
      <c r="I1119" s="916"/>
      <c r="J1119" s="916"/>
      <c r="K1119" s="917"/>
      <c r="L1119" s="917"/>
      <c r="M1119" s="917"/>
      <c r="N1119" s="917"/>
      <c r="O1119" s="917"/>
      <c r="P1119" s="917"/>
      <c r="Q1119" s="578"/>
      <c r="R1119" s="578"/>
      <c r="S1119" s="578"/>
      <c r="T1119" s="578"/>
      <c r="U1119" s="578"/>
      <c r="V1119" s="578"/>
      <c r="W1119" s="578"/>
      <c r="X1119" s="578"/>
      <c r="Y1119" s="578"/>
      <c r="Z1119" s="578"/>
    </row>
    <row r="1120" spans="1:26" ht="18.75">
      <c r="A1120" s="682"/>
      <c r="B1120" s="682"/>
      <c r="C1120" s="682"/>
      <c r="D1120" s="914"/>
      <c r="E1120" s="682"/>
      <c r="F1120" s="682"/>
      <c r="G1120" s="682"/>
      <c r="H1120" s="915"/>
      <c r="I1120" s="916"/>
      <c r="J1120" s="916"/>
      <c r="K1120" s="917"/>
      <c r="L1120" s="917"/>
      <c r="M1120" s="917"/>
      <c r="N1120" s="917"/>
      <c r="O1120" s="917"/>
      <c r="P1120" s="917"/>
      <c r="Q1120" s="578"/>
      <c r="R1120" s="578"/>
      <c r="S1120" s="578"/>
      <c r="T1120" s="578"/>
      <c r="U1120" s="578"/>
      <c r="V1120" s="578"/>
      <c r="W1120" s="578"/>
      <c r="X1120" s="578"/>
      <c r="Y1120" s="578"/>
      <c r="Z1120" s="578"/>
    </row>
    <row r="1121" spans="1:26" ht="18.75">
      <c r="A1121" s="682"/>
      <c r="B1121" s="682"/>
      <c r="C1121" s="682"/>
      <c r="D1121" s="914"/>
      <c r="E1121" s="682"/>
      <c r="F1121" s="682"/>
      <c r="G1121" s="682"/>
      <c r="H1121" s="915"/>
      <c r="I1121" s="916"/>
      <c r="J1121" s="916"/>
      <c r="K1121" s="917"/>
      <c r="L1121" s="917"/>
      <c r="M1121" s="917"/>
      <c r="N1121" s="917"/>
      <c r="O1121" s="917"/>
      <c r="P1121" s="917"/>
      <c r="Q1121" s="578"/>
      <c r="R1121" s="578"/>
      <c r="S1121" s="578"/>
      <c r="T1121" s="578"/>
      <c r="U1121" s="578"/>
      <c r="V1121" s="578"/>
      <c r="W1121" s="578"/>
      <c r="X1121" s="578"/>
      <c r="Y1121" s="578"/>
      <c r="Z1121" s="578"/>
    </row>
    <row r="1122" spans="1:26" ht="18.75">
      <c r="A1122" s="682"/>
      <c r="B1122" s="682"/>
      <c r="C1122" s="682"/>
      <c r="D1122" s="914"/>
      <c r="E1122" s="682"/>
      <c r="F1122" s="682"/>
      <c r="G1122" s="682"/>
      <c r="H1122" s="915"/>
      <c r="I1122" s="916"/>
      <c r="J1122" s="916"/>
      <c r="K1122" s="917"/>
      <c r="L1122" s="917"/>
      <c r="M1122" s="917"/>
      <c r="N1122" s="917"/>
      <c r="O1122" s="917"/>
      <c r="P1122" s="917"/>
      <c r="Q1122" s="578"/>
      <c r="R1122" s="578"/>
      <c r="S1122" s="578"/>
      <c r="T1122" s="578"/>
      <c r="U1122" s="578"/>
      <c r="V1122" s="578"/>
      <c r="W1122" s="578"/>
      <c r="X1122" s="578"/>
      <c r="Y1122" s="578"/>
      <c r="Z1122" s="578"/>
    </row>
    <row r="1123" spans="1:26" ht="18.75">
      <c r="A1123" s="682"/>
      <c r="B1123" s="682"/>
      <c r="C1123" s="682"/>
      <c r="D1123" s="914"/>
      <c r="E1123" s="682"/>
      <c r="F1123" s="682"/>
      <c r="G1123" s="682"/>
      <c r="H1123" s="915"/>
      <c r="I1123" s="916"/>
      <c r="J1123" s="916"/>
      <c r="K1123" s="917"/>
      <c r="L1123" s="917"/>
      <c r="M1123" s="917"/>
      <c r="N1123" s="917"/>
      <c r="O1123" s="917"/>
      <c r="P1123" s="917"/>
      <c r="Q1123" s="578"/>
      <c r="R1123" s="578"/>
      <c r="S1123" s="578"/>
      <c r="T1123" s="578"/>
      <c r="U1123" s="578"/>
      <c r="V1123" s="578"/>
      <c r="W1123" s="578"/>
      <c r="X1123" s="578"/>
      <c r="Y1123" s="578"/>
      <c r="Z1123" s="578"/>
    </row>
    <row r="1124" spans="1:26" ht="18.75">
      <c r="A1124" s="682"/>
      <c r="B1124" s="682"/>
      <c r="C1124" s="682"/>
      <c r="D1124" s="914"/>
      <c r="E1124" s="682"/>
      <c r="F1124" s="682"/>
      <c r="G1124" s="682"/>
      <c r="H1124" s="915"/>
      <c r="I1124" s="916"/>
      <c r="J1124" s="916"/>
      <c r="K1124" s="917"/>
      <c r="L1124" s="917"/>
      <c r="M1124" s="917"/>
      <c r="N1124" s="917"/>
      <c r="O1124" s="917"/>
      <c r="P1124" s="917"/>
      <c r="Q1124" s="578"/>
      <c r="R1124" s="578"/>
      <c r="S1124" s="578"/>
      <c r="T1124" s="578"/>
      <c r="U1124" s="578"/>
      <c r="V1124" s="578"/>
      <c r="W1124" s="578"/>
      <c r="X1124" s="578"/>
      <c r="Y1124" s="578"/>
      <c r="Z1124" s="578"/>
    </row>
    <row r="1125" spans="1:26" ht="18.75">
      <c r="A1125" s="682"/>
      <c r="B1125" s="682"/>
      <c r="C1125" s="682"/>
      <c r="D1125" s="914"/>
      <c r="E1125" s="682"/>
      <c r="F1125" s="682"/>
      <c r="G1125" s="682"/>
      <c r="H1125" s="915"/>
      <c r="I1125" s="916"/>
      <c r="J1125" s="916"/>
      <c r="K1125" s="917"/>
      <c r="L1125" s="917"/>
      <c r="M1125" s="917"/>
      <c r="N1125" s="917"/>
      <c r="O1125" s="917"/>
      <c r="P1125" s="917"/>
      <c r="Q1125" s="578"/>
      <c r="R1125" s="578"/>
      <c r="S1125" s="578"/>
      <c r="T1125" s="578"/>
      <c r="U1125" s="578"/>
      <c r="V1125" s="578"/>
      <c r="W1125" s="578"/>
      <c r="X1125" s="578"/>
      <c r="Y1125" s="578"/>
      <c r="Z1125" s="578"/>
    </row>
    <row r="1126" spans="1:26" ht="18.75">
      <c r="A1126" s="682"/>
      <c r="B1126" s="682"/>
      <c r="C1126" s="682"/>
      <c r="D1126" s="914"/>
      <c r="E1126" s="682"/>
      <c r="F1126" s="682"/>
      <c r="G1126" s="682"/>
      <c r="H1126" s="915"/>
      <c r="I1126" s="916"/>
      <c r="J1126" s="916"/>
      <c r="K1126" s="917"/>
      <c r="L1126" s="917"/>
      <c r="M1126" s="917"/>
      <c r="N1126" s="917"/>
      <c r="O1126" s="917"/>
      <c r="P1126" s="917"/>
      <c r="Q1126" s="578"/>
      <c r="R1126" s="578"/>
      <c r="S1126" s="578"/>
      <c r="T1126" s="578"/>
      <c r="U1126" s="578"/>
      <c r="V1126" s="578"/>
      <c r="W1126" s="578"/>
      <c r="X1126" s="578"/>
      <c r="Y1126" s="578"/>
      <c r="Z1126" s="578"/>
    </row>
    <row r="1127" spans="1:26" ht="18.75">
      <c r="A1127" s="682"/>
      <c r="B1127" s="682"/>
      <c r="C1127" s="682"/>
      <c r="D1127" s="914"/>
      <c r="E1127" s="682"/>
      <c r="F1127" s="682"/>
      <c r="G1127" s="682"/>
      <c r="H1127" s="915"/>
      <c r="I1127" s="916"/>
      <c r="J1127" s="916"/>
      <c r="K1127" s="917"/>
      <c r="L1127" s="917"/>
      <c r="M1127" s="917"/>
      <c r="N1127" s="917"/>
      <c r="O1127" s="917"/>
      <c r="P1127" s="917"/>
      <c r="Q1127" s="578"/>
      <c r="R1127" s="578"/>
      <c r="S1127" s="578"/>
      <c r="T1127" s="578"/>
      <c r="U1127" s="578"/>
      <c r="V1127" s="578"/>
      <c r="W1127" s="578"/>
      <c r="X1127" s="578"/>
      <c r="Y1127" s="578"/>
      <c r="Z1127" s="578"/>
    </row>
    <row r="1128" spans="1:26" ht="18.75">
      <c r="A1128" s="682"/>
      <c r="B1128" s="682"/>
      <c r="C1128" s="682"/>
      <c r="D1128" s="914"/>
      <c r="E1128" s="682"/>
      <c r="F1128" s="682"/>
      <c r="G1128" s="682"/>
      <c r="H1128" s="915"/>
      <c r="I1128" s="916"/>
      <c r="J1128" s="916"/>
      <c r="K1128" s="917"/>
      <c r="L1128" s="917"/>
      <c r="M1128" s="917"/>
      <c r="N1128" s="917"/>
      <c r="O1128" s="917"/>
      <c r="P1128" s="917"/>
      <c r="Q1128" s="578"/>
      <c r="R1128" s="578"/>
      <c r="S1128" s="578"/>
      <c r="T1128" s="578"/>
      <c r="U1128" s="578"/>
      <c r="V1128" s="578"/>
      <c r="W1128" s="578"/>
      <c r="X1128" s="578"/>
      <c r="Y1128" s="578"/>
      <c r="Z1128" s="578"/>
    </row>
    <row r="1129" spans="1:26" ht="18.75">
      <c r="A1129" s="682"/>
      <c r="B1129" s="682"/>
      <c r="C1129" s="682"/>
      <c r="D1129" s="914"/>
      <c r="E1129" s="682"/>
      <c r="F1129" s="682"/>
      <c r="G1129" s="682"/>
      <c r="H1129" s="915"/>
      <c r="I1129" s="916"/>
      <c r="J1129" s="916"/>
      <c r="K1129" s="917"/>
      <c r="L1129" s="917"/>
      <c r="M1129" s="917"/>
      <c r="N1129" s="917"/>
      <c r="O1129" s="917"/>
      <c r="P1129" s="917"/>
      <c r="Q1129" s="578"/>
      <c r="R1129" s="578"/>
      <c r="S1129" s="578"/>
      <c r="T1129" s="578"/>
      <c r="U1129" s="578"/>
      <c r="V1129" s="578"/>
      <c r="W1129" s="578"/>
      <c r="X1129" s="578"/>
      <c r="Y1129" s="578"/>
      <c r="Z1129" s="578"/>
    </row>
    <row r="1130" spans="1:26" ht="18.75">
      <c r="A1130" s="682"/>
      <c r="B1130" s="682"/>
      <c r="C1130" s="682"/>
      <c r="D1130" s="914"/>
      <c r="E1130" s="682"/>
      <c r="F1130" s="682"/>
      <c r="G1130" s="682"/>
      <c r="H1130" s="915"/>
      <c r="I1130" s="916"/>
      <c r="J1130" s="916"/>
      <c r="K1130" s="917"/>
      <c r="L1130" s="917"/>
      <c r="M1130" s="917"/>
      <c r="N1130" s="917"/>
      <c r="O1130" s="917"/>
      <c r="P1130" s="917"/>
      <c r="Q1130" s="578"/>
      <c r="R1130" s="578"/>
      <c r="S1130" s="578"/>
      <c r="T1130" s="578"/>
      <c r="U1130" s="578"/>
      <c r="V1130" s="578"/>
      <c r="W1130" s="578"/>
      <c r="X1130" s="578"/>
      <c r="Y1130" s="578"/>
      <c r="Z1130" s="578"/>
    </row>
    <row r="1131" spans="1:26" ht="18.75">
      <c r="A1131" s="682"/>
      <c r="B1131" s="682"/>
      <c r="C1131" s="682"/>
      <c r="D1131" s="914"/>
      <c r="E1131" s="682"/>
      <c r="F1131" s="682"/>
      <c r="G1131" s="682"/>
      <c r="H1131" s="915"/>
      <c r="I1131" s="916"/>
      <c r="J1131" s="916"/>
      <c r="K1131" s="917"/>
      <c r="L1131" s="917"/>
      <c r="M1131" s="917"/>
      <c r="N1131" s="917"/>
      <c r="O1131" s="917"/>
      <c r="P1131" s="917"/>
      <c r="Q1131" s="578"/>
      <c r="R1131" s="578"/>
      <c r="S1131" s="578"/>
      <c r="T1131" s="578"/>
      <c r="U1131" s="578"/>
      <c r="V1131" s="578"/>
      <c r="W1131" s="578"/>
      <c r="X1131" s="578"/>
      <c r="Y1131" s="578"/>
      <c r="Z1131" s="578"/>
    </row>
    <row r="1132" spans="1:26" ht="18.75">
      <c r="A1132" s="682"/>
      <c r="B1132" s="682"/>
      <c r="C1132" s="682"/>
      <c r="D1132" s="914"/>
      <c r="E1132" s="682"/>
      <c r="F1132" s="682"/>
      <c r="G1132" s="682"/>
      <c r="H1132" s="915"/>
      <c r="I1132" s="916"/>
      <c r="J1132" s="916"/>
      <c r="K1132" s="917"/>
      <c r="L1132" s="917"/>
      <c r="M1132" s="917"/>
      <c r="N1132" s="917"/>
      <c r="O1132" s="917"/>
      <c r="P1132" s="917"/>
      <c r="Q1132" s="578"/>
      <c r="R1132" s="578"/>
      <c r="S1132" s="578"/>
      <c r="T1132" s="578"/>
      <c r="U1132" s="578"/>
      <c r="V1132" s="578"/>
      <c r="W1132" s="578"/>
      <c r="X1132" s="578"/>
      <c r="Y1132" s="578"/>
      <c r="Z1132" s="578"/>
    </row>
    <row r="1133" spans="1:26" ht="18.75">
      <c r="A1133" s="682"/>
      <c r="B1133" s="682"/>
      <c r="C1133" s="682"/>
      <c r="D1133" s="914"/>
      <c r="E1133" s="682"/>
      <c r="F1133" s="682"/>
      <c r="G1133" s="682"/>
      <c r="H1133" s="915"/>
      <c r="I1133" s="916"/>
      <c r="J1133" s="916"/>
      <c r="K1133" s="917"/>
      <c r="L1133" s="917"/>
      <c r="M1133" s="917"/>
      <c r="N1133" s="917"/>
      <c r="O1133" s="917"/>
      <c r="P1133" s="917"/>
      <c r="Q1133" s="578"/>
      <c r="R1133" s="578"/>
      <c r="S1133" s="578"/>
      <c r="T1133" s="578"/>
      <c r="U1133" s="578"/>
      <c r="V1133" s="578"/>
      <c r="W1133" s="578"/>
      <c r="X1133" s="578"/>
      <c r="Y1133" s="578"/>
      <c r="Z1133" s="578"/>
    </row>
    <row r="1134" spans="1:26" ht="18.75">
      <c r="A1134" s="682"/>
      <c r="B1134" s="682"/>
      <c r="C1134" s="682"/>
      <c r="D1134" s="914"/>
      <c r="E1134" s="682"/>
      <c r="F1134" s="682"/>
      <c r="G1134" s="682"/>
      <c r="H1134" s="915"/>
      <c r="I1134" s="916"/>
      <c r="J1134" s="916"/>
      <c r="K1134" s="917"/>
      <c r="L1134" s="917"/>
      <c r="M1134" s="917"/>
      <c r="N1134" s="917"/>
      <c r="O1134" s="917"/>
      <c r="P1134" s="917"/>
      <c r="Q1134" s="578"/>
      <c r="R1134" s="578"/>
      <c r="S1134" s="578"/>
      <c r="T1134" s="578"/>
      <c r="U1134" s="578"/>
      <c r="V1134" s="578"/>
      <c r="W1134" s="578"/>
      <c r="X1134" s="578"/>
      <c r="Y1134" s="578"/>
      <c r="Z1134" s="578"/>
    </row>
    <row r="1135" spans="1:26" ht="18.75">
      <c r="A1135" s="682"/>
      <c r="B1135" s="682"/>
      <c r="C1135" s="682"/>
      <c r="D1135" s="914"/>
      <c r="E1135" s="682"/>
      <c r="F1135" s="682"/>
      <c r="G1135" s="682"/>
      <c r="H1135" s="915"/>
      <c r="I1135" s="916"/>
      <c r="J1135" s="916"/>
      <c r="K1135" s="917"/>
      <c r="L1135" s="917"/>
      <c r="M1135" s="917"/>
      <c r="N1135" s="917"/>
      <c r="O1135" s="917"/>
      <c r="P1135" s="917"/>
      <c r="Q1135" s="578"/>
      <c r="R1135" s="578"/>
      <c r="S1135" s="578"/>
      <c r="T1135" s="578"/>
      <c r="U1135" s="578"/>
      <c r="V1135" s="578"/>
      <c r="W1135" s="578"/>
      <c r="X1135" s="578"/>
      <c r="Y1135" s="578"/>
      <c r="Z1135" s="578"/>
    </row>
    <row r="1136" spans="1:26" ht="18.75">
      <c r="A1136" s="682"/>
      <c r="B1136" s="682"/>
      <c r="C1136" s="682"/>
      <c r="D1136" s="914"/>
      <c r="E1136" s="682"/>
      <c r="F1136" s="682"/>
      <c r="G1136" s="682"/>
      <c r="H1136" s="915"/>
      <c r="I1136" s="916"/>
      <c r="J1136" s="916"/>
      <c r="K1136" s="917"/>
      <c r="L1136" s="917"/>
      <c r="M1136" s="917"/>
      <c r="N1136" s="917"/>
      <c r="O1136" s="917"/>
      <c r="P1136" s="917"/>
      <c r="Q1136" s="578"/>
      <c r="R1136" s="578"/>
      <c r="S1136" s="578"/>
      <c r="T1136" s="578"/>
      <c r="U1136" s="578"/>
      <c r="V1136" s="578"/>
      <c r="W1136" s="578"/>
      <c r="X1136" s="578"/>
      <c r="Y1136" s="578"/>
      <c r="Z1136" s="578"/>
    </row>
    <row r="1137" spans="1:26" ht="18.75">
      <c r="A1137" s="682"/>
      <c r="B1137" s="682"/>
      <c r="C1137" s="682"/>
      <c r="D1137" s="914"/>
      <c r="E1137" s="682"/>
      <c r="F1137" s="682"/>
      <c r="G1137" s="682"/>
      <c r="H1137" s="915"/>
      <c r="I1137" s="916"/>
      <c r="J1137" s="916"/>
      <c r="K1137" s="917"/>
      <c r="L1137" s="917"/>
      <c r="M1137" s="917"/>
      <c r="N1137" s="917"/>
      <c r="O1137" s="917"/>
      <c r="P1137" s="917"/>
      <c r="Q1137" s="578"/>
      <c r="R1137" s="578"/>
      <c r="S1137" s="578"/>
      <c r="T1137" s="578"/>
      <c r="U1137" s="578"/>
      <c r="V1137" s="578"/>
      <c r="W1137" s="578"/>
      <c r="X1137" s="578"/>
      <c r="Y1137" s="578"/>
      <c r="Z1137" s="578"/>
    </row>
    <row r="1138" spans="1:26" ht="18.75">
      <c r="A1138" s="682"/>
      <c r="B1138" s="682"/>
      <c r="C1138" s="682"/>
      <c r="D1138" s="914"/>
      <c r="E1138" s="682"/>
      <c r="F1138" s="682"/>
      <c r="G1138" s="682"/>
      <c r="H1138" s="915"/>
      <c r="I1138" s="916"/>
      <c r="J1138" s="916"/>
      <c r="K1138" s="917"/>
      <c r="L1138" s="917"/>
      <c r="M1138" s="917"/>
      <c r="N1138" s="917"/>
      <c r="O1138" s="917"/>
      <c r="P1138" s="917"/>
      <c r="Q1138" s="578"/>
      <c r="R1138" s="578"/>
      <c r="S1138" s="578"/>
      <c r="T1138" s="578"/>
      <c r="U1138" s="578"/>
      <c r="V1138" s="578"/>
      <c r="W1138" s="578"/>
      <c r="X1138" s="578"/>
      <c r="Y1138" s="578"/>
      <c r="Z1138" s="578"/>
    </row>
    <row r="1139" spans="1:26" ht="18.75">
      <c r="A1139" s="682"/>
      <c r="B1139" s="682"/>
      <c r="C1139" s="682"/>
      <c r="D1139" s="914"/>
      <c r="E1139" s="682"/>
      <c r="F1139" s="682"/>
      <c r="G1139" s="682"/>
      <c r="H1139" s="915"/>
      <c r="I1139" s="916"/>
      <c r="J1139" s="916"/>
      <c r="K1139" s="917"/>
      <c r="L1139" s="917"/>
      <c r="M1139" s="917"/>
      <c r="N1139" s="917"/>
      <c r="O1139" s="917"/>
      <c r="P1139" s="917"/>
      <c r="Q1139" s="578"/>
      <c r="R1139" s="578"/>
      <c r="S1139" s="578"/>
      <c r="T1139" s="578"/>
      <c r="U1139" s="578"/>
      <c r="V1139" s="578"/>
      <c r="W1139" s="578"/>
      <c r="X1139" s="578"/>
      <c r="Y1139" s="578"/>
      <c r="Z1139" s="578"/>
    </row>
    <row r="1140" spans="1:26" ht="18.75">
      <c r="A1140" s="682"/>
      <c r="B1140" s="682"/>
      <c r="C1140" s="682"/>
      <c r="D1140" s="914"/>
      <c r="E1140" s="682"/>
      <c r="F1140" s="682"/>
      <c r="G1140" s="682"/>
      <c r="H1140" s="915"/>
      <c r="I1140" s="916"/>
      <c r="J1140" s="916"/>
      <c r="K1140" s="917"/>
      <c r="L1140" s="917"/>
      <c r="M1140" s="917"/>
      <c r="N1140" s="917"/>
      <c r="O1140" s="917"/>
      <c r="P1140" s="917"/>
      <c r="Q1140" s="578"/>
      <c r="R1140" s="578"/>
      <c r="S1140" s="578"/>
      <c r="T1140" s="578"/>
      <c r="U1140" s="578"/>
      <c r="V1140" s="578"/>
      <c r="W1140" s="578"/>
      <c r="X1140" s="578"/>
      <c r="Y1140" s="578"/>
      <c r="Z1140" s="578"/>
    </row>
    <row r="1141" spans="1:26" ht="18.75">
      <c r="A1141" s="682"/>
      <c r="B1141" s="682"/>
      <c r="C1141" s="682"/>
      <c r="D1141" s="914"/>
      <c r="E1141" s="682"/>
      <c r="F1141" s="682"/>
      <c r="G1141" s="682"/>
      <c r="H1141" s="915"/>
      <c r="I1141" s="916"/>
      <c r="J1141" s="916"/>
      <c r="K1141" s="917"/>
      <c r="L1141" s="917"/>
      <c r="M1141" s="917"/>
      <c r="N1141" s="917"/>
      <c r="O1141" s="917"/>
      <c r="P1141" s="917"/>
      <c r="Q1141" s="578"/>
      <c r="R1141" s="578"/>
      <c r="S1141" s="578"/>
      <c r="T1141" s="578"/>
      <c r="U1141" s="578"/>
      <c r="V1141" s="578"/>
      <c r="W1141" s="578"/>
      <c r="X1141" s="578"/>
      <c r="Y1141" s="578"/>
      <c r="Z1141" s="578"/>
    </row>
    <row r="1142" spans="1:26" ht="18.75">
      <c r="A1142" s="682"/>
      <c r="B1142" s="682"/>
      <c r="C1142" s="682"/>
      <c r="D1142" s="914"/>
      <c r="E1142" s="682"/>
      <c r="F1142" s="682"/>
      <c r="G1142" s="682"/>
      <c r="H1142" s="915"/>
      <c r="I1142" s="916"/>
      <c r="J1142" s="916"/>
      <c r="K1142" s="917"/>
      <c r="L1142" s="917"/>
      <c r="M1142" s="917"/>
      <c r="N1142" s="917"/>
      <c r="O1142" s="917"/>
      <c r="P1142" s="917"/>
      <c r="Q1142" s="578"/>
      <c r="R1142" s="578"/>
      <c r="S1142" s="578"/>
      <c r="T1142" s="578"/>
      <c r="U1142" s="578"/>
      <c r="V1142" s="578"/>
      <c r="W1142" s="578"/>
      <c r="X1142" s="578"/>
      <c r="Y1142" s="578"/>
      <c r="Z1142" s="578"/>
    </row>
    <row r="1143" spans="1:26" ht="18.75">
      <c r="A1143" s="682"/>
      <c r="B1143" s="682"/>
      <c r="C1143" s="682"/>
      <c r="D1143" s="914"/>
      <c r="E1143" s="682"/>
      <c r="F1143" s="682"/>
      <c r="G1143" s="682"/>
      <c r="H1143" s="915"/>
      <c r="I1143" s="916"/>
      <c r="J1143" s="916"/>
      <c r="K1143" s="917"/>
      <c r="L1143" s="917"/>
      <c r="M1143" s="917"/>
      <c r="N1143" s="917"/>
      <c r="O1143" s="917"/>
      <c r="P1143" s="917"/>
      <c r="Q1143" s="578"/>
      <c r="R1143" s="578"/>
      <c r="S1143" s="578"/>
      <c r="T1143" s="578"/>
      <c r="U1143" s="578"/>
      <c r="V1143" s="578"/>
      <c r="W1143" s="578"/>
      <c r="X1143" s="578"/>
      <c r="Y1143" s="578"/>
      <c r="Z1143" s="578"/>
    </row>
    <row r="1144" spans="1:26" ht="18.75">
      <c r="A1144" s="682"/>
      <c r="B1144" s="682"/>
      <c r="C1144" s="682"/>
      <c r="D1144" s="914"/>
      <c r="E1144" s="682"/>
      <c r="F1144" s="682"/>
      <c r="G1144" s="682"/>
      <c r="H1144" s="915"/>
      <c r="I1144" s="916"/>
      <c r="J1144" s="916"/>
      <c r="K1144" s="917"/>
      <c r="L1144" s="917"/>
      <c r="M1144" s="917"/>
      <c r="N1144" s="917"/>
      <c r="O1144" s="917"/>
      <c r="P1144" s="917"/>
      <c r="Q1144" s="578"/>
      <c r="R1144" s="578"/>
      <c r="S1144" s="578"/>
      <c r="T1144" s="578"/>
      <c r="U1144" s="578"/>
      <c r="V1144" s="578"/>
      <c r="W1144" s="578"/>
      <c r="X1144" s="578"/>
      <c r="Y1144" s="578"/>
      <c r="Z1144" s="578"/>
    </row>
    <row r="1145" spans="1:26" ht="18.75">
      <c r="A1145" s="682"/>
      <c r="B1145" s="682"/>
      <c r="C1145" s="682"/>
      <c r="D1145" s="914"/>
      <c r="E1145" s="682"/>
      <c r="F1145" s="682"/>
      <c r="G1145" s="682"/>
      <c r="H1145" s="915"/>
      <c r="I1145" s="916"/>
      <c r="J1145" s="916"/>
      <c r="K1145" s="917"/>
      <c r="L1145" s="917"/>
      <c r="M1145" s="917"/>
      <c r="N1145" s="917"/>
      <c r="O1145" s="917"/>
      <c r="P1145" s="917"/>
      <c r="Q1145" s="578"/>
      <c r="R1145" s="578"/>
      <c r="S1145" s="578"/>
      <c r="T1145" s="578"/>
      <c r="U1145" s="578"/>
      <c r="V1145" s="578"/>
      <c r="W1145" s="578"/>
      <c r="X1145" s="578"/>
      <c r="Y1145" s="578"/>
      <c r="Z1145" s="578"/>
    </row>
    <row r="1146" spans="1:26" ht="18.75">
      <c r="A1146" s="682"/>
      <c r="B1146" s="682"/>
      <c r="C1146" s="682"/>
      <c r="D1146" s="914"/>
      <c r="E1146" s="682"/>
      <c r="F1146" s="682"/>
      <c r="G1146" s="682"/>
      <c r="H1146" s="915"/>
      <c r="I1146" s="916"/>
      <c r="J1146" s="916"/>
      <c r="K1146" s="917"/>
      <c r="L1146" s="917"/>
      <c r="M1146" s="917"/>
      <c r="N1146" s="917"/>
      <c r="O1146" s="917"/>
      <c r="P1146" s="917"/>
      <c r="Q1146" s="578"/>
      <c r="R1146" s="578"/>
      <c r="S1146" s="578"/>
      <c r="T1146" s="578"/>
      <c r="U1146" s="578"/>
      <c r="V1146" s="578"/>
      <c r="W1146" s="578"/>
      <c r="X1146" s="578"/>
      <c r="Y1146" s="578"/>
      <c r="Z1146" s="578"/>
    </row>
    <row r="1147" spans="1:26" ht="18.75">
      <c r="A1147" s="682"/>
      <c r="B1147" s="682"/>
      <c r="C1147" s="682"/>
      <c r="D1147" s="914"/>
      <c r="E1147" s="682"/>
      <c r="F1147" s="682"/>
      <c r="G1147" s="682"/>
      <c r="H1147" s="915"/>
      <c r="I1147" s="916"/>
      <c r="J1147" s="916"/>
      <c r="K1147" s="917"/>
      <c r="L1147" s="917"/>
      <c r="M1147" s="917"/>
      <c r="N1147" s="917"/>
      <c r="O1147" s="917"/>
      <c r="P1147" s="917"/>
      <c r="Q1147" s="578"/>
      <c r="R1147" s="578"/>
      <c r="S1147" s="578"/>
      <c r="T1147" s="578"/>
      <c r="U1147" s="578"/>
      <c r="V1147" s="578"/>
      <c r="W1147" s="578"/>
      <c r="X1147" s="578"/>
      <c r="Y1147" s="578"/>
      <c r="Z1147" s="578"/>
    </row>
    <row r="1148" spans="1:26" ht="18.75">
      <c r="A1148" s="682"/>
      <c r="B1148" s="682"/>
      <c r="C1148" s="682"/>
      <c r="D1148" s="914"/>
      <c r="E1148" s="682"/>
      <c r="F1148" s="682"/>
      <c r="G1148" s="682"/>
      <c r="H1148" s="915"/>
      <c r="I1148" s="916"/>
      <c r="J1148" s="916"/>
      <c r="K1148" s="917"/>
      <c r="L1148" s="917"/>
      <c r="M1148" s="917"/>
      <c r="N1148" s="917"/>
      <c r="O1148" s="917"/>
      <c r="P1148" s="917"/>
      <c r="Q1148" s="578"/>
      <c r="R1148" s="578"/>
      <c r="S1148" s="578"/>
      <c r="T1148" s="578"/>
      <c r="U1148" s="578"/>
      <c r="V1148" s="578"/>
      <c r="W1148" s="578"/>
      <c r="X1148" s="578"/>
      <c r="Y1148" s="578"/>
      <c r="Z1148" s="578"/>
    </row>
    <row r="1149" spans="1:26" ht="18.75">
      <c r="A1149" s="682"/>
      <c r="B1149" s="682"/>
      <c r="C1149" s="682"/>
      <c r="D1149" s="914"/>
      <c r="E1149" s="682"/>
      <c r="F1149" s="682"/>
      <c r="G1149" s="682"/>
      <c r="H1149" s="915"/>
      <c r="I1149" s="916"/>
      <c r="J1149" s="916"/>
      <c r="K1149" s="917"/>
      <c r="L1149" s="917"/>
      <c r="M1149" s="917"/>
      <c r="N1149" s="917"/>
      <c r="O1149" s="917"/>
      <c r="P1149" s="917"/>
      <c r="Q1149" s="578"/>
      <c r="R1149" s="578"/>
      <c r="S1149" s="578"/>
      <c r="T1149" s="578"/>
      <c r="U1149" s="578"/>
      <c r="V1149" s="578"/>
      <c r="W1149" s="578"/>
      <c r="X1149" s="578"/>
      <c r="Y1149" s="578"/>
      <c r="Z1149" s="578"/>
    </row>
    <row r="1150" spans="1:26" ht="18.75">
      <c r="A1150" s="682"/>
      <c r="B1150" s="682"/>
      <c r="C1150" s="682"/>
      <c r="D1150" s="914"/>
      <c r="E1150" s="682"/>
      <c r="F1150" s="682"/>
      <c r="G1150" s="682"/>
      <c r="H1150" s="915"/>
      <c r="I1150" s="916"/>
      <c r="J1150" s="916"/>
      <c r="K1150" s="917"/>
      <c r="L1150" s="917"/>
      <c r="M1150" s="917"/>
      <c r="N1150" s="917"/>
      <c r="O1150" s="917"/>
      <c r="P1150" s="917"/>
      <c r="Q1150" s="578"/>
      <c r="R1150" s="578"/>
      <c r="S1150" s="578"/>
      <c r="T1150" s="578"/>
      <c r="U1150" s="578"/>
      <c r="V1150" s="578"/>
      <c r="W1150" s="578"/>
      <c r="X1150" s="578"/>
      <c r="Y1150" s="578"/>
      <c r="Z1150" s="578"/>
    </row>
    <row r="1151" spans="1:26" ht="18.75">
      <c r="A1151" s="682"/>
      <c r="B1151" s="682"/>
      <c r="C1151" s="682"/>
      <c r="D1151" s="914"/>
      <c r="E1151" s="682"/>
      <c r="F1151" s="682"/>
      <c r="G1151" s="682"/>
      <c r="H1151" s="915"/>
      <c r="I1151" s="916"/>
      <c r="J1151" s="916"/>
      <c r="K1151" s="917"/>
      <c r="L1151" s="917"/>
      <c r="M1151" s="917"/>
      <c r="N1151" s="917"/>
      <c r="O1151" s="917"/>
      <c r="P1151" s="917"/>
      <c r="Q1151" s="578"/>
      <c r="R1151" s="578"/>
      <c r="S1151" s="578"/>
      <c r="T1151" s="578"/>
      <c r="U1151" s="578"/>
      <c r="V1151" s="578"/>
      <c r="W1151" s="578"/>
      <c r="X1151" s="578"/>
      <c r="Y1151" s="578"/>
      <c r="Z1151" s="578"/>
    </row>
    <row r="1152" spans="1:26" ht="18.75">
      <c r="A1152" s="682"/>
      <c r="B1152" s="682"/>
      <c r="C1152" s="682"/>
      <c r="D1152" s="914"/>
      <c r="E1152" s="682"/>
      <c r="F1152" s="682"/>
      <c r="G1152" s="682"/>
      <c r="H1152" s="915"/>
      <c r="I1152" s="916"/>
      <c r="J1152" s="916"/>
      <c r="K1152" s="917"/>
      <c r="L1152" s="917"/>
      <c r="M1152" s="917"/>
      <c r="N1152" s="917"/>
      <c r="O1152" s="917"/>
      <c r="P1152" s="917"/>
      <c r="Q1152" s="578"/>
      <c r="R1152" s="578"/>
      <c r="S1152" s="578"/>
      <c r="T1152" s="578"/>
      <c r="U1152" s="578"/>
      <c r="V1152" s="578"/>
      <c r="W1152" s="578"/>
      <c r="X1152" s="578"/>
      <c r="Y1152" s="578"/>
      <c r="Z1152" s="578"/>
    </row>
    <row r="1153" spans="1:26" ht="18.75">
      <c r="A1153" s="682"/>
      <c r="B1153" s="682"/>
      <c r="C1153" s="682"/>
      <c r="D1153" s="914"/>
      <c r="E1153" s="682"/>
      <c r="F1153" s="682"/>
      <c r="G1153" s="682"/>
      <c r="H1153" s="915"/>
      <c r="I1153" s="916"/>
      <c r="J1153" s="916"/>
      <c r="K1153" s="917"/>
      <c r="L1153" s="917"/>
      <c r="M1153" s="917"/>
      <c r="N1153" s="917"/>
      <c r="O1153" s="917"/>
      <c r="P1153" s="917"/>
      <c r="Q1153" s="578"/>
      <c r="R1153" s="578"/>
      <c r="S1153" s="578"/>
      <c r="T1153" s="578"/>
      <c r="U1153" s="578"/>
      <c r="V1153" s="578"/>
      <c r="W1153" s="578"/>
      <c r="X1153" s="578"/>
      <c r="Y1153" s="578"/>
      <c r="Z1153" s="578"/>
    </row>
    <row r="1154" spans="1:26" ht="18.75">
      <c r="A1154" s="682"/>
      <c r="B1154" s="682"/>
      <c r="C1154" s="682"/>
      <c r="D1154" s="914"/>
      <c r="E1154" s="682"/>
      <c r="F1154" s="682"/>
      <c r="G1154" s="682"/>
      <c r="H1154" s="915"/>
      <c r="I1154" s="916"/>
      <c r="J1154" s="916"/>
      <c r="K1154" s="917"/>
      <c r="L1154" s="917"/>
      <c r="M1154" s="917"/>
      <c r="N1154" s="917"/>
      <c r="O1154" s="917"/>
      <c r="P1154" s="917"/>
      <c r="Q1154" s="578"/>
      <c r="R1154" s="578"/>
      <c r="S1154" s="578"/>
      <c r="T1154" s="578"/>
      <c r="U1154" s="578"/>
      <c r="V1154" s="578"/>
      <c r="W1154" s="578"/>
      <c r="X1154" s="578"/>
      <c r="Y1154" s="578"/>
      <c r="Z1154" s="578"/>
    </row>
    <row r="1155" spans="1:26" ht="18.75">
      <c r="A1155" s="682"/>
      <c r="B1155" s="682"/>
      <c r="C1155" s="682"/>
      <c r="D1155" s="914"/>
      <c r="E1155" s="682"/>
      <c r="F1155" s="682"/>
      <c r="G1155" s="682"/>
      <c r="H1155" s="915"/>
      <c r="I1155" s="916"/>
      <c r="J1155" s="916"/>
      <c r="K1155" s="917"/>
      <c r="L1155" s="917"/>
      <c r="M1155" s="917"/>
      <c r="N1155" s="917"/>
      <c r="O1155" s="917"/>
      <c r="P1155" s="917"/>
      <c r="Q1155" s="578"/>
      <c r="R1155" s="578"/>
      <c r="S1155" s="578"/>
      <c r="T1155" s="578"/>
      <c r="U1155" s="578"/>
      <c r="V1155" s="578"/>
      <c r="W1155" s="578"/>
      <c r="X1155" s="578"/>
      <c r="Y1155" s="578"/>
      <c r="Z1155" s="578"/>
    </row>
    <row r="1156" spans="1:26" ht="18.75">
      <c r="A1156" s="682"/>
      <c r="B1156" s="682"/>
      <c r="C1156" s="682"/>
      <c r="D1156" s="914"/>
      <c r="E1156" s="682"/>
      <c r="F1156" s="682"/>
      <c r="G1156" s="682"/>
      <c r="H1156" s="915"/>
      <c r="I1156" s="916"/>
      <c r="J1156" s="916"/>
      <c r="K1156" s="917"/>
      <c r="L1156" s="917"/>
      <c r="M1156" s="917"/>
      <c r="N1156" s="917"/>
      <c r="O1156" s="917"/>
      <c r="P1156" s="917"/>
      <c r="Q1156" s="578"/>
      <c r="R1156" s="578"/>
      <c r="S1156" s="578"/>
      <c r="T1156" s="578"/>
      <c r="U1156" s="578"/>
      <c r="V1156" s="578"/>
      <c r="W1156" s="578"/>
      <c r="X1156" s="578"/>
      <c r="Y1156" s="578"/>
      <c r="Z1156" s="578"/>
    </row>
    <row r="1157" spans="1:26" ht="18.75">
      <c r="A1157" s="682"/>
      <c r="B1157" s="682"/>
      <c r="C1157" s="682"/>
      <c r="D1157" s="914"/>
      <c r="E1157" s="682"/>
      <c r="F1157" s="682"/>
      <c r="G1157" s="682"/>
      <c r="H1157" s="915"/>
      <c r="I1157" s="916"/>
      <c r="J1157" s="916"/>
      <c r="K1157" s="917"/>
      <c r="L1157" s="917"/>
      <c r="M1157" s="917"/>
      <c r="N1157" s="917"/>
      <c r="O1157" s="917"/>
      <c r="P1157" s="917"/>
      <c r="Q1157" s="578"/>
      <c r="R1157" s="578"/>
      <c r="S1157" s="578"/>
      <c r="T1157" s="578"/>
      <c r="U1157" s="578"/>
      <c r="V1157" s="578"/>
      <c r="W1157" s="578"/>
      <c r="X1157" s="578"/>
      <c r="Y1157" s="578"/>
      <c r="Z1157" s="578"/>
    </row>
    <row r="1158" spans="1:26" ht="18.75">
      <c r="A1158" s="682"/>
      <c r="B1158" s="682"/>
      <c r="C1158" s="682"/>
      <c r="D1158" s="914"/>
      <c r="E1158" s="682"/>
      <c r="F1158" s="682"/>
      <c r="G1158" s="682"/>
      <c r="H1158" s="915"/>
      <c r="I1158" s="916"/>
      <c r="J1158" s="916"/>
      <c r="K1158" s="917"/>
      <c r="L1158" s="917"/>
      <c r="M1158" s="917"/>
      <c r="N1158" s="917"/>
      <c r="O1158" s="917"/>
      <c r="P1158" s="917"/>
      <c r="Q1158" s="578"/>
      <c r="R1158" s="578"/>
      <c r="S1158" s="578"/>
      <c r="T1158" s="578"/>
      <c r="U1158" s="578"/>
      <c r="V1158" s="578"/>
      <c r="W1158" s="578"/>
      <c r="X1158" s="578"/>
      <c r="Y1158" s="578"/>
      <c r="Z1158" s="578"/>
    </row>
    <row r="1159" spans="1:26" ht="18.75">
      <c r="A1159" s="682"/>
      <c r="B1159" s="682"/>
      <c r="C1159" s="682"/>
      <c r="D1159" s="914"/>
      <c r="E1159" s="682"/>
      <c r="F1159" s="682"/>
      <c r="G1159" s="682"/>
      <c r="H1159" s="915"/>
      <c r="I1159" s="916"/>
      <c r="J1159" s="916"/>
      <c r="K1159" s="917"/>
      <c r="L1159" s="917"/>
      <c r="M1159" s="917"/>
      <c r="N1159" s="917"/>
      <c r="O1159" s="917"/>
      <c r="P1159" s="917"/>
      <c r="Q1159" s="578"/>
      <c r="R1159" s="578"/>
      <c r="S1159" s="578"/>
      <c r="T1159" s="578"/>
      <c r="U1159" s="578"/>
      <c r="V1159" s="578"/>
      <c r="W1159" s="578"/>
      <c r="X1159" s="578"/>
      <c r="Y1159" s="578"/>
      <c r="Z1159" s="578"/>
    </row>
    <row r="1160" spans="1:26" ht="18.75">
      <c r="A1160" s="682"/>
      <c r="B1160" s="682"/>
      <c r="C1160" s="682"/>
      <c r="D1160" s="914"/>
      <c r="E1160" s="682"/>
      <c r="F1160" s="682"/>
      <c r="G1160" s="682"/>
      <c r="H1160" s="915"/>
      <c r="I1160" s="916"/>
      <c r="J1160" s="916"/>
      <c r="K1160" s="917"/>
      <c r="L1160" s="917"/>
      <c r="M1160" s="917"/>
      <c r="N1160" s="917"/>
      <c r="O1160" s="917"/>
      <c r="P1160" s="917"/>
      <c r="Q1160" s="578"/>
      <c r="R1160" s="578"/>
      <c r="S1160" s="578"/>
      <c r="T1160" s="578"/>
      <c r="U1160" s="578"/>
      <c r="V1160" s="578"/>
      <c r="W1160" s="578"/>
      <c r="X1160" s="578"/>
      <c r="Y1160" s="578"/>
      <c r="Z1160" s="578"/>
    </row>
    <row r="1161" spans="1:26" ht="18.75">
      <c r="A1161" s="682"/>
      <c r="B1161" s="682"/>
      <c r="C1161" s="682"/>
      <c r="D1161" s="914"/>
      <c r="E1161" s="682"/>
      <c r="F1161" s="682"/>
      <c r="G1161" s="682"/>
      <c r="H1161" s="915"/>
      <c r="I1161" s="916"/>
      <c r="J1161" s="916"/>
      <c r="K1161" s="917"/>
      <c r="L1161" s="917"/>
      <c r="M1161" s="917"/>
      <c r="N1161" s="917"/>
      <c r="O1161" s="917"/>
      <c r="P1161" s="917"/>
      <c r="Q1161" s="578"/>
      <c r="R1161" s="578"/>
      <c r="S1161" s="578"/>
      <c r="T1161" s="578"/>
      <c r="U1161" s="578"/>
      <c r="V1161" s="578"/>
      <c r="W1161" s="578"/>
      <c r="X1161" s="578"/>
      <c r="Y1161" s="578"/>
      <c r="Z1161" s="578"/>
    </row>
    <row r="1162" spans="1:26" ht="18.75">
      <c r="A1162" s="682"/>
      <c r="B1162" s="682"/>
      <c r="C1162" s="682"/>
      <c r="D1162" s="914"/>
      <c r="E1162" s="682"/>
      <c r="F1162" s="682"/>
      <c r="G1162" s="682"/>
      <c r="H1162" s="915"/>
      <c r="I1162" s="916"/>
      <c r="J1162" s="916"/>
      <c r="K1162" s="917"/>
      <c r="L1162" s="917"/>
      <c r="M1162" s="917"/>
      <c r="N1162" s="917"/>
      <c r="O1162" s="917"/>
      <c r="P1162" s="917"/>
      <c r="Q1162" s="578"/>
      <c r="R1162" s="578"/>
      <c r="S1162" s="578"/>
      <c r="T1162" s="578"/>
      <c r="U1162" s="578"/>
      <c r="V1162" s="578"/>
      <c r="W1162" s="578"/>
      <c r="X1162" s="578"/>
      <c r="Y1162" s="578"/>
      <c r="Z1162" s="578"/>
    </row>
    <row r="1163" spans="1:26" ht="18.75">
      <c r="A1163" s="682"/>
      <c r="B1163" s="682"/>
      <c r="C1163" s="682"/>
      <c r="D1163" s="914"/>
      <c r="E1163" s="682"/>
      <c r="F1163" s="682"/>
      <c r="G1163" s="682"/>
      <c r="H1163" s="915"/>
      <c r="I1163" s="916"/>
      <c r="J1163" s="916"/>
      <c r="K1163" s="917"/>
      <c r="L1163" s="917"/>
      <c r="M1163" s="917"/>
      <c r="N1163" s="917"/>
      <c r="O1163" s="917"/>
      <c r="P1163" s="917"/>
      <c r="Q1163" s="578"/>
      <c r="R1163" s="578"/>
      <c r="S1163" s="578"/>
      <c r="T1163" s="578"/>
      <c r="U1163" s="578"/>
      <c r="V1163" s="578"/>
      <c r="W1163" s="578"/>
      <c r="X1163" s="578"/>
      <c r="Y1163" s="578"/>
      <c r="Z1163" s="578"/>
    </row>
    <row r="1164" spans="1:26" ht="18.75">
      <c r="A1164" s="682"/>
      <c r="B1164" s="682"/>
      <c r="C1164" s="682"/>
      <c r="D1164" s="914"/>
      <c r="E1164" s="682"/>
      <c r="F1164" s="682"/>
      <c r="G1164" s="682"/>
      <c r="H1164" s="915"/>
      <c r="I1164" s="916"/>
      <c r="J1164" s="916"/>
      <c r="K1164" s="917"/>
      <c r="L1164" s="917"/>
      <c r="M1164" s="917"/>
      <c r="N1164" s="917"/>
      <c r="O1164" s="917"/>
      <c r="P1164" s="917"/>
      <c r="Q1164" s="578"/>
      <c r="R1164" s="578"/>
      <c r="S1164" s="578"/>
      <c r="T1164" s="578"/>
      <c r="U1164" s="578"/>
      <c r="V1164" s="578"/>
      <c r="W1164" s="578"/>
      <c r="X1164" s="578"/>
      <c r="Y1164" s="578"/>
      <c r="Z1164" s="578"/>
    </row>
    <row r="1165" spans="1:26" ht="18.75">
      <c r="A1165" s="682"/>
      <c r="B1165" s="682"/>
      <c r="C1165" s="682"/>
      <c r="D1165" s="914"/>
      <c r="E1165" s="682"/>
      <c r="F1165" s="682"/>
      <c r="G1165" s="682"/>
      <c r="H1165" s="915"/>
      <c r="I1165" s="916"/>
      <c r="J1165" s="916"/>
      <c r="K1165" s="917"/>
      <c r="L1165" s="917"/>
      <c r="M1165" s="917"/>
      <c r="N1165" s="917"/>
      <c r="O1165" s="917"/>
      <c r="P1165" s="917"/>
      <c r="Q1165" s="578"/>
      <c r="R1165" s="578"/>
      <c r="S1165" s="578"/>
      <c r="T1165" s="578"/>
      <c r="U1165" s="578"/>
      <c r="V1165" s="578"/>
      <c r="W1165" s="578"/>
      <c r="X1165" s="578"/>
      <c r="Y1165" s="578"/>
      <c r="Z1165" s="578"/>
    </row>
    <row r="1166" spans="1:26" ht="18.75">
      <c r="A1166" s="682"/>
      <c r="B1166" s="682"/>
      <c r="C1166" s="682"/>
      <c r="D1166" s="914"/>
      <c r="E1166" s="682"/>
      <c r="F1166" s="682"/>
      <c r="G1166" s="682"/>
      <c r="H1166" s="915"/>
      <c r="I1166" s="916"/>
      <c r="J1166" s="916"/>
      <c r="K1166" s="917"/>
      <c r="L1166" s="917"/>
      <c r="M1166" s="917"/>
      <c r="N1166" s="917"/>
      <c r="O1166" s="917"/>
      <c r="P1166" s="917"/>
      <c r="Q1166" s="578"/>
      <c r="R1166" s="578"/>
      <c r="S1166" s="578"/>
      <c r="T1166" s="578"/>
      <c r="U1166" s="578"/>
      <c r="V1166" s="578"/>
      <c r="W1166" s="578"/>
      <c r="X1166" s="578"/>
      <c r="Y1166" s="578"/>
      <c r="Z1166" s="578"/>
    </row>
    <row r="1167" spans="1:26" ht="18.75">
      <c r="A1167" s="682"/>
      <c r="B1167" s="682"/>
      <c r="C1167" s="682"/>
      <c r="D1167" s="914"/>
      <c r="E1167" s="682"/>
      <c r="F1167" s="682"/>
      <c r="G1167" s="682"/>
      <c r="H1167" s="915"/>
      <c r="I1167" s="916"/>
      <c r="J1167" s="916"/>
      <c r="K1167" s="917"/>
      <c r="L1167" s="917"/>
      <c r="M1167" s="917"/>
      <c r="N1167" s="917"/>
      <c r="O1167" s="917"/>
      <c r="P1167" s="917"/>
      <c r="Q1167" s="578"/>
      <c r="R1167" s="578"/>
      <c r="S1167" s="578"/>
      <c r="T1167" s="578"/>
      <c r="U1167" s="578"/>
      <c r="V1167" s="578"/>
      <c r="W1167" s="578"/>
      <c r="X1167" s="578"/>
      <c r="Y1167" s="578"/>
      <c r="Z1167" s="578"/>
    </row>
    <row r="1168" spans="1:26" ht="18.75">
      <c r="A1168" s="682"/>
      <c r="B1168" s="682"/>
      <c r="C1168" s="682"/>
      <c r="D1168" s="914"/>
      <c r="E1168" s="682"/>
      <c r="F1168" s="682"/>
      <c r="G1168" s="682"/>
      <c r="H1168" s="915"/>
      <c r="I1168" s="916"/>
      <c r="J1168" s="916"/>
      <c r="K1168" s="917"/>
      <c r="L1168" s="917"/>
      <c r="M1168" s="917"/>
      <c r="N1168" s="917"/>
      <c r="O1168" s="917"/>
      <c r="P1168" s="917"/>
      <c r="Q1168" s="578"/>
      <c r="R1168" s="578"/>
      <c r="S1168" s="578"/>
      <c r="T1168" s="578"/>
      <c r="U1168" s="578"/>
      <c r="V1168" s="578"/>
      <c r="W1168" s="578"/>
      <c r="X1168" s="578"/>
      <c r="Y1168" s="578"/>
      <c r="Z1168" s="578"/>
    </row>
    <row r="1169" spans="1:26" ht="18.75">
      <c r="A1169" s="682"/>
      <c r="B1169" s="682"/>
      <c r="C1169" s="682"/>
      <c r="D1169" s="914"/>
      <c r="E1169" s="682"/>
      <c r="F1169" s="682"/>
      <c r="G1169" s="682"/>
      <c r="H1169" s="915"/>
      <c r="I1169" s="916"/>
      <c r="J1169" s="916"/>
      <c r="K1169" s="917"/>
      <c r="L1169" s="917"/>
      <c r="M1169" s="917"/>
      <c r="N1169" s="917"/>
      <c r="O1169" s="917"/>
      <c r="P1169" s="917"/>
      <c r="Q1169" s="578"/>
      <c r="R1169" s="578"/>
      <c r="S1169" s="578"/>
      <c r="T1169" s="578"/>
      <c r="U1169" s="578"/>
      <c r="V1169" s="578"/>
      <c r="W1169" s="578"/>
      <c r="X1169" s="578"/>
      <c r="Y1169" s="578"/>
      <c r="Z1169" s="578"/>
    </row>
    <row r="1170" spans="1:26" ht="18.75">
      <c r="A1170" s="682"/>
      <c r="B1170" s="682"/>
      <c r="C1170" s="682"/>
      <c r="D1170" s="914"/>
      <c r="E1170" s="682"/>
      <c r="F1170" s="682"/>
      <c r="G1170" s="682"/>
      <c r="H1170" s="915"/>
      <c r="I1170" s="916"/>
      <c r="J1170" s="916"/>
      <c r="K1170" s="917"/>
      <c r="L1170" s="917"/>
      <c r="M1170" s="917"/>
      <c r="N1170" s="917"/>
      <c r="O1170" s="917"/>
      <c r="P1170" s="917"/>
      <c r="Q1170" s="578"/>
      <c r="R1170" s="578"/>
      <c r="S1170" s="578"/>
      <c r="T1170" s="578"/>
      <c r="U1170" s="578"/>
      <c r="V1170" s="578"/>
      <c r="W1170" s="578"/>
      <c r="X1170" s="578"/>
      <c r="Y1170" s="578"/>
      <c r="Z1170" s="578"/>
    </row>
    <row r="1171" spans="1:26" ht="18.75">
      <c r="A1171" s="682"/>
      <c r="B1171" s="682"/>
      <c r="C1171" s="682"/>
      <c r="D1171" s="914"/>
      <c r="E1171" s="682"/>
      <c r="F1171" s="682"/>
      <c r="G1171" s="682"/>
      <c r="H1171" s="915"/>
      <c r="I1171" s="916"/>
      <c r="J1171" s="916"/>
      <c r="K1171" s="917"/>
      <c r="L1171" s="917"/>
      <c r="M1171" s="917"/>
      <c r="N1171" s="917"/>
      <c r="O1171" s="917"/>
      <c r="P1171" s="917"/>
      <c r="Q1171" s="578"/>
      <c r="R1171" s="578"/>
      <c r="S1171" s="578"/>
      <c r="T1171" s="578"/>
      <c r="U1171" s="578"/>
      <c r="V1171" s="578"/>
      <c r="W1171" s="578"/>
      <c r="X1171" s="578"/>
      <c r="Y1171" s="578"/>
      <c r="Z1171" s="578"/>
    </row>
    <row r="1172" spans="1:26" ht="18.75">
      <c r="A1172" s="682"/>
      <c r="B1172" s="682"/>
      <c r="C1172" s="682"/>
      <c r="D1172" s="914"/>
      <c r="E1172" s="682"/>
      <c r="F1172" s="682"/>
      <c r="G1172" s="682"/>
      <c r="H1172" s="915"/>
      <c r="I1172" s="916"/>
      <c r="J1172" s="916"/>
      <c r="K1172" s="917"/>
      <c r="L1172" s="917"/>
      <c r="M1172" s="917"/>
      <c r="N1172" s="917"/>
      <c r="O1172" s="917"/>
      <c r="P1172" s="917"/>
      <c r="Q1172" s="578"/>
      <c r="R1172" s="578"/>
      <c r="S1172" s="578"/>
      <c r="T1172" s="578"/>
      <c r="U1172" s="578"/>
      <c r="V1172" s="578"/>
      <c r="W1172" s="578"/>
      <c r="X1172" s="578"/>
      <c r="Y1172" s="578"/>
      <c r="Z1172" s="578"/>
    </row>
    <row r="1173" spans="1:26" ht="18.75">
      <c r="A1173" s="682"/>
      <c r="B1173" s="682"/>
      <c r="C1173" s="682"/>
      <c r="D1173" s="914"/>
      <c r="E1173" s="682"/>
      <c r="F1173" s="682"/>
      <c r="G1173" s="682"/>
      <c r="H1173" s="915"/>
      <c r="I1173" s="916"/>
      <c r="J1173" s="916"/>
      <c r="K1173" s="917"/>
      <c r="L1173" s="917"/>
      <c r="M1173" s="917"/>
      <c r="N1173" s="917"/>
      <c r="O1173" s="917"/>
      <c r="P1173" s="917"/>
      <c r="Q1173" s="578"/>
      <c r="R1173" s="578"/>
      <c r="S1173" s="578"/>
      <c r="T1173" s="578"/>
      <c r="U1173" s="578"/>
      <c r="V1173" s="578"/>
      <c r="W1173" s="578"/>
      <c r="X1173" s="578"/>
      <c r="Y1173" s="578"/>
      <c r="Z1173" s="578"/>
    </row>
    <row r="1174" spans="1:26" ht="18.75">
      <c r="A1174" s="682"/>
      <c r="B1174" s="682"/>
      <c r="C1174" s="682"/>
      <c r="D1174" s="914"/>
      <c r="E1174" s="682"/>
      <c r="F1174" s="682"/>
      <c r="G1174" s="682"/>
      <c r="H1174" s="915"/>
      <c r="I1174" s="916"/>
      <c r="J1174" s="916"/>
      <c r="K1174" s="917"/>
      <c r="L1174" s="917"/>
      <c r="M1174" s="917"/>
      <c r="N1174" s="917"/>
      <c r="O1174" s="917"/>
      <c r="P1174" s="917"/>
      <c r="Q1174" s="578"/>
      <c r="R1174" s="578"/>
      <c r="S1174" s="578"/>
      <c r="T1174" s="578"/>
      <c r="U1174" s="578"/>
      <c r="V1174" s="578"/>
      <c r="W1174" s="578"/>
      <c r="X1174" s="578"/>
      <c r="Y1174" s="578"/>
      <c r="Z1174" s="578"/>
    </row>
    <row r="1175" spans="1:26" ht="18.75">
      <c r="A1175" s="682"/>
      <c r="B1175" s="682"/>
      <c r="C1175" s="682"/>
      <c r="D1175" s="914"/>
      <c r="E1175" s="682"/>
      <c r="F1175" s="682"/>
      <c r="G1175" s="682"/>
      <c r="H1175" s="915"/>
      <c r="I1175" s="916"/>
      <c r="J1175" s="916"/>
      <c r="K1175" s="917"/>
      <c r="L1175" s="917"/>
      <c r="M1175" s="917"/>
      <c r="N1175" s="917"/>
      <c r="O1175" s="917"/>
      <c r="P1175" s="917"/>
      <c r="Q1175" s="578"/>
      <c r="R1175" s="578"/>
      <c r="S1175" s="578"/>
      <c r="T1175" s="578"/>
      <c r="U1175" s="578"/>
      <c r="V1175" s="578"/>
      <c r="W1175" s="578"/>
      <c r="X1175" s="578"/>
      <c r="Y1175" s="578"/>
      <c r="Z1175" s="578"/>
    </row>
    <row r="1176" spans="1:26" ht="18.75">
      <c r="A1176" s="682"/>
      <c r="B1176" s="682"/>
      <c r="C1176" s="682"/>
      <c r="D1176" s="914"/>
      <c r="E1176" s="682"/>
      <c r="F1176" s="682"/>
      <c r="G1176" s="682"/>
      <c r="H1176" s="915"/>
      <c r="I1176" s="916"/>
      <c r="J1176" s="916"/>
      <c r="K1176" s="917"/>
      <c r="L1176" s="917"/>
      <c r="M1176" s="917"/>
      <c r="N1176" s="917"/>
      <c r="O1176" s="917"/>
      <c r="P1176" s="917"/>
      <c r="Q1176" s="578"/>
      <c r="R1176" s="578"/>
      <c r="S1176" s="578"/>
      <c r="T1176" s="578"/>
      <c r="U1176" s="578"/>
      <c r="V1176" s="578"/>
      <c r="W1176" s="578"/>
      <c r="X1176" s="578"/>
      <c r="Y1176" s="578"/>
      <c r="Z1176" s="578"/>
    </row>
    <row r="1177" spans="1:26" ht="18.75">
      <c r="A1177" s="682"/>
      <c r="B1177" s="682"/>
      <c r="C1177" s="682"/>
      <c r="D1177" s="914"/>
      <c r="E1177" s="682"/>
      <c r="F1177" s="682"/>
      <c r="G1177" s="682"/>
      <c r="H1177" s="915"/>
      <c r="I1177" s="916"/>
      <c r="J1177" s="916"/>
      <c r="K1177" s="917"/>
      <c r="L1177" s="917"/>
      <c r="M1177" s="917"/>
      <c r="N1177" s="917"/>
      <c r="O1177" s="917"/>
      <c r="P1177" s="917"/>
      <c r="Q1177" s="578"/>
      <c r="R1177" s="578"/>
      <c r="S1177" s="578"/>
      <c r="T1177" s="578"/>
      <c r="U1177" s="578"/>
      <c r="V1177" s="578"/>
      <c r="W1177" s="578"/>
      <c r="X1177" s="578"/>
      <c r="Y1177" s="578"/>
      <c r="Z1177" s="578"/>
    </row>
    <row r="1178" spans="1:26" ht="18.75">
      <c r="A1178" s="682"/>
      <c r="B1178" s="682"/>
      <c r="C1178" s="682"/>
      <c r="D1178" s="914"/>
      <c r="E1178" s="682"/>
      <c r="F1178" s="682"/>
      <c r="G1178" s="682"/>
      <c r="H1178" s="915"/>
      <c r="I1178" s="916"/>
      <c r="J1178" s="916"/>
      <c r="K1178" s="917"/>
      <c r="L1178" s="917"/>
      <c r="M1178" s="917"/>
      <c r="N1178" s="917"/>
      <c r="O1178" s="917"/>
      <c r="P1178" s="917"/>
      <c r="Q1178" s="578"/>
      <c r="R1178" s="578"/>
      <c r="S1178" s="578"/>
      <c r="T1178" s="578"/>
      <c r="U1178" s="578"/>
      <c r="V1178" s="578"/>
      <c r="W1178" s="578"/>
      <c r="X1178" s="578"/>
      <c r="Y1178" s="578"/>
      <c r="Z1178" s="578"/>
    </row>
    <row r="1179" spans="1:26" ht="18.75">
      <c r="A1179" s="682"/>
      <c r="B1179" s="682"/>
      <c r="C1179" s="682"/>
      <c r="D1179" s="914"/>
      <c r="E1179" s="682"/>
      <c r="F1179" s="682"/>
      <c r="G1179" s="682"/>
      <c r="H1179" s="915"/>
      <c r="I1179" s="916"/>
      <c r="J1179" s="916"/>
      <c r="K1179" s="917"/>
      <c r="L1179" s="917"/>
      <c r="M1179" s="917"/>
      <c r="N1179" s="917"/>
      <c r="O1179" s="917"/>
      <c r="P1179" s="917"/>
      <c r="Q1179" s="578"/>
      <c r="R1179" s="578"/>
      <c r="S1179" s="578"/>
      <c r="T1179" s="578"/>
      <c r="U1179" s="578"/>
      <c r="V1179" s="578"/>
      <c r="W1179" s="578"/>
      <c r="X1179" s="578"/>
      <c r="Y1179" s="578"/>
      <c r="Z1179" s="578"/>
    </row>
    <row r="1180" spans="1:26" ht="18.75">
      <c r="A1180" s="682"/>
      <c r="B1180" s="682"/>
      <c r="C1180" s="682"/>
      <c r="D1180" s="914"/>
      <c r="E1180" s="682"/>
      <c r="F1180" s="682"/>
      <c r="G1180" s="682"/>
      <c r="H1180" s="915"/>
      <c r="I1180" s="916"/>
      <c r="J1180" s="916"/>
      <c r="K1180" s="917"/>
      <c r="L1180" s="917"/>
      <c r="M1180" s="917"/>
      <c r="N1180" s="917"/>
      <c r="O1180" s="917"/>
      <c r="P1180" s="917"/>
      <c r="Q1180" s="578"/>
      <c r="R1180" s="578"/>
      <c r="S1180" s="578"/>
      <c r="T1180" s="578"/>
      <c r="U1180" s="578"/>
      <c r="V1180" s="578"/>
      <c r="W1180" s="578"/>
      <c r="X1180" s="578"/>
      <c r="Y1180" s="578"/>
      <c r="Z1180" s="578"/>
    </row>
    <row r="1181" spans="1:26" ht="18.75">
      <c r="A1181" s="682"/>
      <c r="B1181" s="682"/>
      <c r="C1181" s="682"/>
      <c r="D1181" s="914"/>
      <c r="E1181" s="682"/>
      <c r="F1181" s="682"/>
      <c r="G1181" s="682"/>
      <c r="H1181" s="915"/>
      <c r="I1181" s="916"/>
      <c r="J1181" s="916"/>
      <c r="K1181" s="917"/>
      <c r="L1181" s="917"/>
      <c r="M1181" s="917"/>
      <c r="N1181" s="917"/>
      <c r="O1181" s="917"/>
      <c r="P1181" s="917"/>
      <c r="Q1181" s="578"/>
      <c r="R1181" s="578"/>
      <c r="S1181" s="578"/>
      <c r="T1181" s="578"/>
      <c r="U1181" s="578"/>
      <c r="V1181" s="578"/>
      <c r="W1181" s="578"/>
      <c r="X1181" s="578"/>
      <c r="Y1181" s="578"/>
      <c r="Z1181" s="578"/>
    </row>
    <row r="1182" spans="1:26" ht="18.75">
      <c r="A1182" s="682"/>
      <c r="B1182" s="682"/>
      <c r="C1182" s="682"/>
      <c r="D1182" s="914"/>
      <c r="E1182" s="682"/>
      <c r="F1182" s="682"/>
      <c r="G1182" s="682"/>
      <c r="H1182" s="915"/>
      <c r="I1182" s="916"/>
      <c r="J1182" s="916"/>
      <c r="K1182" s="917"/>
      <c r="L1182" s="917"/>
      <c r="M1182" s="917"/>
      <c r="N1182" s="917"/>
      <c r="O1182" s="917"/>
      <c r="P1182" s="917"/>
      <c r="Q1182" s="578"/>
      <c r="R1182" s="578"/>
      <c r="S1182" s="578"/>
      <c r="T1182" s="578"/>
      <c r="U1182" s="578"/>
      <c r="V1182" s="578"/>
      <c r="W1182" s="578"/>
      <c r="X1182" s="578"/>
      <c r="Y1182" s="578"/>
      <c r="Z1182" s="578"/>
    </row>
    <row r="1183" spans="1:26" ht="18.75">
      <c r="A1183" s="682"/>
      <c r="B1183" s="682"/>
      <c r="C1183" s="682"/>
      <c r="D1183" s="914"/>
      <c r="E1183" s="682"/>
      <c r="F1183" s="682"/>
      <c r="G1183" s="682"/>
      <c r="H1183" s="915"/>
      <c r="I1183" s="916"/>
      <c r="J1183" s="916"/>
      <c r="K1183" s="917"/>
      <c r="L1183" s="917"/>
      <c r="M1183" s="917"/>
      <c r="N1183" s="917"/>
      <c r="O1183" s="917"/>
      <c r="P1183" s="917"/>
      <c r="Q1183" s="578"/>
      <c r="R1183" s="578"/>
      <c r="S1183" s="578"/>
      <c r="T1183" s="578"/>
      <c r="U1183" s="578"/>
      <c r="V1183" s="578"/>
      <c r="W1183" s="578"/>
      <c r="X1183" s="578"/>
      <c r="Y1183" s="578"/>
      <c r="Z1183" s="578"/>
    </row>
    <row r="1184" spans="1:26" ht="18.75">
      <c r="A1184" s="682"/>
      <c r="B1184" s="682"/>
      <c r="C1184" s="682"/>
      <c r="D1184" s="914"/>
      <c r="E1184" s="682"/>
      <c r="F1184" s="682"/>
      <c r="G1184" s="682"/>
      <c r="H1184" s="915"/>
      <c r="I1184" s="916"/>
      <c r="J1184" s="916"/>
      <c r="K1184" s="917"/>
      <c r="L1184" s="917"/>
      <c r="M1184" s="917"/>
      <c r="N1184" s="917"/>
      <c r="O1184" s="917"/>
      <c r="P1184" s="917"/>
      <c r="Q1184" s="578"/>
      <c r="R1184" s="578"/>
      <c r="S1184" s="578"/>
      <c r="T1184" s="578"/>
      <c r="U1184" s="578"/>
      <c r="V1184" s="578"/>
      <c r="W1184" s="578"/>
      <c r="X1184" s="578"/>
      <c r="Y1184" s="578"/>
      <c r="Z1184" s="578"/>
    </row>
    <row r="1185" spans="1:26" ht="18.75">
      <c r="A1185" s="682"/>
      <c r="B1185" s="682"/>
      <c r="C1185" s="682"/>
      <c r="D1185" s="914"/>
      <c r="E1185" s="682"/>
      <c r="F1185" s="682"/>
      <c r="G1185" s="682"/>
      <c r="H1185" s="915"/>
      <c r="I1185" s="916"/>
      <c r="J1185" s="916"/>
      <c r="K1185" s="917"/>
      <c r="L1185" s="917"/>
      <c r="M1185" s="917"/>
      <c r="N1185" s="917"/>
      <c r="O1185" s="917"/>
      <c r="P1185" s="917"/>
      <c r="Q1185" s="578"/>
      <c r="R1185" s="578"/>
      <c r="S1185" s="578"/>
      <c r="T1185" s="578"/>
      <c r="U1185" s="578"/>
      <c r="V1185" s="578"/>
      <c r="W1185" s="578"/>
      <c r="X1185" s="578"/>
      <c r="Y1185" s="578"/>
      <c r="Z1185" s="578"/>
    </row>
    <row r="1186" spans="1:26" ht="18.75">
      <c r="A1186" s="682"/>
      <c r="B1186" s="682"/>
      <c r="C1186" s="682"/>
      <c r="D1186" s="914"/>
      <c r="E1186" s="682"/>
      <c r="F1186" s="682"/>
      <c r="G1186" s="682"/>
      <c r="H1186" s="915"/>
      <c r="I1186" s="916"/>
      <c r="J1186" s="916"/>
      <c r="K1186" s="917"/>
      <c r="L1186" s="917"/>
      <c r="M1186" s="917"/>
      <c r="N1186" s="917"/>
      <c r="O1186" s="917"/>
      <c r="P1186" s="917"/>
      <c r="Q1186" s="578"/>
      <c r="R1186" s="578"/>
      <c r="S1186" s="578"/>
      <c r="T1186" s="578"/>
      <c r="U1186" s="578"/>
      <c r="V1186" s="578"/>
      <c r="W1186" s="578"/>
      <c r="X1186" s="578"/>
      <c r="Y1186" s="578"/>
      <c r="Z1186" s="578"/>
    </row>
    <row r="1187" spans="1:26" ht="18.75">
      <c r="A1187" s="682"/>
      <c r="B1187" s="682"/>
      <c r="C1187" s="682"/>
      <c r="D1187" s="914"/>
      <c r="E1187" s="682"/>
      <c r="F1187" s="682"/>
      <c r="G1187" s="682"/>
      <c r="H1187" s="915"/>
      <c r="I1187" s="916"/>
      <c r="J1187" s="916"/>
      <c r="K1187" s="917"/>
      <c r="L1187" s="917"/>
      <c r="M1187" s="917"/>
      <c r="N1187" s="917"/>
      <c r="O1187" s="917"/>
      <c r="P1187" s="917"/>
      <c r="Q1187" s="578"/>
      <c r="R1187" s="578"/>
      <c r="S1187" s="578"/>
      <c r="T1187" s="578"/>
      <c r="U1187" s="578"/>
      <c r="V1187" s="578"/>
      <c r="W1187" s="578"/>
      <c r="X1187" s="578"/>
      <c r="Y1187" s="578"/>
      <c r="Z1187" s="578"/>
    </row>
    <row r="1188" spans="1:26" ht="18.75">
      <c r="A1188" s="682"/>
      <c r="B1188" s="682"/>
      <c r="C1188" s="682"/>
      <c r="D1188" s="914"/>
      <c r="E1188" s="682"/>
      <c r="F1188" s="682"/>
      <c r="G1188" s="682"/>
      <c r="H1188" s="915"/>
      <c r="I1188" s="916"/>
      <c r="J1188" s="916"/>
      <c r="K1188" s="917"/>
      <c r="L1188" s="917"/>
      <c r="M1188" s="917"/>
      <c r="N1188" s="917"/>
      <c r="O1188" s="917"/>
      <c r="P1188" s="917"/>
      <c r="Q1188" s="578"/>
      <c r="R1188" s="578"/>
      <c r="S1188" s="578"/>
      <c r="T1188" s="578"/>
      <c r="U1188" s="578"/>
      <c r="V1188" s="578"/>
      <c r="W1188" s="578"/>
      <c r="X1188" s="578"/>
      <c r="Y1188" s="578"/>
      <c r="Z1188" s="578"/>
    </row>
    <row r="1189" spans="1:26" ht="18.75">
      <c r="A1189" s="682"/>
      <c r="B1189" s="682"/>
      <c r="C1189" s="682"/>
      <c r="D1189" s="914"/>
      <c r="E1189" s="682"/>
      <c r="F1189" s="682"/>
      <c r="G1189" s="682"/>
      <c r="H1189" s="915"/>
      <c r="I1189" s="916"/>
      <c r="J1189" s="916"/>
      <c r="K1189" s="917"/>
      <c r="L1189" s="917"/>
      <c r="M1189" s="917"/>
      <c r="N1189" s="917"/>
      <c r="O1189" s="917"/>
      <c r="P1189" s="917"/>
      <c r="Q1189" s="578"/>
      <c r="R1189" s="578"/>
      <c r="S1189" s="578"/>
      <c r="T1189" s="578"/>
      <c r="U1189" s="578"/>
      <c r="V1189" s="578"/>
      <c r="W1189" s="578"/>
      <c r="X1189" s="578"/>
      <c r="Y1189" s="578"/>
      <c r="Z1189" s="578"/>
    </row>
    <row r="1190" spans="1:26" ht="18.75">
      <c r="A1190" s="682"/>
      <c r="B1190" s="682"/>
      <c r="C1190" s="682"/>
      <c r="D1190" s="914"/>
      <c r="E1190" s="682"/>
      <c r="F1190" s="682"/>
      <c r="G1190" s="682"/>
      <c r="H1190" s="915"/>
      <c r="I1190" s="916"/>
      <c r="J1190" s="916"/>
      <c r="K1190" s="917"/>
      <c r="L1190" s="917"/>
      <c r="M1190" s="917"/>
      <c r="N1190" s="917"/>
      <c r="O1190" s="917"/>
      <c r="P1190" s="917"/>
      <c r="Q1190" s="578"/>
      <c r="R1190" s="578"/>
      <c r="S1190" s="578"/>
      <c r="T1190" s="578"/>
      <c r="U1190" s="578"/>
      <c r="V1190" s="578"/>
      <c r="W1190" s="578"/>
      <c r="X1190" s="578"/>
      <c r="Y1190" s="578"/>
      <c r="Z1190" s="578"/>
    </row>
    <row r="1191" spans="1:26" ht="18.75">
      <c r="A1191" s="682"/>
      <c r="B1191" s="682"/>
      <c r="C1191" s="682"/>
      <c r="D1191" s="914"/>
      <c r="E1191" s="682"/>
      <c r="F1191" s="682"/>
      <c r="G1191" s="682"/>
      <c r="H1191" s="915"/>
      <c r="I1191" s="916"/>
      <c r="J1191" s="916"/>
      <c r="K1191" s="917"/>
      <c r="L1191" s="917"/>
      <c r="M1191" s="917"/>
      <c r="N1191" s="917"/>
      <c r="O1191" s="917"/>
      <c r="P1191" s="917"/>
      <c r="Q1191" s="578"/>
      <c r="R1191" s="578"/>
      <c r="S1191" s="578"/>
      <c r="T1191" s="578"/>
      <c r="U1191" s="578"/>
      <c r="V1191" s="578"/>
      <c r="W1191" s="578"/>
      <c r="X1191" s="578"/>
      <c r="Y1191" s="578"/>
      <c r="Z1191" s="578"/>
    </row>
    <row r="1192" spans="1:26" ht="18.75">
      <c r="A1192" s="682"/>
      <c r="B1192" s="682"/>
      <c r="C1192" s="682"/>
      <c r="D1192" s="914"/>
      <c r="E1192" s="682"/>
      <c r="F1192" s="682"/>
      <c r="G1192" s="682"/>
      <c r="H1192" s="915"/>
      <c r="I1192" s="916"/>
      <c r="J1192" s="916"/>
      <c r="K1192" s="917"/>
      <c r="L1192" s="917"/>
      <c r="M1192" s="917"/>
      <c r="N1192" s="917"/>
      <c r="O1192" s="917"/>
      <c r="P1192" s="917"/>
      <c r="Q1192" s="578"/>
      <c r="R1192" s="578"/>
      <c r="S1192" s="578"/>
      <c r="T1192" s="578"/>
      <c r="U1192" s="578"/>
      <c r="V1192" s="578"/>
      <c r="W1192" s="578"/>
      <c r="X1192" s="578"/>
      <c r="Y1192" s="578"/>
      <c r="Z1192" s="578"/>
    </row>
    <row r="1193" spans="1:26" ht="18.75">
      <c r="A1193" s="682"/>
      <c r="B1193" s="682"/>
      <c r="C1193" s="682"/>
      <c r="D1193" s="914"/>
      <c r="E1193" s="682"/>
      <c r="F1193" s="682"/>
      <c r="G1193" s="682"/>
      <c r="H1193" s="915"/>
      <c r="I1193" s="916"/>
      <c r="J1193" s="916"/>
      <c r="K1193" s="917"/>
      <c r="L1193" s="917"/>
      <c r="M1193" s="917"/>
      <c r="N1193" s="917"/>
      <c r="O1193" s="917"/>
      <c r="P1193" s="917"/>
      <c r="Q1193" s="578"/>
      <c r="R1193" s="578"/>
      <c r="S1193" s="578"/>
      <c r="T1193" s="578"/>
      <c r="U1193" s="578"/>
      <c r="V1193" s="578"/>
      <c r="W1193" s="578"/>
      <c r="X1193" s="578"/>
      <c r="Y1193" s="578"/>
      <c r="Z1193" s="578"/>
    </row>
    <row r="1194" spans="1:26" ht="18.75">
      <c r="A1194" s="682"/>
      <c r="B1194" s="682"/>
      <c r="C1194" s="682"/>
      <c r="D1194" s="914"/>
      <c r="E1194" s="682"/>
      <c r="F1194" s="682"/>
      <c r="G1194" s="682"/>
      <c r="H1194" s="915"/>
      <c r="I1194" s="916"/>
      <c r="J1194" s="916"/>
      <c r="K1194" s="917"/>
      <c r="L1194" s="917"/>
      <c r="M1194" s="917"/>
      <c r="N1194" s="917"/>
      <c r="O1194" s="917"/>
      <c r="P1194" s="917"/>
      <c r="Q1194" s="578"/>
      <c r="R1194" s="578"/>
      <c r="S1194" s="578"/>
      <c r="T1194" s="578"/>
      <c r="U1194" s="578"/>
      <c r="V1194" s="578"/>
      <c r="W1194" s="578"/>
      <c r="X1194" s="578"/>
      <c r="Y1194" s="578"/>
      <c r="Z1194" s="578"/>
    </row>
    <row r="1195" spans="1:26" ht="18.75">
      <c r="A1195" s="682"/>
      <c r="B1195" s="682"/>
      <c r="C1195" s="682"/>
      <c r="D1195" s="914"/>
      <c r="E1195" s="682"/>
      <c r="F1195" s="682"/>
      <c r="G1195" s="682"/>
      <c r="H1195" s="915"/>
      <c r="I1195" s="916"/>
      <c r="J1195" s="916"/>
      <c r="K1195" s="917"/>
      <c r="L1195" s="917"/>
      <c r="M1195" s="917"/>
      <c r="N1195" s="917"/>
      <c r="O1195" s="917"/>
      <c r="P1195" s="917"/>
      <c r="Q1195" s="578"/>
      <c r="R1195" s="578"/>
      <c r="S1195" s="578"/>
      <c r="T1195" s="578"/>
      <c r="U1195" s="578"/>
      <c r="V1195" s="578"/>
      <c r="W1195" s="578"/>
      <c r="X1195" s="578"/>
      <c r="Y1195" s="578"/>
      <c r="Z1195" s="578"/>
    </row>
    <row r="1196" spans="1:26" ht="18.75">
      <c r="A1196" s="682"/>
      <c r="B1196" s="682"/>
      <c r="C1196" s="682"/>
      <c r="D1196" s="914"/>
      <c r="E1196" s="682"/>
      <c r="F1196" s="682"/>
      <c r="G1196" s="682"/>
      <c r="H1196" s="915"/>
      <c r="I1196" s="916"/>
      <c r="J1196" s="916"/>
      <c r="K1196" s="917"/>
      <c r="L1196" s="917"/>
      <c r="M1196" s="917"/>
      <c r="N1196" s="917"/>
      <c r="O1196" s="917"/>
      <c r="P1196" s="917"/>
      <c r="Q1196" s="578"/>
      <c r="R1196" s="578"/>
      <c r="S1196" s="578"/>
      <c r="T1196" s="578"/>
      <c r="U1196" s="578"/>
      <c r="V1196" s="578"/>
      <c r="W1196" s="578"/>
      <c r="X1196" s="578"/>
      <c r="Y1196" s="578"/>
      <c r="Z1196" s="578"/>
    </row>
    <row r="1197" spans="1:26" ht="18.75">
      <c r="A1197" s="682"/>
      <c r="B1197" s="682"/>
      <c r="C1197" s="682"/>
      <c r="D1197" s="914"/>
      <c r="E1197" s="682"/>
      <c r="F1197" s="682"/>
      <c r="G1197" s="682"/>
      <c r="H1197" s="915"/>
      <c r="I1197" s="916"/>
      <c r="J1197" s="916"/>
      <c r="K1197" s="917"/>
      <c r="L1197" s="917"/>
      <c r="M1197" s="917"/>
      <c r="N1197" s="917"/>
      <c r="O1197" s="917"/>
      <c r="P1197" s="917"/>
      <c r="Q1197" s="578"/>
      <c r="R1197" s="578"/>
      <c r="S1197" s="578"/>
      <c r="T1197" s="578"/>
      <c r="U1197" s="578"/>
      <c r="V1197" s="578"/>
      <c r="W1197" s="578"/>
      <c r="X1197" s="578"/>
      <c r="Y1197" s="578"/>
      <c r="Z1197" s="578"/>
    </row>
    <row r="1198" spans="1:26" ht="18.75">
      <c r="A1198" s="682"/>
      <c r="B1198" s="682"/>
      <c r="C1198" s="682"/>
      <c r="D1198" s="914"/>
      <c r="E1198" s="682"/>
      <c r="F1198" s="682"/>
      <c r="G1198" s="682"/>
      <c r="H1198" s="915"/>
      <c r="I1198" s="916"/>
      <c r="J1198" s="916"/>
      <c r="K1198" s="917"/>
      <c r="L1198" s="917"/>
      <c r="M1198" s="917"/>
      <c r="N1198" s="917"/>
      <c r="O1198" s="917"/>
      <c r="P1198" s="917"/>
      <c r="Q1198" s="578"/>
      <c r="R1198" s="578"/>
      <c r="S1198" s="578"/>
      <c r="T1198" s="578"/>
      <c r="U1198" s="578"/>
      <c r="V1198" s="578"/>
      <c r="W1198" s="578"/>
      <c r="X1198" s="578"/>
      <c r="Y1198" s="578"/>
      <c r="Z1198" s="578"/>
    </row>
    <row r="1199" spans="1:26" ht="18.75">
      <c r="A1199" s="682"/>
      <c r="B1199" s="682"/>
      <c r="C1199" s="682"/>
      <c r="D1199" s="914"/>
      <c r="E1199" s="682"/>
      <c r="F1199" s="682"/>
      <c r="G1199" s="682"/>
      <c r="H1199" s="915"/>
      <c r="I1199" s="916"/>
      <c r="J1199" s="916"/>
      <c r="K1199" s="917"/>
      <c r="L1199" s="917"/>
      <c r="M1199" s="917"/>
      <c r="N1199" s="917"/>
      <c r="O1199" s="917"/>
      <c r="P1199" s="917"/>
      <c r="Q1199" s="578"/>
      <c r="R1199" s="578"/>
      <c r="S1199" s="578"/>
      <c r="T1199" s="578"/>
      <c r="U1199" s="578"/>
      <c r="V1199" s="578"/>
      <c r="W1199" s="578"/>
      <c r="X1199" s="578"/>
      <c r="Y1199" s="578"/>
      <c r="Z1199" s="578"/>
    </row>
    <row r="1200" spans="1:26" ht="18.75">
      <c r="A1200" s="682"/>
      <c r="B1200" s="682"/>
      <c r="C1200" s="682"/>
      <c r="D1200" s="914"/>
      <c r="E1200" s="682"/>
      <c r="F1200" s="682"/>
      <c r="G1200" s="682"/>
      <c r="H1200" s="915"/>
      <c r="I1200" s="916"/>
      <c r="J1200" s="916"/>
      <c r="K1200" s="917"/>
      <c r="L1200" s="917"/>
      <c r="M1200" s="917"/>
      <c r="N1200" s="917"/>
      <c r="O1200" s="917"/>
      <c r="P1200" s="917"/>
      <c r="Q1200" s="578"/>
      <c r="R1200" s="578"/>
      <c r="S1200" s="578"/>
      <c r="T1200" s="578"/>
      <c r="U1200" s="578"/>
      <c r="V1200" s="578"/>
      <c r="W1200" s="578"/>
      <c r="X1200" s="578"/>
      <c r="Y1200" s="578"/>
      <c r="Z1200" s="578"/>
    </row>
    <row r="1201" spans="1:26" ht="18.75">
      <c r="A1201" s="682"/>
      <c r="B1201" s="682"/>
      <c r="C1201" s="682"/>
      <c r="D1201" s="914"/>
      <c r="E1201" s="682"/>
      <c r="F1201" s="682"/>
      <c r="G1201" s="682"/>
      <c r="H1201" s="915"/>
      <c r="I1201" s="916"/>
      <c r="J1201" s="916"/>
      <c r="K1201" s="917"/>
      <c r="L1201" s="917"/>
      <c r="M1201" s="917"/>
      <c r="N1201" s="917"/>
      <c r="O1201" s="917"/>
      <c r="P1201" s="917"/>
      <c r="Q1201" s="578"/>
      <c r="R1201" s="578"/>
      <c r="S1201" s="578"/>
      <c r="T1201" s="578"/>
      <c r="U1201" s="578"/>
      <c r="V1201" s="578"/>
      <c r="W1201" s="578"/>
      <c r="X1201" s="578"/>
      <c r="Y1201" s="578"/>
      <c r="Z1201" s="578"/>
    </row>
    <row r="1202" spans="1:26" ht="18.75">
      <c r="A1202" s="682"/>
      <c r="B1202" s="682"/>
      <c r="C1202" s="682"/>
      <c r="D1202" s="914"/>
      <c r="E1202" s="682"/>
      <c r="F1202" s="682"/>
      <c r="G1202" s="682"/>
      <c r="H1202" s="915"/>
      <c r="I1202" s="916"/>
      <c r="J1202" s="916"/>
      <c r="K1202" s="917"/>
      <c r="L1202" s="917"/>
      <c r="M1202" s="917"/>
      <c r="N1202" s="917"/>
      <c r="O1202" s="917"/>
      <c r="P1202" s="917"/>
      <c r="Q1202" s="578"/>
      <c r="R1202" s="578"/>
      <c r="S1202" s="578"/>
      <c r="T1202" s="578"/>
      <c r="U1202" s="578"/>
      <c r="V1202" s="578"/>
      <c r="W1202" s="578"/>
      <c r="X1202" s="578"/>
      <c r="Y1202" s="578"/>
      <c r="Z1202" s="578"/>
    </row>
    <row r="1203" spans="1:26" ht="18.75">
      <c r="A1203" s="682"/>
      <c r="B1203" s="682"/>
      <c r="C1203" s="682"/>
      <c r="D1203" s="914"/>
      <c r="E1203" s="682"/>
      <c r="F1203" s="682"/>
      <c r="G1203" s="682"/>
      <c r="H1203" s="915"/>
      <c r="I1203" s="916"/>
      <c r="J1203" s="916"/>
      <c r="K1203" s="917"/>
      <c r="L1203" s="917"/>
      <c r="M1203" s="917"/>
      <c r="N1203" s="917"/>
      <c r="O1203" s="917"/>
      <c r="P1203" s="917"/>
      <c r="Q1203" s="578"/>
      <c r="R1203" s="578"/>
      <c r="S1203" s="578"/>
      <c r="T1203" s="578"/>
      <c r="U1203" s="578"/>
      <c r="V1203" s="578"/>
      <c r="W1203" s="578"/>
      <c r="X1203" s="578"/>
      <c r="Y1203" s="578"/>
      <c r="Z1203" s="578"/>
    </row>
    <row r="1204" spans="1:26" ht="18.75">
      <c r="A1204" s="682"/>
      <c r="B1204" s="682"/>
      <c r="C1204" s="682"/>
      <c r="D1204" s="914"/>
      <c r="E1204" s="682"/>
      <c r="F1204" s="682"/>
      <c r="G1204" s="682"/>
      <c r="H1204" s="915"/>
      <c r="I1204" s="916"/>
      <c r="J1204" s="916"/>
      <c r="K1204" s="917"/>
      <c r="L1204" s="917"/>
      <c r="M1204" s="917"/>
      <c r="N1204" s="917"/>
      <c r="O1204" s="917"/>
      <c r="P1204" s="917"/>
      <c r="Q1204" s="578"/>
      <c r="R1204" s="578"/>
      <c r="S1204" s="578"/>
      <c r="T1204" s="578"/>
      <c r="U1204" s="578"/>
      <c r="V1204" s="578"/>
      <c r="W1204" s="578"/>
      <c r="X1204" s="578"/>
      <c r="Y1204" s="578"/>
      <c r="Z1204" s="578"/>
    </row>
    <row r="1205" spans="1:26" ht="18.75">
      <c r="A1205" s="682"/>
      <c r="B1205" s="682"/>
      <c r="C1205" s="682"/>
      <c r="D1205" s="914"/>
      <c r="E1205" s="682"/>
      <c r="F1205" s="682"/>
      <c r="G1205" s="682"/>
      <c r="H1205" s="915"/>
      <c r="I1205" s="916"/>
      <c r="J1205" s="916"/>
      <c r="K1205" s="917"/>
      <c r="L1205" s="917"/>
      <c r="M1205" s="917"/>
      <c r="N1205" s="917"/>
      <c r="O1205" s="917"/>
      <c r="P1205" s="917"/>
      <c r="Q1205" s="578"/>
      <c r="R1205" s="578"/>
      <c r="S1205" s="578"/>
      <c r="T1205" s="578"/>
      <c r="U1205" s="578"/>
      <c r="V1205" s="578"/>
      <c r="W1205" s="578"/>
      <c r="X1205" s="578"/>
      <c r="Y1205" s="578"/>
      <c r="Z1205" s="578"/>
    </row>
    <row r="1206" spans="1:26" ht="18.75">
      <c r="A1206" s="682"/>
      <c r="B1206" s="682"/>
      <c r="C1206" s="682"/>
      <c r="D1206" s="914"/>
      <c r="E1206" s="682"/>
      <c r="F1206" s="682"/>
      <c r="G1206" s="682"/>
      <c r="H1206" s="915"/>
      <c r="I1206" s="916"/>
      <c r="J1206" s="916"/>
      <c r="K1206" s="917"/>
      <c r="L1206" s="917"/>
      <c r="M1206" s="917"/>
      <c r="N1206" s="917"/>
      <c r="O1206" s="917"/>
      <c r="P1206" s="917"/>
      <c r="Q1206" s="578"/>
      <c r="R1206" s="578"/>
      <c r="S1206" s="578"/>
      <c r="T1206" s="578"/>
      <c r="U1206" s="578"/>
      <c r="V1206" s="578"/>
      <c r="W1206" s="578"/>
      <c r="X1206" s="578"/>
      <c r="Y1206" s="578"/>
      <c r="Z1206" s="578"/>
    </row>
    <row r="1207" spans="1:26" ht="18.75">
      <c r="A1207" s="682"/>
      <c r="B1207" s="682"/>
      <c r="C1207" s="682"/>
      <c r="D1207" s="914"/>
      <c r="E1207" s="682"/>
      <c r="F1207" s="682"/>
      <c r="G1207" s="682"/>
      <c r="H1207" s="915"/>
      <c r="I1207" s="916"/>
      <c r="J1207" s="916"/>
      <c r="K1207" s="917"/>
      <c r="L1207" s="917"/>
      <c r="M1207" s="917"/>
      <c r="N1207" s="917"/>
      <c r="O1207" s="917"/>
      <c r="P1207" s="917"/>
      <c r="Q1207" s="578"/>
      <c r="R1207" s="578"/>
      <c r="S1207" s="578"/>
      <c r="T1207" s="578"/>
      <c r="U1207" s="578"/>
      <c r="V1207" s="578"/>
      <c r="W1207" s="578"/>
      <c r="X1207" s="578"/>
      <c r="Y1207" s="578"/>
      <c r="Z1207" s="578"/>
    </row>
    <row r="1208" spans="1:26" ht="18.75">
      <c r="A1208" s="682"/>
      <c r="B1208" s="682"/>
      <c r="C1208" s="682"/>
      <c r="D1208" s="914"/>
      <c r="E1208" s="682"/>
      <c r="F1208" s="682"/>
      <c r="G1208" s="682"/>
      <c r="H1208" s="915"/>
      <c r="I1208" s="916"/>
      <c r="J1208" s="916"/>
      <c r="K1208" s="917"/>
      <c r="L1208" s="917"/>
      <c r="M1208" s="917"/>
      <c r="N1208" s="917"/>
      <c r="O1208" s="917"/>
      <c r="P1208" s="917"/>
      <c r="Q1208" s="578"/>
      <c r="R1208" s="578"/>
      <c r="S1208" s="578"/>
      <c r="T1208" s="578"/>
      <c r="U1208" s="578"/>
      <c r="V1208" s="578"/>
      <c r="W1208" s="578"/>
      <c r="X1208" s="578"/>
      <c r="Y1208" s="578"/>
      <c r="Z1208" s="578"/>
    </row>
    <row r="1209" spans="1:26" ht="18.75">
      <c r="A1209" s="682"/>
      <c r="B1209" s="682"/>
      <c r="C1209" s="682"/>
      <c r="D1209" s="914"/>
      <c r="E1209" s="682"/>
      <c r="F1209" s="682"/>
      <c r="G1209" s="682"/>
      <c r="H1209" s="915"/>
      <c r="I1209" s="916"/>
      <c r="J1209" s="916"/>
      <c r="K1209" s="917"/>
      <c r="L1209" s="917"/>
      <c r="M1209" s="917"/>
      <c r="N1209" s="917"/>
      <c r="O1209" s="917"/>
      <c r="P1209" s="917"/>
      <c r="Q1209" s="578"/>
      <c r="R1209" s="578"/>
      <c r="S1209" s="578"/>
      <c r="T1209" s="578"/>
      <c r="U1209" s="578"/>
      <c r="V1209" s="578"/>
      <c r="W1209" s="578"/>
      <c r="X1209" s="578"/>
      <c r="Y1209" s="578"/>
      <c r="Z1209" s="578"/>
    </row>
    <row r="1210" spans="1:26" ht="18.75">
      <c r="A1210" s="682"/>
      <c r="B1210" s="682"/>
      <c r="C1210" s="682"/>
      <c r="D1210" s="914"/>
      <c r="E1210" s="682"/>
      <c r="F1210" s="682"/>
      <c r="G1210" s="682"/>
      <c r="H1210" s="915"/>
      <c r="I1210" s="916"/>
      <c r="J1210" s="916"/>
      <c r="K1210" s="917"/>
      <c r="L1210" s="917"/>
      <c r="M1210" s="917"/>
      <c r="N1210" s="917"/>
      <c r="O1210" s="917"/>
      <c r="P1210" s="917"/>
      <c r="Q1210" s="578"/>
      <c r="R1210" s="578"/>
      <c r="S1210" s="578"/>
      <c r="T1210" s="578"/>
      <c r="U1210" s="578"/>
      <c r="V1210" s="578"/>
      <c r="W1210" s="578"/>
      <c r="X1210" s="578"/>
      <c r="Y1210" s="578"/>
      <c r="Z1210" s="578"/>
    </row>
    <row r="1211" spans="1:26" ht="18.75">
      <c r="A1211" s="682"/>
      <c r="B1211" s="682"/>
      <c r="C1211" s="682"/>
      <c r="D1211" s="914"/>
      <c r="E1211" s="682"/>
      <c r="F1211" s="682"/>
      <c r="G1211" s="682"/>
      <c r="H1211" s="915"/>
      <c r="I1211" s="916"/>
      <c r="J1211" s="916"/>
      <c r="K1211" s="917"/>
      <c r="L1211" s="917"/>
      <c r="M1211" s="917"/>
      <c r="N1211" s="917"/>
      <c r="O1211" s="917"/>
      <c r="P1211" s="917"/>
      <c r="Q1211" s="578"/>
      <c r="R1211" s="578"/>
      <c r="S1211" s="578"/>
      <c r="T1211" s="578"/>
      <c r="U1211" s="578"/>
      <c r="V1211" s="578"/>
      <c r="W1211" s="578"/>
      <c r="X1211" s="578"/>
      <c r="Y1211" s="578"/>
      <c r="Z1211" s="578"/>
    </row>
    <row r="1212" spans="1:26" ht="18.75">
      <c r="A1212" s="682"/>
      <c r="B1212" s="682"/>
      <c r="C1212" s="682"/>
      <c r="D1212" s="914"/>
      <c r="E1212" s="682"/>
      <c r="F1212" s="682"/>
      <c r="G1212" s="682"/>
      <c r="H1212" s="915"/>
      <c r="I1212" s="916"/>
      <c r="J1212" s="916"/>
      <c r="K1212" s="917"/>
      <c r="L1212" s="917"/>
      <c r="M1212" s="917"/>
      <c r="N1212" s="917"/>
      <c r="O1212" s="917"/>
      <c r="P1212" s="917"/>
      <c r="Q1212" s="578"/>
      <c r="R1212" s="578"/>
      <c r="S1212" s="578"/>
      <c r="T1212" s="578"/>
      <c r="U1212" s="578"/>
      <c r="V1212" s="578"/>
      <c r="W1212" s="578"/>
      <c r="X1212" s="578"/>
      <c r="Y1212" s="578"/>
      <c r="Z1212" s="578"/>
    </row>
    <row r="1213" spans="1:26" ht="18.75">
      <c r="A1213" s="682"/>
      <c r="B1213" s="682"/>
      <c r="C1213" s="682"/>
      <c r="D1213" s="914"/>
      <c r="E1213" s="682"/>
      <c r="F1213" s="682"/>
      <c r="G1213" s="682"/>
      <c r="H1213" s="915"/>
      <c r="I1213" s="916"/>
      <c r="J1213" s="916"/>
      <c r="K1213" s="917"/>
      <c r="L1213" s="917"/>
      <c r="M1213" s="917"/>
      <c r="N1213" s="917"/>
      <c r="O1213" s="917"/>
      <c r="P1213" s="917"/>
      <c r="Q1213" s="578"/>
      <c r="R1213" s="578"/>
      <c r="S1213" s="578"/>
      <c r="T1213" s="578"/>
      <c r="U1213" s="578"/>
      <c r="V1213" s="578"/>
      <c r="W1213" s="578"/>
      <c r="X1213" s="578"/>
      <c r="Y1213" s="578"/>
      <c r="Z1213" s="578"/>
    </row>
    <row r="1214" spans="1:26" ht="18.75">
      <c r="A1214" s="682"/>
      <c r="B1214" s="682"/>
      <c r="C1214" s="682"/>
      <c r="D1214" s="914"/>
      <c r="E1214" s="682"/>
      <c r="F1214" s="682"/>
      <c r="G1214" s="682"/>
      <c r="H1214" s="915"/>
      <c r="I1214" s="916"/>
      <c r="J1214" s="916"/>
      <c r="K1214" s="917"/>
      <c r="L1214" s="917"/>
      <c r="M1214" s="917"/>
      <c r="N1214" s="917"/>
      <c r="O1214" s="917"/>
      <c r="P1214" s="917"/>
      <c r="Q1214" s="578"/>
      <c r="R1214" s="578"/>
      <c r="S1214" s="578"/>
      <c r="T1214" s="578"/>
      <c r="U1214" s="578"/>
      <c r="V1214" s="578"/>
      <c r="W1214" s="578"/>
      <c r="X1214" s="578"/>
      <c r="Y1214" s="578"/>
      <c r="Z1214" s="578"/>
    </row>
    <row r="1215" spans="1:26" ht="18.75">
      <c r="A1215" s="682"/>
      <c r="B1215" s="682"/>
      <c r="C1215" s="682"/>
      <c r="D1215" s="914"/>
      <c r="E1215" s="682"/>
      <c r="F1215" s="682"/>
      <c r="G1215" s="682"/>
      <c r="H1215" s="915"/>
      <c r="I1215" s="916"/>
      <c r="J1215" s="916"/>
      <c r="K1215" s="917"/>
      <c r="L1215" s="917"/>
      <c r="M1215" s="917"/>
      <c r="N1215" s="917"/>
      <c r="O1215" s="917"/>
      <c r="P1215" s="917"/>
      <c r="Q1215" s="578"/>
      <c r="R1215" s="578"/>
      <c r="S1215" s="578"/>
      <c r="T1215" s="578"/>
      <c r="U1215" s="578"/>
      <c r="V1215" s="578"/>
      <c r="W1215" s="578"/>
      <c r="X1215" s="578"/>
      <c r="Y1215" s="578"/>
      <c r="Z1215" s="578"/>
    </row>
    <row r="1216" spans="1:26" ht="18.75">
      <c r="A1216" s="682"/>
      <c r="B1216" s="682"/>
      <c r="C1216" s="682"/>
      <c r="D1216" s="914"/>
      <c r="E1216" s="682"/>
      <c r="F1216" s="682"/>
      <c r="G1216" s="682"/>
      <c r="H1216" s="915"/>
      <c r="I1216" s="916"/>
      <c r="J1216" s="916"/>
      <c r="K1216" s="917"/>
      <c r="L1216" s="917"/>
      <c r="M1216" s="917"/>
      <c r="N1216" s="917"/>
      <c r="O1216" s="917"/>
      <c r="P1216" s="917"/>
      <c r="Q1216" s="578"/>
      <c r="R1216" s="578"/>
      <c r="S1216" s="578"/>
      <c r="T1216" s="578"/>
      <c r="U1216" s="578"/>
      <c r="V1216" s="578"/>
      <c r="W1216" s="578"/>
      <c r="X1216" s="578"/>
      <c r="Y1216" s="578"/>
      <c r="Z1216" s="578"/>
    </row>
    <row r="1217" spans="1:26" ht="18.75">
      <c r="A1217" s="682"/>
      <c r="B1217" s="682"/>
      <c r="C1217" s="682"/>
      <c r="D1217" s="914"/>
      <c r="E1217" s="682"/>
      <c r="F1217" s="682"/>
      <c r="G1217" s="682"/>
      <c r="H1217" s="915"/>
      <c r="I1217" s="916"/>
      <c r="J1217" s="916"/>
      <c r="K1217" s="917"/>
      <c r="L1217" s="917"/>
      <c r="M1217" s="917"/>
      <c r="N1217" s="917"/>
      <c r="O1217" s="917"/>
      <c r="P1217" s="917"/>
      <c r="Q1217" s="578"/>
      <c r="R1217" s="578"/>
      <c r="S1217" s="578"/>
      <c r="T1217" s="578"/>
      <c r="U1217" s="578"/>
      <c r="V1217" s="578"/>
      <c r="W1217" s="578"/>
      <c r="X1217" s="578"/>
      <c r="Y1217" s="578"/>
      <c r="Z1217" s="578"/>
    </row>
    <row r="1218" spans="1:26" ht="18.75">
      <c r="A1218" s="682"/>
      <c r="B1218" s="682"/>
      <c r="C1218" s="682"/>
      <c r="D1218" s="914"/>
      <c r="E1218" s="682"/>
      <c r="F1218" s="682"/>
      <c r="G1218" s="682"/>
      <c r="H1218" s="915"/>
      <c r="I1218" s="916"/>
      <c r="J1218" s="916"/>
      <c r="K1218" s="917"/>
      <c r="L1218" s="917"/>
      <c r="M1218" s="917"/>
      <c r="N1218" s="917"/>
      <c r="O1218" s="917"/>
      <c r="P1218" s="917"/>
      <c r="Q1218" s="578"/>
      <c r="R1218" s="578"/>
      <c r="S1218" s="578"/>
      <c r="T1218" s="578"/>
      <c r="U1218" s="578"/>
      <c r="V1218" s="578"/>
      <c r="W1218" s="578"/>
      <c r="X1218" s="578"/>
      <c r="Y1218" s="578"/>
      <c r="Z1218" s="578"/>
    </row>
    <row r="1219" spans="1:26" ht="18.75">
      <c r="A1219" s="682"/>
      <c r="B1219" s="682"/>
      <c r="C1219" s="682"/>
      <c r="D1219" s="914"/>
      <c r="E1219" s="682"/>
      <c r="F1219" s="682"/>
      <c r="G1219" s="682"/>
      <c r="H1219" s="915"/>
      <c r="I1219" s="916"/>
      <c r="J1219" s="916"/>
      <c r="K1219" s="917"/>
      <c r="L1219" s="917"/>
      <c r="M1219" s="917"/>
      <c r="N1219" s="917"/>
      <c r="O1219" s="917"/>
      <c r="P1219" s="917"/>
      <c r="Q1219" s="578"/>
      <c r="R1219" s="578"/>
      <c r="S1219" s="578"/>
      <c r="T1219" s="578"/>
      <c r="U1219" s="578"/>
      <c r="V1219" s="578"/>
      <c r="W1219" s="578"/>
      <c r="X1219" s="578"/>
      <c r="Y1219" s="578"/>
      <c r="Z1219" s="578"/>
    </row>
    <row r="1220" spans="1:26" ht="18.75">
      <c r="A1220" s="682"/>
      <c r="B1220" s="682"/>
      <c r="C1220" s="682"/>
      <c r="D1220" s="914"/>
      <c r="E1220" s="682"/>
      <c r="F1220" s="682"/>
      <c r="G1220" s="682"/>
      <c r="H1220" s="915"/>
      <c r="I1220" s="916"/>
      <c r="J1220" s="916"/>
      <c r="K1220" s="917"/>
      <c r="L1220" s="917"/>
      <c r="M1220" s="917"/>
      <c r="N1220" s="917"/>
      <c r="O1220" s="917"/>
      <c r="P1220" s="917"/>
      <c r="Q1220" s="578"/>
      <c r="R1220" s="578"/>
      <c r="S1220" s="578"/>
      <c r="T1220" s="578"/>
      <c r="U1220" s="578"/>
      <c r="V1220" s="578"/>
      <c r="W1220" s="578"/>
      <c r="X1220" s="578"/>
      <c r="Y1220" s="578"/>
      <c r="Z1220" s="578"/>
    </row>
    <row r="1221" spans="1:26" ht="18.75">
      <c r="A1221" s="682"/>
      <c r="B1221" s="682"/>
      <c r="C1221" s="682"/>
      <c r="D1221" s="914"/>
      <c r="E1221" s="682"/>
      <c r="F1221" s="682"/>
      <c r="G1221" s="682"/>
      <c r="H1221" s="915"/>
      <c r="I1221" s="916"/>
      <c r="J1221" s="916"/>
      <c r="K1221" s="917"/>
      <c r="L1221" s="917"/>
      <c r="M1221" s="917"/>
      <c r="N1221" s="917"/>
      <c r="O1221" s="917"/>
      <c r="P1221" s="917"/>
      <c r="Q1221" s="578"/>
      <c r="R1221" s="578"/>
      <c r="S1221" s="578"/>
      <c r="T1221" s="578"/>
      <c r="U1221" s="578"/>
      <c r="V1221" s="578"/>
      <c r="W1221" s="578"/>
      <c r="X1221" s="578"/>
      <c r="Y1221" s="578"/>
      <c r="Z1221" s="578"/>
    </row>
    <row r="1222" spans="1:26" ht="18.75">
      <c r="A1222" s="682"/>
      <c r="B1222" s="682"/>
      <c r="C1222" s="682"/>
      <c r="D1222" s="914"/>
      <c r="E1222" s="682"/>
      <c r="F1222" s="682"/>
      <c r="G1222" s="682"/>
      <c r="H1222" s="915"/>
      <c r="I1222" s="916"/>
      <c r="J1222" s="916"/>
      <c r="K1222" s="917"/>
      <c r="L1222" s="917"/>
      <c r="M1222" s="917"/>
      <c r="N1222" s="917"/>
      <c r="O1222" s="917"/>
      <c r="P1222" s="917"/>
      <c r="Q1222" s="578"/>
      <c r="R1222" s="578"/>
      <c r="S1222" s="578"/>
      <c r="T1222" s="578"/>
      <c r="U1222" s="578"/>
      <c r="V1222" s="578"/>
      <c r="W1222" s="578"/>
      <c r="X1222" s="578"/>
      <c r="Y1222" s="578"/>
      <c r="Z1222" s="578"/>
    </row>
    <row r="1223" spans="1:26" ht="18.75">
      <c r="A1223" s="682"/>
      <c r="B1223" s="682"/>
      <c r="C1223" s="682"/>
      <c r="D1223" s="914"/>
      <c r="E1223" s="682"/>
      <c r="F1223" s="682"/>
      <c r="G1223" s="682"/>
      <c r="H1223" s="915"/>
      <c r="I1223" s="916"/>
      <c r="J1223" s="916"/>
      <c r="K1223" s="917"/>
      <c r="L1223" s="917"/>
      <c r="M1223" s="917"/>
      <c r="N1223" s="917"/>
      <c r="O1223" s="917"/>
      <c r="P1223" s="917"/>
      <c r="Q1223" s="578"/>
      <c r="R1223" s="578"/>
      <c r="S1223" s="578"/>
      <c r="T1223" s="578"/>
      <c r="U1223" s="578"/>
      <c r="V1223" s="578"/>
      <c r="W1223" s="578"/>
      <c r="X1223" s="578"/>
      <c r="Y1223" s="578"/>
      <c r="Z1223" s="578"/>
    </row>
    <row r="1224" spans="1:26" ht="18.75">
      <c r="A1224" s="682"/>
      <c r="B1224" s="682"/>
      <c r="C1224" s="682"/>
      <c r="D1224" s="914"/>
      <c r="E1224" s="682"/>
      <c r="F1224" s="682"/>
      <c r="G1224" s="682"/>
      <c r="H1224" s="915"/>
      <c r="I1224" s="916"/>
      <c r="J1224" s="916"/>
      <c r="K1224" s="917"/>
      <c r="L1224" s="917"/>
      <c r="M1224" s="917"/>
      <c r="N1224" s="917"/>
      <c r="O1224" s="917"/>
      <c r="P1224" s="917"/>
      <c r="Q1224" s="578"/>
      <c r="R1224" s="578"/>
      <c r="S1224" s="578"/>
      <c r="T1224" s="578"/>
      <c r="U1224" s="578"/>
      <c r="V1224" s="578"/>
      <c r="W1224" s="578"/>
      <c r="X1224" s="578"/>
      <c r="Y1224" s="578"/>
      <c r="Z1224" s="578"/>
    </row>
    <row r="1225" spans="1:26" ht="18.75">
      <c r="A1225" s="682"/>
      <c r="B1225" s="682"/>
      <c r="C1225" s="682"/>
      <c r="D1225" s="914"/>
      <c r="E1225" s="682"/>
      <c r="F1225" s="682"/>
      <c r="G1225" s="682"/>
      <c r="H1225" s="915"/>
      <c r="I1225" s="916"/>
      <c r="J1225" s="916"/>
      <c r="K1225" s="917"/>
      <c r="L1225" s="917"/>
      <c r="M1225" s="917"/>
      <c r="N1225" s="917"/>
      <c r="O1225" s="917"/>
      <c r="P1225" s="917"/>
      <c r="Q1225" s="578"/>
      <c r="R1225" s="578"/>
      <c r="S1225" s="578"/>
      <c r="T1225" s="578"/>
      <c r="U1225" s="578"/>
      <c r="V1225" s="578"/>
      <c r="W1225" s="578"/>
      <c r="X1225" s="578"/>
      <c r="Y1225" s="578"/>
      <c r="Z1225" s="578"/>
    </row>
    <row r="1226" spans="1:26" ht="18.75">
      <c r="A1226" s="682"/>
      <c r="B1226" s="682"/>
      <c r="C1226" s="682"/>
      <c r="D1226" s="914"/>
      <c r="E1226" s="682"/>
      <c r="F1226" s="682"/>
      <c r="G1226" s="682"/>
      <c r="H1226" s="915"/>
      <c r="I1226" s="916"/>
      <c r="J1226" s="916"/>
      <c r="K1226" s="917"/>
      <c r="L1226" s="917"/>
      <c r="M1226" s="917"/>
      <c r="N1226" s="917"/>
      <c r="O1226" s="917"/>
      <c r="P1226" s="917"/>
      <c r="Q1226" s="578"/>
      <c r="R1226" s="578"/>
      <c r="S1226" s="578"/>
      <c r="T1226" s="578"/>
      <c r="U1226" s="578"/>
      <c r="V1226" s="578"/>
      <c r="W1226" s="578"/>
      <c r="X1226" s="578"/>
      <c r="Y1226" s="578"/>
      <c r="Z1226" s="578"/>
    </row>
    <row r="1227" spans="1:26" ht="18.75">
      <c r="A1227" s="682"/>
      <c r="B1227" s="682"/>
      <c r="C1227" s="682"/>
      <c r="D1227" s="914"/>
      <c r="E1227" s="682"/>
      <c r="F1227" s="682"/>
      <c r="G1227" s="682"/>
      <c r="H1227" s="915"/>
      <c r="I1227" s="916"/>
      <c r="J1227" s="916"/>
      <c r="K1227" s="917"/>
      <c r="L1227" s="917"/>
      <c r="M1227" s="917"/>
      <c r="N1227" s="917"/>
      <c r="O1227" s="917"/>
      <c r="P1227" s="917"/>
      <c r="Q1227" s="578"/>
      <c r="R1227" s="578"/>
      <c r="S1227" s="578"/>
      <c r="T1227" s="578"/>
      <c r="U1227" s="578"/>
      <c r="V1227" s="578"/>
      <c r="W1227" s="578"/>
      <c r="X1227" s="578"/>
      <c r="Y1227" s="578"/>
      <c r="Z1227" s="578"/>
    </row>
    <row r="1228" spans="1:26" ht="18.75">
      <c r="A1228" s="682"/>
      <c r="B1228" s="682"/>
      <c r="C1228" s="682"/>
      <c r="D1228" s="914"/>
      <c r="E1228" s="682"/>
      <c r="F1228" s="682"/>
      <c r="G1228" s="682"/>
      <c r="H1228" s="915"/>
      <c r="I1228" s="916"/>
      <c r="J1228" s="916"/>
      <c r="K1228" s="917"/>
      <c r="L1228" s="917"/>
      <c r="M1228" s="917"/>
      <c r="N1228" s="917"/>
      <c r="O1228" s="917"/>
      <c r="P1228" s="917"/>
      <c r="Q1228" s="578"/>
      <c r="R1228" s="578"/>
      <c r="S1228" s="578"/>
      <c r="T1228" s="578"/>
      <c r="U1228" s="578"/>
      <c r="V1228" s="578"/>
      <c r="W1228" s="578"/>
      <c r="X1228" s="578"/>
      <c r="Y1228" s="578"/>
      <c r="Z1228" s="578"/>
    </row>
    <row r="1229" spans="1:26" ht="18.75">
      <c r="A1229" s="682"/>
      <c r="B1229" s="682"/>
      <c r="C1229" s="682"/>
      <c r="D1229" s="914"/>
      <c r="E1229" s="682"/>
      <c r="F1229" s="682"/>
      <c r="G1229" s="682"/>
      <c r="H1229" s="915"/>
      <c r="I1229" s="916"/>
      <c r="J1229" s="916"/>
      <c r="K1229" s="917"/>
      <c r="L1229" s="917"/>
      <c r="M1229" s="917"/>
      <c r="N1229" s="917"/>
      <c r="O1229" s="917"/>
      <c r="P1229" s="917"/>
      <c r="Q1229" s="578"/>
      <c r="R1229" s="578"/>
      <c r="S1229" s="578"/>
      <c r="T1229" s="578"/>
      <c r="U1229" s="578"/>
      <c r="V1229" s="578"/>
      <c r="W1229" s="578"/>
      <c r="X1229" s="578"/>
      <c r="Y1229" s="578"/>
      <c r="Z1229" s="578"/>
    </row>
    <row r="1230" spans="1:26" ht="18.75">
      <c r="A1230" s="682"/>
      <c r="B1230" s="682"/>
      <c r="C1230" s="682"/>
      <c r="D1230" s="914"/>
      <c r="E1230" s="682"/>
      <c r="F1230" s="682"/>
      <c r="G1230" s="682"/>
      <c r="H1230" s="915"/>
      <c r="I1230" s="916"/>
      <c r="J1230" s="916"/>
      <c r="K1230" s="917"/>
      <c r="L1230" s="917"/>
      <c r="M1230" s="917"/>
      <c r="N1230" s="917"/>
      <c r="O1230" s="917"/>
      <c r="P1230" s="917"/>
      <c r="Q1230" s="578"/>
      <c r="R1230" s="578"/>
      <c r="S1230" s="578"/>
      <c r="T1230" s="578"/>
      <c r="U1230" s="578"/>
      <c r="V1230" s="578"/>
      <c r="W1230" s="578"/>
      <c r="X1230" s="578"/>
      <c r="Y1230" s="578"/>
      <c r="Z1230" s="578"/>
    </row>
    <row r="1231" spans="1:26" ht="18.75">
      <c r="A1231" s="682"/>
      <c r="B1231" s="682"/>
      <c r="C1231" s="682"/>
      <c r="D1231" s="914"/>
      <c r="E1231" s="682"/>
      <c r="F1231" s="682"/>
      <c r="G1231" s="682"/>
      <c r="H1231" s="915"/>
      <c r="I1231" s="916"/>
      <c r="J1231" s="916"/>
      <c r="K1231" s="917"/>
      <c r="L1231" s="917"/>
      <c r="M1231" s="917"/>
      <c r="N1231" s="917"/>
      <c r="O1231" s="917"/>
      <c r="P1231" s="917"/>
      <c r="Q1231" s="578"/>
      <c r="R1231" s="578"/>
      <c r="S1231" s="578"/>
      <c r="T1231" s="578"/>
      <c r="U1231" s="578"/>
      <c r="V1231" s="578"/>
      <c r="W1231" s="578"/>
      <c r="X1231" s="578"/>
      <c r="Y1231" s="578"/>
      <c r="Z1231" s="578"/>
    </row>
    <row r="1232" spans="1:26" ht="18.75">
      <c r="A1232" s="682"/>
      <c r="B1232" s="682"/>
      <c r="C1232" s="682"/>
      <c r="D1232" s="914"/>
      <c r="E1232" s="682"/>
      <c r="F1232" s="682"/>
      <c r="G1232" s="682"/>
      <c r="H1232" s="915"/>
      <c r="I1232" s="916"/>
      <c r="J1232" s="916"/>
      <c r="K1232" s="917"/>
      <c r="L1232" s="917"/>
      <c r="M1232" s="917"/>
      <c r="N1232" s="917"/>
      <c r="O1232" s="917"/>
      <c r="P1232" s="917"/>
      <c r="Q1232" s="578"/>
      <c r="R1232" s="578"/>
      <c r="S1232" s="578"/>
      <c r="T1232" s="578"/>
      <c r="U1232" s="578"/>
      <c r="V1232" s="578"/>
      <c r="W1232" s="578"/>
      <c r="X1232" s="578"/>
      <c r="Y1232" s="578"/>
      <c r="Z1232" s="578"/>
    </row>
    <row r="1233" spans="1:26" ht="18.75">
      <c r="A1233" s="682"/>
      <c r="B1233" s="682"/>
      <c r="C1233" s="682"/>
      <c r="D1233" s="914"/>
      <c r="E1233" s="682"/>
      <c r="F1233" s="682"/>
      <c r="G1233" s="682"/>
      <c r="H1233" s="915"/>
      <c r="I1233" s="916"/>
      <c r="J1233" s="916"/>
      <c r="K1233" s="917"/>
      <c r="L1233" s="917"/>
      <c r="M1233" s="917"/>
      <c r="N1233" s="917"/>
      <c r="O1233" s="917"/>
      <c r="P1233" s="917"/>
      <c r="Q1233" s="578"/>
      <c r="R1233" s="578"/>
      <c r="S1233" s="578"/>
      <c r="T1233" s="578"/>
      <c r="U1233" s="578"/>
      <c r="V1233" s="578"/>
      <c r="W1233" s="578"/>
      <c r="X1233" s="578"/>
      <c r="Y1233" s="578"/>
      <c r="Z1233" s="578"/>
    </row>
    <row r="1234" spans="1:26" ht="18.75">
      <c r="A1234" s="682"/>
      <c r="B1234" s="682"/>
      <c r="C1234" s="682"/>
      <c r="D1234" s="914"/>
      <c r="E1234" s="682"/>
      <c r="F1234" s="682"/>
      <c r="G1234" s="682"/>
      <c r="H1234" s="915"/>
      <c r="I1234" s="916"/>
      <c r="J1234" s="916"/>
      <c r="K1234" s="917"/>
      <c r="L1234" s="917"/>
      <c r="M1234" s="917"/>
      <c r="N1234" s="917"/>
      <c r="O1234" s="917"/>
      <c r="P1234" s="917"/>
      <c r="Q1234" s="578"/>
      <c r="R1234" s="578"/>
      <c r="S1234" s="578"/>
      <c r="T1234" s="578"/>
      <c r="U1234" s="578"/>
      <c r="V1234" s="578"/>
      <c r="W1234" s="578"/>
      <c r="X1234" s="578"/>
      <c r="Y1234" s="578"/>
      <c r="Z1234" s="578"/>
    </row>
    <row r="1235" spans="1:26" ht="18.75">
      <c r="A1235" s="682"/>
      <c r="B1235" s="682"/>
      <c r="C1235" s="682"/>
      <c r="D1235" s="914"/>
      <c r="E1235" s="682"/>
      <c r="F1235" s="682"/>
      <c r="G1235" s="682"/>
      <c r="H1235" s="915"/>
      <c r="I1235" s="916"/>
      <c r="J1235" s="916"/>
      <c r="K1235" s="917"/>
      <c r="L1235" s="917"/>
      <c r="M1235" s="917"/>
      <c r="N1235" s="917"/>
      <c r="O1235" s="917"/>
      <c r="P1235" s="917"/>
      <c r="Q1235" s="578"/>
      <c r="R1235" s="578"/>
      <c r="S1235" s="578"/>
      <c r="T1235" s="578"/>
      <c r="U1235" s="578"/>
      <c r="V1235" s="578"/>
      <c r="W1235" s="578"/>
      <c r="X1235" s="578"/>
      <c r="Y1235" s="578"/>
      <c r="Z1235" s="578"/>
    </row>
    <row r="1236" spans="1:26" ht="18.75">
      <c r="A1236" s="682"/>
      <c r="B1236" s="682"/>
      <c r="C1236" s="682"/>
      <c r="D1236" s="914"/>
      <c r="E1236" s="682"/>
      <c r="F1236" s="682"/>
      <c r="G1236" s="682"/>
      <c r="H1236" s="915"/>
      <c r="I1236" s="916"/>
      <c r="J1236" s="916"/>
      <c r="K1236" s="917"/>
      <c r="L1236" s="917"/>
      <c r="M1236" s="917"/>
      <c r="N1236" s="917"/>
      <c r="O1236" s="917"/>
      <c r="P1236" s="917"/>
      <c r="Q1236" s="578"/>
      <c r="R1236" s="578"/>
      <c r="S1236" s="578"/>
      <c r="T1236" s="578"/>
      <c r="U1236" s="578"/>
      <c r="V1236" s="578"/>
      <c r="W1236" s="578"/>
      <c r="X1236" s="578"/>
      <c r="Y1236" s="578"/>
      <c r="Z1236" s="578"/>
    </row>
    <row r="1237" spans="1:26" ht="18.75">
      <c r="A1237" s="682"/>
      <c r="B1237" s="682"/>
      <c r="C1237" s="682"/>
      <c r="D1237" s="914"/>
      <c r="E1237" s="682"/>
      <c r="F1237" s="682"/>
      <c r="G1237" s="682"/>
      <c r="H1237" s="915"/>
      <c r="I1237" s="916"/>
      <c r="J1237" s="916"/>
      <c r="K1237" s="917"/>
      <c r="L1237" s="917"/>
      <c r="M1237" s="917"/>
      <c r="N1237" s="917"/>
      <c r="O1237" s="917"/>
      <c r="P1237" s="917"/>
      <c r="Q1237" s="578"/>
      <c r="R1237" s="578"/>
      <c r="S1237" s="578"/>
      <c r="T1237" s="578"/>
      <c r="U1237" s="578"/>
      <c r="V1237" s="578"/>
      <c r="W1237" s="578"/>
      <c r="X1237" s="578"/>
      <c r="Y1237" s="578"/>
      <c r="Z1237" s="578"/>
    </row>
    <row r="1238" spans="1:26" ht="18.75">
      <c r="A1238" s="682"/>
      <c r="B1238" s="682"/>
      <c r="C1238" s="682"/>
      <c r="D1238" s="914"/>
      <c r="E1238" s="682"/>
      <c r="F1238" s="682"/>
      <c r="G1238" s="682"/>
      <c r="H1238" s="915"/>
      <c r="I1238" s="916"/>
      <c r="J1238" s="916"/>
      <c r="K1238" s="917"/>
      <c r="L1238" s="917"/>
      <c r="M1238" s="917"/>
      <c r="N1238" s="917"/>
      <c r="O1238" s="917"/>
      <c r="P1238" s="917"/>
      <c r="Q1238" s="578"/>
      <c r="R1238" s="578"/>
      <c r="S1238" s="578"/>
      <c r="T1238" s="578"/>
      <c r="U1238" s="578"/>
      <c r="V1238" s="578"/>
      <c r="W1238" s="578"/>
      <c r="X1238" s="578"/>
      <c r="Y1238" s="578"/>
      <c r="Z1238" s="578"/>
    </row>
    <row r="1239" spans="1:26" ht="18.75">
      <c r="A1239" s="682"/>
      <c r="B1239" s="682"/>
      <c r="C1239" s="682"/>
      <c r="D1239" s="914"/>
      <c r="E1239" s="682"/>
      <c r="F1239" s="682"/>
      <c r="G1239" s="682"/>
      <c r="H1239" s="915"/>
      <c r="I1239" s="916"/>
      <c r="J1239" s="916"/>
      <c r="K1239" s="917"/>
      <c r="L1239" s="917"/>
      <c r="M1239" s="917"/>
      <c r="N1239" s="917"/>
      <c r="O1239" s="917"/>
      <c r="P1239" s="917"/>
      <c r="Q1239" s="578"/>
      <c r="R1239" s="578"/>
      <c r="S1239" s="578"/>
      <c r="T1239" s="578"/>
      <c r="U1239" s="578"/>
      <c r="V1239" s="578"/>
      <c r="W1239" s="578"/>
      <c r="X1239" s="578"/>
      <c r="Y1239" s="578"/>
      <c r="Z1239" s="578"/>
    </row>
    <row r="1240" spans="1:26" ht="18.75">
      <c r="A1240" s="682"/>
      <c r="B1240" s="682"/>
      <c r="C1240" s="682"/>
      <c r="D1240" s="914"/>
      <c r="E1240" s="682"/>
      <c r="F1240" s="682"/>
      <c r="G1240" s="682"/>
      <c r="H1240" s="915"/>
      <c r="I1240" s="916"/>
      <c r="J1240" s="916"/>
      <c r="K1240" s="917"/>
      <c r="L1240" s="917"/>
      <c r="M1240" s="917"/>
      <c r="N1240" s="917"/>
      <c r="O1240" s="917"/>
      <c r="P1240" s="917"/>
      <c r="Q1240" s="578"/>
      <c r="R1240" s="578"/>
      <c r="S1240" s="578"/>
      <c r="T1240" s="578"/>
      <c r="U1240" s="578"/>
      <c r="V1240" s="578"/>
      <c r="W1240" s="578"/>
      <c r="X1240" s="578"/>
      <c r="Y1240" s="578"/>
      <c r="Z1240" s="578"/>
    </row>
    <row r="1241" spans="1:26" ht="18.75">
      <c r="A1241" s="682"/>
      <c r="B1241" s="682"/>
      <c r="C1241" s="682"/>
      <c r="D1241" s="914"/>
      <c r="E1241" s="682"/>
      <c r="F1241" s="682"/>
      <c r="G1241" s="682"/>
      <c r="H1241" s="915"/>
      <c r="I1241" s="916"/>
      <c r="J1241" s="916"/>
      <c r="K1241" s="917"/>
      <c r="L1241" s="917"/>
      <c r="M1241" s="917"/>
      <c r="N1241" s="917"/>
      <c r="O1241" s="917"/>
      <c r="P1241" s="917"/>
      <c r="Q1241" s="578"/>
      <c r="R1241" s="578"/>
      <c r="S1241" s="578"/>
      <c r="T1241" s="578"/>
      <c r="U1241" s="578"/>
      <c r="V1241" s="578"/>
      <c r="W1241" s="578"/>
      <c r="X1241" s="578"/>
      <c r="Y1241" s="578"/>
      <c r="Z1241" s="578"/>
    </row>
    <row r="1242" spans="1:26" ht="18.75">
      <c r="A1242" s="682"/>
      <c r="B1242" s="682"/>
      <c r="C1242" s="682"/>
      <c r="D1242" s="914"/>
      <c r="E1242" s="682"/>
      <c r="F1242" s="682"/>
      <c r="G1242" s="682"/>
      <c r="H1242" s="915"/>
      <c r="I1242" s="916"/>
      <c r="J1242" s="916"/>
      <c r="K1242" s="917"/>
      <c r="L1242" s="917"/>
      <c r="M1242" s="917"/>
      <c r="N1242" s="917"/>
      <c r="O1242" s="917"/>
      <c r="P1242" s="917"/>
      <c r="Q1242" s="578"/>
      <c r="R1242" s="578"/>
      <c r="S1242" s="578"/>
      <c r="T1242" s="578"/>
      <c r="U1242" s="578"/>
      <c r="V1242" s="578"/>
      <c r="W1242" s="578"/>
      <c r="X1242" s="578"/>
      <c r="Y1242" s="578"/>
      <c r="Z1242" s="578"/>
    </row>
    <row r="1243" spans="1:26" ht="18.75">
      <c r="A1243" s="682"/>
      <c r="B1243" s="682"/>
      <c r="C1243" s="682"/>
      <c r="D1243" s="914"/>
      <c r="E1243" s="682"/>
      <c r="F1243" s="682"/>
      <c r="G1243" s="682"/>
      <c r="H1243" s="915"/>
      <c r="I1243" s="916"/>
      <c r="J1243" s="916"/>
      <c r="K1243" s="917"/>
      <c r="L1243" s="917"/>
      <c r="M1243" s="917"/>
      <c r="N1243" s="917"/>
      <c r="O1243" s="917"/>
      <c r="P1243" s="917"/>
      <c r="Q1243" s="578"/>
      <c r="R1243" s="578"/>
      <c r="S1243" s="578"/>
      <c r="T1243" s="578"/>
      <c r="U1243" s="578"/>
      <c r="V1243" s="578"/>
      <c r="W1243" s="578"/>
      <c r="X1243" s="578"/>
      <c r="Y1243" s="578"/>
      <c r="Z1243" s="578"/>
    </row>
    <row r="1244" spans="1:26" ht="18.75">
      <c r="A1244" s="682"/>
      <c r="B1244" s="682"/>
      <c r="C1244" s="682"/>
      <c r="D1244" s="914"/>
      <c r="E1244" s="682"/>
      <c r="F1244" s="682"/>
      <c r="G1244" s="682"/>
      <c r="H1244" s="915"/>
      <c r="I1244" s="916"/>
      <c r="J1244" s="916"/>
      <c r="K1244" s="917"/>
      <c r="L1244" s="917"/>
      <c r="M1244" s="917"/>
      <c r="N1244" s="917"/>
      <c r="O1244" s="917"/>
      <c r="P1244" s="917"/>
      <c r="Q1244" s="578"/>
      <c r="R1244" s="578"/>
      <c r="S1244" s="578"/>
      <c r="T1244" s="578"/>
      <c r="U1244" s="578"/>
      <c r="V1244" s="578"/>
      <c r="W1244" s="578"/>
      <c r="X1244" s="578"/>
      <c r="Y1244" s="578"/>
      <c r="Z1244" s="578"/>
    </row>
    <row r="1245" spans="1:26" ht="18.75">
      <c r="A1245" s="682"/>
      <c r="B1245" s="682"/>
      <c r="C1245" s="682"/>
      <c r="D1245" s="914"/>
      <c r="E1245" s="682"/>
      <c r="F1245" s="682"/>
      <c r="G1245" s="682"/>
      <c r="H1245" s="915"/>
      <c r="I1245" s="916"/>
      <c r="J1245" s="916"/>
      <c r="K1245" s="917"/>
      <c r="L1245" s="917"/>
      <c r="M1245" s="917"/>
      <c r="N1245" s="917"/>
      <c r="O1245" s="917"/>
      <c r="P1245" s="917"/>
      <c r="Q1245" s="578"/>
      <c r="R1245" s="578"/>
      <c r="S1245" s="578"/>
      <c r="T1245" s="578"/>
      <c r="U1245" s="578"/>
      <c r="V1245" s="578"/>
      <c r="W1245" s="578"/>
      <c r="X1245" s="578"/>
      <c r="Y1245" s="578"/>
      <c r="Z1245" s="578"/>
    </row>
    <row r="1246" spans="1:26" ht="18.75">
      <c r="A1246" s="682"/>
      <c r="B1246" s="682"/>
      <c r="C1246" s="682"/>
      <c r="D1246" s="914"/>
      <c r="E1246" s="682"/>
      <c r="F1246" s="682"/>
      <c r="G1246" s="682"/>
      <c r="H1246" s="915"/>
      <c r="I1246" s="916"/>
      <c r="J1246" s="916"/>
      <c r="K1246" s="917"/>
      <c r="L1246" s="917"/>
      <c r="M1246" s="917"/>
      <c r="N1246" s="917"/>
      <c r="O1246" s="917"/>
      <c r="P1246" s="917"/>
      <c r="Q1246" s="578"/>
      <c r="R1246" s="578"/>
      <c r="S1246" s="578"/>
      <c r="T1246" s="578"/>
      <c r="U1246" s="578"/>
      <c r="V1246" s="578"/>
      <c r="W1246" s="578"/>
      <c r="X1246" s="578"/>
      <c r="Y1246" s="578"/>
      <c r="Z1246" s="578"/>
    </row>
    <row r="1247" spans="1:26" ht="18.75">
      <c r="A1247" s="682"/>
      <c r="B1247" s="682"/>
      <c r="C1247" s="682"/>
      <c r="D1247" s="914"/>
      <c r="E1247" s="682"/>
      <c r="F1247" s="682"/>
      <c r="G1247" s="682"/>
      <c r="H1247" s="915"/>
      <c r="I1247" s="916"/>
      <c r="J1247" s="916"/>
      <c r="K1247" s="917"/>
      <c r="L1247" s="917"/>
      <c r="M1247" s="917"/>
      <c r="N1247" s="917"/>
      <c r="O1247" s="917"/>
      <c r="P1247" s="917"/>
      <c r="Q1247" s="578"/>
      <c r="R1247" s="578"/>
      <c r="S1247" s="578"/>
      <c r="T1247" s="578"/>
      <c r="U1247" s="578"/>
      <c r="V1247" s="578"/>
      <c r="W1247" s="578"/>
      <c r="X1247" s="578"/>
      <c r="Y1247" s="578"/>
      <c r="Z1247" s="578"/>
    </row>
    <row r="1248" spans="1:26" ht="18.75">
      <c r="A1248" s="682"/>
      <c r="B1248" s="682"/>
      <c r="C1248" s="682"/>
      <c r="D1248" s="914"/>
      <c r="E1248" s="682"/>
      <c r="F1248" s="682"/>
      <c r="G1248" s="682"/>
      <c r="H1248" s="915"/>
      <c r="I1248" s="916"/>
      <c r="J1248" s="916"/>
      <c r="K1248" s="917"/>
      <c r="L1248" s="917"/>
      <c r="M1248" s="917"/>
      <c r="N1248" s="917"/>
      <c r="O1248" s="917"/>
      <c r="P1248" s="917"/>
      <c r="Q1248" s="578"/>
      <c r="R1248" s="578"/>
      <c r="S1248" s="578"/>
      <c r="T1248" s="578"/>
      <c r="U1248" s="578"/>
      <c r="V1248" s="578"/>
      <c r="W1248" s="578"/>
      <c r="X1248" s="578"/>
      <c r="Y1248" s="578"/>
      <c r="Z1248" s="578"/>
    </row>
    <row r="1249" spans="1:26" ht="18.75">
      <c r="A1249" s="682"/>
      <c r="B1249" s="682"/>
      <c r="C1249" s="682"/>
      <c r="D1249" s="914"/>
      <c r="E1249" s="682"/>
      <c r="F1249" s="682"/>
      <c r="G1249" s="682"/>
      <c r="H1249" s="915"/>
      <c r="I1249" s="916"/>
      <c r="J1249" s="916"/>
      <c r="K1249" s="917"/>
      <c r="L1249" s="917"/>
      <c r="M1249" s="917"/>
      <c r="N1249" s="917"/>
      <c r="O1249" s="917"/>
      <c r="P1249" s="917"/>
      <c r="Q1249" s="578"/>
      <c r="R1249" s="578"/>
      <c r="S1249" s="578"/>
      <c r="T1249" s="578"/>
      <c r="U1249" s="578"/>
      <c r="V1249" s="578"/>
      <c r="W1249" s="578"/>
      <c r="X1249" s="578"/>
      <c r="Y1249" s="578"/>
      <c r="Z1249" s="578"/>
    </row>
    <row r="1250" spans="1:26" ht="18.75">
      <c r="A1250" s="682"/>
      <c r="B1250" s="682"/>
      <c r="C1250" s="682"/>
      <c r="D1250" s="914"/>
      <c r="E1250" s="682"/>
      <c r="F1250" s="682"/>
      <c r="G1250" s="682"/>
      <c r="H1250" s="915"/>
      <c r="I1250" s="916"/>
      <c r="J1250" s="916"/>
      <c r="K1250" s="917"/>
      <c r="L1250" s="917"/>
      <c r="M1250" s="917"/>
      <c r="N1250" s="917"/>
      <c r="O1250" s="917"/>
      <c r="P1250" s="917"/>
      <c r="Q1250" s="578"/>
      <c r="R1250" s="578"/>
      <c r="S1250" s="578"/>
      <c r="T1250" s="578"/>
      <c r="U1250" s="578"/>
      <c r="V1250" s="578"/>
      <c r="W1250" s="578"/>
      <c r="X1250" s="578"/>
      <c r="Y1250" s="578"/>
      <c r="Z1250" s="578"/>
    </row>
    <row r="1251" spans="1:26" ht="18.75">
      <c r="A1251" s="682"/>
      <c r="B1251" s="682"/>
      <c r="C1251" s="682"/>
      <c r="D1251" s="914"/>
      <c r="E1251" s="682"/>
      <c r="F1251" s="682"/>
      <c r="G1251" s="682"/>
      <c r="H1251" s="915"/>
      <c r="I1251" s="916"/>
      <c r="J1251" s="916"/>
      <c r="K1251" s="917"/>
      <c r="L1251" s="917"/>
      <c r="M1251" s="917"/>
      <c r="N1251" s="917"/>
      <c r="O1251" s="917"/>
      <c r="P1251" s="917"/>
      <c r="Q1251" s="578"/>
      <c r="R1251" s="578"/>
      <c r="S1251" s="578"/>
      <c r="T1251" s="578"/>
      <c r="U1251" s="578"/>
      <c r="V1251" s="578"/>
      <c r="W1251" s="578"/>
      <c r="X1251" s="578"/>
      <c r="Y1251" s="578"/>
      <c r="Z1251" s="578"/>
    </row>
    <row r="1252" spans="1:26" ht="18.75">
      <c r="A1252" s="682"/>
      <c r="B1252" s="682"/>
      <c r="C1252" s="682"/>
      <c r="D1252" s="914"/>
      <c r="E1252" s="682"/>
      <c r="F1252" s="682"/>
      <c r="G1252" s="682"/>
      <c r="H1252" s="915"/>
      <c r="I1252" s="916"/>
      <c r="J1252" s="916"/>
      <c r="K1252" s="917"/>
      <c r="L1252" s="917"/>
      <c r="M1252" s="917"/>
      <c r="N1252" s="917"/>
      <c r="O1252" s="917"/>
      <c r="P1252" s="917"/>
      <c r="Q1252" s="578"/>
      <c r="R1252" s="578"/>
      <c r="S1252" s="578"/>
      <c r="T1252" s="578"/>
      <c r="U1252" s="578"/>
      <c r="V1252" s="578"/>
      <c r="W1252" s="578"/>
      <c r="X1252" s="578"/>
      <c r="Y1252" s="578"/>
      <c r="Z1252" s="578"/>
    </row>
    <row r="1253" spans="1:26" ht="18.75">
      <c r="A1253" s="682"/>
      <c r="B1253" s="682"/>
      <c r="C1253" s="682"/>
      <c r="D1253" s="914"/>
      <c r="E1253" s="682"/>
      <c r="F1253" s="682"/>
      <c r="G1253" s="682"/>
      <c r="H1253" s="915"/>
      <c r="I1253" s="916"/>
      <c r="J1253" s="916"/>
      <c r="K1253" s="917"/>
      <c r="L1253" s="917"/>
      <c r="M1253" s="917"/>
      <c r="N1253" s="917"/>
      <c r="O1253" s="917"/>
      <c r="P1253" s="917"/>
      <c r="Q1253" s="578"/>
      <c r="R1253" s="578"/>
      <c r="S1253" s="578"/>
      <c r="T1253" s="578"/>
      <c r="U1253" s="578"/>
      <c r="V1253" s="578"/>
      <c r="W1253" s="578"/>
      <c r="X1253" s="578"/>
      <c r="Y1253" s="578"/>
      <c r="Z1253" s="578"/>
    </row>
    <row r="1254" spans="1:26" ht="18.75">
      <c r="A1254" s="682"/>
      <c r="B1254" s="682"/>
      <c r="C1254" s="682"/>
      <c r="D1254" s="914"/>
      <c r="E1254" s="682"/>
      <c r="F1254" s="682"/>
      <c r="G1254" s="682"/>
      <c r="H1254" s="915"/>
      <c r="I1254" s="916"/>
      <c r="J1254" s="916"/>
      <c r="K1254" s="917"/>
      <c r="L1254" s="917"/>
      <c r="M1254" s="917"/>
      <c r="N1254" s="917"/>
      <c r="O1254" s="917"/>
      <c r="P1254" s="917"/>
      <c r="Q1254" s="578"/>
      <c r="R1254" s="578"/>
      <c r="S1254" s="578"/>
      <c r="T1254" s="578"/>
      <c r="U1254" s="578"/>
      <c r="V1254" s="578"/>
      <c r="W1254" s="578"/>
      <c r="X1254" s="578"/>
      <c r="Y1254" s="578"/>
      <c r="Z1254" s="578"/>
    </row>
    <row r="1255" spans="1:26" ht="18.75">
      <c r="A1255" s="682"/>
      <c r="B1255" s="682"/>
      <c r="C1255" s="682"/>
      <c r="D1255" s="914"/>
      <c r="E1255" s="682"/>
      <c r="F1255" s="682"/>
      <c r="G1255" s="682"/>
      <c r="H1255" s="915"/>
      <c r="I1255" s="916"/>
      <c r="J1255" s="916"/>
      <c r="K1255" s="917"/>
      <c r="L1255" s="917"/>
      <c r="M1255" s="917"/>
      <c r="N1255" s="917"/>
      <c r="O1255" s="917"/>
      <c r="P1255" s="917"/>
      <c r="Q1255" s="578"/>
      <c r="R1255" s="578"/>
      <c r="S1255" s="578"/>
      <c r="T1255" s="578"/>
      <c r="U1255" s="578"/>
      <c r="V1255" s="578"/>
      <c r="W1255" s="578"/>
      <c r="X1255" s="578"/>
      <c r="Y1255" s="578"/>
      <c r="Z1255" s="578"/>
    </row>
    <row r="1256" spans="1:26" ht="18.75">
      <c r="A1256" s="682"/>
      <c r="B1256" s="682"/>
      <c r="C1256" s="682"/>
      <c r="D1256" s="914"/>
      <c r="E1256" s="682"/>
      <c r="F1256" s="682"/>
      <c r="G1256" s="682"/>
      <c r="H1256" s="915"/>
      <c r="I1256" s="916"/>
      <c r="J1256" s="916"/>
      <c r="K1256" s="917"/>
      <c r="L1256" s="917"/>
      <c r="M1256" s="917"/>
      <c r="N1256" s="917"/>
      <c r="O1256" s="917"/>
      <c r="P1256" s="917"/>
      <c r="Q1256" s="578"/>
      <c r="R1256" s="578"/>
      <c r="S1256" s="578"/>
      <c r="T1256" s="578"/>
      <c r="U1256" s="578"/>
      <c r="V1256" s="578"/>
      <c r="W1256" s="578"/>
      <c r="X1256" s="578"/>
      <c r="Y1256" s="578"/>
      <c r="Z1256" s="578"/>
    </row>
    <row r="1257" spans="1:26" ht="18.75">
      <c r="A1257" s="682"/>
      <c r="B1257" s="682"/>
      <c r="C1257" s="682"/>
      <c r="D1257" s="914"/>
      <c r="E1257" s="682"/>
      <c r="F1257" s="682"/>
      <c r="G1257" s="682"/>
      <c r="H1257" s="915"/>
      <c r="I1257" s="916"/>
      <c r="J1257" s="916"/>
      <c r="K1257" s="917"/>
      <c r="L1257" s="917"/>
      <c r="M1257" s="917"/>
      <c r="N1257" s="917"/>
      <c r="O1257" s="917"/>
      <c r="P1257" s="917"/>
      <c r="Q1257" s="578"/>
      <c r="R1257" s="578"/>
      <c r="S1257" s="578"/>
      <c r="T1257" s="578"/>
      <c r="U1257" s="578"/>
      <c r="V1257" s="578"/>
      <c r="W1257" s="578"/>
      <c r="X1257" s="578"/>
      <c r="Y1257" s="578"/>
      <c r="Z1257" s="578"/>
    </row>
    <row r="1258" spans="1:26" ht="18.75">
      <c r="A1258" s="682"/>
      <c r="B1258" s="682"/>
      <c r="C1258" s="682"/>
      <c r="D1258" s="914"/>
      <c r="E1258" s="682"/>
      <c r="F1258" s="682"/>
      <c r="G1258" s="682"/>
      <c r="H1258" s="915"/>
      <c r="I1258" s="916"/>
      <c r="J1258" s="916"/>
      <c r="K1258" s="917"/>
      <c r="L1258" s="917"/>
      <c r="M1258" s="917"/>
      <c r="N1258" s="917"/>
      <c r="O1258" s="917"/>
      <c r="P1258" s="917"/>
      <c r="Q1258" s="578"/>
      <c r="R1258" s="578"/>
      <c r="S1258" s="578"/>
      <c r="T1258" s="578"/>
      <c r="U1258" s="578"/>
      <c r="V1258" s="578"/>
      <c r="W1258" s="578"/>
      <c r="X1258" s="578"/>
      <c r="Y1258" s="578"/>
      <c r="Z1258" s="578"/>
    </row>
    <row r="1259" spans="1:26" ht="18.75">
      <c r="A1259" s="682"/>
      <c r="B1259" s="682"/>
      <c r="C1259" s="682"/>
      <c r="D1259" s="914"/>
      <c r="E1259" s="682"/>
      <c r="F1259" s="682"/>
      <c r="G1259" s="682"/>
      <c r="H1259" s="915"/>
      <c r="I1259" s="916"/>
      <c r="J1259" s="916"/>
      <c r="K1259" s="917"/>
      <c r="L1259" s="917"/>
      <c r="M1259" s="917"/>
      <c r="N1259" s="917"/>
      <c r="O1259" s="917"/>
      <c r="P1259" s="917"/>
      <c r="Q1259" s="578"/>
      <c r="R1259" s="578"/>
      <c r="S1259" s="578"/>
      <c r="T1259" s="578"/>
      <c r="U1259" s="578"/>
      <c r="V1259" s="578"/>
      <c r="W1259" s="578"/>
      <c r="X1259" s="578"/>
      <c r="Y1259" s="578"/>
      <c r="Z1259" s="578"/>
    </row>
    <row r="1260" spans="1:26" ht="18.75">
      <c r="A1260" s="682"/>
      <c r="B1260" s="682"/>
      <c r="C1260" s="682"/>
      <c r="D1260" s="914"/>
      <c r="E1260" s="682"/>
      <c r="F1260" s="682"/>
      <c r="G1260" s="682"/>
      <c r="H1260" s="915"/>
      <c r="I1260" s="916"/>
      <c r="J1260" s="916"/>
      <c r="K1260" s="917"/>
      <c r="L1260" s="917"/>
      <c r="M1260" s="917"/>
      <c r="N1260" s="917"/>
      <c r="O1260" s="917"/>
      <c r="P1260" s="917"/>
      <c r="Q1260" s="578"/>
      <c r="R1260" s="578"/>
      <c r="S1260" s="578"/>
      <c r="T1260" s="578"/>
      <c r="U1260" s="578"/>
      <c r="V1260" s="578"/>
      <c r="W1260" s="578"/>
      <c r="X1260" s="578"/>
      <c r="Y1260" s="578"/>
      <c r="Z1260" s="578"/>
    </row>
    <row r="1261" spans="1:26" ht="18.75">
      <c r="A1261" s="682"/>
      <c r="B1261" s="682"/>
      <c r="C1261" s="682"/>
      <c r="D1261" s="914"/>
      <c r="E1261" s="682"/>
      <c r="F1261" s="682"/>
      <c r="G1261" s="682"/>
      <c r="H1261" s="915"/>
      <c r="I1261" s="916"/>
      <c r="J1261" s="916"/>
      <c r="K1261" s="917"/>
      <c r="L1261" s="917"/>
      <c r="M1261" s="917"/>
      <c r="N1261" s="917"/>
      <c r="O1261" s="917"/>
      <c r="P1261" s="917"/>
      <c r="Q1261" s="578"/>
      <c r="R1261" s="578"/>
      <c r="S1261" s="578"/>
      <c r="T1261" s="578"/>
      <c r="U1261" s="578"/>
      <c r="V1261" s="578"/>
      <c r="W1261" s="578"/>
      <c r="X1261" s="578"/>
      <c r="Y1261" s="578"/>
      <c r="Z1261" s="578"/>
    </row>
    <row r="1262" spans="1:26" ht="18.75">
      <c r="A1262" s="682"/>
      <c r="B1262" s="682"/>
      <c r="C1262" s="682"/>
      <c r="D1262" s="914"/>
      <c r="E1262" s="682"/>
      <c r="F1262" s="682"/>
      <c r="G1262" s="682"/>
      <c r="H1262" s="915"/>
      <c r="I1262" s="916"/>
      <c r="J1262" s="916"/>
      <c r="K1262" s="917"/>
      <c r="L1262" s="917"/>
      <c r="M1262" s="917"/>
      <c r="N1262" s="917"/>
      <c r="O1262" s="917"/>
      <c r="P1262" s="917"/>
      <c r="Q1262" s="578"/>
      <c r="R1262" s="578"/>
      <c r="S1262" s="578"/>
      <c r="T1262" s="578"/>
      <c r="U1262" s="578"/>
      <c r="V1262" s="578"/>
      <c r="W1262" s="578"/>
      <c r="X1262" s="578"/>
      <c r="Y1262" s="578"/>
      <c r="Z1262" s="578"/>
    </row>
    <row r="1263" spans="1:26" ht="18.75">
      <c r="A1263" s="682"/>
      <c r="B1263" s="682"/>
      <c r="C1263" s="682"/>
      <c r="D1263" s="914"/>
      <c r="E1263" s="682"/>
      <c r="F1263" s="682"/>
      <c r="G1263" s="682"/>
      <c r="H1263" s="915"/>
      <c r="I1263" s="916"/>
      <c r="J1263" s="916"/>
      <c r="K1263" s="917"/>
      <c r="L1263" s="917"/>
      <c r="M1263" s="917"/>
      <c r="N1263" s="917"/>
      <c r="O1263" s="917"/>
      <c r="P1263" s="917"/>
      <c r="Q1263" s="578"/>
      <c r="R1263" s="578"/>
      <c r="S1263" s="578"/>
      <c r="T1263" s="578"/>
      <c r="U1263" s="578"/>
      <c r="V1263" s="578"/>
      <c r="W1263" s="578"/>
      <c r="X1263" s="578"/>
      <c r="Y1263" s="578"/>
      <c r="Z1263" s="578"/>
    </row>
    <row r="1264" spans="1:26" ht="18.75">
      <c r="A1264" s="682"/>
      <c r="B1264" s="682"/>
      <c r="C1264" s="682"/>
      <c r="D1264" s="914"/>
      <c r="E1264" s="682"/>
      <c r="F1264" s="682"/>
      <c r="G1264" s="682"/>
      <c r="H1264" s="915"/>
      <c r="I1264" s="916"/>
      <c r="J1264" s="916"/>
      <c r="K1264" s="917"/>
      <c r="L1264" s="917"/>
      <c r="M1264" s="917"/>
      <c r="N1264" s="917"/>
      <c r="O1264" s="917"/>
      <c r="P1264" s="917"/>
      <c r="Q1264" s="578"/>
      <c r="R1264" s="578"/>
      <c r="S1264" s="578"/>
      <c r="T1264" s="578"/>
      <c r="U1264" s="578"/>
      <c r="V1264" s="578"/>
      <c r="W1264" s="578"/>
      <c r="X1264" s="578"/>
      <c r="Y1264" s="578"/>
      <c r="Z1264" s="578"/>
    </row>
    <row r="1265" spans="1:26" ht="18.75">
      <c r="A1265" s="682"/>
      <c r="B1265" s="682"/>
      <c r="C1265" s="682"/>
      <c r="D1265" s="914"/>
      <c r="E1265" s="682"/>
      <c r="F1265" s="682"/>
      <c r="G1265" s="682"/>
      <c r="H1265" s="915"/>
      <c r="I1265" s="916"/>
      <c r="J1265" s="916"/>
      <c r="K1265" s="917"/>
      <c r="L1265" s="917"/>
      <c r="M1265" s="917"/>
      <c r="N1265" s="917"/>
      <c r="O1265" s="917"/>
      <c r="P1265" s="917"/>
      <c r="Q1265" s="578"/>
      <c r="R1265" s="578"/>
      <c r="S1265" s="578"/>
      <c r="T1265" s="578"/>
      <c r="U1265" s="578"/>
      <c r="V1265" s="578"/>
      <c r="W1265" s="578"/>
      <c r="X1265" s="578"/>
      <c r="Y1265" s="578"/>
      <c r="Z1265" s="578"/>
    </row>
    <row r="1266" spans="1:26" ht="18.75">
      <c r="A1266" s="682"/>
      <c r="B1266" s="682"/>
      <c r="C1266" s="682"/>
      <c r="D1266" s="914"/>
      <c r="E1266" s="682"/>
      <c r="F1266" s="682"/>
      <c r="G1266" s="682"/>
      <c r="H1266" s="915"/>
      <c r="I1266" s="916"/>
      <c r="J1266" s="916"/>
      <c r="K1266" s="917"/>
      <c r="L1266" s="917"/>
      <c r="M1266" s="917"/>
      <c r="N1266" s="917"/>
      <c r="O1266" s="917"/>
      <c r="P1266" s="917"/>
      <c r="Q1266" s="578"/>
      <c r="R1266" s="578"/>
      <c r="S1266" s="578"/>
      <c r="T1266" s="578"/>
      <c r="U1266" s="578"/>
      <c r="V1266" s="578"/>
      <c r="W1266" s="578"/>
      <c r="X1266" s="578"/>
      <c r="Y1266" s="578"/>
      <c r="Z1266" s="578"/>
    </row>
    <row r="1267" spans="1:26" ht="18.75">
      <c r="A1267" s="682"/>
      <c r="B1267" s="682"/>
      <c r="C1267" s="682"/>
      <c r="D1267" s="914"/>
      <c r="E1267" s="682"/>
      <c r="F1267" s="682"/>
      <c r="G1267" s="682"/>
      <c r="H1267" s="915"/>
      <c r="I1267" s="916"/>
      <c r="J1267" s="916"/>
      <c r="K1267" s="917"/>
      <c r="L1267" s="917"/>
      <c r="M1267" s="917"/>
      <c r="N1267" s="917"/>
      <c r="O1267" s="917"/>
      <c r="P1267" s="917"/>
      <c r="Q1267" s="578"/>
      <c r="R1267" s="578"/>
      <c r="S1267" s="578"/>
      <c r="T1267" s="578"/>
      <c r="U1267" s="578"/>
      <c r="V1267" s="578"/>
      <c r="W1267" s="578"/>
      <c r="X1267" s="578"/>
      <c r="Y1267" s="578"/>
      <c r="Z1267" s="578"/>
    </row>
    <row r="1268" spans="1:26" ht="18.75">
      <c r="A1268" s="682"/>
      <c r="B1268" s="682"/>
      <c r="C1268" s="682"/>
      <c r="D1268" s="914"/>
      <c r="E1268" s="682"/>
      <c r="F1268" s="682"/>
      <c r="G1268" s="682"/>
      <c r="H1268" s="915"/>
      <c r="I1268" s="916"/>
      <c r="J1268" s="916"/>
      <c r="K1268" s="917"/>
      <c r="L1268" s="917"/>
      <c r="M1268" s="917"/>
      <c r="N1268" s="917"/>
      <c r="O1268" s="917"/>
      <c r="P1268" s="917"/>
      <c r="Q1268" s="578"/>
      <c r="R1268" s="578"/>
      <c r="S1268" s="578"/>
      <c r="T1268" s="578"/>
      <c r="U1268" s="578"/>
      <c r="V1268" s="578"/>
      <c r="W1268" s="578"/>
      <c r="X1268" s="578"/>
      <c r="Y1268" s="578"/>
      <c r="Z1268" s="578"/>
    </row>
    <row r="1269" spans="1:26" ht="18.75">
      <c r="A1269" s="682"/>
      <c r="B1269" s="682"/>
      <c r="C1269" s="682"/>
      <c r="D1269" s="914"/>
      <c r="E1269" s="682"/>
      <c r="F1269" s="682"/>
      <c r="G1269" s="682"/>
      <c r="H1269" s="915"/>
      <c r="I1269" s="916"/>
      <c r="J1269" s="916"/>
      <c r="K1269" s="917"/>
      <c r="L1269" s="917"/>
      <c r="M1269" s="917"/>
      <c r="N1269" s="917"/>
      <c r="O1269" s="917"/>
      <c r="P1269" s="917"/>
      <c r="Q1269" s="578"/>
      <c r="R1269" s="578"/>
      <c r="S1269" s="578"/>
      <c r="T1269" s="578"/>
      <c r="U1269" s="578"/>
      <c r="V1269" s="578"/>
      <c r="W1269" s="578"/>
      <c r="X1269" s="578"/>
      <c r="Y1269" s="578"/>
      <c r="Z1269" s="578"/>
    </row>
    <row r="1270" spans="1:26" ht="18.75">
      <c r="A1270" s="682"/>
      <c r="B1270" s="682"/>
      <c r="C1270" s="682"/>
      <c r="D1270" s="914"/>
      <c r="E1270" s="682"/>
      <c r="F1270" s="682"/>
      <c r="G1270" s="682"/>
      <c r="H1270" s="915"/>
      <c r="I1270" s="916"/>
      <c r="J1270" s="916"/>
      <c r="K1270" s="917"/>
      <c r="L1270" s="917"/>
      <c r="M1270" s="917"/>
      <c r="N1270" s="917"/>
      <c r="O1270" s="917"/>
      <c r="P1270" s="917"/>
      <c r="Q1270" s="578"/>
      <c r="R1270" s="578"/>
      <c r="S1270" s="578"/>
      <c r="T1270" s="578"/>
      <c r="U1270" s="578"/>
      <c r="V1270" s="578"/>
      <c r="W1270" s="578"/>
      <c r="X1270" s="578"/>
      <c r="Y1270" s="578"/>
      <c r="Z1270" s="578"/>
    </row>
    <row r="1271" spans="1:26" ht="18.75">
      <c r="A1271" s="682"/>
      <c r="B1271" s="682"/>
      <c r="C1271" s="682"/>
      <c r="D1271" s="914"/>
      <c r="E1271" s="682"/>
      <c r="F1271" s="682"/>
      <c r="G1271" s="682"/>
      <c r="H1271" s="915"/>
      <c r="I1271" s="916"/>
      <c r="J1271" s="916"/>
      <c r="K1271" s="917"/>
      <c r="L1271" s="917"/>
      <c r="M1271" s="917"/>
      <c r="N1271" s="917"/>
      <c r="O1271" s="917"/>
      <c r="P1271" s="917"/>
      <c r="Q1271" s="578"/>
      <c r="R1271" s="578"/>
      <c r="S1271" s="578"/>
      <c r="T1271" s="578"/>
      <c r="U1271" s="578"/>
      <c r="V1271" s="578"/>
      <c r="W1271" s="578"/>
      <c r="X1271" s="578"/>
      <c r="Y1271" s="578"/>
      <c r="Z1271" s="578"/>
    </row>
    <row r="1272" spans="1:26" ht="18.75">
      <c r="A1272" s="682"/>
      <c r="B1272" s="682"/>
      <c r="C1272" s="682"/>
      <c r="D1272" s="914"/>
      <c r="E1272" s="682"/>
      <c r="F1272" s="682"/>
      <c r="G1272" s="682"/>
      <c r="H1272" s="915"/>
      <c r="I1272" s="916"/>
      <c r="J1272" s="916"/>
      <c r="K1272" s="917"/>
      <c r="L1272" s="917"/>
      <c r="M1272" s="917"/>
      <c r="N1272" s="917"/>
      <c r="O1272" s="917"/>
      <c r="P1272" s="917"/>
      <c r="Q1272" s="578"/>
      <c r="R1272" s="578"/>
      <c r="S1272" s="578"/>
      <c r="T1272" s="578"/>
      <c r="U1272" s="578"/>
      <c r="V1272" s="578"/>
      <c r="W1272" s="578"/>
      <c r="X1272" s="578"/>
      <c r="Y1272" s="578"/>
      <c r="Z1272" s="578"/>
    </row>
    <row r="1273" spans="1:26" ht="18.75">
      <c r="A1273" s="682"/>
      <c r="B1273" s="682"/>
      <c r="C1273" s="682"/>
      <c r="D1273" s="914"/>
      <c r="E1273" s="682"/>
      <c r="F1273" s="682"/>
      <c r="G1273" s="682"/>
      <c r="H1273" s="915"/>
      <c r="I1273" s="916"/>
      <c r="J1273" s="916"/>
      <c r="K1273" s="917"/>
      <c r="L1273" s="917"/>
      <c r="M1273" s="917"/>
      <c r="N1273" s="917"/>
      <c r="O1273" s="917"/>
      <c r="P1273" s="917"/>
      <c r="Q1273" s="578"/>
      <c r="R1273" s="578"/>
      <c r="S1273" s="578"/>
      <c r="T1273" s="578"/>
      <c r="U1273" s="578"/>
      <c r="V1273" s="578"/>
      <c r="W1273" s="578"/>
      <c r="X1273" s="578"/>
      <c r="Y1273" s="578"/>
      <c r="Z1273" s="578"/>
    </row>
    <row r="1274" spans="1:26" ht="18.75">
      <c r="A1274" s="682"/>
      <c r="B1274" s="682"/>
      <c r="C1274" s="682"/>
      <c r="D1274" s="914"/>
      <c r="E1274" s="682"/>
      <c r="F1274" s="682"/>
      <c r="G1274" s="682"/>
      <c r="H1274" s="915"/>
      <c r="I1274" s="916"/>
      <c r="J1274" s="916"/>
      <c r="K1274" s="917"/>
      <c r="L1274" s="917"/>
      <c r="M1274" s="917"/>
      <c r="N1274" s="917"/>
      <c r="O1274" s="917"/>
      <c r="P1274" s="917"/>
      <c r="Q1274" s="578"/>
      <c r="R1274" s="578"/>
      <c r="S1274" s="578"/>
      <c r="T1274" s="578"/>
      <c r="U1274" s="578"/>
      <c r="V1274" s="578"/>
      <c r="W1274" s="578"/>
      <c r="X1274" s="578"/>
      <c r="Y1274" s="578"/>
      <c r="Z1274" s="578"/>
    </row>
    <row r="1275" spans="1:26" ht="18.75">
      <c r="A1275" s="682"/>
      <c r="B1275" s="682"/>
      <c r="C1275" s="682"/>
      <c r="D1275" s="914"/>
      <c r="E1275" s="682"/>
      <c r="F1275" s="682"/>
      <c r="G1275" s="682"/>
      <c r="H1275" s="915"/>
      <c r="I1275" s="916"/>
      <c r="J1275" s="916"/>
      <c r="K1275" s="917"/>
      <c r="L1275" s="917"/>
      <c r="M1275" s="917"/>
      <c r="N1275" s="917"/>
      <c r="O1275" s="917"/>
      <c r="P1275" s="917"/>
      <c r="Q1275" s="578"/>
      <c r="R1275" s="578"/>
      <c r="S1275" s="578"/>
      <c r="T1275" s="578"/>
      <c r="U1275" s="578"/>
      <c r="V1275" s="578"/>
      <c r="W1275" s="578"/>
      <c r="X1275" s="578"/>
      <c r="Y1275" s="578"/>
      <c r="Z1275" s="578"/>
    </row>
    <row r="1276" spans="1:26" ht="18.75">
      <c r="A1276" s="682"/>
      <c r="B1276" s="682"/>
      <c r="C1276" s="682"/>
      <c r="D1276" s="914"/>
      <c r="E1276" s="682"/>
      <c r="F1276" s="682"/>
      <c r="G1276" s="682"/>
      <c r="H1276" s="915"/>
      <c r="I1276" s="916"/>
      <c r="J1276" s="916"/>
      <c r="K1276" s="917"/>
      <c r="L1276" s="917"/>
      <c r="M1276" s="917"/>
      <c r="N1276" s="917"/>
      <c r="O1276" s="917"/>
      <c r="P1276" s="917"/>
      <c r="Q1276" s="578"/>
      <c r="R1276" s="578"/>
      <c r="S1276" s="578"/>
      <c r="T1276" s="578"/>
      <c r="U1276" s="578"/>
      <c r="V1276" s="578"/>
      <c r="W1276" s="578"/>
      <c r="X1276" s="578"/>
      <c r="Y1276" s="578"/>
      <c r="Z1276" s="578"/>
    </row>
    <row r="1277" spans="1:26" ht="18.75">
      <c r="A1277" s="682"/>
      <c r="B1277" s="682"/>
      <c r="C1277" s="682"/>
      <c r="D1277" s="914"/>
      <c r="E1277" s="682"/>
      <c r="F1277" s="682"/>
      <c r="G1277" s="682"/>
      <c r="H1277" s="915"/>
      <c r="I1277" s="916"/>
      <c r="J1277" s="916"/>
      <c r="K1277" s="917"/>
      <c r="L1277" s="917"/>
      <c r="M1277" s="917"/>
      <c r="N1277" s="917"/>
      <c r="O1277" s="917"/>
      <c r="P1277" s="917"/>
      <c r="Q1277" s="578"/>
      <c r="R1277" s="578"/>
      <c r="S1277" s="578"/>
      <c r="T1277" s="578"/>
      <c r="U1277" s="578"/>
      <c r="V1277" s="578"/>
      <c r="W1277" s="578"/>
      <c r="X1277" s="578"/>
      <c r="Y1277" s="578"/>
      <c r="Z1277" s="578"/>
    </row>
    <row r="1278" spans="1:26" ht="18.75">
      <c r="A1278" s="682"/>
      <c r="B1278" s="682"/>
      <c r="C1278" s="682"/>
      <c r="D1278" s="914"/>
      <c r="E1278" s="682"/>
      <c r="F1278" s="682"/>
      <c r="G1278" s="682"/>
      <c r="H1278" s="915"/>
      <c r="I1278" s="916"/>
      <c r="J1278" s="916"/>
      <c r="K1278" s="917"/>
      <c r="L1278" s="917"/>
      <c r="M1278" s="917"/>
      <c r="N1278" s="917"/>
      <c r="O1278" s="917"/>
      <c r="P1278" s="917"/>
      <c r="Q1278" s="578"/>
      <c r="R1278" s="578"/>
      <c r="S1278" s="578"/>
      <c r="T1278" s="578"/>
      <c r="U1278" s="578"/>
      <c r="V1278" s="578"/>
      <c r="W1278" s="578"/>
      <c r="X1278" s="578"/>
      <c r="Y1278" s="578"/>
      <c r="Z1278" s="578"/>
    </row>
    <row r="1279" spans="1:26" ht="18.75">
      <c r="A1279" s="682"/>
      <c r="B1279" s="682"/>
      <c r="C1279" s="682"/>
      <c r="D1279" s="914"/>
      <c r="E1279" s="682"/>
      <c r="F1279" s="682"/>
      <c r="G1279" s="682"/>
      <c r="H1279" s="915"/>
      <c r="I1279" s="916"/>
      <c r="J1279" s="916"/>
      <c r="K1279" s="917"/>
      <c r="L1279" s="917"/>
      <c r="M1279" s="917"/>
      <c r="N1279" s="917"/>
      <c r="O1279" s="917"/>
      <c r="P1279" s="917"/>
      <c r="Q1279" s="578"/>
      <c r="R1279" s="578"/>
      <c r="S1279" s="578"/>
      <c r="T1279" s="578"/>
      <c r="U1279" s="578"/>
      <c r="V1279" s="578"/>
      <c r="W1279" s="578"/>
      <c r="X1279" s="578"/>
      <c r="Y1279" s="578"/>
      <c r="Z1279" s="578"/>
    </row>
    <row r="1280" spans="1:26" ht="18.75">
      <c r="A1280" s="682"/>
      <c r="B1280" s="682"/>
      <c r="C1280" s="682"/>
      <c r="D1280" s="914"/>
      <c r="E1280" s="682"/>
      <c r="F1280" s="682"/>
      <c r="G1280" s="682"/>
      <c r="H1280" s="915"/>
      <c r="I1280" s="916"/>
      <c r="J1280" s="916"/>
      <c r="K1280" s="917"/>
      <c r="L1280" s="917"/>
      <c r="M1280" s="917"/>
      <c r="N1280" s="917"/>
      <c r="O1280" s="917"/>
      <c r="P1280" s="917"/>
      <c r="Q1280" s="578"/>
      <c r="R1280" s="578"/>
      <c r="S1280" s="578"/>
      <c r="T1280" s="578"/>
      <c r="U1280" s="578"/>
      <c r="V1280" s="578"/>
      <c r="W1280" s="578"/>
      <c r="X1280" s="578"/>
      <c r="Y1280" s="578"/>
      <c r="Z1280" s="578"/>
    </row>
    <row r="1281" spans="1:26" ht="18.75">
      <c r="A1281" s="682"/>
      <c r="B1281" s="682"/>
      <c r="C1281" s="682"/>
      <c r="D1281" s="914"/>
      <c r="E1281" s="682"/>
      <c r="F1281" s="682"/>
      <c r="G1281" s="682"/>
      <c r="H1281" s="915"/>
      <c r="I1281" s="916"/>
      <c r="J1281" s="916"/>
      <c r="K1281" s="917"/>
      <c r="L1281" s="917"/>
      <c r="M1281" s="917"/>
      <c r="N1281" s="917"/>
      <c r="O1281" s="917"/>
      <c r="P1281" s="917"/>
      <c r="Q1281" s="578"/>
      <c r="R1281" s="578"/>
      <c r="S1281" s="578"/>
      <c r="T1281" s="578"/>
      <c r="U1281" s="578"/>
      <c r="V1281" s="578"/>
      <c r="W1281" s="578"/>
      <c r="X1281" s="578"/>
      <c r="Y1281" s="578"/>
      <c r="Z1281" s="578"/>
    </row>
    <row r="1282" spans="1:26" ht="18.75">
      <c r="A1282" s="682"/>
      <c r="B1282" s="682"/>
      <c r="C1282" s="682"/>
      <c r="D1282" s="914"/>
      <c r="E1282" s="682"/>
      <c r="F1282" s="682"/>
      <c r="G1282" s="682"/>
      <c r="H1282" s="915"/>
      <c r="I1282" s="916"/>
      <c r="J1282" s="916"/>
      <c r="K1282" s="917"/>
      <c r="L1282" s="917"/>
      <c r="M1282" s="917"/>
      <c r="N1282" s="917"/>
      <c r="O1282" s="917"/>
      <c r="P1282" s="917"/>
      <c r="Q1282" s="578"/>
      <c r="R1282" s="578"/>
      <c r="S1282" s="578"/>
      <c r="T1282" s="578"/>
      <c r="U1282" s="578"/>
      <c r="V1282" s="578"/>
      <c r="W1282" s="578"/>
      <c r="X1282" s="578"/>
      <c r="Y1282" s="578"/>
      <c r="Z1282" s="578"/>
    </row>
    <row r="1283" spans="1:26" ht="18.75">
      <c r="A1283" s="682"/>
      <c r="B1283" s="682"/>
      <c r="C1283" s="682"/>
      <c r="D1283" s="914"/>
      <c r="E1283" s="682"/>
      <c r="F1283" s="682"/>
      <c r="G1283" s="682"/>
      <c r="H1283" s="915"/>
      <c r="I1283" s="916"/>
      <c r="J1283" s="916"/>
      <c r="K1283" s="917"/>
      <c r="L1283" s="917"/>
      <c r="M1283" s="917"/>
      <c r="N1283" s="917"/>
      <c r="O1283" s="917"/>
      <c r="P1283" s="917"/>
      <c r="Q1283" s="578"/>
      <c r="R1283" s="578"/>
      <c r="S1283" s="578"/>
      <c r="T1283" s="578"/>
      <c r="U1283" s="578"/>
      <c r="V1283" s="578"/>
      <c r="W1283" s="578"/>
      <c r="X1283" s="578"/>
      <c r="Y1283" s="578"/>
      <c r="Z1283" s="578"/>
    </row>
    <row r="1284" spans="1:26" ht="18.75">
      <c r="A1284" s="682"/>
      <c r="B1284" s="682"/>
      <c r="C1284" s="682"/>
      <c r="D1284" s="914"/>
      <c r="E1284" s="682"/>
      <c r="F1284" s="682"/>
      <c r="G1284" s="682"/>
      <c r="H1284" s="915"/>
      <c r="I1284" s="916"/>
      <c r="J1284" s="916"/>
      <c r="K1284" s="917"/>
      <c r="L1284" s="917"/>
      <c r="M1284" s="917"/>
      <c r="N1284" s="917"/>
      <c r="O1284" s="917"/>
      <c r="P1284" s="917"/>
      <c r="Q1284" s="578"/>
      <c r="R1284" s="578"/>
      <c r="S1284" s="578"/>
      <c r="T1284" s="578"/>
      <c r="U1284" s="578"/>
      <c r="V1284" s="578"/>
      <c r="W1284" s="578"/>
      <c r="X1284" s="578"/>
      <c r="Y1284" s="578"/>
      <c r="Z1284" s="578"/>
    </row>
    <row r="1285" spans="1:26" ht="18.75">
      <c r="A1285" s="682"/>
      <c r="B1285" s="682"/>
      <c r="C1285" s="682"/>
      <c r="D1285" s="914"/>
      <c r="E1285" s="682"/>
      <c r="F1285" s="682"/>
      <c r="G1285" s="682"/>
      <c r="H1285" s="915"/>
      <c r="I1285" s="916"/>
      <c r="J1285" s="916"/>
      <c r="K1285" s="917"/>
      <c r="L1285" s="917"/>
      <c r="M1285" s="917"/>
      <c r="N1285" s="917"/>
      <c r="O1285" s="917"/>
      <c r="P1285" s="917"/>
      <c r="Q1285" s="578"/>
      <c r="R1285" s="578"/>
      <c r="S1285" s="578"/>
      <c r="T1285" s="578"/>
      <c r="U1285" s="578"/>
      <c r="V1285" s="578"/>
      <c r="W1285" s="578"/>
      <c r="X1285" s="578"/>
      <c r="Y1285" s="578"/>
      <c r="Z1285" s="578"/>
    </row>
    <row r="1286" spans="1:26" ht="18.75">
      <c r="A1286" s="682"/>
      <c r="B1286" s="682"/>
      <c r="C1286" s="682"/>
      <c r="D1286" s="914"/>
      <c r="E1286" s="682"/>
      <c r="F1286" s="682"/>
      <c r="G1286" s="682"/>
      <c r="H1286" s="915"/>
      <c r="I1286" s="916"/>
      <c r="J1286" s="916"/>
      <c r="K1286" s="917"/>
      <c r="L1286" s="917"/>
      <c r="M1286" s="917"/>
      <c r="N1286" s="917"/>
      <c r="O1286" s="917"/>
      <c r="P1286" s="917"/>
      <c r="Q1286" s="578"/>
      <c r="R1286" s="578"/>
      <c r="S1286" s="578"/>
      <c r="T1286" s="578"/>
      <c r="U1286" s="578"/>
      <c r="V1286" s="578"/>
      <c r="W1286" s="578"/>
      <c r="X1286" s="578"/>
      <c r="Y1286" s="578"/>
      <c r="Z1286" s="578"/>
    </row>
    <row r="1287" spans="1:26" ht="18.75">
      <c r="A1287" s="682"/>
      <c r="B1287" s="682"/>
      <c r="C1287" s="682"/>
      <c r="D1287" s="914"/>
      <c r="E1287" s="682"/>
      <c r="F1287" s="682"/>
      <c r="G1287" s="682"/>
      <c r="H1287" s="915"/>
      <c r="I1287" s="916"/>
      <c r="J1287" s="916"/>
      <c r="K1287" s="917"/>
      <c r="L1287" s="917"/>
      <c r="M1287" s="917"/>
      <c r="N1287" s="917"/>
      <c r="O1287" s="917"/>
      <c r="P1287" s="917"/>
      <c r="Q1287" s="578"/>
      <c r="R1287" s="578"/>
      <c r="S1287" s="578"/>
      <c r="T1287" s="578"/>
      <c r="U1287" s="578"/>
      <c r="V1287" s="578"/>
      <c r="W1287" s="578"/>
      <c r="X1287" s="578"/>
      <c r="Y1287" s="578"/>
      <c r="Z1287" s="578"/>
    </row>
    <row r="1288" spans="1:26" ht="18.75">
      <c r="A1288" s="682"/>
      <c r="B1288" s="682"/>
      <c r="C1288" s="682"/>
      <c r="D1288" s="914"/>
      <c r="E1288" s="682"/>
      <c r="F1288" s="682"/>
      <c r="G1288" s="682"/>
      <c r="H1288" s="915"/>
      <c r="I1288" s="916"/>
      <c r="J1288" s="916"/>
      <c r="K1288" s="917"/>
      <c r="L1288" s="917"/>
      <c r="M1288" s="917"/>
      <c r="N1288" s="917"/>
      <c r="O1288" s="917"/>
      <c r="P1288" s="917"/>
      <c r="Q1288" s="578"/>
      <c r="R1288" s="578"/>
      <c r="S1288" s="578"/>
      <c r="T1288" s="578"/>
      <c r="U1288" s="578"/>
      <c r="V1288" s="578"/>
      <c r="W1288" s="578"/>
      <c r="X1288" s="578"/>
      <c r="Y1288" s="578"/>
      <c r="Z1288" s="578"/>
    </row>
    <row r="1289" spans="1:26" ht="18.75">
      <c r="A1289" s="682"/>
      <c r="B1289" s="682"/>
      <c r="C1289" s="682"/>
      <c r="D1289" s="914"/>
      <c r="E1289" s="682"/>
      <c r="F1289" s="682"/>
      <c r="G1289" s="682"/>
      <c r="H1289" s="915"/>
      <c r="I1289" s="916"/>
      <c r="J1289" s="916"/>
      <c r="K1289" s="917"/>
      <c r="L1289" s="917"/>
      <c r="M1289" s="917"/>
      <c r="N1289" s="917"/>
      <c r="O1289" s="917"/>
      <c r="P1289" s="917"/>
      <c r="Q1289" s="578"/>
      <c r="R1289" s="578"/>
      <c r="S1289" s="578"/>
      <c r="T1289" s="578"/>
      <c r="U1289" s="578"/>
      <c r="V1289" s="578"/>
      <c r="W1289" s="578"/>
      <c r="X1289" s="578"/>
      <c r="Y1289" s="578"/>
      <c r="Z1289" s="578"/>
    </row>
    <row r="1290" spans="1:26" ht="18.75">
      <c r="A1290" s="682"/>
      <c r="B1290" s="682"/>
      <c r="C1290" s="682"/>
      <c r="D1290" s="914"/>
      <c r="E1290" s="682"/>
      <c r="F1290" s="682"/>
      <c r="G1290" s="682"/>
      <c r="H1290" s="915"/>
      <c r="I1290" s="916"/>
      <c r="J1290" s="916"/>
      <c r="K1290" s="917"/>
      <c r="L1290" s="917"/>
      <c r="M1290" s="917"/>
      <c r="N1290" s="917"/>
      <c r="O1290" s="917"/>
      <c r="P1290" s="917"/>
      <c r="Q1290" s="578"/>
      <c r="R1290" s="578"/>
      <c r="S1290" s="578"/>
      <c r="T1290" s="578"/>
      <c r="U1290" s="578"/>
      <c r="V1290" s="578"/>
      <c r="W1290" s="578"/>
      <c r="X1290" s="578"/>
      <c r="Y1290" s="578"/>
      <c r="Z1290" s="578"/>
    </row>
    <row r="1291" spans="1:26" ht="18.75">
      <c r="A1291" s="682"/>
      <c r="B1291" s="682"/>
      <c r="C1291" s="682"/>
      <c r="D1291" s="914"/>
      <c r="E1291" s="682"/>
      <c r="F1291" s="682"/>
      <c r="G1291" s="682"/>
      <c r="H1291" s="915"/>
      <c r="I1291" s="916"/>
      <c r="J1291" s="916"/>
      <c r="K1291" s="917"/>
      <c r="L1291" s="917"/>
      <c r="M1291" s="917"/>
      <c r="N1291" s="917"/>
      <c r="O1291" s="917"/>
      <c r="P1291" s="917"/>
      <c r="Q1291" s="578"/>
      <c r="R1291" s="578"/>
      <c r="S1291" s="578"/>
      <c r="T1291" s="578"/>
      <c r="U1291" s="578"/>
      <c r="V1291" s="578"/>
      <c r="W1291" s="578"/>
      <c r="X1291" s="578"/>
      <c r="Y1291" s="578"/>
      <c r="Z1291" s="578"/>
    </row>
    <row r="1292" spans="1:26" ht="18.75">
      <c r="A1292" s="682"/>
      <c r="B1292" s="682"/>
      <c r="C1292" s="682"/>
      <c r="D1292" s="914"/>
      <c r="E1292" s="682"/>
      <c r="F1292" s="682"/>
      <c r="G1292" s="682"/>
      <c r="H1292" s="915"/>
      <c r="I1292" s="916"/>
      <c r="J1292" s="916"/>
      <c r="K1292" s="917"/>
      <c r="L1292" s="917"/>
      <c r="M1292" s="917"/>
      <c r="N1292" s="917"/>
      <c r="O1292" s="917"/>
      <c r="P1292" s="917"/>
      <c r="Q1292" s="578"/>
      <c r="R1292" s="578"/>
      <c r="S1292" s="578"/>
      <c r="T1292" s="578"/>
      <c r="U1292" s="578"/>
      <c r="V1292" s="578"/>
      <c r="W1292" s="578"/>
      <c r="X1292" s="578"/>
      <c r="Y1292" s="578"/>
      <c r="Z1292" s="578"/>
    </row>
    <row r="1293" spans="1:26" ht="18.75">
      <c r="A1293" s="682"/>
      <c r="B1293" s="682"/>
      <c r="C1293" s="682"/>
      <c r="D1293" s="914"/>
      <c r="E1293" s="682"/>
      <c r="F1293" s="682"/>
      <c r="G1293" s="682"/>
      <c r="H1293" s="915"/>
      <c r="I1293" s="916"/>
      <c r="J1293" s="916"/>
      <c r="K1293" s="917"/>
      <c r="L1293" s="917"/>
      <c r="M1293" s="917"/>
      <c r="N1293" s="917"/>
      <c r="O1293" s="917"/>
      <c r="P1293" s="917"/>
      <c r="Q1293" s="578"/>
      <c r="R1293" s="578"/>
      <c r="S1293" s="578"/>
      <c r="T1293" s="578"/>
      <c r="U1293" s="578"/>
      <c r="V1293" s="578"/>
      <c r="W1293" s="578"/>
      <c r="X1293" s="578"/>
      <c r="Y1293" s="578"/>
      <c r="Z1293" s="578"/>
    </row>
    <row r="1294" spans="1:26" ht="18.75">
      <c r="A1294" s="682"/>
      <c r="B1294" s="682"/>
      <c r="C1294" s="682"/>
      <c r="D1294" s="914"/>
      <c r="E1294" s="682"/>
      <c r="F1294" s="682"/>
      <c r="G1294" s="682"/>
      <c r="H1294" s="915"/>
      <c r="I1294" s="916"/>
      <c r="J1294" s="916"/>
      <c r="K1294" s="917"/>
      <c r="L1294" s="917"/>
      <c r="M1294" s="917"/>
      <c r="N1294" s="917"/>
      <c r="O1294" s="917"/>
      <c r="P1294" s="917"/>
      <c r="Q1294" s="578"/>
      <c r="R1294" s="578"/>
      <c r="S1294" s="578"/>
      <c r="T1294" s="578"/>
      <c r="U1294" s="578"/>
      <c r="V1294" s="578"/>
      <c r="W1294" s="578"/>
      <c r="X1294" s="578"/>
      <c r="Y1294" s="578"/>
      <c r="Z1294" s="578"/>
    </row>
    <row r="1295" spans="1:26" ht="18.75">
      <c r="A1295" s="682"/>
      <c r="B1295" s="682"/>
      <c r="C1295" s="682"/>
      <c r="D1295" s="914"/>
      <c r="E1295" s="682"/>
      <c r="F1295" s="682"/>
      <c r="G1295" s="682"/>
      <c r="H1295" s="915"/>
      <c r="I1295" s="916"/>
      <c r="J1295" s="916"/>
      <c r="K1295" s="917"/>
      <c r="L1295" s="917"/>
      <c r="M1295" s="917"/>
      <c r="N1295" s="917"/>
      <c r="O1295" s="917"/>
      <c r="P1295" s="917"/>
      <c r="Q1295" s="578"/>
      <c r="R1295" s="578"/>
      <c r="S1295" s="578"/>
      <c r="T1295" s="578"/>
      <c r="U1295" s="578"/>
      <c r="V1295" s="578"/>
      <c r="W1295" s="578"/>
      <c r="X1295" s="578"/>
      <c r="Y1295" s="578"/>
      <c r="Z1295" s="578"/>
    </row>
    <row r="1296" spans="1:26" ht="18.75">
      <c r="A1296" s="682"/>
      <c r="B1296" s="682"/>
      <c r="C1296" s="682"/>
      <c r="D1296" s="914"/>
      <c r="E1296" s="682"/>
      <c r="F1296" s="682"/>
      <c r="G1296" s="682"/>
      <c r="H1296" s="915"/>
      <c r="I1296" s="916"/>
      <c r="J1296" s="916"/>
      <c r="K1296" s="917"/>
      <c r="L1296" s="917"/>
      <c r="M1296" s="917"/>
      <c r="N1296" s="917"/>
      <c r="O1296" s="917"/>
      <c r="P1296" s="917"/>
      <c r="Q1296" s="578"/>
      <c r="R1296" s="578"/>
      <c r="S1296" s="578"/>
      <c r="T1296" s="578"/>
      <c r="U1296" s="578"/>
      <c r="V1296" s="578"/>
      <c r="W1296" s="578"/>
      <c r="X1296" s="578"/>
      <c r="Y1296" s="578"/>
      <c r="Z1296" s="578"/>
    </row>
    <row r="1297" spans="1:26" ht="18.75">
      <c r="A1297" s="682"/>
      <c r="B1297" s="682"/>
      <c r="C1297" s="682"/>
      <c r="D1297" s="914"/>
      <c r="E1297" s="682"/>
      <c r="F1297" s="682"/>
      <c r="G1297" s="682"/>
      <c r="H1297" s="915"/>
      <c r="I1297" s="916"/>
      <c r="J1297" s="916"/>
      <c r="K1297" s="917"/>
      <c r="L1297" s="917"/>
      <c r="M1297" s="917"/>
      <c r="N1297" s="917"/>
      <c r="O1297" s="917"/>
      <c r="P1297" s="917"/>
      <c r="Q1297" s="578"/>
      <c r="R1297" s="578"/>
      <c r="S1297" s="578"/>
      <c r="T1297" s="578"/>
      <c r="U1297" s="578"/>
      <c r="V1297" s="578"/>
      <c r="W1297" s="578"/>
      <c r="X1297" s="578"/>
      <c r="Y1297" s="578"/>
      <c r="Z1297" s="578"/>
    </row>
    <row r="1298" spans="1:26" ht="18.75">
      <c r="A1298" s="682"/>
      <c r="B1298" s="682"/>
      <c r="C1298" s="682"/>
      <c r="D1298" s="914"/>
      <c r="E1298" s="682"/>
      <c r="F1298" s="682"/>
      <c r="G1298" s="682"/>
      <c r="H1298" s="915"/>
      <c r="I1298" s="916"/>
      <c r="J1298" s="916"/>
      <c r="K1298" s="917"/>
      <c r="L1298" s="917"/>
      <c r="M1298" s="917"/>
      <c r="N1298" s="917"/>
      <c r="O1298" s="917"/>
      <c r="P1298" s="917"/>
      <c r="Q1298" s="578"/>
      <c r="R1298" s="578"/>
      <c r="S1298" s="578"/>
      <c r="T1298" s="578"/>
      <c r="U1298" s="578"/>
      <c r="V1298" s="578"/>
      <c r="W1298" s="578"/>
      <c r="X1298" s="578"/>
      <c r="Y1298" s="578"/>
      <c r="Z1298" s="578"/>
    </row>
    <row r="1299" spans="1:26" ht="18.75">
      <c r="A1299" s="682"/>
      <c r="B1299" s="682"/>
      <c r="C1299" s="682"/>
      <c r="D1299" s="914"/>
      <c r="E1299" s="682"/>
      <c r="F1299" s="682"/>
      <c r="G1299" s="682"/>
      <c r="H1299" s="915"/>
      <c r="I1299" s="916"/>
      <c r="J1299" s="916"/>
      <c r="K1299" s="917"/>
      <c r="L1299" s="917"/>
      <c r="M1299" s="917"/>
      <c r="N1299" s="917"/>
      <c r="O1299" s="917"/>
      <c r="P1299" s="917"/>
      <c r="Q1299" s="578"/>
      <c r="R1299" s="578"/>
      <c r="S1299" s="578"/>
      <c r="T1299" s="578"/>
      <c r="U1299" s="578"/>
      <c r="V1299" s="578"/>
      <c r="W1299" s="578"/>
      <c r="X1299" s="578"/>
      <c r="Y1299" s="578"/>
      <c r="Z1299" s="578"/>
    </row>
    <row r="1300" spans="1:26" ht="18.75">
      <c r="A1300" s="682"/>
      <c r="B1300" s="682"/>
      <c r="C1300" s="682"/>
      <c r="D1300" s="914"/>
      <c r="E1300" s="682"/>
      <c r="F1300" s="682"/>
      <c r="G1300" s="682"/>
      <c r="H1300" s="915"/>
      <c r="I1300" s="916"/>
      <c r="J1300" s="916"/>
      <c r="K1300" s="917"/>
      <c r="L1300" s="917"/>
      <c r="M1300" s="917"/>
      <c r="N1300" s="917"/>
      <c r="O1300" s="917"/>
      <c r="P1300" s="917"/>
      <c r="Q1300" s="578"/>
      <c r="R1300" s="578"/>
      <c r="S1300" s="578"/>
      <c r="T1300" s="578"/>
      <c r="U1300" s="578"/>
      <c r="V1300" s="578"/>
      <c r="W1300" s="578"/>
      <c r="X1300" s="578"/>
      <c r="Y1300" s="578"/>
      <c r="Z1300" s="578"/>
    </row>
    <row r="1301" spans="1:26" ht="18.75">
      <c r="A1301" s="682"/>
      <c r="B1301" s="682"/>
      <c r="C1301" s="682"/>
      <c r="D1301" s="914"/>
      <c r="E1301" s="682"/>
      <c r="F1301" s="682"/>
      <c r="G1301" s="682"/>
      <c r="H1301" s="915"/>
      <c r="I1301" s="916"/>
      <c r="J1301" s="916"/>
      <c r="K1301" s="917"/>
      <c r="L1301" s="917"/>
      <c r="M1301" s="917"/>
      <c r="N1301" s="917"/>
      <c r="O1301" s="917"/>
      <c r="P1301" s="917"/>
      <c r="Q1301" s="578"/>
      <c r="R1301" s="578"/>
      <c r="S1301" s="578"/>
      <c r="T1301" s="578"/>
      <c r="U1301" s="578"/>
      <c r="V1301" s="578"/>
      <c r="W1301" s="578"/>
      <c r="X1301" s="578"/>
      <c r="Y1301" s="578"/>
      <c r="Z1301" s="578"/>
    </row>
    <row r="1302" spans="1:26" ht="18.75">
      <c r="A1302" s="682"/>
      <c r="B1302" s="682"/>
      <c r="C1302" s="682"/>
      <c r="D1302" s="914"/>
      <c r="E1302" s="682"/>
      <c r="F1302" s="682"/>
      <c r="G1302" s="682"/>
      <c r="H1302" s="915"/>
      <c r="I1302" s="916"/>
      <c r="J1302" s="916"/>
      <c r="K1302" s="917"/>
      <c r="L1302" s="917"/>
      <c r="M1302" s="917"/>
      <c r="N1302" s="917"/>
      <c r="O1302" s="917"/>
      <c r="P1302" s="917"/>
      <c r="Q1302" s="578"/>
      <c r="R1302" s="578"/>
      <c r="S1302" s="578"/>
      <c r="T1302" s="578"/>
      <c r="U1302" s="578"/>
      <c r="V1302" s="578"/>
      <c r="W1302" s="578"/>
      <c r="X1302" s="578"/>
      <c r="Y1302" s="578"/>
      <c r="Z1302" s="578"/>
    </row>
    <row r="1303" spans="1:26" ht="18.75">
      <c r="A1303" s="682"/>
      <c r="B1303" s="682"/>
      <c r="C1303" s="682"/>
      <c r="D1303" s="914"/>
      <c r="E1303" s="682"/>
      <c r="F1303" s="682"/>
      <c r="G1303" s="682"/>
      <c r="H1303" s="915"/>
      <c r="I1303" s="916"/>
      <c r="J1303" s="916"/>
      <c r="K1303" s="917"/>
      <c r="L1303" s="917"/>
      <c r="M1303" s="917"/>
      <c r="N1303" s="917"/>
      <c r="O1303" s="917"/>
      <c r="P1303" s="917"/>
      <c r="Q1303" s="578"/>
      <c r="R1303" s="578"/>
      <c r="S1303" s="578"/>
      <c r="T1303" s="578"/>
      <c r="U1303" s="578"/>
      <c r="V1303" s="578"/>
      <c r="W1303" s="578"/>
      <c r="X1303" s="578"/>
      <c r="Y1303" s="578"/>
      <c r="Z1303" s="578"/>
    </row>
    <row r="1304" spans="1:26" ht="18.75">
      <c r="A1304" s="682"/>
      <c r="B1304" s="682"/>
      <c r="C1304" s="682"/>
      <c r="D1304" s="914"/>
      <c r="E1304" s="682"/>
      <c r="F1304" s="682"/>
      <c r="G1304" s="682"/>
      <c r="H1304" s="915"/>
      <c r="I1304" s="916"/>
      <c r="J1304" s="916"/>
      <c r="K1304" s="917"/>
      <c r="L1304" s="917"/>
      <c r="M1304" s="917"/>
      <c r="N1304" s="917"/>
      <c r="O1304" s="917"/>
      <c r="P1304" s="917"/>
      <c r="Q1304" s="578"/>
      <c r="R1304" s="578"/>
      <c r="S1304" s="578"/>
      <c r="T1304" s="578"/>
      <c r="U1304" s="578"/>
      <c r="V1304" s="578"/>
      <c r="W1304" s="578"/>
      <c r="X1304" s="578"/>
      <c r="Y1304" s="578"/>
      <c r="Z1304" s="578"/>
    </row>
    <row r="1305" spans="1:26" ht="18.75">
      <c r="A1305" s="682"/>
      <c r="B1305" s="682"/>
      <c r="C1305" s="682"/>
      <c r="D1305" s="914"/>
      <c r="E1305" s="682"/>
      <c r="F1305" s="682"/>
      <c r="G1305" s="682"/>
      <c r="H1305" s="915"/>
      <c r="I1305" s="916"/>
      <c r="J1305" s="916"/>
      <c r="K1305" s="917"/>
      <c r="L1305" s="917"/>
      <c r="M1305" s="917"/>
      <c r="N1305" s="917"/>
      <c r="O1305" s="917"/>
      <c r="P1305" s="917"/>
      <c r="Q1305" s="578"/>
      <c r="R1305" s="578"/>
      <c r="S1305" s="578"/>
      <c r="T1305" s="578"/>
      <c r="U1305" s="578"/>
      <c r="V1305" s="578"/>
      <c r="W1305" s="578"/>
      <c r="X1305" s="578"/>
      <c r="Y1305" s="578"/>
      <c r="Z1305" s="578"/>
    </row>
    <row r="1306" spans="1:26" ht="18.75">
      <c r="A1306" s="682"/>
      <c r="B1306" s="682"/>
      <c r="C1306" s="682"/>
      <c r="D1306" s="914"/>
      <c r="E1306" s="682"/>
      <c r="F1306" s="682"/>
      <c r="G1306" s="682"/>
      <c r="H1306" s="915"/>
      <c r="I1306" s="916"/>
      <c r="J1306" s="916"/>
      <c r="K1306" s="917"/>
      <c r="L1306" s="917"/>
      <c r="M1306" s="917"/>
      <c r="N1306" s="917"/>
      <c r="O1306" s="917"/>
      <c r="P1306" s="917"/>
      <c r="Q1306" s="578"/>
      <c r="R1306" s="578"/>
      <c r="S1306" s="578"/>
      <c r="T1306" s="578"/>
      <c r="U1306" s="578"/>
      <c r="V1306" s="578"/>
      <c r="W1306" s="578"/>
      <c r="X1306" s="578"/>
      <c r="Y1306" s="578"/>
      <c r="Z1306" s="578"/>
    </row>
    <row r="1307" spans="1:26" ht="18.75">
      <c r="A1307" s="682"/>
      <c r="B1307" s="682"/>
      <c r="C1307" s="682"/>
      <c r="D1307" s="914"/>
      <c r="E1307" s="682"/>
      <c r="F1307" s="682"/>
      <c r="G1307" s="682"/>
      <c r="H1307" s="915"/>
      <c r="I1307" s="916"/>
      <c r="J1307" s="916"/>
      <c r="K1307" s="917"/>
      <c r="L1307" s="917"/>
      <c r="M1307" s="917"/>
      <c r="N1307" s="917"/>
      <c r="O1307" s="917"/>
      <c r="P1307" s="917"/>
      <c r="Q1307" s="578"/>
      <c r="R1307" s="578"/>
      <c r="S1307" s="578"/>
      <c r="T1307" s="578"/>
      <c r="U1307" s="578"/>
      <c r="V1307" s="578"/>
      <c r="W1307" s="578"/>
      <c r="X1307" s="578"/>
      <c r="Y1307" s="578"/>
      <c r="Z1307" s="578"/>
    </row>
    <row r="1308" spans="1:26" ht="18.75">
      <c r="A1308" s="682"/>
      <c r="B1308" s="682"/>
      <c r="C1308" s="682"/>
      <c r="D1308" s="914"/>
      <c r="E1308" s="682"/>
      <c r="F1308" s="682"/>
      <c r="G1308" s="682"/>
      <c r="H1308" s="915"/>
      <c r="I1308" s="916"/>
      <c r="J1308" s="916"/>
      <c r="K1308" s="917"/>
      <c r="L1308" s="917"/>
      <c r="M1308" s="917"/>
      <c r="N1308" s="917"/>
      <c r="O1308" s="917"/>
      <c r="P1308" s="917"/>
      <c r="Q1308" s="578"/>
      <c r="R1308" s="578"/>
      <c r="S1308" s="578"/>
      <c r="T1308" s="578"/>
      <c r="U1308" s="578"/>
      <c r="V1308" s="578"/>
      <c r="W1308" s="578"/>
      <c r="X1308" s="578"/>
      <c r="Y1308" s="578"/>
      <c r="Z1308" s="578"/>
    </row>
    <row r="1309" spans="1:26" ht="18.75">
      <c r="A1309" s="682"/>
      <c r="B1309" s="682"/>
      <c r="C1309" s="682"/>
      <c r="D1309" s="914"/>
      <c r="E1309" s="682"/>
      <c r="F1309" s="682"/>
      <c r="G1309" s="682"/>
      <c r="H1309" s="915"/>
      <c r="I1309" s="916"/>
      <c r="J1309" s="916"/>
      <c r="K1309" s="917"/>
      <c r="L1309" s="917"/>
      <c r="M1309" s="917"/>
      <c r="N1309" s="917"/>
      <c r="O1309" s="917"/>
      <c r="P1309" s="917"/>
      <c r="Q1309" s="578"/>
      <c r="R1309" s="578"/>
      <c r="S1309" s="578"/>
      <c r="T1309" s="578"/>
      <c r="U1309" s="578"/>
      <c r="V1309" s="578"/>
      <c r="W1309" s="578"/>
      <c r="X1309" s="578"/>
      <c r="Y1309" s="578"/>
      <c r="Z1309" s="578"/>
    </row>
    <row r="1310" spans="1:26" ht="18.75">
      <c r="A1310" s="682"/>
      <c r="B1310" s="682"/>
      <c r="C1310" s="682"/>
      <c r="D1310" s="914"/>
      <c r="E1310" s="682"/>
      <c r="F1310" s="682"/>
      <c r="G1310" s="682"/>
      <c r="H1310" s="915"/>
      <c r="I1310" s="916"/>
      <c r="J1310" s="916"/>
      <c r="K1310" s="917"/>
      <c r="L1310" s="917"/>
      <c r="M1310" s="917"/>
      <c r="N1310" s="917"/>
      <c r="O1310" s="917"/>
      <c r="P1310" s="917"/>
      <c r="Q1310" s="578"/>
      <c r="R1310" s="578"/>
      <c r="S1310" s="578"/>
      <c r="T1310" s="578"/>
      <c r="U1310" s="578"/>
      <c r="V1310" s="578"/>
      <c r="W1310" s="578"/>
      <c r="X1310" s="578"/>
      <c r="Y1310" s="578"/>
      <c r="Z1310" s="578"/>
    </row>
    <row r="1311" spans="1:26" ht="18.75">
      <c r="A1311" s="682"/>
      <c r="B1311" s="682"/>
      <c r="C1311" s="682"/>
      <c r="D1311" s="914"/>
      <c r="E1311" s="682"/>
      <c r="F1311" s="682"/>
      <c r="G1311" s="682"/>
      <c r="H1311" s="915"/>
      <c r="I1311" s="916"/>
      <c r="J1311" s="916"/>
      <c r="K1311" s="917"/>
      <c r="L1311" s="917"/>
      <c r="M1311" s="917"/>
      <c r="N1311" s="917"/>
      <c r="O1311" s="917"/>
      <c r="P1311" s="917"/>
      <c r="Q1311" s="578"/>
      <c r="R1311" s="578"/>
      <c r="S1311" s="578"/>
      <c r="T1311" s="578"/>
      <c r="U1311" s="578"/>
      <c r="V1311" s="578"/>
      <c r="W1311" s="578"/>
      <c r="X1311" s="578"/>
      <c r="Y1311" s="578"/>
      <c r="Z1311" s="578"/>
    </row>
    <row r="1312" spans="1:26" ht="18.75">
      <c r="A1312" s="682"/>
      <c r="B1312" s="682"/>
      <c r="C1312" s="682"/>
      <c r="D1312" s="914"/>
      <c r="E1312" s="682"/>
      <c r="F1312" s="682"/>
      <c r="G1312" s="682"/>
      <c r="H1312" s="915"/>
      <c r="I1312" s="916"/>
      <c r="J1312" s="916"/>
      <c r="K1312" s="917"/>
      <c r="L1312" s="917"/>
      <c r="M1312" s="917"/>
      <c r="N1312" s="917"/>
      <c r="O1312" s="917"/>
      <c r="P1312" s="917"/>
      <c r="Q1312" s="578"/>
      <c r="R1312" s="578"/>
      <c r="S1312" s="578"/>
      <c r="T1312" s="578"/>
      <c r="U1312" s="578"/>
      <c r="V1312" s="578"/>
      <c r="W1312" s="578"/>
      <c r="X1312" s="578"/>
      <c r="Y1312" s="578"/>
      <c r="Z1312" s="578"/>
    </row>
    <row r="1313" spans="1:26" ht="18.75">
      <c r="A1313" s="682"/>
      <c r="B1313" s="682"/>
      <c r="C1313" s="682"/>
      <c r="D1313" s="914"/>
      <c r="E1313" s="682"/>
      <c r="F1313" s="682"/>
      <c r="G1313" s="682"/>
      <c r="H1313" s="915"/>
      <c r="I1313" s="916"/>
      <c r="J1313" s="916"/>
      <c r="K1313" s="917"/>
      <c r="L1313" s="917"/>
      <c r="M1313" s="917"/>
      <c r="N1313" s="917"/>
      <c r="O1313" s="917"/>
      <c r="P1313" s="917"/>
      <c r="Q1313" s="578"/>
      <c r="R1313" s="578"/>
      <c r="S1313" s="578"/>
      <c r="T1313" s="578"/>
      <c r="U1313" s="578"/>
      <c r="V1313" s="578"/>
      <c r="W1313" s="578"/>
      <c r="X1313" s="578"/>
      <c r="Y1313" s="578"/>
      <c r="Z1313" s="578"/>
    </row>
    <row r="1314" spans="1:26" ht="18.75">
      <c r="A1314" s="682"/>
      <c r="B1314" s="682"/>
      <c r="C1314" s="682"/>
      <c r="D1314" s="914"/>
      <c r="E1314" s="682"/>
      <c r="F1314" s="682"/>
      <c r="G1314" s="682"/>
      <c r="H1314" s="915"/>
      <c r="I1314" s="916"/>
      <c r="J1314" s="916"/>
      <c r="K1314" s="917"/>
      <c r="L1314" s="917"/>
      <c r="M1314" s="917"/>
      <c r="N1314" s="917"/>
      <c r="O1314" s="917"/>
      <c r="P1314" s="917"/>
      <c r="Q1314" s="578"/>
      <c r="R1314" s="578"/>
      <c r="S1314" s="578"/>
      <c r="T1314" s="578"/>
      <c r="U1314" s="578"/>
      <c r="V1314" s="578"/>
      <c r="W1314" s="578"/>
      <c r="X1314" s="578"/>
      <c r="Y1314" s="578"/>
      <c r="Z1314" s="578"/>
    </row>
    <row r="1315" spans="1:26" ht="18.75">
      <c r="A1315" s="682"/>
      <c r="B1315" s="682"/>
      <c r="C1315" s="682"/>
      <c r="D1315" s="914"/>
      <c r="E1315" s="682"/>
      <c r="F1315" s="682"/>
      <c r="G1315" s="682"/>
      <c r="H1315" s="915"/>
      <c r="I1315" s="916"/>
      <c r="J1315" s="916"/>
      <c r="K1315" s="917"/>
      <c r="L1315" s="917"/>
      <c r="M1315" s="917"/>
      <c r="N1315" s="917"/>
      <c r="O1315" s="917"/>
      <c r="P1315" s="917"/>
      <c r="Q1315" s="578"/>
      <c r="R1315" s="578"/>
      <c r="S1315" s="578"/>
      <c r="T1315" s="578"/>
      <c r="U1315" s="578"/>
      <c r="V1315" s="578"/>
      <c r="W1315" s="578"/>
      <c r="X1315" s="578"/>
      <c r="Y1315" s="578"/>
      <c r="Z1315" s="578"/>
    </row>
    <row r="1316" spans="1:26" ht="18.75">
      <c r="A1316" s="682"/>
      <c r="B1316" s="682"/>
      <c r="C1316" s="682"/>
      <c r="D1316" s="914"/>
      <c r="E1316" s="682"/>
      <c r="F1316" s="682"/>
      <c r="G1316" s="682"/>
      <c r="H1316" s="915"/>
      <c r="I1316" s="916"/>
      <c r="J1316" s="916"/>
      <c r="K1316" s="917"/>
      <c r="L1316" s="917"/>
      <c r="M1316" s="917"/>
      <c r="N1316" s="917"/>
      <c r="O1316" s="917"/>
      <c r="P1316" s="917"/>
      <c r="Q1316" s="578"/>
      <c r="R1316" s="578"/>
      <c r="S1316" s="578"/>
      <c r="T1316" s="578"/>
      <c r="U1316" s="578"/>
      <c r="V1316" s="578"/>
      <c r="W1316" s="578"/>
      <c r="X1316" s="578"/>
      <c r="Y1316" s="578"/>
      <c r="Z1316" s="578"/>
    </row>
    <row r="1317" spans="1:26" ht="18.75">
      <c r="A1317" s="682"/>
      <c r="B1317" s="682"/>
      <c r="C1317" s="682"/>
      <c r="D1317" s="914"/>
      <c r="E1317" s="682"/>
      <c r="F1317" s="682"/>
      <c r="G1317" s="682"/>
      <c r="H1317" s="915"/>
      <c r="I1317" s="916"/>
      <c r="J1317" s="916"/>
      <c r="K1317" s="917"/>
      <c r="L1317" s="917"/>
      <c r="M1317" s="917"/>
      <c r="N1317" s="917"/>
      <c r="O1317" s="917"/>
      <c r="P1317" s="917"/>
      <c r="Q1317" s="578"/>
      <c r="R1317" s="578"/>
      <c r="S1317" s="578"/>
      <c r="T1317" s="578"/>
      <c r="U1317" s="578"/>
      <c r="V1317" s="578"/>
      <c r="W1317" s="578"/>
      <c r="X1317" s="578"/>
      <c r="Y1317" s="578"/>
      <c r="Z1317" s="578"/>
    </row>
    <row r="1318" spans="1:26" ht="18.75">
      <c r="A1318" s="682"/>
      <c r="B1318" s="682"/>
      <c r="C1318" s="682"/>
      <c r="D1318" s="914"/>
      <c r="E1318" s="682"/>
      <c r="F1318" s="682"/>
      <c r="G1318" s="682"/>
      <c r="H1318" s="915"/>
      <c r="I1318" s="916"/>
      <c r="J1318" s="916"/>
      <c r="K1318" s="917"/>
      <c r="L1318" s="917"/>
      <c r="M1318" s="917"/>
      <c r="N1318" s="917"/>
      <c r="O1318" s="917"/>
      <c r="P1318" s="917"/>
      <c r="Q1318" s="578"/>
      <c r="R1318" s="578"/>
      <c r="S1318" s="578"/>
      <c r="T1318" s="578"/>
      <c r="U1318" s="578"/>
      <c r="V1318" s="578"/>
      <c r="W1318" s="578"/>
      <c r="X1318" s="578"/>
      <c r="Y1318" s="578"/>
      <c r="Z1318" s="578"/>
    </row>
    <row r="1319" spans="1:26" ht="18.75">
      <c r="A1319" s="682"/>
      <c r="B1319" s="682"/>
      <c r="C1319" s="682"/>
      <c r="D1319" s="914"/>
      <c r="E1319" s="682"/>
      <c r="F1319" s="682"/>
      <c r="G1319" s="682"/>
      <c r="H1319" s="915"/>
      <c r="I1319" s="916"/>
      <c r="J1319" s="916"/>
      <c r="K1319" s="917"/>
      <c r="L1319" s="917"/>
      <c r="M1319" s="917"/>
      <c r="N1319" s="917"/>
      <c r="O1319" s="917"/>
      <c r="P1319" s="917"/>
      <c r="Q1319" s="578"/>
      <c r="R1319" s="578"/>
      <c r="S1319" s="578"/>
      <c r="T1319" s="578"/>
      <c r="U1319" s="578"/>
      <c r="V1319" s="578"/>
      <c r="W1319" s="578"/>
      <c r="X1319" s="578"/>
      <c r="Y1319" s="578"/>
      <c r="Z1319" s="578"/>
    </row>
    <row r="1320" spans="1:26" ht="18.75">
      <c r="A1320" s="682"/>
      <c r="B1320" s="682"/>
      <c r="C1320" s="682"/>
      <c r="D1320" s="914"/>
      <c r="E1320" s="682"/>
      <c r="F1320" s="682"/>
      <c r="G1320" s="682"/>
      <c r="H1320" s="915"/>
      <c r="I1320" s="916"/>
      <c r="J1320" s="916"/>
      <c r="K1320" s="917"/>
      <c r="L1320" s="917"/>
      <c r="M1320" s="917"/>
      <c r="N1320" s="917"/>
      <c r="O1320" s="917"/>
      <c r="P1320" s="917"/>
      <c r="Q1320" s="578"/>
      <c r="R1320" s="578"/>
      <c r="S1320" s="578"/>
      <c r="T1320" s="578"/>
      <c r="U1320" s="578"/>
      <c r="V1320" s="578"/>
      <c r="W1320" s="578"/>
      <c r="X1320" s="578"/>
      <c r="Y1320" s="578"/>
      <c r="Z1320" s="578"/>
    </row>
    <row r="1321" spans="1:26" ht="18.75">
      <c r="A1321" s="682"/>
      <c r="B1321" s="682"/>
      <c r="C1321" s="682"/>
      <c r="D1321" s="914"/>
      <c r="E1321" s="682"/>
      <c r="F1321" s="682"/>
      <c r="G1321" s="682"/>
      <c r="H1321" s="915"/>
      <c r="I1321" s="916"/>
      <c r="J1321" s="916"/>
      <c r="K1321" s="917"/>
      <c r="L1321" s="917"/>
      <c r="M1321" s="917"/>
      <c r="N1321" s="917"/>
      <c r="O1321" s="917"/>
      <c r="P1321" s="917"/>
      <c r="Q1321" s="578"/>
      <c r="R1321" s="578"/>
      <c r="S1321" s="578"/>
      <c r="T1321" s="578"/>
      <c r="U1321" s="578"/>
      <c r="V1321" s="578"/>
      <c r="W1321" s="578"/>
      <c r="X1321" s="578"/>
      <c r="Y1321" s="578"/>
      <c r="Z1321" s="578"/>
    </row>
    <row r="1322" spans="1:26" ht="18.75">
      <c r="A1322" s="682"/>
      <c r="B1322" s="682"/>
      <c r="C1322" s="682"/>
      <c r="D1322" s="914"/>
      <c r="E1322" s="682"/>
      <c r="F1322" s="682"/>
      <c r="G1322" s="682"/>
      <c r="H1322" s="915"/>
      <c r="I1322" s="916"/>
      <c r="J1322" s="916"/>
      <c r="K1322" s="917"/>
      <c r="L1322" s="917"/>
      <c r="M1322" s="917"/>
      <c r="N1322" s="917"/>
      <c r="O1322" s="917"/>
      <c r="P1322" s="917"/>
      <c r="Q1322" s="578"/>
      <c r="R1322" s="578"/>
      <c r="S1322" s="578"/>
      <c r="T1322" s="578"/>
      <c r="U1322" s="578"/>
      <c r="V1322" s="578"/>
      <c r="W1322" s="578"/>
      <c r="X1322" s="578"/>
      <c r="Y1322" s="578"/>
      <c r="Z1322" s="578"/>
    </row>
    <row r="1323" spans="1:26" ht="18.75">
      <c r="A1323" s="682"/>
      <c r="B1323" s="682"/>
      <c r="C1323" s="682"/>
      <c r="D1323" s="914"/>
      <c r="E1323" s="682"/>
      <c r="F1323" s="682"/>
      <c r="G1323" s="682"/>
      <c r="H1323" s="915"/>
      <c r="I1323" s="916"/>
      <c r="J1323" s="916"/>
      <c r="K1323" s="917"/>
      <c r="L1323" s="917"/>
      <c r="M1323" s="917"/>
      <c r="N1323" s="917"/>
      <c r="O1323" s="917"/>
      <c r="P1323" s="917"/>
      <c r="Q1323" s="578"/>
      <c r="R1323" s="578"/>
      <c r="S1323" s="578"/>
      <c r="T1323" s="578"/>
      <c r="U1323" s="578"/>
      <c r="V1323" s="578"/>
      <c r="W1323" s="578"/>
      <c r="X1323" s="578"/>
      <c r="Y1323" s="578"/>
      <c r="Z1323" s="578"/>
    </row>
    <row r="1324" spans="1:26" ht="18.75">
      <c r="A1324" s="682"/>
      <c r="B1324" s="682"/>
      <c r="C1324" s="682"/>
      <c r="D1324" s="914"/>
      <c r="E1324" s="682"/>
      <c r="F1324" s="682"/>
      <c r="G1324" s="682"/>
      <c r="H1324" s="915"/>
      <c r="I1324" s="916"/>
      <c r="J1324" s="916"/>
      <c r="K1324" s="917"/>
      <c r="L1324" s="917"/>
      <c r="M1324" s="917"/>
      <c r="N1324" s="917"/>
      <c r="O1324" s="917"/>
      <c r="P1324" s="917"/>
      <c r="Q1324" s="578"/>
      <c r="R1324" s="578"/>
      <c r="S1324" s="578"/>
      <c r="T1324" s="578"/>
      <c r="U1324" s="578"/>
      <c r="V1324" s="578"/>
      <c r="W1324" s="578"/>
      <c r="X1324" s="578"/>
      <c r="Y1324" s="578"/>
      <c r="Z1324" s="578"/>
    </row>
    <row r="1325" spans="1:26" ht="18.75">
      <c r="A1325" s="682"/>
      <c r="B1325" s="682"/>
      <c r="C1325" s="682"/>
      <c r="D1325" s="914"/>
      <c r="E1325" s="682"/>
      <c r="F1325" s="682"/>
      <c r="G1325" s="682"/>
      <c r="H1325" s="915"/>
      <c r="I1325" s="916"/>
      <c r="J1325" s="916"/>
      <c r="K1325" s="917"/>
      <c r="L1325" s="917"/>
      <c r="M1325" s="917"/>
      <c r="N1325" s="917"/>
      <c r="O1325" s="917"/>
      <c r="P1325" s="917"/>
      <c r="Q1325" s="578"/>
      <c r="R1325" s="578"/>
      <c r="S1325" s="578"/>
      <c r="T1325" s="578"/>
      <c r="U1325" s="578"/>
      <c r="V1325" s="578"/>
      <c r="W1325" s="578"/>
      <c r="X1325" s="578"/>
      <c r="Y1325" s="578"/>
      <c r="Z1325" s="578"/>
    </row>
    <row r="1326" spans="1:26" ht="18.75">
      <c r="A1326" s="682"/>
      <c r="B1326" s="682"/>
      <c r="C1326" s="682"/>
      <c r="D1326" s="914"/>
      <c r="E1326" s="682"/>
      <c r="F1326" s="682"/>
      <c r="G1326" s="682"/>
      <c r="H1326" s="915"/>
      <c r="I1326" s="916"/>
      <c r="J1326" s="916"/>
      <c r="K1326" s="917"/>
      <c r="L1326" s="917"/>
      <c r="M1326" s="917"/>
      <c r="N1326" s="917"/>
      <c r="O1326" s="917"/>
      <c r="P1326" s="917"/>
      <c r="Q1326" s="578"/>
      <c r="R1326" s="578"/>
      <c r="S1326" s="578"/>
      <c r="T1326" s="578"/>
      <c r="U1326" s="578"/>
      <c r="V1326" s="578"/>
      <c r="W1326" s="578"/>
      <c r="X1326" s="578"/>
      <c r="Y1326" s="578"/>
      <c r="Z1326" s="578"/>
    </row>
    <row r="1327" spans="1:26" ht="18.75">
      <c r="A1327" s="682"/>
      <c r="B1327" s="682"/>
      <c r="C1327" s="682"/>
      <c r="D1327" s="914"/>
      <c r="E1327" s="682"/>
      <c r="F1327" s="682"/>
      <c r="G1327" s="682"/>
      <c r="H1327" s="915"/>
      <c r="I1327" s="916"/>
      <c r="J1327" s="916"/>
      <c r="K1327" s="917"/>
      <c r="L1327" s="917"/>
      <c r="M1327" s="917"/>
      <c r="N1327" s="917"/>
      <c r="O1327" s="917"/>
      <c r="P1327" s="917"/>
      <c r="Q1327" s="578"/>
      <c r="R1327" s="578"/>
      <c r="S1327" s="578"/>
      <c r="T1327" s="578"/>
      <c r="U1327" s="578"/>
      <c r="V1327" s="578"/>
      <c r="W1327" s="578"/>
      <c r="X1327" s="578"/>
      <c r="Y1327" s="578"/>
      <c r="Z1327" s="578"/>
    </row>
    <row r="1328" spans="1:26" ht="18.75">
      <c r="A1328" s="682"/>
      <c r="B1328" s="682"/>
      <c r="C1328" s="682"/>
      <c r="D1328" s="914"/>
      <c r="E1328" s="682"/>
      <c r="F1328" s="682"/>
      <c r="G1328" s="682"/>
      <c r="H1328" s="915"/>
      <c r="I1328" s="916"/>
      <c r="J1328" s="916"/>
      <c r="K1328" s="917"/>
      <c r="L1328" s="917"/>
      <c r="M1328" s="917"/>
      <c r="N1328" s="917"/>
      <c r="O1328" s="917"/>
      <c r="P1328" s="917"/>
      <c r="Q1328" s="578"/>
      <c r="R1328" s="578"/>
      <c r="S1328" s="578"/>
      <c r="T1328" s="578"/>
      <c r="U1328" s="578"/>
      <c r="V1328" s="578"/>
      <c r="W1328" s="578"/>
      <c r="X1328" s="578"/>
      <c r="Y1328" s="578"/>
      <c r="Z1328" s="578"/>
    </row>
    <row r="1329" spans="1:26" ht="18.75">
      <c r="A1329" s="682"/>
      <c r="B1329" s="682"/>
      <c r="C1329" s="682"/>
      <c r="D1329" s="914"/>
      <c r="E1329" s="682"/>
      <c r="F1329" s="682"/>
      <c r="G1329" s="682"/>
      <c r="H1329" s="915"/>
      <c r="I1329" s="916"/>
      <c r="J1329" s="916"/>
      <c r="K1329" s="917"/>
      <c r="L1329" s="917"/>
      <c r="M1329" s="917"/>
      <c r="N1329" s="917"/>
      <c r="O1329" s="917"/>
      <c r="P1329" s="917"/>
      <c r="Q1329" s="578"/>
      <c r="R1329" s="578"/>
      <c r="S1329" s="578"/>
      <c r="T1329" s="578"/>
      <c r="U1329" s="578"/>
      <c r="V1329" s="578"/>
      <c r="W1329" s="578"/>
      <c r="X1329" s="578"/>
      <c r="Y1329" s="578"/>
      <c r="Z1329" s="578"/>
    </row>
    <row r="1330" spans="1:26" ht="18.75">
      <c r="A1330" s="682"/>
      <c r="B1330" s="682"/>
      <c r="C1330" s="682"/>
      <c r="D1330" s="914"/>
      <c r="E1330" s="682"/>
      <c r="F1330" s="682"/>
      <c r="G1330" s="682"/>
      <c r="H1330" s="915"/>
      <c r="I1330" s="916"/>
      <c r="J1330" s="916"/>
      <c r="K1330" s="917"/>
      <c r="L1330" s="917"/>
      <c r="M1330" s="917"/>
      <c r="N1330" s="917"/>
      <c r="O1330" s="917"/>
      <c r="P1330" s="917"/>
      <c r="Q1330" s="578"/>
      <c r="R1330" s="578"/>
      <c r="S1330" s="578"/>
      <c r="T1330" s="578"/>
      <c r="U1330" s="578"/>
      <c r="V1330" s="578"/>
      <c r="W1330" s="578"/>
      <c r="X1330" s="578"/>
      <c r="Y1330" s="578"/>
      <c r="Z1330" s="578"/>
    </row>
    <row r="1331" spans="1:26" ht="18.75">
      <c r="A1331" s="682"/>
      <c r="B1331" s="682"/>
      <c r="C1331" s="682"/>
      <c r="D1331" s="914"/>
      <c r="E1331" s="682"/>
      <c r="F1331" s="682"/>
      <c r="G1331" s="682"/>
      <c r="H1331" s="915"/>
      <c r="I1331" s="916"/>
      <c r="J1331" s="916"/>
      <c r="K1331" s="917"/>
      <c r="L1331" s="917"/>
      <c r="M1331" s="917"/>
      <c r="N1331" s="917"/>
      <c r="O1331" s="917"/>
      <c r="P1331" s="917"/>
      <c r="Q1331" s="578"/>
      <c r="R1331" s="578"/>
      <c r="S1331" s="578"/>
      <c r="T1331" s="578"/>
      <c r="U1331" s="578"/>
      <c r="V1331" s="578"/>
      <c r="W1331" s="578"/>
      <c r="X1331" s="578"/>
      <c r="Y1331" s="578"/>
      <c r="Z1331" s="578"/>
    </row>
    <row r="1332" spans="1:26" ht="18.75">
      <c r="A1332" s="682"/>
      <c r="B1332" s="682"/>
      <c r="C1332" s="682"/>
      <c r="D1332" s="914"/>
      <c r="E1332" s="682"/>
      <c r="F1332" s="682"/>
      <c r="G1332" s="682"/>
      <c r="H1332" s="915"/>
      <c r="I1332" s="916"/>
      <c r="J1332" s="916"/>
      <c r="K1332" s="917"/>
      <c r="L1332" s="917"/>
      <c r="M1332" s="917"/>
      <c r="N1332" s="917"/>
      <c r="O1332" s="917"/>
      <c r="P1332" s="917"/>
      <c r="Q1332" s="578"/>
      <c r="R1332" s="578"/>
      <c r="S1332" s="578"/>
      <c r="T1332" s="578"/>
      <c r="U1332" s="578"/>
      <c r="V1332" s="578"/>
      <c r="W1332" s="578"/>
      <c r="X1332" s="578"/>
      <c r="Y1332" s="578"/>
      <c r="Z1332" s="578"/>
    </row>
    <row r="1333" spans="1:26" ht="18.75">
      <c r="A1333" s="682"/>
      <c r="B1333" s="682"/>
      <c r="C1333" s="682"/>
      <c r="D1333" s="914"/>
      <c r="E1333" s="682"/>
      <c r="F1333" s="682"/>
      <c r="G1333" s="682"/>
      <c r="H1333" s="915"/>
      <c r="I1333" s="916"/>
      <c r="J1333" s="916"/>
      <c r="K1333" s="917"/>
      <c r="L1333" s="917"/>
      <c r="M1333" s="917"/>
      <c r="N1333" s="917"/>
      <c r="O1333" s="917"/>
      <c r="P1333" s="917"/>
      <c r="Q1333" s="578"/>
      <c r="R1333" s="578"/>
      <c r="S1333" s="578"/>
      <c r="T1333" s="578"/>
      <c r="U1333" s="578"/>
      <c r="V1333" s="578"/>
      <c r="W1333" s="578"/>
      <c r="X1333" s="578"/>
      <c r="Y1333" s="578"/>
      <c r="Z1333" s="578"/>
    </row>
    <row r="1334" spans="1:26" ht="18.75">
      <c r="A1334" s="682"/>
      <c r="B1334" s="682"/>
      <c r="C1334" s="682"/>
      <c r="D1334" s="914"/>
      <c r="E1334" s="682"/>
      <c r="F1334" s="682"/>
      <c r="G1334" s="682"/>
      <c r="H1334" s="915"/>
      <c r="I1334" s="916"/>
      <c r="J1334" s="916"/>
      <c r="K1334" s="917"/>
      <c r="L1334" s="917"/>
      <c r="M1334" s="917"/>
      <c r="N1334" s="917"/>
      <c r="O1334" s="917"/>
      <c r="P1334" s="917"/>
      <c r="Q1334" s="578"/>
      <c r="R1334" s="578"/>
      <c r="S1334" s="578"/>
      <c r="T1334" s="578"/>
      <c r="U1334" s="578"/>
      <c r="V1334" s="578"/>
      <c r="W1334" s="578"/>
      <c r="X1334" s="578"/>
      <c r="Y1334" s="578"/>
      <c r="Z1334" s="578"/>
    </row>
    <row r="1335" spans="1:26" ht="18.75">
      <c r="A1335" s="682"/>
      <c r="B1335" s="682"/>
      <c r="C1335" s="682"/>
      <c r="D1335" s="914"/>
      <c r="E1335" s="682"/>
      <c r="F1335" s="682"/>
      <c r="G1335" s="682"/>
      <c r="H1335" s="915"/>
      <c r="I1335" s="916"/>
      <c r="J1335" s="916"/>
      <c r="K1335" s="917"/>
      <c r="L1335" s="917"/>
      <c r="M1335" s="917"/>
      <c r="N1335" s="917"/>
      <c r="O1335" s="917"/>
      <c r="P1335" s="917"/>
      <c r="Q1335" s="578"/>
      <c r="R1335" s="578"/>
      <c r="S1335" s="578"/>
      <c r="T1335" s="578"/>
      <c r="U1335" s="578"/>
      <c r="V1335" s="578"/>
      <c r="W1335" s="578"/>
      <c r="X1335" s="578"/>
      <c r="Y1335" s="578"/>
      <c r="Z1335" s="578"/>
    </row>
    <row r="1336" spans="1:26" ht="18.75">
      <c r="A1336" s="682"/>
      <c r="B1336" s="682"/>
      <c r="C1336" s="682"/>
      <c r="D1336" s="914"/>
      <c r="E1336" s="682"/>
      <c r="F1336" s="682"/>
      <c r="G1336" s="682"/>
      <c r="H1336" s="915"/>
      <c r="I1336" s="916"/>
      <c r="J1336" s="916"/>
      <c r="K1336" s="917"/>
      <c r="L1336" s="917"/>
      <c r="M1336" s="917"/>
      <c r="N1336" s="917"/>
      <c r="O1336" s="917"/>
      <c r="P1336" s="917"/>
      <c r="Q1336" s="578"/>
      <c r="R1336" s="578"/>
      <c r="S1336" s="578"/>
      <c r="T1336" s="578"/>
      <c r="U1336" s="578"/>
      <c r="V1336" s="578"/>
      <c r="W1336" s="578"/>
      <c r="X1336" s="578"/>
      <c r="Y1336" s="578"/>
      <c r="Z1336" s="578"/>
    </row>
    <row r="1337" spans="1:26" ht="18.75">
      <c r="A1337" s="682"/>
      <c r="B1337" s="682"/>
      <c r="C1337" s="682"/>
      <c r="D1337" s="914"/>
      <c r="E1337" s="682"/>
      <c r="F1337" s="682"/>
      <c r="G1337" s="682"/>
      <c r="H1337" s="915"/>
      <c r="I1337" s="916"/>
      <c r="J1337" s="916"/>
      <c r="K1337" s="917"/>
      <c r="L1337" s="917"/>
      <c r="M1337" s="917"/>
      <c r="N1337" s="917"/>
      <c r="O1337" s="917"/>
      <c r="P1337" s="917"/>
      <c r="Q1337" s="578"/>
      <c r="R1337" s="578"/>
      <c r="S1337" s="578"/>
      <c r="T1337" s="578"/>
      <c r="U1337" s="578"/>
      <c r="V1337" s="578"/>
      <c r="W1337" s="578"/>
      <c r="X1337" s="578"/>
      <c r="Y1337" s="578"/>
      <c r="Z1337" s="578"/>
    </row>
    <row r="1338" spans="1:26" ht="18.75">
      <c r="A1338" s="682"/>
      <c r="B1338" s="682"/>
      <c r="C1338" s="682"/>
      <c r="D1338" s="914"/>
      <c r="E1338" s="682"/>
      <c r="F1338" s="682"/>
      <c r="G1338" s="682"/>
      <c r="H1338" s="915"/>
      <c r="I1338" s="916"/>
      <c r="J1338" s="916"/>
      <c r="K1338" s="917"/>
      <c r="L1338" s="917"/>
      <c r="M1338" s="917"/>
      <c r="N1338" s="917"/>
      <c r="O1338" s="917"/>
      <c r="P1338" s="917"/>
      <c r="Q1338" s="578"/>
      <c r="R1338" s="578"/>
      <c r="S1338" s="578"/>
      <c r="T1338" s="578"/>
      <c r="U1338" s="578"/>
      <c r="V1338" s="578"/>
      <c r="W1338" s="578"/>
      <c r="X1338" s="578"/>
      <c r="Y1338" s="578"/>
      <c r="Z1338" s="578"/>
    </row>
    <row r="1339" spans="1:26" ht="18.75">
      <c r="A1339" s="682"/>
      <c r="B1339" s="682"/>
      <c r="C1339" s="682"/>
      <c r="D1339" s="914"/>
      <c r="E1339" s="682"/>
      <c r="F1339" s="682"/>
      <c r="G1339" s="682"/>
      <c r="H1339" s="915"/>
      <c r="I1339" s="916"/>
      <c r="J1339" s="916"/>
      <c r="K1339" s="917"/>
      <c r="L1339" s="917"/>
      <c r="M1339" s="917"/>
      <c r="N1339" s="917"/>
      <c r="O1339" s="917"/>
      <c r="P1339" s="917"/>
      <c r="Q1339" s="578"/>
      <c r="R1339" s="578"/>
      <c r="S1339" s="578"/>
      <c r="T1339" s="578"/>
      <c r="U1339" s="578"/>
      <c r="V1339" s="578"/>
      <c r="W1339" s="578"/>
      <c r="X1339" s="578"/>
      <c r="Y1339" s="578"/>
      <c r="Z1339" s="578"/>
    </row>
    <row r="1340" spans="1:26" ht="18.75">
      <c r="A1340" s="682"/>
      <c r="B1340" s="682"/>
      <c r="C1340" s="682"/>
      <c r="D1340" s="914"/>
      <c r="E1340" s="682"/>
      <c r="F1340" s="682"/>
      <c r="G1340" s="682"/>
      <c r="H1340" s="915"/>
      <c r="I1340" s="916"/>
      <c r="J1340" s="916"/>
      <c r="K1340" s="917"/>
      <c r="L1340" s="917"/>
      <c r="M1340" s="917"/>
      <c r="N1340" s="917"/>
      <c r="O1340" s="917"/>
      <c r="P1340" s="917"/>
      <c r="Q1340" s="578"/>
      <c r="R1340" s="578"/>
      <c r="S1340" s="578"/>
      <c r="T1340" s="578"/>
      <c r="U1340" s="578"/>
      <c r="V1340" s="578"/>
      <c r="W1340" s="578"/>
      <c r="X1340" s="578"/>
      <c r="Y1340" s="578"/>
      <c r="Z1340" s="578"/>
    </row>
    <row r="1341" spans="1:26" ht="18.75">
      <c r="A1341" s="682"/>
      <c r="B1341" s="682"/>
      <c r="C1341" s="682"/>
      <c r="D1341" s="914"/>
      <c r="E1341" s="682"/>
      <c r="F1341" s="682"/>
      <c r="G1341" s="682"/>
      <c r="H1341" s="915"/>
      <c r="I1341" s="916"/>
      <c r="J1341" s="916"/>
      <c r="K1341" s="917"/>
      <c r="L1341" s="917"/>
      <c r="M1341" s="917"/>
      <c r="N1341" s="917"/>
      <c r="O1341" s="917"/>
      <c r="P1341" s="917"/>
      <c r="Q1341" s="578"/>
      <c r="R1341" s="578"/>
      <c r="S1341" s="578"/>
      <c r="T1341" s="578"/>
      <c r="U1341" s="578"/>
      <c r="V1341" s="578"/>
      <c r="W1341" s="578"/>
      <c r="X1341" s="578"/>
      <c r="Y1341" s="578"/>
      <c r="Z1341" s="578"/>
    </row>
    <row r="1342" spans="1:26" ht="18.75">
      <c r="A1342" s="682"/>
      <c r="B1342" s="682"/>
      <c r="C1342" s="682"/>
      <c r="D1342" s="914"/>
      <c r="E1342" s="682"/>
      <c r="F1342" s="682"/>
      <c r="G1342" s="682"/>
      <c r="H1342" s="915"/>
      <c r="I1342" s="916"/>
      <c r="J1342" s="916"/>
      <c r="K1342" s="917"/>
      <c r="L1342" s="917"/>
      <c r="M1342" s="917"/>
      <c r="N1342" s="917"/>
      <c r="O1342" s="917"/>
      <c r="P1342" s="917"/>
      <c r="Q1342" s="578"/>
      <c r="R1342" s="578"/>
      <c r="S1342" s="578"/>
      <c r="T1342" s="578"/>
      <c r="U1342" s="578"/>
      <c r="V1342" s="578"/>
      <c r="W1342" s="578"/>
      <c r="X1342" s="578"/>
      <c r="Y1342" s="578"/>
      <c r="Z1342" s="578"/>
    </row>
    <row r="1343" spans="1:26" ht="18.75">
      <c r="A1343" s="682"/>
      <c r="B1343" s="682"/>
      <c r="C1343" s="682"/>
      <c r="D1343" s="914"/>
      <c r="E1343" s="682"/>
      <c r="F1343" s="682"/>
      <c r="G1343" s="682"/>
      <c r="H1343" s="915"/>
      <c r="I1343" s="916"/>
      <c r="J1343" s="916"/>
      <c r="K1343" s="917"/>
      <c r="L1343" s="917"/>
      <c r="M1343" s="917"/>
      <c r="N1343" s="917"/>
      <c r="O1343" s="917"/>
      <c r="P1343" s="917"/>
      <c r="Q1343" s="578"/>
      <c r="R1343" s="578"/>
      <c r="S1343" s="578"/>
      <c r="T1343" s="578"/>
      <c r="U1343" s="578"/>
      <c r="V1343" s="578"/>
      <c r="W1343" s="578"/>
      <c r="X1343" s="578"/>
      <c r="Y1343" s="578"/>
      <c r="Z1343" s="578"/>
    </row>
    <row r="1344" spans="1:26" ht="18.75">
      <c r="A1344" s="682"/>
      <c r="B1344" s="682"/>
      <c r="C1344" s="682"/>
      <c r="D1344" s="914"/>
      <c r="E1344" s="682"/>
      <c r="F1344" s="682"/>
      <c r="G1344" s="682"/>
      <c r="H1344" s="915"/>
      <c r="I1344" s="916"/>
      <c r="J1344" s="916"/>
      <c r="K1344" s="917"/>
      <c r="L1344" s="917"/>
      <c r="M1344" s="917"/>
      <c r="N1344" s="917"/>
      <c r="O1344" s="917"/>
      <c r="P1344" s="917"/>
      <c r="Q1344" s="578"/>
      <c r="R1344" s="578"/>
      <c r="S1344" s="578"/>
      <c r="T1344" s="578"/>
      <c r="U1344" s="578"/>
      <c r="V1344" s="578"/>
      <c r="W1344" s="578"/>
      <c r="X1344" s="578"/>
      <c r="Y1344" s="578"/>
      <c r="Z1344" s="578"/>
    </row>
    <row r="1345" spans="1:26" ht="18.75">
      <c r="A1345" s="682"/>
      <c r="B1345" s="682"/>
      <c r="C1345" s="682"/>
      <c r="D1345" s="914"/>
      <c r="E1345" s="682"/>
      <c r="F1345" s="682"/>
      <c r="G1345" s="682"/>
      <c r="H1345" s="915"/>
      <c r="I1345" s="916"/>
      <c r="J1345" s="916"/>
      <c r="K1345" s="917"/>
      <c r="L1345" s="917"/>
      <c r="M1345" s="917"/>
      <c r="N1345" s="917"/>
      <c r="O1345" s="917"/>
      <c r="P1345" s="917"/>
      <c r="Q1345" s="578"/>
      <c r="R1345" s="578"/>
      <c r="S1345" s="578"/>
      <c r="T1345" s="578"/>
      <c r="U1345" s="578"/>
      <c r="V1345" s="578"/>
      <c r="W1345" s="578"/>
      <c r="X1345" s="578"/>
      <c r="Y1345" s="578"/>
      <c r="Z1345" s="578"/>
    </row>
    <row r="1346" spans="1:26" ht="18.75">
      <c r="A1346" s="682"/>
      <c r="B1346" s="682"/>
      <c r="C1346" s="682"/>
      <c r="D1346" s="914"/>
      <c r="E1346" s="682"/>
      <c r="F1346" s="682"/>
      <c r="G1346" s="682"/>
      <c r="H1346" s="915"/>
      <c r="I1346" s="916"/>
      <c r="J1346" s="916"/>
      <c r="K1346" s="917"/>
      <c r="L1346" s="917"/>
      <c r="M1346" s="917"/>
      <c r="N1346" s="917"/>
      <c r="O1346" s="917"/>
      <c r="P1346" s="917"/>
      <c r="Q1346" s="578"/>
      <c r="R1346" s="578"/>
      <c r="S1346" s="578"/>
      <c r="T1346" s="578"/>
      <c r="U1346" s="578"/>
      <c r="V1346" s="578"/>
      <c r="W1346" s="578"/>
      <c r="X1346" s="578"/>
      <c r="Y1346" s="578"/>
      <c r="Z1346" s="578"/>
    </row>
    <row r="1347" spans="1:26" ht="18.75">
      <c r="A1347" s="682"/>
      <c r="B1347" s="682"/>
      <c r="C1347" s="682"/>
      <c r="D1347" s="914"/>
      <c r="E1347" s="682"/>
      <c r="F1347" s="682"/>
      <c r="G1347" s="682"/>
      <c r="H1347" s="915"/>
      <c r="I1347" s="916"/>
      <c r="J1347" s="916"/>
      <c r="K1347" s="917"/>
      <c r="L1347" s="917"/>
      <c r="M1347" s="917"/>
      <c r="N1347" s="917"/>
      <c r="O1347" s="917"/>
      <c r="P1347" s="917"/>
      <c r="Q1347" s="578"/>
      <c r="R1347" s="578"/>
      <c r="S1347" s="578"/>
      <c r="T1347" s="578"/>
      <c r="U1347" s="578"/>
      <c r="V1347" s="578"/>
      <c r="W1347" s="578"/>
      <c r="X1347" s="578"/>
      <c r="Y1347" s="578"/>
      <c r="Z1347" s="578"/>
    </row>
    <row r="1348" spans="1:26" ht="18.75">
      <c r="A1348" s="682"/>
      <c r="B1348" s="682"/>
      <c r="C1348" s="682"/>
      <c r="D1348" s="914"/>
      <c r="E1348" s="682"/>
      <c r="F1348" s="682"/>
      <c r="G1348" s="682"/>
      <c r="H1348" s="915"/>
      <c r="I1348" s="916"/>
      <c r="J1348" s="916"/>
      <c r="K1348" s="917"/>
      <c r="L1348" s="917"/>
      <c r="M1348" s="917"/>
      <c r="N1348" s="917"/>
      <c r="O1348" s="917"/>
      <c r="P1348" s="917"/>
      <c r="Q1348" s="578"/>
      <c r="R1348" s="578"/>
      <c r="S1348" s="578"/>
      <c r="T1348" s="578"/>
      <c r="U1348" s="578"/>
      <c r="V1348" s="578"/>
      <c r="W1348" s="578"/>
      <c r="X1348" s="578"/>
      <c r="Y1348" s="578"/>
      <c r="Z1348" s="578"/>
    </row>
    <row r="1349" spans="1:26" ht="18.75">
      <c r="A1349" s="682"/>
      <c r="B1349" s="682"/>
      <c r="C1349" s="682"/>
      <c r="D1349" s="914"/>
      <c r="E1349" s="682"/>
      <c r="F1349" s="682"/>
      <c r="G1349" s="682"/>
      <c r="H1349" s="915"/>
      <c r="I1349" s="916"/>
      <c r="J1349" s="916"/>
      <c r="K1349" s="917"/>
      <c r="L1349" s="917"/>
      <c r="M1349" s="917"/>
      <c r="N1349" s="917"/>
      <c r="O1349" s="917"/>
      <c r="P1349" s="917"/>
      <c r="Q1349" s="578"/>
      <c r="R1349" s="578"/>
      <c r="S1349" s="578"/>
      <c r="T1349" s="578"/>
      <c r="U1349" s="578"/>
      <c r="V1349" s="578"/>
      <c r="W1349" s="578"/>
      <c r="X1349" s="578"/>
      <c r="Y1349" s="578"/>
      <c r="Z1349" s="578"/>
    </row>
    <row r="1350" spans="1:26" ht="18.75">
      <c r="A1350" s="682"/>
      <c r="B1350" s="682"/>
      <c r="C1350" s="682"/>
      <c r="D1350" s="914"/>
      <c r="E1350" s="682"/>
      <c r="F1350" s="682"/>
      <c r="G1350" s="682"/>
      <c r="H1350" s="915"/>
      <c r="I1350" s="916"/>
      <c r="J1350" s="916"/>
      <c r="K1350" s="917"/>
      <c r="L1350" s="917"/>
      <c r="M1350" s="917"/>
      <c r="N1350" s="917"/>
      <c r="O1350" s="917"/>
      <c r="P1350" s="917"/>
      <c r="Q1350" s="578"/>
      <c r="R1350" s="578"/>
      <c r="S1350" s="578"/>
      <c r="T1350" s="578"/>
      <c r="U1350" s="578"/>
      <c r="V1350" s="578"/>
      <c r="W1350" s="578"/>
      <c r="X1350" s="578"/>
      <c r="Y1350" s="578"/>
      <c r="Z1350" s="578"/>
    </row>
    <row r="1351" spans="1:26" ht="18.75">
      <c r="A1351" s="682"/>
      <c r="B1351" s="682"/>
      <c r="C1351" s="682"/>
      <c r="D1351" s="914"/>
      <c r="E1351" s="682"/>
      <c r="F1351" s="682"/>
      <c r="G1351" s="682"/>
      <c r="H1351" s="915"/>
      <c r="I1351" s="916"/>
      <c r="J1351" s="916"/>
      <c r="K1351" s="917"/>
      <c r="L1351" s="917"/>
      <c r="M1351" s="917"/>
      <c r="N1351" s="917"/>
      <c r="O1351" s="917"/>
      <c r="P1351" s="917"/>
      <c r="Q1351" s="578"/>
      <c r="R1351" s="578"/>
      <c r="S1351" s="578"/>
      <c r="T1351" s="578"/>
      <c r="U1351" s="578"/>
      <c r="V1351" s="578"/>
      <c r="W1351" s="578"/>
      <c r="X1351" s="578"/>
      <c r="Y1351" s="578"/>
      <c r="Z1351" s="578"/>
    </row>
    <row r="1352" spans="1:26" ht="18.75">
      <c r="A1352" s="682"/>
      <c r="B1352" s="682"/>
      <c r="C1352" s="682"/>
      <c r="D1352" s="914"/>
      <c r="E1352" s="682"/>
      <c r="F1352" s="682"/>
      <c r="G1352" s="682"/>
      <c r="H1352" s="915"/>
      <c r="I1352" s="916"/>
      <c r="J1352" s="916"/>
      <c r="K1352" s="917"/>
      <c r="L1352" s="917"/>
      <c r="M1352" s="917"/>
      <c r="N1352" s="917"/>
      <c r="O1352" s="917"/>
      <c r="P1352" s="917"/>
      <c r="Q1352" s="578"/>
      <c r="R1352" s="578"/>
      <c r="S1352" s="578"/>
      <c r="T1352" s="578"/>
      <c r="U1352" s="578"/>
      <c r="V1352" s="578"/>
      <c r="W1352" s="578"/>
      <c r="X1352" s="578"/>
      <c r="Y1352" s="578"/>
      <c r="Z1352" s="578"/>
    </row>
    <row r="1353" spans="1:26" ht="18.75">
      <c r="A1353" s="682"/>
      <c r="B1353" s="682"/>
      <c r="C1353" s="682"/>
      <c r="D1353" s="914"/>
      <c r="E1353" s="682"/>
      <c r="F1353" s="682"/>
      <c r="G1353" s="682"/>
      <c r="H1353" s="915"/>
      <c r="I1353" s="916"/>
      <c r="J1353" s="916"/>
      <c r="K1353" s="917"/>
      <c r="L1353" s="917"/>
      <c r="M1353" s="917"/>
      <c r="N1353" s="917"/>
      <c r="O1353" s="917"/>
      <c r="P1353" s="917"/>
      <c r="Q1353" s="578"/>
      <c r="R1353" s="578"/>
      <c r="S1353" s="578"/>
      <c r="T1353" s="578"/>
      <c r="U1353" s="578"/>
      <c r="V1353" s="578"/>
      <c r="W1353" s="578"/>
      <c r="X1353" s="578"/>
      <c r="Y1353" s="578"/>
      <c r="Z1353" s="578"/>
    </row>
    <row r="1354" spans="1:26" ht="18.75">
      <c r="A1354" s="682"/>
      <c r="B1354" s="682"/>
      <c r="C1354" s="682"/>
      <c r="D1354" s="914"/>
      <c r="E1354" s="682"/>
      <c r="F1354" s="682"/>
      <c r="G1354" s="682"/>
      <c r="H1354" s="915"/>
      <c r="I1354" s="916"/>
      <c r="J1354" s="916"/>
      <c r="K1354" s="917"/>
      <c r="L1354" s="917"/>
      <c r="M1354" s="917"/>
      <c r="N1354" s="917"/>
      <c r="O1354" s="917"/>
      <c r="P1354" s="917"/>
      <c r="Q1354" s="578"/>
      <c r="R1354" s="578"/>
      <c r="S1354" s="578"/>
      <c r="T1354" s="578"/>
      <c r="U1354" s="578"/>
      <c r="V1354" s="578"/>
      <c r="W1354" s="578"/>
      <c r="X1354" s="578"/>
      <c r="Y1354" s="578"/>
      <c r="Z1354" s="578"/>
    </row>
    <row r="1355" spans="1:26" ht="18.75">
      <c r="A1355" s="682"/>
      <c r="B1355" s="682"/>
      <c r="C1355" s="682"/>
      <c r="D1355" s="914"/>
      <c r="E1355" s="682"/>
      <c r="F1355" s="682"/>
      <c r="G1355" s="682"/>
      <c r="H1355" s="915"/>
      <c r="I1355" s="916"/>
      <c r="J1355" s="916"/>
      <c r="K1355" s="917"/>
      <c r="L1355" s="917"/>
      <c r="M1355" s="917"/>
      <c r="N1355" s="917"/>
      <c r="O1355" s="917"/>
      <c r="P1355" s="917"/>
      <c r="Q1355" s="578"/>
      <c r="R1355" s="578"/>
      <c r="S1355" s="578"/>
      <c r="T1355" s="578"/>
      <c r="U1355" s="578"/>
      <c r="V1355" s="578"/>
      <c r="W1355" s="578"/>
      <c r="X1355" s="578"/>
      <c r="Y1355" s="578"/>
      <c r="Z1355" s="578"/>
    </row>
    <row r="1356" spans="1:26" ht="18.75">
      <c r="A1356" s="682"/>
      <c r="B1356" s="682"/>
      <c r="C1356" s="682"/>
      <c r="D1356" s="914"/>
      <c r="E1356" s="682"/>
      <c r="F1356" s="682"/>
      <c r="G1356" s="682"/>
      <c r="H1356" s="915"/>
      <c r="I1356" s="916"/>
      <c r="J1356" s="916"/>
      <c r="K1356" s="917"/>
      <c r="L1356" s="917"/>
      <c r="M1356" s="917"/>
      <c r="N1356" s="917"/>
      <c r="O1356" s="917"/>
      <c r="P1356" s="917"/>
      <c r="Q1356" s="578"/>
      <c r="R1356" s="578"/>
      <c r="S1356" s="578"/>
      <c r="T1356" s="578"/>
      <c r="U1356" s="578"/>
      <c r="V1356" s="578"/>
      <c r="W1356" s="578"/>
      <c r="X1356" s="578"/>
      <c r="Y1356" s="578"/>
      <c r="Z1356" s="578"/>
    </row>
    <row r="1357" spans="1:26" ht="18.75">
      <c r="A1357" s="682"/>
      <c r="B1357" s="682"/>
      <c r="C1357" s="682"/>
      <c r="D1357" s="914"/>
      <c r="E1357" s="682"/>
      <c r="F1357" s="682"/>
      <c r="G1357" s="682"/>
      <c r="H1357" s="915"/>
      <c r="I1357" s="916"/>
      <c r="J1357" s="916"/>
      <c r="K1357" s="917"/>
      <c r="L1357" s="917"/>
      <c r="M1357" s="917"/>
      <c r="N1357" s="917"/>
      <c r="O1357" s="917"/>
      <c r="P1357" s="917"/>
      <c r="Q1357" s="578"/>
      <c r="R1357" s="578"/>
      <c r="S1357" s="578"/>
      <c r="T1357" s="578"/>
      <c r="U1357" s="578"/>
      <c r="V1357" s="578"/>
      <c r="W1357" s="578"/>
      <c r="X1357" s="578"/>
      <c r="Y1357" s="578"/>
      <c r="Z1357" s="578"/>
    </row>
    <row r="1358" spans="1:26" ht="18.75">
      <c r="A1358" s="682"/>
      <c r="B1358" s="682"/>
      <c r="C1358" s="682"/>
      <c r="D1358" s="914"/>
      <c r="E1358" s="682"/>
      <c r="F1358" s="682"/>
      <c r="G1358" s="682"/>
      <c r="H1358" s="915"/>
      <c r="I1358" s="916"/>
      <c r="J1358" s="916"/>
      <c r="K1358" s="917"/>
      <c r="L1358" s="917"/>
      <c r="M1358" s="917"/>
      <c r="N1358" s="917"/>
      <c r="O1358" s="917"/>
      <c r="P1358" s="917"/>
      <c r="Q1358" s="578"/>
      <c r="R1358" s="578"/>
      <c r="S1358" s="578"/>
      <c r="T1358" s="578"/>
      <c r="U1358" s="578"/>
      <c r="V1358" s="578"/>
      <c r="W1358" s="578"/>
      <c r="X1358" s="578"/>
      <c r="Y1358" s="578"/>
      <c r="Z1358" s="578"/>
    </row>
    <row r="1359" spans="1:26" ht="18.75">
      <c r="A1359" s="682"/>
      <c r="B1359" s="682"/>
      <c r="C1359" s="682"/>
      <c r="D1359" s="914"/>
      <c r="E1359" s="682"/>
      <c r="F1359" s="682"/>
      <c r="G1359" s="682"/>
      <c r="H1359" s="915"/>
      <c r="I1359" s="916"/>
      <c r="J1359" s="916"/>
      <c r="K1359" s="917"/>
      <c r="L1359" s="917"/>
      <c r="M1359" s="917"/>
      <c r="N1359" s="917"/>
      <c r="O1359" s="917"/>
      <c r="P1359" s="917"/>
      <c r="Q1359" s="578"/>
      <c r="R1359" s="578"/>
      <c r="S1359" s="578"/>
      <c r="T1359" s="578"/>
      <c r="U1359" s="578"/>
      <c r="V1359" s="578"/>
      <c r="W1359" s="578"/>
      <c r="X1359" s="578"/>
      <c r="Y1359" s="578"/>
      <c r="Z1359" s="578"/>
    </row>
    <row r="1360" spans="1:26" ht="18.75">
      <c r="A1360" s="682"/>
      <c r="B1360" s="682"/>
      <c r="C1360" s="682"/>
      <c r="D1360" s="914"/>
      <c r="E1360" s="682"/>
      <c r="F1360" s="682"/>
      <c r="G1360" s="682"/>
      <c r="H1360" s="915"/>
      <c r="I1360" s="916"/>
      <c r="J1360" s="916"/>
      <c r="K1360" s="917"/>
      <c r="L1360" s="917"/>
      <c r="M1360" s="917"/>
      <c r="N1360" s="917"/>
      <c r="O1360" s="917"/>
      <c r="P1360" s="917"/>
      <c r="Q1360" s="578"/>
      <c r="R1360" s="578"/>
      <c r="S1360" s="578"/>
      <c r="T1360" s="578"/>
      <c r="U1360" s="578"/>
      <c r="V1360" s="578"/>
      <c r="W1360" s="578"/>
      <c r="X1360" s="578"/>
      <c r="Y1360" s="578"/>
      <c r="Z1360" s="578"/>
    </row>
    <row r="1361" spans="1:26" ht="18.75">
      <c r="A1361" s="682"/>
      <c r="B1361" s="682"/>
      <c r="C1361" s="682"/>
      <c r="D1361" s="914"/>
      <c r="E1361" s="682"/>
      <c r="F1361" s="682"/>
      <c r="G1361" s="682"/>
      <c r="H1361" s="915"/>
      <c r="I1361" s="916"/>
      <c r="J1361" s="916"/>
      <c r="K1361" s="917"/>
      <c r="L1361" s="917"/>
      <c r="M1361" s="917"/>
      <c r="N1361" s="917"/>
      <c r="O1361" s="917"/>
      <c r="P1361" s="917"/>
      <c r="Q1361" s="578"/>
      <c r="R1361" s="578"/>
      <c r="S1361" s="578"/>
      <c r="T1361" s="578"/>
      <c r="U1361" s="578"/>
      <c r="V1361" s="578"/>
      <c r="W1361" s="578"/>
      <c r="X1361" s="578"/>
      <c r="Y1361" s="578"/>
      <c r="Z1361" s="578"/>
    </row>
    <row r="1362" spans="1:26" ht="18.75">
      <c r="A1362" s="682"/>
      <c r="B1362" s="682"/>
      <c r="C1362" s="682"/>
      <c r="D1362" s="914"/>
      <c r="E1362" s="682"/>
      <c r="F1362" s="682"/>
      <c r="G1362" s="682"/>
      <c r="H1362" s="915"/>
      <c r="I1362" s="916"/>
      <c r="J1362" s="916"/>
      <c r="K1362" s="917"/>
      <c r="L1362" s="917"/>
      <c r="M1362" s="917"/>
      <c r="N1362" s="917"/>
      <c r="O1362" s="917"/>
      <c r="P1362" s="917"/>
      <c r="Q1362" s="578"/>
      <c r="R1362" s="578"/>
      <c r="S1362" s="578"/>
      <c r="T1362" s="578"/>
      <c r="U1362" s="578"/>
      <c r="V1362" s="578"/>
      <c r="W1362" s="578"/>
      <c r="X1362" s="578"/>
      <c r="Y1362" s="578"/>
      <c r="Z1362" s="578"/>
    </row>
    <row r="1363" spans="1:26" ht="18.75">
      <c r="A1363" s="682"/>
      <c r="B1363" s="682"/>
      <c r="C1363" s="682"/>
      <c r="D1363" s="914"/>
      <c r="E1363" s="682"/>
      <c r="F1363" s="682"/>
      <c r="G1363" s="682"/>
      <c r="H1363" s="915"/>
      <c r="I1363" s="916"/>
      <c r="J1363" s="916"/>
      <c r="K1363" s="917"/>
      <c r="L1363" s="917"/>
      <c r="M1363" s="917"/>
      <c r="N1363" s="917"/>
      <c r="O1363" s="917"/>
      <c r="P1363" s="917"/>
      <c r="Q1363" s="578"/>
      <c r="R1363" s="578"/>
      <c r="S1363" s="578"/>
      <c r="T1363" s="578"/>
      <c r="U1363" s="578"/>
      <c r="V1363" s="578"/>
      <c r="W1363" s="578"/>
      <c r="X1363" s="578"/>
      <c r="Y1363" s="578"/>
      <c r="Z1363" s="578"/>
    </row>
    <row r="1364" spans="1:26" ht="18.75">
      <c r="A1364" s="682"/>
      <c r="B1364" s="682"/>
      <c r="C1364" s="682"/>
      <c r="D1364" s="914"/>
      <c r="E1364" s="682"/>
      <c r="F1364" s="682"/>
      <c r="G1364" s="682"/>
      <c r="H1364" s="915"/>
      <c r="I1364" s="916"/>
      <c r="J1364" s="916"/>
      <c r="K1364" s="917"/>
      <c r="L1364" s="917"/>
      <c r="M1364" s="917"/>
      <c r="N1364" s="917"/>
      <c r="O1364" s="917"/>
      <c r="P1364" s="917"/>
      <c r="Q1364" s="578"/>
      <c r="R1364" s="578"/>
      <c r="S1364" s="578"/>
      <c r="T1364" s="578"/>
      <c r="U1364" s="578"/>
      <c r="V1364" s="578"/>
      <c r="W1364" s="578"/>
      <c r="X1364" s="578"/>
      <c r="Y1364" s="578"/>
      <c r="Z1364" s="578"/>
    </row>
    <row r="1365" spans="1:26" ht="18.75">
      <c r="A1365" s="682"/>
      <c r="B1365" s="682"/>
      <c r="C1365" s="682"/>
      <c r="D1365" s="914"/>
      <c r="E1365" s="682"/>
      <c r="F1365" s="682"/>
      <c r="G1365" s="682"/>
      <c r="H1365" s="915"/>
      <c r="I1365" s="916"/>
      <c r="J1365" s="916"/>
      <c r="K1365" s="917"/>
      <c r="L1365" s="917"/>
      <c r="M1365" s="917"/>
      <c r="N1365" s="917"/>
      <c r="O1365" s="917"/>
      <c r="P1365" s="917"/>
      <c r="Q1365" s="578"/>
      <c r="R1365" s="578"/>
      <c r="S1365" s="578"/>
      <c r="T1365" s="578"/>
      <c r="U1365" s="578"/>
      <c r="V1365" s="578"/>
      <c r="W1365" s="578"/>
      <c r="X1365" s="578"/>
      <c r="Y1365" s="578"/>
      <c r="Z1365" s="578"/>
    </row>
    <row r="1366" spans="1:26" ht="18.75">
      <c r="A1366" s="682"/>
      <c r="B1366" s="682"/>
      <c r="C1366" s="682"/>
      <c r="D1366" s="914"/>
      <c r="E1366" s="682"/>
      <c r="F1366" s="682"/>
      <c r="G1366" s="682"/>
      <c r="H1366" s="915"/>
      <c r="I1366" s="916"/>
      <c r="J1366" s="916"/>
      <c r="K1366" s="917"/>
      <c r="L1366" s="917"/>
      <c r="M1366" s="917"/>
      <c r="N1366" s="917"/>
      <c r="O1366" s="917"/>
      <c r="P1366" s="917"/>
      <c r="Q1366" s="578"/>
      <c r="R1366" s="578"/>
      <c r="S1366" s="578"/>
      <c r="T1366" s="578"/>
      <c r="U1366" s="578"/>
      <c r="V1366" s="578"/>
      <c r="W1366" s="578"/>
      <c r="X1366" s="578"/>
      <c r="Y1366" s="578"/>
      <c r="Z1366" s="578"/>
    </row>
    <row r="1367" spans="1:26" ht="18.75">
      <c r="A1367" s="682"/>
      <c r="B1367" s="682"/>
      <c r="C1367" s="682"/>
      <c r="D1367" s="914"/>
      <c r="E1367" s="682"/>
      <c r="F1367" s="682"/>
      <c r="G1367" s="682"/>
      <c r="H1367" s="915"/>
      <c r="I1367" s="916"/>
      <c r="J1367" s="916"/>
      <c r="K1367" s="917"/>
      <c r="L1367" s="917"/>
      <c r="M1367" s="917"/>
      <c r="N1367" s="917"/>
      <c r="O1367" s="917"/>
      <c r="P1367" s="917"/>
      <c r="Q1367" s="578"/>
      <c r="R1367" s="578"/>
      <c r="S1367" s="578"/>
      <c r="T1367" s="578"/>
      <c r="U1367" s="578"/>
      <c r="V1367" s="578"/>
      <c r="W1367" s="578"/>
      <c r="X1367" s="578"/>
      <c r="Y1367" s="578"/>
      <c r="Z1367" s="578"/>
    </row>
    <row r="1368" spans="1:26" ht="18.75">
      <c r="A1368" s="682"/>
      <c r="B1368" s="682"/>
      <c r="C1368" s="682"/>
      <c r="D1368" s="914"/>
      <c r="E1368" s="682"/>
      <c r="F1368" s="682"/>
      <c r="G1368" s="682"/>
      <c r="H1368" s="915"/>
      <c r="I1368" s="916"/>
      <c r="J1368" s="916"/>
      <c r="K1368" s="917"/>
      <c r="L1368" s="917"/>
      <c r="M1368" s="917"/>
      <c r="N1368" s="917"/>
      <c r="O1368" s="917"/>
      <c r="P1368" s="917"/>
      <c r="Q1368" s="578"/>
      <c r="R1368" s="578"/>
      <c r="S1368" s="578"/>
      <c r="T1368" s="578"/>
      <c r="U1368" s="578"/>
      <c r="V1368" s="578"/>
      <c r="W1368" s="578"/>
      <c r="X1368" s="578"/>
      <c r="Y1368" s="578"/>
      <c r="Z1368" s="578"/>
    </row>
    <row r="1369" spans="1:26" ht="18.75">
      <c r="A1369" s="682"/>
      <c r="B1369" s="682"/>
      <c r="C1369" s="682"/>
      <c r="D1369" s="914"/>
      <c r="E1369" s="682"/>
      <c r="F1369" s="682"/>
      <c r="G1369" s="682"/>
      <c r="H1369" s="915"/>
      <c r="I1369" s="916"/>
      <c r="J1369" s="916"/>
      <c r="K1369" s="917"/>
      <c r="L1369" s="917"/>
      <c r="M1369" s="917"/>
      <c r="N1369" s="917"/>
      <c r="O1369" s="917"/>
      <c r="P1369" s="917"/>
      <c r="Q1369" s="578"/>
      <c r="R1369" s="578"/>
      <c r="S1369" s="578"/>
      <c r="T1369" s="578"/>
      <c r="U1369" s="578"/>
      <c r="V1369" s="578"/>
      <c r="W1369" s="578"/>
      <c r="X1369" s="578"/>
      <c r="Y1369" s="578"/>
      <c r="Z1369" s="578"/>
    </row>
    <row r="1370" spans="1:26" ht="18.75">
      <c r="A1370" s="682"/>
      <c r="B1370" s="682"/>
      <c r="C1370" s="682"/>
      <c r="D1370" s="914"/>
      <c r="E1370" s="682"/>
      <c r="F1370" s="682"/>
      <c r="G1370" s="682"/>
      <c r="H1370" s="915"/>
      <c r="I1370" s="916"/>
      <c r="J1370" s="916"/>
      <c r="K1370" s="917"/>
      <c r="L1370" s="917"/>
      <c r="M1370" s="917"/>
      <c r="N1370" s="917"/>
      <c r="O1370" s="917"/>
      <c r="P1370" s="917"/>
      <c r="Q1370" s="578"/>
      <c r="R1370" s="578"/>
      <c r="S1370" s="578"/>
      <c r="T1370" s="578"/>
      <c r="U1370" s="578"/>
      <c r="V1370" s="578"/>
      <c r="W1370" s="578"/>
      <c r="X1370" s="578"/>
      <c r="Y1370" s="578"/>
      <c r="Z1370" s="578"/>
    </row>
    <row r="1371" spans="1:26" ht="18.75">
      <c r="A1371" s="682"/>
      <c r="B1371" s="682"/>
      <c r="C1371" s="682"/>
      <c r="D1371" s="914"/>
      <c r="E1371" s="682"/>
      <c r="F1371" s="682"/>
      <c r="G1371" s="682"/>
      <c r="H1371" s="915"/>
      <c r="I1371" s="916"/>
      <c r="J1371" s="916"/>
      <c r="K1371" s="917"/>
      <c r="L1371" s="917"/>
      <c r="M1371" s="917"/>
      <c r="N1371" s="917"/>
      <c r="O1371" s="917"/>
      <c r="P1371" s="917"/>
      <c r="Q1371" s="578"/>
      <c r="R1371" s="578"/>
      <c r="S1371" s="578"/>
      <c r="T1371" s="578"/>
      <c r="U1371" s="578"/>
      <c r="V1371" s="578"/>
      <c r="W1371" s="578"/>
      <c r="X1371" s="578"/>
      <c r="Y1371" s="578"/>
      <c r="Z1371" s="578"/>
    </row>
    <row r="1372" spans="1:26" ht="18.75">
      <c r="A1372" s="682"/>
      <c r="B1372" s="682"/>
      <c r="C1372" s="682"/>
      <c r="D1372" s="914"/>
      <c r="E1372" s="682"/>
      <c r="F1372" s="682"/>
      <c r="G1372" s="682"/>
      <c r="H1372" s="915"/>
      <c r="I1372" s="916"/>
      <c r="J1372" s="916"/>
      <c r="K1372" s="917"/>
      <c r="L1372" s="917"/>
      <c r="M1372" s="917"/>
      <c r="N1372" s="917"/>
      <c r="O1372" s="917"/>
      <c r="P1372" s="917"/>
      <c r="Q1372" s="578"/>
      <c r="R1372" s="578"/>
      <c r="S1372" s="578"/>
      <c r="T1372" s="578"/>
      <c r="U1372" s="578"/>
      <c r="V1372" s="578"/>
      <c r="W1372" s="578"/>
      <c r="X1372" s="578"/>
      <c r="Y1372" s="578"/>
      <c r="Z1372" s="578"/>
    </row>
    <row r="1373" spans="1:26" ht="18.75">
      <c r="A1373" s="682"/>
      <c r="B1373" s="682"/>
      <c r="C1373" s="682"/>
      <c r="D1373" s="914"/>
      <c r="E1373" s="682"/>
      <c r="F1373" s="682"/>
      <c r="G1373" s="682"/>
      <c r="H1373" s="915"/>
      <c r="I1373" s="916"/>
      <c r="J1373" s="916"/>
      <c r="K1373" s="917"/>
      <c r="L1373" s="917"/>
      <c r="M1373" s="917"/>
      <c r="N1373" s="917"/>
      <c r="O1373" s="917"/>
      <c r="P1373" s="917"/>
      <c r="Q1373" s="578"/>
      <c r="R1373" s="578"/>
      <c r="S1373" s="578"/>
      <c r="T1373" s="578"/>
      <c r="U1373" s="578"/>
      <c r="V1373" s="578"/>
      <c r="W1373" s="578"/>
      <c r="X1373" s="578"/>
      <c r="Y1373" s="578"/>
      <c r="Z1373" s="578"/>
    </row>
    <row r="1374" spans="1:26" ht="18.75">
      <c r="A1374" s="682"/>
      <c r="B1374" s="682"/>
      <c r="C1374" s="682"/>
      <c r="D1374" s="914"/>
      <c r="E1374" s="682"/>
      <c r="F1374" s="682"/>
      <c r="G1374" s="682"/>
      <c r="H1374" s="915"/>
      <c r="I1374" s="916"/>
      <c r="J1374" s="916"/>
      <c r="K1374" s="917"/>
      <c r="L1374" s="917"/>
      <c r="M1374" s="917"/>
      <c r="N1374" s="917"/>
      <c r="O1374" s="917"/>
      <c r="P1374" s="917"/>
      <c r="Q1374" s="578"/>
      <c r="R1374" s="578"/>
      <c r="S1374" s="578"/>
      <c r="T1374" s="578"/>
      <c r="U1374" s="578"/>
      <c r="V1374" s="578"/>
      <c r="W1374" s="578"/>
      <c r="X1374" s="578"/>
      <c r="Y1374" s="578"/>
      <c r="Z1374" s="578"/>
    </row>
    <row r="1375" spans="1:26" ht="18.75">
      <c r="A1375" s="682"/>
      <c r="B1375" s="682"/>
      <c r="C1375" s="682"/>
      <c r="D1375" s="914"/>
      <c r="E1375" s="682"/>
      <c r="F1375" s="682"/>
      <c r="G1375" s="682"/>
      <c r="H1375" s="915"/>
      <c r="I1375" s="916"/>
      <c r="J1375" s="916"/>
      <c r="K1375" s="917"/>
      <c r="L1375" s="917"/>
      <c r="M1375" s="917"/>
      <c r="N1375" s="917"/>
      <c r="O1375" s="917"/>
      <c r="P1375" s="917"/>
      <c r="Q1375" s="578"/>
      <c r="R1375" s="578"/>
      <c r="S1375" s="578"/>
      <c r="T1375" s="578"/>
      <c r="U1375" s="578"/>
      <c r="V1375" s="578"/>
      <c r="W1375" s="578"/>
      <c r="X1375" s="578"/>
      <c r="Y1375" s="578"/>
      <c r="Z1375" s="578"/>
    </row>
    <row r="1376" spans="1:26" ht="18.75">
      <c r="A1376" s="682"/>
      <c r="B1376" s="682"/>
      <c r="C1376" s="682"/>
      <c r="D1376" s="914"/>
      <c r="E1376" s="682"/>
      <c r="F1376" s="682"/>
      <c r="G1376" s="682"/>
      <c r="H1376" s="915"/>
      <c r="I1376" s="916"/>
      <c r="J1376" s="916"/>
      <c r="K1376" s="917"/>
      <c r="L1376" s="917"/>
      <c r="M1376" s="917"/>
      <c r="N1376" s="917"/>
      <c r="O1376" s="917"/>
      <c r="P1376" s="917"/>
      <c r="Q1376" s="578"/>
      <c r="R1376" s="578"/>
      <c r="S1376" s="578"/>
      <c r="T1376" s="578"/>
      <c r="U1376" s="578"/>
      <c r="V1376" s="578"/>
      <c r="W1376" s="578"/>
      <c r="X1376" s="578"/>
      <c r="Y1376" s="578"/>
      <c r="Z1376" s="578"/>
    </row>
    <row r="1377" spans="1:26" ht="18.75">
      <c r="A1377" s="682"/>
      <c r="B1377" s="682"/>
      <c r="C1377" s="682"/>
      <c r="D1377" s="914"/>
      <c r="E1377" s="682"/>
      <c r="F1377" s="682"/>
      <c r="G1377" s="682"/>
      <c r="H1377" s="915"/>
      <c r="I1377" s="916"/>
      <c r="J1377" s="916"/>
      <c r="K1377" s="917"/>
      <c r="L1377" s="917"/>
      <c r="M1377" s="917"/>
      <c r="N1377" s="917"/>
      <c r="O1377" s="917"/>
      <c r="P1377" s="917"/>
      <c r="Q1377" s="578"/>
      <c r="R1377" s="578"/>
      <c r="S1377" s="578"/>
      <c r="T1377" s="578"/>
      <c r="U1377" s="578"/>
      <c r="V1377" s="578"/>
      <c r="W1377" s="578"/>
      <c r="X1377" s="578"/>
      <c r="Y1377" s="578"/>
      <c r="Z1377" s="578"/>
    </row>
    <row r="1378" spans="1:26" ht="18.75">
      <c r="A1378" s="682"/>
      <c r="B1378" s="682"/>
      <c r="C1378" s="682"/>
      <c r="D1378" s="914"/>
      <c r="E1378" s="682"/>
      <c r="F1378" s="682"/>
      <c r="G1378" s="682"/>
      <c r="H1378" s="915"/>
      <c r="I1378" s="916"/>
      <c r="J1378" s="916"/>
      <c r="K1378" s="917"/>
      <c r="L1378" s="917"/>
      <c r="M1378" s="917"/>
      <c r="N1378" s="917"/>
      <c r="O1378" s="917"/>
      <c r="P1378" s="917"/>
      <c r="Q1378" s="578"/>
      <c r="R1378" s="578"/>
      <c r="S1378" s="578"/>
      <c r="T1378" s="578"/>
      <c r="U1378" s="578"/>
      <c r="V1378" s="578"/>
      <c r="W1378" s="578"/>
      <c r="X1378" s="578"/>
      <c r="Y1378" s="578"/>
      <c r="Z1378" s="578"/>
    </row>
    <row r="1379" spans="1:26" ht="18.75">
      <c r="A1379" s="682"/>
      <c r="B1379" s="682"/>
      <c r="C1379" s="682"/>
      <c r="D1379" s="914"/>
      <c r="E1379" s="682"/>
      <c r="F1379" s="682"/>
      <c r="G1379" s="682"/>
      <c r="H1379" s="915"/>
      <c r="I1379" s="916"/>
      <c r="J1379" s="916"/>
      <c r="K1379" s="917"/>
      <c r="L1379" s="917"/>
      <c r="M1379" s="917"/>
      <c r="N1379" s="917"/>
      <c r="O1379" s="917"/>
      <c r="P1379" s="917"/>
      <c r="Q1379" s="578"/>
      <c r="R1379" s="578"/>
      <c r="S1379" s="578"/>
      <c r="T1379" s="578"/>
      <c r="U1379" s="578"/>
      <c r="V1379" s="578"/>
      <c r="W1379" s="578"/>
      <c r="X1379" s="578"/>
      <c r="Y1379" s="578"/>
      <c r="Z1379" s="578"/>
    </row>
    <row r="1380" spans="1:26" ht="18.75">
      <c r="A1380" s="682"/>
      <c r="B1380" s="682"/>
      <c r="C1380" s="682"/>
      <c r="D1380" s="914"/>
      <c r="E1380" s="682"/>
      <c r="F1380" s="682"/>
      <c r="G1380" s="682"/>
      <c r="H1380" s="915"/>
      <c r="I1380" s="916"/>
      <c r="J1380" s="916"/>
      <c r="K1380" s="917"/>
      <c r="L1380" s="917"/>
      <c r="M1380" s="917"/>
      <c r="N1380" s="917"/>
      <c r="O1380" s="917"/>
      <c r="P1380" s="917"/>
      <c r="Q1380" s="578"/>
      <c r="R1380" s="578"/>
      <c r="S1380" s="578"/>
      <c r="T1380" s="578"/>
      <c r="U1380" s="578"/>
      <c r="V1380" s="578"/>
      <c r="W1380" s="578"/>
      <c r="X1380" s="578"/>
      <c r="Y1380" s="578"/>
      <c r="Z1380" s="578"/>
    </row>
    <row r="1381" spans="1:26" ht="18.75">
      <c r="A1381" s="682"/>
      <c r="B1381" s="682"/>
      <c r="C1381" s="682"/>
      <c r="D1381" s="914"/>
      <c r="E1381" s="682"/>
      <c r="F1381" s="682"/>
      <c r="G1381" s="682"/>
      <c r="H1381" s="915"/>
      <c r="I1381" s="916"/>
      <c r="J1381" s="916"/>
      <c r="K1381" s="917"/>
      <c r="L1381" s="917"/>
      <c r="M1381" s="917"/>
      <c r="N1381" s="917"/>
      <c r="O1381" s="917"/>
      <c r="P1381" s="917"/>
      <c r="Q1381" s="578"/>
      <c r="R1381" s="578"/>
      <c r="S1381" s="578"/>
      <c r="T1381" s="578"/>
      <c r="U1381" s="578"/>
      <c r="V1381" s="578"/>
      <c r="W1381" s="578"/>
      <c r="X1381" s="578"/>
      <c r="Y1381" s="578"/>
      <c r="Z1381" s="578"/>
    </row>
    <row r="1382" spans="1:26" ht="18.75">
      <c r="A1382" s="682"/>
      <c r="B1382" s="682"/>
      <c r="C1382" s="682"/>
      <c r="D1382" s="914"/>
      <c r="E1382" s="682"/>
      <c r="F1382" s="682"/>
      <c r="G1382" s="682"/>
      <c r="H1382" s="915"/>
      <c r="I1382" s="916"/>
      <c r="J1382" s="916"/>
      <c r="K1382" s="917"/>
      <c r="L1382" s="917"/>
      <c r="M1382" s="917"/>
      <c r="N1382" s="917"/>
      <c r="O1382" s="917"/>
      <c r="P1382" s="917"/>
      <c r="Q1382" s="578"/>
      <c r="R1382" s="578"/>
      <c r="S1382" s="578"/>
      <c r="T1382" s="578"/>
      <c r="U1382" s="578"/>
      <c r="V1382" s="578"/>
      <c r="W1382" s="578"/>
      <c r="X1382" s="578"/>
      <c r="Y1382" s="578"/>
      <c r="Z1382" s="578"/>
    </row>
    <row r="1383" spans="1:26" ht="18.75">
      <c r="A1383" s="682"/>
      <c r="B1383" s="682"/>
      <c r="C1383" s="682"/>
      <c r="D1383" s="914"/>
      <c r="E1383" s="682"/>
      <c r="F1383" s="682"/>
      <c r="G1383" s="682"/>
      <c r="H1383" s="915"/>
      <c r="I1383" s="916"/>
      <c r="J1383" s="916"/>
      <c r="K1383" s="917"/>
      <c r="L1383" s="917"/>
      <c r="M1383" s="917"/>
      <c r="N1383" s="917"/>
      <c r="O1383" s="917"/>
      <c r="P1383" s="917"/>
      <c r="Q1383" s="578"/>
      <c r="R1383" s="578"/>
      <c r="S1383" s="578"/>
      <c r="T1383" s="578"/>
      <c r="U1383" s="578"/>
      <c r="V1383" s="578"/>
      <c r="W1383" s="578"/>
      <c r="X1383" s="578"/>
      <c r="Y1383" s="578"/>
      <c r="Z1383" s="578"/>
    </row>
    <row r="1384" spans="1:26" ht="18.75">
      <c r="A1384" s="682"/>
      <c r="B1384" s="682"/>
      <c r="C1384" s="682"/>
      <c r="D1384" s="914"/>
      <c r="E1384" s="682"/>
      <c r="F1384" s="682"/>
      <c r="G1384" s="682"/>
      <c r="H1384" s="915"/>
      <c r="I1384" s="916"/>
      <c r="J1384" s="916"/>
      <c r="K1384" s="917"/>
      <c r="L1384" s="917"/>
      <c r="M1384" s="917"/>
      <c r="N1384" s="917"/>
      <c r="O1384" s="917"/>
      <c r="P1384" s="917"/>
      <c r="Q1384" s="578"/>
      <c r="R1384" s="578"/>
      <c r="S1384" s="578"/>
      <c r="T1384" s="578"/>
      <c r="U1384" s="578"/>
      <c r="V1384" s="578"/>
      <c r="W1384" s="578"/>
      <c r="X1384" s="578"/>
      <c r="Y1384" s="578"/>
      <c r="Z1384" s="578"/>
    </row>
    <row r="1385" spans="1:26" ht="18.75">
      <c r="A1385" s="682"/>
      <c r="B1385" s="682"/>
      <c r="C1385" s="682"/>
      <c r="D1385" s="914"/>
      <c r="E1385" s="682"/>
      <c r="F1385" s="682"/>
      <c r="G1385" s="682"/>
      <c r="H1385" s="915"/>
      <c r="I1385" s="916"/>
      <c r="J1385" s="916"/>
      <c r="K1385" s="917"/>
      <c r="L1385" s="917"/>
      <c r="M1385" s="917"/>
      <c r="N1385" s="917"/>
      <c r="O1385" s="917"/>
      <c r="P1385" s="917"/>
      <c r="Q1385" s="578"/>
      <c r="R1385" s="578"/>
      <c r="S1385" s="578"/>
      <c r="T1385" s="578"/>
      <c r="U1385" s="578"/>
      <c r="V1385" s="578"/>
      <c r="W1385" s="578"/>
      <c r="X1385" s="578"/>
      <c r="Y1385" s="578"/>
      <c r="Z1385" s="578"/>
    </row>
    <row r="1386" spans="1:26" ht="18.75">
      <c r="A1386" s="682"/>
      <c r="B1386" s="682"/>
      <c r="C1386" s="682"/>
      <c r="D1386" s="914"/>
      <c r="E1386" s="682"/>
      <c r="F1386" s="682"/>
      <c r="G1386" s="682"/>
      <c r="H1386" s="915"/>
      <c r="I1386" s="916"/>
      <c r="J1386" s="916"/>
      <c r="K1386" s="917"/>
      <c r="L1386" s="917"/>
      <c r="M1386" s="917"/>
      <c r="N1386" s="917"/>
      <c r="O1386" s="917"/>
      <c r="P1386" s="917"/>
      <c r="Q1386" s="578"/>
      <c r="R1386" s="578"/>
      <c r="S1386" s="578"/>
      <c r="T1386" s="578"/>
      <c r="U1386" s="578"/>
      <c r="V1386" s="578"/>
      <c r="W1386" s="578"/>
      <c r="X1386" s="578"/>
      <c r="Y1386" s="578"/>
      <c r="Z1386" s="578"/>
    </row>
    <row r="1387" spans="1:26" ht="18.75">
      <c r="A1387" s="682"/>
      <c r="B1387" s="682"/>
      <c r="C1387" s="682"/>
      <c r="D1387" s="914"/>
      <c r="E1387" s="682"/>
      <c r="F1387" s="682"/>
      <c r="G1387" s="682"/>
      <c r="H1387" s="915"/>
      <c r="I1387" s="916"/>
      <c r="J1387" s="916"/>
      <c r="K1387" s="917"/>
      <c r="L1387" s="917"/>
      <c r="M1387" s="917"/>
      <c r="N1387" s="917"/>
      <c r="O1387" s="917"/>
      <c r="P1387" s="917"/>
      <c r="Q1387" s="578"/>
      <c r="R1387" s="578"/>
      <c r="S1387" s="578"/>
      <c r="T1387" s="578"/>
      <c r="U1387" s="578"/>
      <c r="V1387" s="578"/>
      <c r="W1387" s="578"/>
      <c r="X1387" s="578"/>
      <c r="Y1387" s="578"/>
      <c r="Z1387" s="578"/>
    </row>
    <row r="1388" spans="1:26" ht="18.75">
      <c r="A1388" s="682"/>
      <c r="B1388" s="682"/>
      <c r="C1388" s="682"/>
      <c r="D1388" s="914"/>
      <c r="E1388" s="682"/>
      <c r="F1388" s="682"/>
      <c r="G1388" s="682"/>
      <c r="H1388" s="915"/>
      <c r="I1388" s="916"/>
      <c r="J1388" s="916"/>
      <c r="K1388" s="917"/>
      <c r="L1388" s="917"/>
      <c r="M1388" s="917"/>
      <c r="N1388" s="917"/>
      <c r="O1388" s="917"/>
      <c r="P1388" s="917"/>
      <c r="Q1388" s="578"/>
      <c r="R1388" s="578"/>
      <c r="S1388" s="578"/>
      <c r="T1388" s="578"/>
      <c r="U1388" s="578"/>
      <c r="V1388" s="578"/>
      <c r="W1388" s="578"/>
      <c r="X1388" s="578"/>
      <c r="Y1388" s="578"/>
      <c r="Z1388" s="578"/>
    </row>
    <row r="1389" spans="1:26" ht="18.75">
      <c r="A1389" s="682"/>
      <c r="B1389" s="682"/>
      <c r="C1389" s="682"/>
      <c r="D1389" s="914"/>
      <c r="E1389" s="682"/>
      <c r="F1389" s="682"/>
      <c r="G1389" s="682"/>
      <c r="H1389" s="915"/>
      <c r="I1389" s="916"/>
      <c r="J1389" s="916"/>
      <c r="K1389" s="917"/>
      <c r="L1389" s="917"/>
      <c r="M1389" s="917"/>
      <c r="N1389" s="917"/>
      <c r="O1389" s="917"/>
      <c r="P1389" s="917"/>
      <c r="Q1389" s="578"/>
      <c r="R1389" s="578"/>
      <c r="S1389" s="578"/>
      <c r="T1389" s="578"/>
      <c r="U1389" s="578"/>
      <c r="V1389" s="578"/>
      <c r="W1389" s="578"/>
      <c r="X1389" s="578"/>
      <c r="Y1389" s="578"/>
      <c r="Z1389" s="578"/>
    </row>
    <row r="1390" spans="1:26" ht="18.75">
      <c r="A1390" s="682"/>
      <c r="B1390" s="682"/>
      <c r="C1390" s="682"/>
      <c r="D1390" s="914"/>
      <c r="E1390" s="682"/>
      <c r="F1390" s="682"/>
      <c r="G1390" s="682"/>
      <c r="H1390" s="915"/>
      <c r="I1390" s="916"/>
      <c r="J1390" s="916"/>
      <c r="K1390" s="917"/>
      <c r="L1390" s="917"/>
      <c r="M1390" s="917"/>
      <c r="N1390" s="917"/>
      <c r="O1390" s="917"/>
      <c r="P1390" s="917"/>
      <c r="Q1390" s="578"/>
      <c r="R1390" s="578"/>
      <c r="S1390" s="578"/>
      <c r="T1390" s="578"/>
      <c r="U1390" s="578"/>
      <c r="V1390" s="578"/>
      <c r="W1390" s="578"/>
      <c r="X1390" s="578"/>
      <c r="Y1390" s="578"/>
      <c r="Z1390" s="578"/>
    </row>
    <row r="1391" spans="1:26" ht="18.75">
      <c r="A1391" s="682"/>
      <c r="B1391" s="682"/>
      <c r="C1391" s="682"/>
      <c r="D1391" s="914"/>
      <c r="E1391" s="682"/>
      <c r="F1391" s="682"/>
      <c r="G1391" s="682"/>
      <c r="H1391" s="915"/>
      <c r="I1391" s="916"/>
      <c r="J1391" s="916"/>
      <c r="K1391" s="917"/>
      <c r="L1391" s="917"/>
      <c r="M1391" s="917"/>
      <c r="N1391" s="917"/>
      <c r="O1391" s="917"/>
      <c r="P1391" s="917"/>
      <c r="Q1391" s="578"/>
      <c r="R1391" s="578"/>
      <c r="S1391" s="578"/>
      <c r="T1391" s="578"/>
      <c r="U1391" s="578"/>
      <c r="V1391" s="578"/>
      <c r="W1391" s="578"/>
      <c r="X1391" s="578"/>
      <c r="Y1391" s="578"/>
      <c r="Z1391" s="578"/>
    </row>
    <row r="1392" spans="1:26" ht="18.75">
      <c r="A1392" s="682"/>
      <c r="B1392" s="682"/>
      <c r="C1392" s="682"/>
      <c r="D1392" s="914"/>
      <c r="E1392" s="682"/>
      <c r="F1392" s="682"/>
      <c r="G1392" s="682"/>
      <c r="H1392" s="915"/>
      <c r="I1392" s="916"/>
      <c r="J1392" s="916"/>
      <c r="K1392" s="917"/>
      <c r="L1392" s="917"/>
      <c r="M1392" s="917"/>
      <c r="N1392" s="917"/>
      <c r="O1392" s="917"/>
      <c r="P1392" s="917"/>
      <c r="Q1392" s="578"/>
      <c r="R1392" s="578"/>
      <c r="S1392" s="578"/>
      <c r="T1392" s="578"/>
      <c r="U1392" s="578"/>
      <c r="V1392" s="578"/>
      <c r="W1392" s="578"/>
      <c r="X1392" s="578"/>
      <c r="Y1392" s="578"/>
      <c r="Z1392" s="578"/>
    </row>
    <row r="1393" spans="1:26" ht="18.75">
      <c r="A1393" s="682"/>
      <c r="B1393" s="682"/>
      <c r="C1393" s="682"/>
      <c r="D1393" s="914"/>
      <c r="E1393" s="682"/>
      <c r="F1393" s="682"/>
      <c r="G1393" s="682"/>
      <c r="H1393" s="915"/>
      <c r="I1393" s="916"/>
      <c r="J1393" s="916"/>
      <c r="K1393" s="917"/>
      <c r="L1393" s="917"/>
      <c r="M1393" s="917"/>
      <c r="N1393" s="917"/>
      <c r="O1393" s="917"/>
      <c r="P1393" s="917"/>
      <c r="Q1393" s="578"/>
      <c r="R1393" s="578"/>
      <c r="S1393" s="578"/>
      <c r="T1393" s="578"/>
      <c r="U1393" s="578"/>
      <c r="V1393" s="578"/>
      <c r="W1393" s="578"/>
      <c r="X1393" s="578"/>
      <c r="Y1393" s="578"/>
      <c r="Z1393" s="578"/>
    </row>
    <row r="1394" spans="1:26" ht="18.75">
      <c r="A1394" s="682"/>
      <c r="B1394" s="682"/>
      <c r="C1394" s="682"/>
      <c r="D1394" s="914"/>
      <c r="E1394" s="682"/>
      <c r="F1394" s="682"/>
      <c r="G1394" s="682"/>
      <c r="H1394" s="915"/>
      <c r="I1394" s="916"/>
      <c r="J1394" s="916"/>
      <c r="K1394" s="917"/>
      <c r="L1394" s="917"/>
      <c r="M1394" s="917"/>
      <c r="N1394" s="917"/>
      <c r="O1394" s="917"/>
      <c r="P1394" s="917"/>
      <c r="Q1394" s="578"/>
      <c r="R1394" s="578"/>
      <c r="S1394" s="578"/>
      <c r="T1394" s="578"/>
      <c r="U1394" s="578"/>
      <c r="V1394" s="578"/>
      <c r="W1394" s="578"/>
      <c r="X1394" s="578"/>
      <c r="Y1394" s="578"/>
      <c r="Z1394" s="578"/>
    </row>
    <row r="1395" spans="1:26" ht="18.75">
      <c r="A1395" s="682"/>
      <c r="B1395" s="682"/>
      <c r="C1395" s="682"/>
      <c r="D1395" s="914"/>
      <c r="E1395" s="682"/>
      <c r="F1395" s="682"/>
      <c r="G1395" s="682"/>
      <c r="H1395" s="915"/>
      <c r="I1395" s="916"/>
      <c r="J1395" s="916"/>
      <c r="K1395" s="917"/>
      <c r="L1395" s="917"/>
      <c r="M1395" s="917"/>
      <c r="N1395" s="917"/>
      <c r="O1395" s="917"/>
      <c r="P1395" s="917"/>
      <c r="Q1395" s="578"/>
      <c r="R1395" s="578"/>
      <c r="S1395" s="578"/>
      <c r="T1395" s="578"/>
      <c r="U1395" s="578"/>
      <c r="V1395" s="578"/>
      <c r="W1395" s="578"/>
      <c r="X1395" s="578"/>
      <c r="Y1395" s="578"/>
      <c r="Z1395" s="578"/>
    </row>
    <row r="1396" spans="1:26" ht="18.75">
      <c r="A1396" s="682"/>
      <c r="B1396" s="682"/>
      <c r="C1396" s="682"/>
      <c r="D1396" s="914"/>
      <c r="E1396" s="682"/>
      <c r="F1396" s="682"/>
      <c r="G1396" s="682"/>
      <c r="H1396" s="915"/>
      <c r="I1396" s="916"/>
      <c r="J1396" s="916"/>
      <c r="K1396" s="917"/>
      <c r="L1396" s="917"/>
      <c r="M1396" s="917"/>
      <c r="N1396" s="917"/>
      <c r="O1396" s="917"/>
      <c r="P1396" s="917"/>
      <c r="Q1396" s="578"/>
      <c r="R1396" s="578"/>
      <c r="S1396" s="578"/>
      <c r="T1396" s="578"/>
      <c r="U1396" s="578"/>
      <c r="V1396" s="578"/>
      <c r="W1396" s="578"/>
      <c r="X1396" s="578"/>
      <c r="Y1396" s="578"/>
      <c r="Z1396" s="578"/>
    </row>
    <row r="1397" spans="1:26" ht="18.75">
      <c r="A1397" s="682"/>
      <c r="B1397" s="682"/>
      <c r="C1397" s="682"/>
      <c r="D1397" s="914"/>
      <c r="E1397" s="682"/>
      <c r="F1397" s="682"/>
      <c r="G1397" s="682"/>
      <c r="H1397" s="915"/>
      <c r="I1397" s="916"/>
      <c r="J1397" s="916"/>
      <c r="K1397" s="917"/>
      <c r="L1397" s="917"/>
      <c r="M1397" s="917"/>
      <c r="N1397" s="917"/>
      <c r="O1397" s="917"/>
      <c r="P1397" s="917"/>
      <c r="Q1397" s="578"/>
      <c r="R1397" s="578"/>
      <c r="S1397" s="578"/>
      <c r="T1397" s="578"/>
      <c r="U1397" s="578"/>
      <c r="V1397" s="578"/>
      <c r="W1397" s="578"/>
      <c r="X1397" s="578"/>
      <c r="Y1397" s="578"/>
      <c r="Z1397" s="578"/>
    </row>
    <row r="1398" spans="1:26" ht="18.75">
      <c r="A1398" s="682"/>
      <c r="B1398" s="682"/>
      <c r="C1398" s="682"/>
      <c r="D1398" s="914"/>
      <c r="E1398" s="682"/>
      <c r="F1398" s="682"/>
      <c r="G1398" s="682"/>
      <c r="H1398" s="915"/>
      <c r="I1398" s="916"/>
      <c r="J1398" s="916"/>
      <c r="K1398" s="917"/>
      <c r="L1398" s="917"/>
      <c r="M1398" s="917"/>
      <c r="N1398" s="917"/>
      <c r="O1398" s="917"/>
      <c r="P1398" s="917"/>
      <c r="Q1398" s="578"/>
      <c r="R1398" s="578"/>
      <c r="S1398" s="578"/>
      <c r="T1398" s="578"/>
      <c r="U1398" s="578"/>
      <c r="V1398" s="578"/>
      <c r="W1398" s="578"/>
      <c r="X1398" s="578"/>
      <c r="Y1398" s="578"/>
      <c r="Z1398" s="578"/>
    </row>
    <row r="1399" spans="1:26" ht="18.75">
      <c r="A1399" s="682"/>
      <c r="B1399" s="682"/>
      <c r="C1399" s="682"/>
      <c r="D1399" s="914"/>
      <c r="E1399" s="682"/>
      <c r="F1399" s="682"/>
      <c r="G1399" s="682"/>
      <c r="H1399" s="915"/>
      <c r="I1399" s="916"/>
      <c r="J1399" s="916"/>
      <c r="K1399" s="917"/>
      <c r="L1399" s="917"/>
      <c r="M1399" s="917"/>
      <c r="N1399" s="917"/>
      <c r="O1399" s="917"/>
      <c r="P1399" s="917"/>
      <c r="Q1399" s="578"/>
      <c r="R1399" s="578"/>
      <c r="S1399" s="578"/>
      <c r="T1399" s="578"/>
      <c r="U1399" s="578"/>
      <c r="V1399" s="578"/>
      <c r="W1399" s="578"/>
      <c r="X1399" s="578"/>
      <c r="Y1399" s="578"/>
      <c r="Z1399" s="578"/>
    </row>
    <row r="1400" spans="1:26" ht="18.75">
      <c r="A1400" s="682"/>
      <c r="B1400" s="682"/>
      <c r="C1400" s="682"/>
      <c r="D1400" s="914"/>
      <c r="E1400" s="682"/>
      <c r="F1400" s="682"/>
      <c r="G1400" s="682"/>
      <c r="H1400" s="915"/>
      <c r="I1400" s="916"/>
      <c r="J1400" s="916"/>
      <c r="K1400" s="917"/>
      <c r="L1400" s="917"/>
      <c r="M1400" s="917"/>
      <c r="N1400" s="917"/>
      <c r="O1400" s="917"/>
      <c r="P1400" s="917"/>
      <c r="Q1400" s="578"/>
      <c r="R1400" s="578"/>
      <c r="S1400" s="578"/>
      <c r="T1400" s="578"/>
      <c r="U1400" s="578"/>
      <c r="V1400" s="578"/>
      <c r="W1400" s="578"/>
      <c r="X1400" s="578"/>
      <c r="Y1400" s="578"/>
      <c r="Z1400" s="578"/>
    </row>
    <row r="1401" spans="1:26" ht="18.75">
      <c r="A1401" s="682"/>
      <c r="B1401" s="682"/>
      <c r="C1401" s="682"/>
      <c r="D1401" s="914"/>
      <c r="E1401" s="682"/>
      <c r="F1401" s="682"/>
      <c r="G1401" s="682"/>
      <c r="H1401" s="915"/>
      <c r="I1401" s="916"/>
      <c r="J1401" s="916"/>
      <c r="K1401" s="917"/>
      <c r="L1401" s="917"/>
      <c r="M1401" s="917"/>
      <c r="N1401" s="917"/>
      <c r="O1401" s="917"/>
      <c r="P1401" s="917"/>
      <c r="Q1401" s="578"/>
      <c r="R1401" s="578"/>
      <c r="S1401" s="578"/>
      <c r="T1401" s="578"/>
      <c r="U1401" s="578"/>
      <c r="V1401" s="578"/>
      <c r="W1401" s="578"/>
      <c r="X1401" s="578"/>
      <c r="Y1401" s="578"/>
      <c r="Z1401" s="578"/>
    </row>
    <row r="1402" spans="1:26" ht="18.75">
      <c r="A1402" s="682"/>
      <c r="B1402" s="682"/>
      <c r="C1402" s="682"/>
      <c r="D1402" s="914"/>
      <c r="E1402" s="682"/>
      <c r="F1402" s="682"/>
      <c r="G1402" s="682"/>
      <c r="H1402" s="915"/>
      <c r="I1402" s="916"/>
      <c r="J1402" s="916"/>
      <c r="K1402" s="917"/>
      <c r="L1402" s="917"/>
      <c r="M1402" s="917"/>
      <c r="N1402" s="917"/>
      <c r="O1402" s="917"/>
      <c r="P1402" s="917"/>
      <c r="Q1402" s="578"/>
      <c r="R1402" s="578"/>
      <c r="S1402" s="578"/>
      <c r="T1402" s="578"/>
      <c r="U1402" s="578"/>
      <c r="V1402" s="578"/>
      <c r="W1402" s="578"/>
      <c r="X1402" s="578"/>
      <c r="Y1402" s="578"/>
      <c r="Z1402" s="578"/>
    </row>
    <row r="1403" spans="1:26" ht="18.75">
      <c r="A1403" s="682"/>
      <c r="B1403" s="682"/>
      <c r="C1403" s="682"/>
      <c r="D1403" s="914"/>
      <c r="E1403" s="682"/>
      <c r="F1403" s="682"/>
      <c r="G1403" s="682"/>
      <c r="H1403" s="915"/>
      <c r="I1403" s="916"/>
      <c r="J1403" s="916"/>
      <c r="K1403" s="917"/>
      <c r="L1403" s="917"/>
      <c r="M1403" s="917"/>
      <c r="N1403" s="917"/>
      <c r="O1403" s="917"/>
      <c r="P1403" s="917"/>
      <c r="Q1403" s="578"/>
      <c r="R1403" s="578"/>
      <c r="S1403" s="578"/>
      <c r="T1403" s="578"/>
      <c r="U1403" s="578"/>
      <c r="V1403" s="578"/>
      <c r="W1403" s="578"/>
      <c r="X1403" s="578"/>
      <c r="Y1403" s="578"/>
      <c r="Z1403" s="578"/>
    </row>
    <row r="1404" spans="1:26" ht="18.75">
      <c r="A1404" s="682"/>
      <c r="B1404" s="682"/>
      <c r="C1404" s="682"/>
      <c r="D1404" s="914"/>
      <c r="E1404" s="682"/>
      <c r="F1404" s="682"/>
      <c r="G1404" s="682"/>
      <c r="H1404" s="915"/>
      <c r="I1404" s="916"/>
      <c r="J1404" s="916"/>
      <c r="K1404" s="917"/>
      <c r="L1404" s="917"/>
      <c r="M1404" s="917"/>
      <c r="N1404" s="917"/>
      <c r="O1404" s="917"/>
      <c r="P1404" s="917"/>
      <c r="Q1404" s="578"/>
      <c r="R1404" s="578"/>
      <c r="S1404" s="578"/>
      <c r="T1404" s="578"/>
      <c r="U1404" s="578"/>
      <c r="V1404" s="578"/>
      <c r="W1404" s="578"/>
      <c r="X1404" s="578"/>
      <c r="Y1404" s="578"/>
      <c r="Z1404" s="578"/>
    </row>
    <row r="1405" spans="1:26" ht="18.75">
      <c r="A1405" s="682"/>
      <c r="B1405" s="682"/>
      <c r="C1405" s="682"/>
      <c r="D1405" s="914"/>
      <c r="E1405" s="682"/>
      <c r="F1405" s="682"/>
      <c r="G1405" s="682"/>
      <c r="H1405" s="915"/>
      <c r="I1405" s="916"/>
      <c r="J1405" s="916"/>
      <c r="K1405" s="917"/>
      <c r="L1405" s="917"/>
      <c r="M1405" s="917"/>
      <c r="N1405" s="917"/>
      <c r="O1405" s="917"/>
      <c r="P1405" s="917"/>
      <c r="Q1405" s="578"/>
      <c r="R1405" s="578"/>
      <c r="S1405" s="578"/>
      <c r="T1405" s="578"/>
      <c r="U1405" s="578"/>
      <c r="V1405" s="578"/>
      <c r="W1405" s="578"/>
      <c r="X1405" s="578"/>
      <c r="Y1405" s="578"/>
      <c r="Z1405" s="578"/>
    </row>
    <row r="1406" spans="1:26" ht="18.75">
      <c r="A1406" s="682"/>
      <c r="B1406" s="682"/>
      <c r="C1406" s="682"/>
      <c r="D1406" s="914"/>
      <c r="E1406" s="682"/>
      <c r="F1406" s="682"/>
      <c r="G1406" s="682"/>
      <c r="H1406" s="915"/>
      <c r="I1406" s="916"/>
      <c r="J1406" s="916"/>
      <c r="K1406" s="917"/>
      <c r="L1406" s="917"/>
      <c r="M1406" s="917"/>
      <c r="N1406" s="917"/>
      <c r="O1406" s="917"/>
      <c r="P1406" s="917"/>
      <c r="Q1406" s="578"/>
      <c r="R1406" s="578"/>
      <c r="S1406" s="578"/>
      <c r="T1406" s="578"/>
      <c r="U1406" s="578"/>
      <c r="V1406" s="578"/>
      <c r="W1406" s="578"/>
      <c r="X1406" s="578"/>
      <c r="Y1406" s="578"/>
      <c r="Z1406" s="578"/>
    </row>
    <row r="1407" spans="1:26" ht="18.75">
      <c r="A1407" s="682"/>
      <c r="B1407" s="682"/>
      <c r="C1407" s="682"/>
      <c r="D1407" s="914"/>
      <c r="E1407" s="682"/>
      <c r="F1407" s="682"/>
      <c r="G1407" s="682"/>
      <c r="H1407" s="915"/>
      <c r="I1407" s="916"/>
      <c r="J1407" s="916"/>
      <c r="K1407" s="917"/>
      <c r="L1407" s="917"/>
      <c r="M1407" s="917"/>
      <c r="N1407" s="917"/>
      <c r="O1407" s="917"/>
      <c r="P1407" s="917"/>
      <c r="Q1407" s="578"/>
      <c r="R1407" s="578"/>
      <c r="S1407" s="578"/>
      <c r="T1407" s="578"/>
      <c r="U1407" s="578"/>
      <c r="V1407" s="578"/>
      <c r="W1407" s="578"/>
      <c r="X1407" s="578"/>
      <c r="Y1407" s="578"/>
      <c r="Z1407" s="578"/>
    </row>
    <row r="1408" spans="1:26" ht="18.75">
      <c r="A1408" s="682"/>
      <c r="B1408" s="682"/>
      <c r="C1408" s="682"/>
      <c r="D1408" s="914"/>
      <c r="E1408" s="682"/>
      <c r="F1408" s="682"/>
      <c r="G1408" s="682"/>
      <c r="H1408" s="915"/>
      <c r="I1408" s="916"/>
      <c r="J1408" s="916"/>
      <c r="K1408" s="917"/>
      <c r="L1408" s="917"/>
      <c r="M1408" s="917"/>
      <c r="N1408" s="917"/>
      <c r="O1408" s="917"/>
      <c r="P1408" s="917"/>
      <c r="Q1408" s="578"/>
      <c r="R1408" s="578"/>
      <c r="S1408" s="578"/>
      <c r="T1408" s="578"/>
      <c r="U1408" s="578"/>
      <c r="V1408" s="578"/>
      <c r="W1408" s="578"/>
      <c r="X1408" s="578"/>
      <c r="Y1408" s="578"/>
      <c r="Z1408" s="578"/>
    </row>
    <row r="1409" spans="1:26" ht="18.75">
      <c r="A1409" s="682"/>
      <c r="B1409" s="682"/>
      <c r="C1409" s="682"/>
      <c r="D1409" s="914"/>
      <c r="E1409" s="682"/>
      <c r="F1409" s="682"/>
      <c r="G1409" s="682"/>
      <c r="H1409" s="915"/>
      <c r="I1409" s="916"/>
      <c r="J1409" s="916"/>
      <c r="K1409" s="917"/>
      <c r="L1409" s="917"/>
      <c r="M1409" s="917"/>
      <c r="N1409" s="917"/>
      <c r="O1409" s="917"/>
      <c r="P1409" s="917"/>
      <c r="Q1409" s="578"/>
      <c r="R1409" s="578"/>
      <c r="S1409" s="578"/>
      <c r="T1409" s="578"/>
      <c r="U1409" s="578"/>
      <c r="V1409" s="578"/>
      <c r="W1409" s="578"/>
      <c r="X1409" s="578"/>
      <c r="Y1409" s="578"/>
      <c r="Z1409" s="578"/>
    </row>
    <row r="1410" spans="1:26" ht="18.75">
      <c r="A1410" s="682"/>
      <c r="B1410" s="682"/>
      <c r="C1410" s="682"/>
      <c r="D1410" s="914"/>
      <c r="E1410" s="682"/>
      <c r="F1410" s="682"/>
      <c r="G1410" s="682"/>
      <c r="H1410" s="915"/>
      <c r="I1410" s="916"/>
      <c r="J1410" s="916"/>
      <c r="K1410" s="917"/>
      <c r="L1410" s="917"/>
      <c r="M1410" s="917"/>
      <c r="N1410" s="917"/>
      <c r="O1410" s="917"/>
      <c r="P1410" s="917"/>
      <c r="Q1410" s="578"/>
      <c r="R1410" s="578"/>
      <c r="S1410" s="578"/>
      <c r="T1410" s="578"/>
      <c r="U1410" s="578"/>
      <c r="V1410" s="578"/>
      <c r="W1410" s="578"/>
      <c r="X1410" s="578"/>
      <c r="Y1410" s="578"/>
      <c r="Z1410" s="578"/>
    </row>
    <row r="1411" spans="1:26" ht="18.75">
      <c r="A1411" s="682"/>
      <c r="B1411" s="682"/>
      <c r="C1411" s="682"/>
      <c r="D1411" s="914"/>
      <c r="E1411" s="682"/>
      <c r="F1411" s="682"/>
      <c r="G1411" s="682"/>
      <c r="H1411" s="915"/>
      <c r="I1411" s="916"/>
      <c r="J1411" s="916"/>
      <c r="K1411" s="917"/>
      <c r="L1411" s="917"/>
      <c r="M1411" s="917"/>
      <c r="N1411" s="917"/>
      <c r="O1411" s="917"/>
      <c r="P1411" s="917"/>
      <c r="Q1411" s="578"/>
      <c r="R1411" s="578"/>
      <c r="S1411" s="578"/>
      <c r="T1411" s="578"/>
      <c r="U1411" s="578"/>
      <c r="V1411" s="578"/>
      <c r="W1411" s="578"/>
      <c r="X1411" s="578"/>
      <c r="Y1411" s="578"/>
      <c r="Z1411" s="578"/>
    </row>
    <row r="1412" spans="1:26" ht="18.75">
      <c r="A1412" s="682"/>
      <c r="B1412" s="682"/>
      <c r="C1412" s="682"/>
      <c r="D1412" s="914"/>
      <c r="E1412" s="682"/>
      <c r="F1412" s="682"/>
      <c r="G1412" s="682"/>
      <c r="H1412" s="915"/>
      <c r="I1412" s="916"/>
      <c r="J1412" s="916"/>
      <c r="K1412" s="917"/>
      <c r="L1412" s="917"/>
      <c r="M1412" s="917"/>
      <c r="N1412" s="917"/>
      <c r="O1412" s="917"/>
      <c r="P1412" s="917"/>
      <c r="Q1412" s="578"/>
      <c r="R1412" s="578"/>
      <c r="S1412" s="578"/>
      <c r="T1412" s="578"/>
      <c r="U1412" s="578"/>
      <c r="V1412" s="578"/>
      <c r="W1412" s="578"/>
      <c r="X1412" s="578"/>
      <c r="Y1412" s="578"/>
      <c r="Z1412" s="578"/>
    </row>
    <row r="1413" spans="1:26" ht="18.75">
      <c r="A1413" s="682"/>
      <c r="B1413" s="682"/>
      <c r="C1413" s="682"/>
      <c r="D1413" s="914"/>
      <c r="E1413" s="682"/>
      <c r="F1413" s="682"/>
      <c r="G1413" s="682"/>
      <c r="H1413" s="915"/>
      <c r="I1413" s="916"/>
      <c r="J1413" s="916"/>
      <c r="K1413" s="917"/>
      <c r="L1413" s="917"/>
      <c r="M1413" s="917"/>
      <c r="N1413" s="917"/>
      <c r="O1413" s="917"/>
      <c r="P1413" s="917"/>
      <c r="Q1413" s="578"/>
      <c r="R1413" s="578"/>
      <c r="S1413" s="578"/>
      <c r="T1413" s="578"/>
      <c r="U1413" s="578"/>
      <c r="V1413" s="578"/>
      <c r="W1413" s="578"/>
      <c r="X1413" s="578"/>
      <c r="Y1413" s="578"/>
      <c r="Z1413" s="578"/>
    </row>
    <row r="1414" spans="1:26" ht="18.75">
      <c r="A1414" s="682"/>
      <c r="B1414" s="682"/>
      <c r="C1414" s="682"/>
      <c r="D1414" s="914"/>
      <c r="E1414" s="682"/>
      <c r="F1414" s="682"/>
      <c r="G1414" s="682"/>
      <c r="H1414" s="915"/>
      <c r="I1414" s="916"/>
      <c r="J1414" s="916"/>
      <c r="K1414" s="917"/>
      <c r="L1414" s="917"/>
      <c r="M1414" s="917"/>
      <c r="N1414" s="917"/>
      <c r="O1414" s="917"/>
      <c r="P1414" s="917"/>
      <c r="Q1414" s="578"/>
      <c r="R1414" s="578"/>
      <c r="S1414" s="578"/>
      <c r="T1414" s="578"/>
      <c r="U1414" s="578"/>
      <c r="V1414" s="578"/>
      <c r="W1414" s="578"/>
      <c r="X1414" s="578"/>
      <c r="Y1414" s="578"/>
      <c r="Z1414" s="578"/>
    </row>
    <row r="1415" spans="1:26" ht="18.75">
      <c r="A1415" s="682"/>
      <c r="B1415" s="682"/>
      <c r="C1415" s="682"/>
      <c r="D1415" s="914"/>
      <c r="E1415" s="682"/>
      <c r="F1415" s="682"/>
      <c r="G1415" s="682"/>
      <c r="H1415" s="915"/>
      <c r="I1415" s="916"/>
      <c r="J1415" s="916"/>
      <c r="K1415" s="917"/>
      <c r="L1415" s="917"/>
      <c r="M1415" s="917"/>
      <c r="N1415" s="917"/>
      <c r="O1415" s="917"/>
      <c r="P1415" s="917"/>
      <c r="Q1415" s="578"/>
      <c r="R1415" s="578"/>
      <c r="S1415" s="578"/>
      <c r="T1415" s="578"/>
      <c r="U1415" s="578"/>
      <c r="V1415" s="578"/>
      <c r="W1415" s="578"/>
      <c r="X1415" s="578"/>
      <c r="Y1415" s="578"/>
      <c r="Z1415" s="578"/>
    </row>
    <row r="1416" spans="1:26" ht="18.75">
      <c r="A1416" s="682"/>
      <c r="B1416" s="682"/>
      <c r="C1416" s="682"/>
      <c r="D1416" s="914"/>
      <c r="E1416" s="682"/>
      <c r="F1416" s="682"/>
      <c r="G1416" s="682"/>
      <c r="H1416" s="915"/>
      <c r="I1416" s="916"/>
      <c r="J1416" s="916"/>
      <c r="K1416" s="917"/>
      <c r="L1416" s="917"/>
      <c r="M1416" s="917"/>
      <c r="N1416" s="917"/>
      <c r="O1416" s="917"/>
      <c r="P1416" s="917"/>
      <c r="Q1416" s="578"/>
      <c r="R1416" s="578"/>
      <c r="S1416" s="578"/>
      <c r="T1416" s="578"/>
      <c r="U1416" s="578"/>
      <c r="V1416" s="578"/>
      <c r="W1416" s="578"/>
      <c r="X1416" s="578"/>
      <c r="Y1416" s="578"/>
      <c r="Z1416" s="578"/>
    </row>
    <row r="1417" spans="1:26" ht="18.75">
      <c r="A1417" s="682"/>
      <c r="B1417" s="682"/>
      <c r="C1417" s="682"/>
      <c r="D1417" s="914"/>
      <c r="E1417" s="682"/>
      <c r="F1417" s="682"/>
      <c r="G1417" s="682"/>
      <c r="H1417" s="915"/>
      <c r="I1417" s="916"/>
      <c r="J1417" s="916"/>
      <c r="K1417" s="917"/>
      <c r="L1417" s="917"/>
      <c r="M1417" s="917"/>
      <c r="N1417" s="917"/>
      <c r="O1417" s="917"/>
      <c r="P1417" s="917"/>
      <c r="Q1417" s="578"/>
      <c r="R1417" s="578"/>
      <c r="S1417" s="578"/>
      <c r="T1417" s="578"/>
      <c r="U1417" s="578"/>
      <c r="V1417" s="578"/>
      <c r="W1417" s="578"/>
      <c r="X1417" s="578"/>
      <c r="Y1417" s="578"/>
      <c r="Z1417" s="578"/>
    </row>
    <row r="1418" spans="1:26" ht="18.75">
      <c r="A1418" s="682"/>
      <c r="B1418" s="682"/>
      <c r="C1418" s="682"/>
      <c r="D1418" s="914"/>
      <c r="E1418" s="682"/>
      <c r="F1418" s="682"/>
      <c r="G1418" s="682"/>
      <c r="H1418" s="915"/>
      <c r="I1418" s="916"/>
      <c r="J1418" s="916"/>
      <c r="K1418" s="917"/>
      <c r="L1418" s="917"/>
      <c r="M1418" s="917"/>
      <c r="N1418" s="917"/>
      <c r="O1418" s="917"/>
      <c r="P1418" s="917"/>
      <c r="Q1418" s="578"/>
      <c r="R1418" s="578"/>
      <c r="S1418" s="578"/>
      <c r="T1418" s="578"/>
      <c r="U1418" s="578"/>
      <c r="V1418" s="578"/>
      <c r="W1418" s="578"/>
      <c r="X1418" s="578"/>
      <c r="Y1418" s="578"/>
      <c r="Z1418" s="578"/>
    </row>
    <row r="1419" spans="1:26" ht="18.75">
      <c r="A1419" s="682"/>
      <c r="B1419" s="682"/>
      <c r="C1419" s="682"/>
      <c r="D1419" s="914"/>
      <c r="E1419" s="682"/>
      <c r="F1419" s="682"/>
      <c r="G1419" s="682"/>
      <c r="H1419" s="915"/>
      <c r="I1419" s="916"/>
      <c r="J1419" s="916"/>
      <c r="K1419" s="917"/>
      <c r="L1419" s="917"/>
      <c r="M1419" s="917"/>
      <c r="N1419" s="917"/>
      <c r="O1419" s="917"/>
      <c r="P1419" s="917"/>
      <c r="Q1419" s="578"/>
      <c r="R1419" s="578"/>
      <c r="S1419" s="578"/>
      <c r="T1419" s="578"/>
      <c r="U1419" s="578"/>
      <c r="V1419" s="578"/>
      <c r="W1419" s="578"/>
      <c r="X1419" s="578"/>
      <c r="Y1419" s="578"/>
      <c r="Z1419" s="578"/>
    </row>
    <row r="1420" spans="1:26" ht="18.75">
      <c r="A1420" s="682"/>
      <c r="B1420" s="682"/>
      <c r="C1420" s="682"/>
      <c r="D1420" s="914"/>
      <c r="E1420" s="682"/>
      <c r="F1420" s="682"/>
      <c r="G1420" s="682"/>
      <c r="H1420" s="915"/>
      <c r="I1420" s="916"/>
      <c r="J1420" s="916"/>
      <c r="K1420" s="917"/>
      <c r="L1420" s="917"/>
      <c r="M1420" s="917"/>
      <c r="N1420" s="917"/>
      <c r="O1420" s="917"/>
      <c r="P1420" s="917"/>
      <c r="Q1420" s="578"/>
      <c r="R1420" s="578"/>
      <c r="S1420" s="578"/>
      <c r="T1420" s="578"/>
      <c r="U1420" s="578"/>
      <c r="V1420" s="578"/>
      <c r="W1420" s="578"/>
      <c r="X1420" s="578"/>
      <c r="Y1420" s="578"/>
      <c r="Z1420" s="578"/>
    </row>
    <row r="1421" spans="1:26" ht="18.75">
      <c r="A1421" s="682"/>
      <c r="B1421" s="682"/>
      <c r="C1421" s="682"/>
      <c r="D1421" s="914"/>
      <c r="E1421" s="682"/>
      <c r="F1421" s="682"/>
      <c r="G1421" s="682"/>
      <c r="H1421" s="915"/>
      <c r="I1421" s="916"/>
      <c r="J1421" s="916"/>
      <c r="K1421" s="917"/>
      <c r="L1421" s="917"/>
      <c r="M1421" s="917"/>
      <c r="N1421" s="917"/>
      <c r="O1421" s="917"/>
      <c r="P1421" s="917"/>
      <c r="Q1421" s="578"/>
      <c r="R1421" s="578"/>
      <c r="S1421" s="578"/>
      <c r="T1421" s="578"/>
      <c r="U1421" s="578"/>
      <c r="V1421" s="578"/>
      <c r="W1421" s="578"/>
      <c r="X1421" s="578"/>
      <c r="Y1421" s="578"/>
      <c r="Z1421" s="578"/>
    </row>
    <row r="1422" spans="1:26" ht="18.75">
      <c r="A1422" s="682"/>
      <c r="B1422" s="682"/>
      <c r="C1422" s="682"/>
      <c r="D1422" s="914"/>
      <c r="E1422" s="682"/>
      <c r="F1422" s="682"/>
      <c r="G1422" s="682"/>
      <c r="H1422" s="915"/>
      <c r="I1422" s="916"/>
      <c r="J1422" s="916"/>
      <c r="K1422" s="917"/>
      <c r="L1422" s="917"/>
      <c r="M1422" s="917"/>
      <c r="N1422" s="917"/>
      <c r="O1422" s="917"/>
      <c r="P1422" s="917"/>
      <c r="Q1422" s="578"/>
      <c r="R1422" s="578"/>
      <c r="S1422" s="578"/>
      <c r="T1422" s="578"/>
      <c r="U1422" s="578"/>
      <c r="V1422" s="578"/>
      <c r="W1422" s="578"/>
      <c r="X1422" s="578"/>
      <c r="Y1422" s="578"/>
      <c r="Z1422" s="578"/>
    </row>
    <row r="1423" spans="1:26" ht="18.75">
      <c r="A1423" s="682"/>
      <c r="B1423" s="682"/>
      <c r="C1423" s="682"/>
      <c r="D1423" s="914"/>
      <c r="E1423" s="682"/>
      <c r="F1423" s="682"/>
      <c r="G1423" s="682"/>
      <c r="H1423" s="915"/>
      <c r="I1423" s="916"/>
      <c r="J1423" s="916"/>
      <c r="K1423" s="917"/>
      <c r="L1423" s="917"/>
      <c r="M1423" s="917"/>
      <c r="N1423" s="917"/>
      <c r="O1423" s="917"/>
      <c r="P1423" s="917"/>
      <c r="Q1423" s="578"/>
      <c r="R1423" s="578"/>
      <c r="S1423" s="578"/>
      <c r="T1423" s="578"/>
      <c r="U1423" s="578"/>
      <c r="V1423" s="578"/>
      <c r="W1423" s="578"/>
      <c r="X1423" s="578"/>
      <c r="Y1423" s="578"/>
      <c r="Z1423" s="578"/>
    </row>
    <row r="1424" spans="1:26" ht="18.75">
      <c r="A1424" s="682"/>
      <c r="B1424" s="682"/>
      <c r="C1424" s="682"/>
      <c r="D1424" s="914"/>
      <c r="E1424" s="682"/>
      <c r="F1424" s="682"/>
      <c r="G1424" s="682"/>
      <c r="H1424" s="915"/>
      <c r="I1424" s="916"/>
      <c r="J1424" s="916"/>
      <c r="K1424" s="917"/>
      <c r="L1424" s="917"/>
      <c r="M1424" s="917"/>
      <c r="N1424" s="917"/>
      <c r="O1424" s="917"/>
      <c r="P1424" s="917"/>
      <c r="Q1424" s="578"/>
      <c r="R1424" s="578"/>
      <c r="S1424" s="578"/>
      <c r="T1424" s="578"/>
      <c r="U1424" s="578"/>
      <c r="V1424" s="578"/>
      <c r="W1424" s="578"/>
      <c r="X1424" s="578"/>
      <c r="Y1424" s="578"/>
      <c r="Z1424" s="578"/>
    </row>
    <row r="1425" spans="1:26" ht="18.75">
      <c r="A1425" s="682"/>
      <c r="B1425" s="682"/>
      <c r="C1425" s="682"/>
      <c r="D1425" s="914"/>
      <c r="E1425" s="682"/>
      <c r="F1425" s="682"/>
      <c r="G1425" s="682"/>
      <c r="H1425" s="915"/>
      <c r="I1425" s="916"/>
      <c r="J1425" s="916"/>
      <c r="K1425" s="917"/>
      <c r="L1425" s="917"/>
      <c r="M1425" s="917"/>
      <c r="N1425" s="917"/>
      <c r="O1425" s="917"/>
      <c r="P1425" s="917"/>
      <c r="Q1425" s="578"/>
      <c r="R1425" s="578"/>
      <c r="S1425" s="578"/>
      <c r="T1425" s="578"/>
      <c r="U1425" s="578"/>
      <c r="V1425" s="578"/>
      <c r="W1425" s="578"/>
      <c r="X1425" s="578"/>
      <c r="Y1425" s="578"/>
      <c r="Z1425" s="578"/>
    </row>
    <row r="1426" spans="1:26" ht="18.75">
      <c r="A1426" s="682"/>
      <c r="B1426" s="682"/>
      <c r="C1426" s="682"/>
      <c r="D1426" s="914"/>
      <c r="E1426" s="682"/>
      <c r="F1426" s="682"/>
      <c r="G1426" s="682"/>
      <c r="H1426" s="915"/>
      <c r="I1426" s="916"/>
      <c r="J1426" s="916"/>
      <c r="K1426" s="917"/>
      <c r="L1426" s="917"/>
      <c r="M1426" s="917"/>
      <c r="N1426" s="917"/>
      <c r="O1426" s="917"/>
      <c r="P1426" s="917"/>
      <c r="Q1426" s="578"/>
      <c r="R1426" s="578"/>
      <c r="S1426" s="578"/>
      <c r="T1426" s="578"/>
      <c r="U1426" s="578"/>
      <c r="V1426" s="578"/>
      <c r="W1426" s="578"/>
      <c r="X1426" s="578"/>
      <c r="Y1426" s="578"/>
      <c r="Z1426" s="578"/>
    </row>
    <row r="1427" spans="1:26" ht="18.75">
      <c r="A1427" s="682"/>
      <c r="B1427" s="682"/>
      <c r="C1427" s="682"/>
      <c r="D1427" s="914"/>
      <c r="E1427" s="682"/>
      <c r="F1427" s="682"/>
      <c r="G1427" s="682"/>
      <c r="H1427" s="915"/>
      <c r="I1427" s="916"/>
      <c r="J1427" s="916"/>
      <c r="K1427" s="917"/>
      <c r="L1427" s="917"/>
      <c r="M1427" s="917"/>
      <c r="N1427" s="917"/>
      <c r="O1427" s="917"/>
      <c r="P1427" s="917"/>
      <c r="Q1427" s="578"/>
      <c r="R1427" s="578"/>
      <c r="S1427" s="578"/>
      <c r="T1427" s="578"/>
      <c r="U1427" s="578"/>
      <c r="V1427" s="578"/>
      <c r="W1427" s="578"/>
      <c r="X1427" s="578"/>
      <c r="Y1427" s="578"/>
      <c r="Z1427" s="578"/>
    </row>
    <row r="1428" spans="1:26" ht="18.75">
      <c r="A1428" s="682"/>
      <c r="B1428" s="682"/>
      <c r="C1428" s="682"/>
      <c r="D1428" s="914"/>
      <c r="E1428" s="682"/>
      <c r="F1428" s="682"/>
      <c r="G1428" s="682"/>
      <c r="H1428" s="915"/>
      <c r="I1428" s="916"/>
      <c r="J1428" s="916"/>
      <c r="K1428" s="917"/>
      <c r="L1428" s="917"/>
      <c r="M1428" s="917"/>
      <c r="N1428" s="917"/>
      <c r="O1428" s="917"/>
      <c r="P1428" s="917"/>
      <c r="Q1428" s="578"/>
      <c r="R1428" s="578"/>
      <c r="S1428" s="578"/>
      <c r="T1428" s="578"/>
      <c r="U1428" s="578"/>
      <c r="V1428" s="578"/>
      <c r="W1428" s="578"/>
      <c r="X1428" s="578"/>
      <c r="Y1428" s="578"/>
      <c r="Z1428" s="578"/>
    </row>
    <row r="1429" spans="1:26" ht="18.75">
      <c r="A1429" s="682"/>
      <c r="B1429" s="682"/>
      <c r="C1429" s="682"/>
      <c r="D1429" s="914"/>
      <c r="E1429" s="682"/>
      <c r="F1429" s="682"/>
      <c r="G1429" s="682"/>
      <c r="H1429" s="915"/>
      <c r="I1429" s="916"/>
      <c r="J1429" s="916"/>
      <c r="K1429" s="917"/>
      <c r="L1429" s="917"/>
      <c r="M1429" s="917"/>
      <c r="N1429" s="917"/>
      <c r="O1429" s="917"/>
      <c r="P1429" s="917"/>
      <c r="Q1429" s="578"/>
      <c r="R1429" s="578"/>
      <c r="S1429" s="578"/>
      <c r="T1429" s="578"/>
      <c r="U1429" s="578"/>
      <c r="V1429" s="578"/>
      <c r="W1429" s="578"/>
      <c r="X1429" s="578"/>
      <c r="Y1429" s="578"/>
      <c r="Z1429" s="578"/>
    </row>
    <row r="1430" spans="1:26" ht="18.75">
      <c r="A1430" s="682"/>
      <c r="B1430" s="682"/>
      <c r="C1430" s="682"/>
      <c r="D1430" s="914"/>
      <c r="E1430" s="682"/>
      <c r="F1430" s="682"/>
      <c r="G1430" s="682"/>
      <c r="H1430" s="915"/>
      <c r="I1430" s="916"/>
      <c r="J1430" s="916"/>
      <c r="K1430" s="917"/>
      <c r="L1430" s="917"/>
      <c r="M1430" s="917"/>
      <c r="N1430" s="917"/>
      <c r="O1430" s="917"/>
      <c r="P1430" s="917"/>
      <c r="Q1430" s="578"/>
      <c r="R1430" s="578"/>
      <c r="S1430" s="578"/>
      <c r="T1430" s="578"/>
      <c r="U1430" s="578"/>
      <c r="V1430" s="578"/>
      <c r="W1430" s="578"/>
      <c r="X1430" s="578"/>
      <c r="Y1430" s="578"/>
      <c r="Z1430" s="578"/>
    </row>
    <row r="1431" spans="1:26" ht="18.75">
      <c r="A1431" s="682"/>
      <c r="B1431" s="682"/>
      <c r="C1431" s="682"/>
      <c r="D1431" s="914"/>
      <c r="E1431" s="682"/>
      <c r="F1431" s="682"/>
      <c r="G1431" s="682"/>
      <c r="H1431" s="915"/>
      <c r="I1431" s="916"/>
      <c r="J1431" s="916"/>
      <c r="K1431" s="917"/>
      <c r="L1431" s="917"/>
      <c r="M1431" s="917"/>
      <c r="N1431" s="917"/>
      <c r="O1431" s="917"/>
      <c r="P1431" s="917"/>
      <c r="Q1431" s="578"/>
      <c r="R1431" s="578"/>
      <c r="S1431" s="578"/>
      <c r="T1431" s="578"/>
      <c r="U1431" s="578"/>
      <c r="V1431" s="578"/>
      <c r="W1431" s="578"/>
      <c r="X1431" s="578"/>
      <c r="Y1431" s="578"/>
      <c r="Z1431" s="578"/>
    </row>
    <row r="1432" spans="1:26" ht="18.75">
      <c r="A1432" s="682"/>
      <c r="B1432" s="682"/>
      <c r="C1432" s="682"/>
      <c r="D1432" s="914"/>
      <c r="E1432" s="682"/>
      <c r="F1432" s="682"/>
      <c r="G1432" s="682"/>
      <c r="H1432" s="915"/>
      <c r="I1432" s="916"/>
      <c r="J1432" s="916"/>
      <c r="K1432" s="917"/>
      <c r="L1432" s="917"/>
      <c r="M1432" s="917"/>
      <c r="N1432" s="917"/>
      <c r="O1432" s="917"/>
      <c r="P1432" s="917"/>
      <c r="Q1432" s="578"/>
      <c r="R1432" s="578"/>
      <c r="S1432" s="578"/>
      <c r="T1432" s="578"/>
      <c r="U1432" s="578"/>
      <c r="V1432" s="578"/>
      <c r="W1432" s="578"/>
      <c r="X1432" s="578"/>
      <c r="Y1432" s="578"/>
      <c r="Z1432" s="578"/>
    </row>
    <row r="1433" spans="1:26" ht="18.75">
      <c r="A1433" s="682"/>
      <c r="B1433" s="682"/>
      <c r="C1433" s="682"/>
      <c r="D1433" s="914"/>
      <c r="E1433" s="682"/>
      <c r="F1433" s="682"/>
      <c r="G1433" s="682"/>
      <c r="H1433" s="915"/>
      <c r="I1433" s="916"/>
      <c r="J1433" s="916"/>
      <c r="K1433" s="917"/>
      <c r="L1433" s="917"/>
      <c r="M1433" s="917"/>
      <c r="N1433" s="917"/>
      <c r="O1433" s="917"/>
      <c r="P1433" s="917"/>
      <c r="Q1433" s="578"/>
      <c r="R1433" s="578"/>
      <c r="S1433" s="578"/>
      <c r="T1433" s="578"/>
      <c r="U1433" s="578"/>
      <c r="V1433" s="578"/>
      <c r="W1433" s="578"/>
      <c r="X1433" s="578"/>
      <c r="Y1433" s="578"/>
      <c r="Z1433" s="578"/>
    </row>
    <row r="1434" spans="1:26" ht="18.75">
      <c r="A1434" s="682"/>
      <c r="B1434" s="682"/>
      <c r="C1434" s="682"/>
      <c r="D1434" s="914"/>
      <c r="E1434" s="682"/>
      <c r="F1434" s="682"/>
      <c r="G1434" s="682"/>
      <c r="H1434" s="915"/>
      <c r="I1434" s="916"/>
      <c r="J1434" s="916"/>
      <c r="K1434" s="917"/>
      <c r="L1434" s="917"/>
      <c r="M1434" s="917"/>
      <c r="N1434" s="917"/>
      <c r="O1434" s="917"/>
      <c r="P1434" s="917"/>
      <c r="Q1434" s="578"/>
      <c r="R1434" s="578"/>
      <c r="S1434" s="578"/>
      <c r="T1434" s="578"/>
      <c r="U1434" s="578"/>
      <c r="V1434" s="578"/>
      <c r="W1434" s="578"/>
      <c r="X1434" s="578"/>
      <c r="Y1434" s="578"/>
      <c r="Z1434" s="578"/>
    </row>
    <row r="1435" spans="1:26" ht="18.75">
      <c r="A1435" s="682"/>
      <c r="B1435" s="682"/>
      <c r="C1435" s="682"/>
      <c r="D1435" s="914"/>
      <c r="E1435" s="682"/>
      <c r="F1435" s="682"/>
      <c r="G1435" s="682"/>
      <c r="H1435" s="915"/>
      <c r="I1435" s="916"/>
      <c r="J1435" s="916"/>
      <c r="K1435" s="917"/>
      <c r="L1435" s="917"/>
      <c r="M1435" s="917"/>
      <c r="N1435" s="917"/>
      <c r="O1435" s="917"/>
      <c r="P1435" s="917"/>
      <c r="Q1435" s="578"/>
      <c r="R1435" s="578"/>
      <c r="S1435" s="578"/>
      <c r="T1435" s="578"/>
      <c r="U1435" s="578"/>
      <c r="V1435" s="578"/>
      <c r="W1435" s="578"/>
      <c r="X1435" s="578"/>
      <c r="Y1435" s="578"/>
      <c r="Z1435" s="578"/>
    </row>
    <row r="1436" spans="1:26" ht="18.75">
      <c r="A1436" s="682"/>
      <c r="B1436" s="682"/>
      <c r="C1436" s="682"/>
      <c r="D1436" s="914"/>
      <c r="E1436" s="682"/>
      <c r="F1436" s="682"/>
      <c r="G1436" s="682"/>
      <c r="H1436" s="915"/>
      <c r="I1436" s="916"/>
      <c r="J1436" s="916"/>
      <c r="K1436" s="917"/>
      <c r="L1436" s="917"/>
      <c r="M1436" s="917"/>
      <c r="N1436" s="917"/>
      <c r="O1436" s="917"/>
      <c r="P1436" s="917"/>
      <c r="Q1436" s="578"/>
      <c r="R1436" s="578"/>
      <c r="S1436" s="578"/>
      <c r="T1436" s="578"/>
      <c r="U1436" s="578"/>
      <c r="V1436" s="578"/>
      <c r="W1436" s="578"/>
      <c r="X1436" s="578"/>
      <c r="Y1436" s="578"/>
      <c r="Z1436" s="578"/>
    </row>
    <row r="1437" spans="1:26" ht="18.75">
      <c r="A1437" s="682"/>
      <c r="B1437" s="682"/>
      <c r="C1437" s="682"/>
      <c r="D1437" s="914"/>
      <c r="E1437" s="682"/>
      <c r="F1437" s="682"/>
      <c r="G1437" s="682"/>
      <c r="H1437" s="915"/>
      <c r="I1437" s="916"/>
      <c r="J1437" s="916"/>
      <c r="K1437" s="917"/>
      <c r="L1437" s="917"/>
      <c r="M1437" s="917"/>
      <c r="N1437" s="917"/>
      <c r="O1437" s="917"/>
      <c r="P1437" s="917"/>
      <c r="Q1437" s="578"/>
      <c r="R1437" s="578"/>
      <c r="S1437" s="578"/>
      <c r="T1437" s="578"/>
      <c r="U1437" s="578"/>
      <c r="V1437" s="578"/>
      <c r="W1437" s="578"/>
      <c r="X1437" s="578"/>
      <c r="Y1437" s="578"/>
      <c r="Z1437" s="578"/>
    </row>
    <row r="1438" spans="1:26" ht="18.75">
      <c r="A1438" s="682"/>
      <c r="B1438" s="682"/>
      <c r="C1438" s="682"/>
      <c r="D1438" s="914"/>
      <c r="E1438" s="682"/>
      <c r="F1438" s="682"/>
      <c r="G1438" s="682"/>
      <c r="H1438" s="915"/>
      <c r="I1438" s="916"/>
      <c r="J1438" s="916"/>
      <c r="K1438" s="917"/>
      <c r="L1438" s="917"/>
      <c r="M1438" s="917"/>
      <c r="N1438" s="917"/>
      <c r="O1438" s="917"/>
      <c r="P1438" s="917"/>
      <c r="Q1438" s="578"/>
      <c r="R1438" s="578"/>
      <c r="S1438" s="578"/>
      <c r="T1438" s="578"/>
      <c r="U1438" s="578"/>
      <c r="V1438" s="578"/>
      <c r="W1438" s="578"/>
      <c r="X1438" s="578"/>
      <c r="Y1438" s="578"/>
      <c r="Z1438" s="578"/>
    </row>
    <row r="1439" spans="1:26" ht="18.75">
      <c r="A1439" s="682"/>
      <c r="B1439" s="682"/>
      <c r="C1439" s="682"/>
      <c r="D1439" s="914"/>
      <c r="E1439" s="682"/>
      <c r="F1439" s="682"/>
      <c r="G1439" s="682"/>
      <c r="H1439" s="915"/>
      <c r="I1439" s="916"/>
      <c r="J1439" s="916"/>
      <c r="K1439" s="917"/>
      <c r="L1439" s="917"/>
      <c r="M1439" s="917"/>
      <c r="N1439" s="917"/>
      <c r="O1439" s="917"/>
      <c r="P1439" s="917"/>
      <c r="Q1439" s="578"/>
      <c r="R1439" s="578"/>
      <c r="S1439" s="578"/>
      <c r="T1439" s="578"/>
      <c r="U1439" s="578"/>
      <c r="V1439" s="578"/>
      <c r="W1439" s="578"/>
      <c r="X1439" s="578"/>
      <c r="Y1439" s="578"/>
      <c r="Z1439" s="578"/>
    </row>
    <row r="1440" spans="1:26" ht="18.75">
      <c r="A1440" s="682"/>
      <c r="B1440" s="682"/>
      <c r="C1440" s="682"/>
      <c r="D1440" s="914"/>
      <c r="E1440" s="682"/>
      <c r="F1440" s="682"/>
      <c r="G1440" s="682"/>
      <c r="H1440" s="915"/>
      <c r="I1440" s="916"/>
      <c r="J1440" s="916"/>
      <c r="K1440" s="917"/>
      <c r="L1440" s="917"/>
      <c r="M1440" s="917"/>
      <c r="N1440" s="917"/>
      <c r="O1440" s="917"/>
      <c r="P1440" s="917"/>
      <c r="Q1440" s="578"/>
      <c r="R1440" s="578"/>
      <c r="S1440" s="578"/>
      <c r="T1440" s="578"/>
      <c r="U1440" s="578"/>
      <c r="V1440" s="578"/>
      <c r="W1440" s="578"/>
      <c r="X1440" s="578"/>
      <c r="Y1440" s="578"/>
      <c r="Z1440" s="578"/>
    </row>
    <row r="1441" spans="1:26" ht="18.75">
      <c r="A1441" s="682"/>
      <c r="B1441" s="682"/>
      <c r="C1441" s="682"/>
      <c r="D1441" s="914"/>
      <c r="E1441" s="682"/>
      <c r="F1441" s="682"/>
      <c r="G1441" s="682"/>
      <c r="H1441" s="915"/>
      <c r="I1441" s="916"/>
      <c r="J1441" s="916"/>
      <c r="K1441" s="917"/>
      <c r="L1441" s="917"/>
      <c r="M1441" s="917"/>
      <c r="N1441" s="917"/>
      <c r="O1441" s="917"/>
      <c r="P1441" s="917"/>
      <c r="Q1441" s="578"/>
      <c r="R1441" s="578"/>
      <c r="S1441" s="578"/>
      <c r="T1441" s="578"/>
      <c r="U1441" s="578"/>
      <c r="V1441" s="578"/>
      <c r="W1441" s="578"/>
      <c r="X1441" s="578"/>
      <c r="Y1441" s="578"/>
      <c r="Z1441" s="578"/>
    </row>
    <row r="1442" spans="1:26" ht="18.75">
      <c r="A1442" s="682"/>
      <c r="B1442" s="682"/>
      <c r="C1442" s="682"/>
      <c r="D1442" s="914"/>
      <c r="E1442" s="682"/>
      <c r="F1442" s="682"/>
      <c r="G1442" s="682"/>
      <c r="H1442" s="915"/>
      <c r="I1442" s="916"/>
      <c r="J1442" s="916"/>
      <c r="K1442" s="917"/>
      <c r="L1442" s="917"/>
      <c r="M1442" s="917"/>
      <c r="N1442" s="917"/>
      <c r="O1442" s="917"/>
      <c r="P1442" s="917"/>
      <c r="Q1442" s="578"/>
      <c r="R1442" s="578"/>
      <c r="S1442" s="578"/>
      <c r="T1442" s="578"/>
      <c r="U1442" s="578"/>
      <c r="V1442" s="578"/>
      <c r="W1442" s="578"/>
      <c r="X1442" s="578"/>
      <c r="Y1442" s="578"/>
      <c r="Z1442" s="578"/>
    </row>
    <row r="1443" spans="1:26" ht="18.75">
      <c r="A1443" s="682"/>
      <c r="B1443" s="682"/>
      <c r="C1443" s="682"/>
      <c r="D1443" s="914"/>
      <c r="E1443" s="682"/>
      <c r="F1443" s="682"/>
      <c r="G1443" s="682"/>
      <c r="H1443" s="915"/>
      <c r="I1443" s="916"/>
      <c r="J1443" s="916"/>
      <c r="K1443" s="917"/>
      <c r="L1443" s="917"/>
      <c r="M1443" s="917"/>
      <c r="N1443" s="917"/>
      <c r="O1443" s="917"/>
      <c r="P1443" s="917"/>
      <c r="Q1443" s="578"/>
      <c r="R1443" s="578"/>
      <c r="S1443" s="578"/>
      <c r="T1443" s="578"/>
      <c r="U1443" s="578"/>
      <c r="V1443" s="578"/>
      <c r="W1443" s="578"/>
      <c r="X1443" s="578"/>
      <c r="Y1443" s="578"/>
      <c r="Z1443" s="578"/>
    </row>
    <row r="1444" spans="1:26" ht="18.75">
      <c r="A1444" s="682"/>
      <c r="B1444" s="682"/>
      <c r="C1444" s="682"/>
      <c r="D1444" s="914"/>
      <c r="E1444" s="682"/>
      <c r="F1444" s="682"/>
      <c r="G1444" s="682"/>
      <c r="H1444" s="915"/>
      <c r="I1444" s="916"/>
      <c r="J1444" s="916"/>
      <c r="K1444" s="917"/>
      <c r="L1444" s="917"/>
      <c r="M1444" s="917"/>
      <c r="N1444" s="917"/>
      <c r="O1444" s="917"/>
      <c r="P1444" s="917"/>
      <c r="Q1444" s="578"/>
      <c r="R1444" s="578"/>
      <c r="S1444" s="578"/>
      <c r="T1444" s="578"/>
      <c r="U1444" s="578"/>
      <c r="V1444" s="578"/>
      <c r="W1444" s="578"/>
      <c r="X1444" s="578"/>
      <c r="Y1444" s="578"/>
      <c r="Z1444" s="578"/>
    </row>
    <row r="1445" spans="1:26" ht="18.75">
      <c r="A1445" s="682"/>
      <c r="B1445" s="682"/>
      <c r="C1445" s="682"/>
      <c r="D1445" s="914"/>
      <c r="E1445" s="682"/>
      <c r="F1445" s="682"/>
      <c r="G1445" s="682"/>
      <c r="H1445" s="915"/>
      <c r="I1445" s="916"/>
      <c r="J1445" s="916"/>
      <c r="K1445" s="917"/>
      <c r="L1445" s="917"/>
      <c r="M1445" s="917"/>
      <c r="N1445" s="917"/>
      <c r="O1445" s="917"/>
      <c r="P1445" s="917"/>
      <c r="Q1445" s="578"/>
      <c r="R1445" s="578"/>
      <c r="S1445" s="578"/>
      <c r="T1445" s="578"/>
      <c r="U1445" s="578"/>
      <c r="V1445" s="578"/>
      <c r="W1445" s="578"/>
      <c r="X1445" s="578"/>
      <c r="Y1445" s="578"/>
      <c r="Z1445" s="578"/>
    </row>
    <row r="1446" spans="1:26" ht="18.75">
      <c r="A1446" s="682"/>
      <c r="B1446" s="682"/>
      <c r="C1446" s="682"/>
      <c r="D1446" s="914"/>
      <c r="E1446" s="682"/>
      <c r="F1446" s="682"/>
      <c r="G1446" s="682"/>
      <c r="H1446" s="915"/>
      <c r="I1446" s="916"/>
      <c r="J1446" s="916"/>
      <c r="K1446" s="917"/>
      <c r="L1446" s="917"/>
      <c r="M1446" s="917"/>
      <c r="N1446" s="917"/>
      <c r="O1446" s="917"/>
      <c r="P1446" s="917"/>
      <c r="Q1446" s="578"/>
      <c r="R1446" s="578"/>
      <c r="S1446" s="578"/>
      <c r="T1446" s="578"/>
      <c r="U1446" s="578"/>
      <c r="V1446" s="578"/>
      <c r="W1446" s="578"/>
      <c r="X1446" s="578"/>
      <c r="Y1446" s="578"/>
      <c r="Z1446" s="578"/>
    </row>
    <row r="1447" spans="1:26" ht="18.75">
      <c r="A1447" s="682"/>
      <c r="B1447" s="682"/>
      <c r="C1447" s="682"/>
      <c r="D1447" s="914"/>
      <c r="E1447" s="682"/>
      <c r="F1447" s="682"/>
      <c r="G1447" s="682"/>
      <c r="H1447" s="915"/>
      <c r="I1447" s="916"/>
      <c r="J1447" s="916"/>
      <c r="K1447" s="917"/>
      <c r="L1447" s="917"/>
      <c r="M1447" s="917"/>
      <c r="N1447" s="917"/>
      <c r="O1447" s="917"/>
      <c r="P1447" s="917"/>
      <c r="Q1447" s="578"/>
      <c r="R1447" s="578"/>
      <c r="S1447" s="578"/>
      <c r="T1447" s="578"/>
      <c r="U1447" s="578"/>
      <c r="V1447" s="578"/>
      <c r="W1447" s="578"/>
      <c r="X1447" s="578"/>
      <c r="Y1447" s="578"/>
      <c r="Z1447" s="578"/>
    </row>
    <row r="1448" spans="1:26" ht="18.75">
      <c r="A1448" s="682"/>
      <c r="B1448" s="682"/>
      <c r="C1448" s="682"/>
      <c r="D1448" s="914"/>
      <c r="E1448" s="682"/>
      <c r="F1448" s="682"/>
      <c r="G1448" s="682"/>
      <c r="H1448" s="915"/>
      <c r="I1448" s="916"/>
      <c r="J1448" s="916"/>
      <c r="K1448" s="917"/>
      <c r="L1448" s="917"/>
      <c r="M1448" s="917"/>
      <c r="N1448" s="917"/>
      <c r="O1448" s="917"/>
      <c r="P1448" s="917"/>
      <c r="Q1448" s="578"/>
      <c r="R1448" s="578"/>
      <c r="S1448" s="578"/>
      <c r="T1448" s="578"/>
      <c r="U1448" s="578"/>
      <c r="V1448" s="578"/>
      <c r="W1448" s="578"/>
      <c r="X1448" s="578"/>
      <c r="Y1448" s="578"/>
      <c r="Z1448" s="578"/>
    </row>
    <row r="1449" spans="1:26" ht="18.75">
      <c r="A1449" s="682"/>
      <c r="B1449" s="682"/>
      <c r="C1449" s="682"/>
      <c r="D1449" s="914"/>
      <c r="E1449" s="682"/>
      <c r="F1449" s="682"/>
      <c r="G1449" s="682"/>
      <c r="H1449" s="915"/>
      <c r="I1449" s="916"/>
      <c r="J1449" s="916"/>
      <c r="K1449" s="917"/>
      <c r="L1449" s="917"/>
      <c r="M1449" s="917"/>
      <c r="N1449" s="917"/>
      <c r="O1449" s="917"/>
      <c r="P1449" s="917"/>
      <c r="Q1449" s="578"/>
      <c r="R1449" s="578"/>
      <c r="S1449" s="578"/>
      <c r="T1449" s="578"/>
      <c r="U1449" s="578"/>
      <c r="V1449" s="578"/>
      <c r="W1449" s="578"/>
      <c r="X1449" s="578"/>
      <c r="Y1449" s="578"/>
      <c r="Z1449" s="578"/>
    </row>
    <row r="1450" spans="1:26" ht="18.75">
      <c r="A1450" s="682"/>
      <c r="B1450" s="682"/>
      <c r="C1450" s="682"/>
      <c r="D1450" s="914"/>
      <c r="E1450" s="682"/>
      <c r="F1450" s="682"/>
      <c r="G1450" s="682"/>
      <c r="H1450" s="915"/>
      <c r="I1450" s="916"/>
      <c r="J1450" s="916"/>
      <c r="K1450" s="917"/>
      <c r="L1450" s="917"/>
      <c r="M1450" s="917"/>
      <c r="N1450" s="917"/>
      <c r="O1450" s="917"/>
      <c r="P1450" s="917"/>
      <c r="Q1450" s="578"/>
      <c r="R1450" s="578"/>
      <c r="S1450" s="578"/>
      <c r="T1450" s="578"/>
      <c r="U1450" s="578"/>
      <c r="V1450" s="578"/>
      <c r="W1450" s="578"/>
      <c r="X1450" s="578"/>
      <c r="Y1450" s="578"/>
      <c r="Z1450" s="578"/>
    </row>
    <row r="1451" spans="1:26" ht="18.75">
      <c r="A1451" s="682"/>
      <c r="B1451" s="682"/>
      <c r="C1451" s="682"/>
      <c r="D1451" s="914"/>
      <c r="E1451" s="682"/>
      <c r="F1451" s="682"/>
      <c r="G1451" s="682"/>
      <c r="H1451" s="915"/>
      <c r="I1451" s="916"/>
      <c r="J1451" s="916"/>
      <c r="K1451" s="917"/>
      <c r="L1451" s="917"/>
      <c r="M1451" s="917"/>
      <c r="N1451" s="917"/>
      <c r="O1451" s="917"/>
      <c r="P1451" s="917"/>
      <c r="Q1451" s="578"/>
      <c r="R1451" s="578"/>
      <c r="S1451" s="578"/>
      <c r="T1451" s="578"/>
      <c r="U1451" s="578"/>
      <c r="V1451" s="578"/>
      <c r="W1451" s="578"/>
      <c r="X1451" s="578"/>
      <c r="Y1451" s="578"/>
      <c r="Z1451" s="578"/>
    </row>
    <row r="1452" spans="1:26" ht="18.75">
      <c r="A1452" s="682"/>
      <c r="B1452" s="682"/>
      <c r="C1452" s="682"/>
      <c r="D1452" s="914"/>
      <c r="E1452" s="682"/>
      <c r="F1452" s="682"/>
      <c r="G1452" s="682"/>
      <c r="H1452" s="915"/>
      <c r="I1452" s="916"/>
      <c r="J1452" s="916"/>
      <c r="K1452" s="917"/>
      <c r="L1452" s="917"/>
      <c r="M1452" s="917"/>
      <c r="N1452" s="917"/>
      <c r="O1452" s="917"/>
      <c r="P1452" s="917"/>
      <c r="Q1452" s="578"/>
      <c r="R1452" s="578"/>
      <c r="S1452" s="578"/>
      <c r="T1452" s="578"/>
      <c r="U1452" s="578"/>
      <c r="V1452" s="578"/>
      <c r="W1452" s="578"/>
      <c r="X1452" s="578"/>
      <c r="Y1452" s="578"/>
      <c r="Z1452" s="578"/>
    </row>
    <row r="1453" spans="1:26" ht="18.75">
      <c r="A1453" s="682"/>
      <c r="B1453" s="682"/>
      <c r="C1453" s="682"/>
      <c r="D1453" s="914"/>
      <c r="E1453" s="682"/>
      <c r="F1453" s="682"/>
      <c r="G1453" s="682"/>
      <c r="H1453" s="915"/>
      <c r="I1453" s="916"/>
      <c r="J1453" s="916"/>
      <c r="K1453" s="917"/>
      <c r="L1453" s="917"/>
      <c r="M1453" s="917"/>
      <c r="N1453" s="917"/>
      <c r="O1453" s="917"/>
      <c r="P1453" s="917"/>
      <c r="Q1453" s="578"/>
      <c r="R1453" s="578"/>
      <c r="S1453" s="578"/>
      <c r="T1453" s="578"/>
      <c r="U1453" s="578"/>
      <c r="V1453" s="578"/>
      <c r="W1453" s="578"/>
      <c r="X1453" s="578"/>
      <c r="Y1453" s="578"/>
      <c r="Z1453" s="578"/>
    </row>
    <row r="1454" spans="1:26" ht="18.75">
      <c r="A1454" s="682"/>
      <c r="B1454" s="682"/>
      <c r="C1454" s="682"/>
      <c r="D1454" s="914"/>
      <c r="E1454" s="682"/>
      <c r="F1454" s="682"/>
      <c r="G1454" s="682"/>
      <c r="H1454" s="915"/>
      <c r="I1454" s="916"/>
      <c r="J1454" s="916"/>
      <c r="K1454" s="917"/>
      <c r="L1454" s="917"/>
      <c r="M1454" s="917"/>
      <c r="N1454" s="917"/>
      <c r="O1454" s="917"/>
      <c r="P1454" s="917"/>
      <c r="Q1454" s="578"/>
      <c r="R1454" s="578"/>
      <c r="S1454" s="578"/>
      <c r="T1454" s="578"/>
      <c r="U1454" s="578"/>
      <c r="V1454" s="578"/>
      <c r="W1454" s="578"/>
      <c r="X1454" s="578"/>
      <c r="Y1454" s="578"/>
      <c r="Z1454" s="578"/>
    </row>
    <row r="1455" spans="1:26" ht="18.75">
      <c r="A1455" s="682"/>
      <c r="B1455" s="682"/>
      <c r="C1455" s="682"/>
      <c r="D1455" s="914"/>
      <c r="E1455" s="682"/>
      <c r="F1455" s="682"/>
      <c r="G1455" s="682"/>
      <c r="H1455" s="915"/>
      <c r="I1455" s="916"/>
      <c r="J1455" s="916"/>
      <c r="K1455" s="917"/>
      <c r="L1455" s="917"/>
      <c r="M1455" s="917"/>
      <c r="N1455" s="917"/>
      <c r="O1455" s="917"/>
      <c r="P1455" s="917"/>
      <c r="Q1455" s="578"/>
      <c r="R1455" s="578"/>
      <c r="S1455" s="578"/>
      <c r="T1455" s="578"/>
      <c r="U1455" s="578"/>
      <c r="V1455" s="578"/>
      <c r="W1455" s="578"/>
      <c r="X1455" s="578"/>
      <c r="Y1455" s="578"/>
      <c r="Z1455" s="578"/>
    </row>
    <row r="1456" spans="1:26" ht="18.75">
      <c r="A1456" s="682"/>
      <c r="B1456" s="682"/>
      <c r="C1456" s="682"/>
      <c r="D1456" s="914"/>
      <c r="E1456" s="682"/>
      <c r="F1456" s="682"/>
      <c r="G1456" s="682"/>
      <c r="H1456" s="915"/>
      <c r="I1456" s="916"/>
      <c r="J1456" s="916"/>
      <c r="K1456" s="917"/>
      <c r="L1456" s="917"/>
      <c r="M1456" s="917"/>
      <c r="N1456" s="917"/>
      <c r="O1456" s="917"/>
      <c r="P1456" s="917"/>
      <c r="Q1456" s="578"/>
      <c r="R1456" s="578"/>
      <c r="S1456" s="578"/>
      <c r="T1456" s="578"/>
      <c r="U1456" s="578"/>
      <c r="V1456" s="578"/>
      <c r="W1456" s="578"/>
      <c r="X1456" s="578"/>
      <c r="Y1456" s="578"/>
      <c r="Z1456" s="578"/>
    </row>
    <row r="1457" spans="1:26" ht="18.75">
      <c r="A1457" s="682"/>
      <c r="B1457" s="682"/>
      <c r="C1457" s="682"/>
      <c r="D1457" s="914"/>
      <c r="E1457" s="682"/>
      <c r="F1457" s="682"/>
      <c r="G1457" s="682"/>
      <c r="H1457" s="915"/>
      <c r="I1457" s="916"/>
      <c r="J1457" s="916"/>
      <c r="K1457" s="917"/>
      <c r="L1457" s="917"/>
      <c r="M1457" s="917"/>
      <c r="N1457" s="917"/>
      <c r="O1457" s="917"/>
      <c r="P1457" s="917"/>
      <c r="Q1457" s="578"/>
      <c r="R1457" s="578"/>
      <c r="S1457" s="578"/>
      <c r="T1457" s="578"/>
      <c r="U1457" s="578"/>
      <c r="V1457" s="578"/>
      <c r="W1457" s="578"/>
      <c r="X1457" s="578"/>
      <c r="Y1457" s="578"/>
      <c r="Z1457" s="578"/>
    </row>
    <row r="1458" spans="1:26" ht="18.75">
      <c r="A1458" s="682"/>
      <c r="B1458" s="682"/>
      <c r="C1458" s="682"/>
      <c r="D1458" s="914"/>
      <c r="E1458" s="682"/>
      <c r="F1458" s="682"/>
      <c r="G1458" s="682"/>
      <c r="H1458" s="915"/>
      <c r="I1458" s="916"/>
      <c r="J1458" s="916"/>
      <c r="K1458" s="917"/>
      <c r="L1458" s="917"/>
      <c r="M1458" s="917"/>
      <c r="N1458" s="917"/>
      <c r="O1458" s="917"/>
      <c r="P1458" s="917"/>
      <c r="Q1458" s="578"/>
      <c r="R1458" s="578"/>
      <c r="S1458" s="578"/>
      <c r="T1458" s="578"/>
      <c r="U1458" s="578"/>
      <c r="V1458" s="578"/>
      <c r="W1458" s="578"/>
      <c r="X1458" s="578"/>
      <c r="Y1458" s="578"/>
      <c r="Z1458" s="578"/>
    </row>
    <row r="1459" spans="1:26" ht="18.75">
      <c r="A1459" s="682"/>
      <c r="B1459" s="682"/>
      <c r="C1459" s="682"/>
      <c r="D1459" s="914"/>
      <c r="E1459" s="682"/>
      <c r="F1459" s="682"/>
      <c r="G1459" s="682"/>
      <c r="H1459" s="915"/>
      <c r="I1459" s="916"/>
      <c r="J1459" s="916"/>
      <c r="K1459" s="917"/>
      <c r="L1459" s="917"/>
      <c r="M1459" s="917"/>
      <c r="N1459" s="917"/>
      <c r="O1459" s="917"/>
      <c r="P1459" s="917"/>
      <c r="Q1459" s="578"/>
      <c r="R1459" s="578"/>
      <c r="S1459" s="578"/>
      <c r="T1459" s="578"/>
      <c r="U1459" s="578"/>
      <c r="V1459" s="578"/>
      <c r="W1459" s="578"/>
      <c r="X1459" s="578"/>
      <c r="Y1459" s="578"/>
      <c r="Z1459" s="578"/>
    </row>
    <row r="1460" spans="1:26" ht="18.75">
      <c r="A1460" s="682"/>
      <c r="B1460" s="682"/>
      <c r="C1460" s="682"/>
      <c r="D1460" s="914"/>
      <c r="E1460" s="682"/>
      <c r="F1460" s="682"/>
      <c r="G1460" s="682"/>
      <c r="H1460" s="915"/>
      <c r="I1460" s="916"/>
      <c r="J1460" s="916"/>
      <c r="K1460" s="917"/>
      <c r="L1460" s="917"/>
      <c r="M1460" s="917"/>
      <c r="N1460" s="917"/>
      <c r="O1460" s="917"/>
      <c r="P1460" s="917"/>
      <c r="Q1460" s="578"/>
      <c r="R1460" s="578"/>
      <c r="S1460" s="578"/>
      <c r="T1460" s="578"/>
      <c r="U1460" s="578"/>
      <c r="V1460" s="578"/>
      <c r="W1460" s="578"/>
      <c r="X1460" s="578"/>
      <c r="Y1460" s="578"/>
      <c r="Z1460" s="578"/>
    </row>
    <row r="1461" spans="1:26" ht="18.75">
      <c r="A1461" s="682"/>
      <c r="B1461" s="682"/>
      <c r="C1461" s="682"/>
      <c r="D1461" s="914"/>
      <c r="E1461" s="682"/>
      <c r="F1461" s="682"/>
      <c r="G1461" s="682"/>
      <c r="H1461" s="915"/>
      <c r="I1461" s="916"/>
      <c r="J1461" s="916"/>
      <c r="K1461" s="917"/>
      <c r="L1461" s="917"/>
      <c r="M1461" s="917"/>
      <c r="N1461" s="917"/>
      <c r="O1461" s="917"/>
      <c r="P1461" s="917"/>
      <c r="Q1461" s="578"/>
      <c r="R1461" s="578"/>
      <c r="S1461" s="578"/>
      <c r="T1461" s="578"/>
      <c r="U1461" s="578"/>
      <c r="V1461" s="578"/>
      <c r="W1461" s="578"/>
      <c r="X1461" s="578"/>
      <c r="Y1461" s="578"/>
      <c r="Z1461" s="578"/>
    </row>
    <row r="1462" spans="1:26" ht="18.75">
      <c r="A1462" s="682"/>
      <c r="B1462" s="682"/>
      <c r="C1462" s="682"/>
      <c r="D1462" s="914"/>
      <c r="E1462" s="682"/>
      <c r="F1462" s="682"/>
      <c r="G1462" s="682"/>
      <c r="H1462" s="915"/>
      <c r="I1462" s="916"/>
      <c r="J1462" s="916"/>
      <c r="K1462" s="917"/>
      <c r="L1462" s="917"/>
      <c r="M1462" s="917"/>
      <c r="N1462" s="917"/>
      <c r="O1462" s="917"/>
      <c r="P1462" s="917"/>
      <c r="Q1462" s="578"/>
      <c r="R1462" s="578"/>
      <c r="S1462" s="578"/>
      <c r="T1462" s="578"/>
      <c r="U1462" s="578"/>
      <c r="V1462" s="578"/>
      <c r="W1462" s="578"/>
      <c r="X1462" s="578"/>
      <c r="Y1462" s="578"/>
      <c r="Z1462" s="578"/>
    </row>
    <row r="1463" spans="1:26" ht="18.75">
      <c r="A1463" s="682"/>
      <c r="B1463" s="682"/>
      <c r="C1463" s="682"/>
      <c r="D1463" s="914"/>
      <c r="E1463" s="682"/>
      <c r="F1463" s="682"/>
      <c r="G1463" s="682"/>
      <c r="H1463" s="915"/>
      <c r="I1463" s="916"/>
      <c r="J1463" s="916"/>
      <c r="K1463" s="917"/>
      <c r="L1463" s="917"/>
      <c r="M1463" s="917"/>
      <c r="N1463" s="917"/>
      <c r="O1463" s="917"/>
      <c r="P1463" s="917"/>
      <c r="Q1463" s="578"/>
      <c r="R1463" s="578"/>
      <c r="S1463" s="578"/>
      <c r="T1463" s="578"/>
      <c r="U1463" s="578"/>
      <c r="V1463" s="578"/>
      <c r="W1463" s="578"/>
      <c r="X1463" s="578"/>
      <c r="Y1463" s="578"/>
      <c r="Z1463" s="578"/>
    </row>
    <row r="1464" spans="1:26" ht="18.75">
      <c r="A1464" s="682"/>
      <c r="B1464" s="682"/>
      <c r="C1464" s="682"/>
      <c r="D1464" s="914"/>
      <c r="E1464" s="682"/>
      <c r="F1464" s="682"/>
      <c r="G1464" s="682"/>
      <c r="H1464" s="915"/>
      <c r="I1464" s="916"/>
      <c r="J1464" s="916"/>
      <c r="K1464" s="917"/>
      <c r="L1464" s="917"/>
      <c r="M1464" s="917"/>
      <c r="N1464" s="917"/>
      <c r="O1464" s="917"/>
      <c r="P1464" s="917"/>
      <c r="Q1464" s="578"/>
      <c r="R1464" s="578"/>
      <c r="S1464" s="578"/>
      <c r="T1464" s="578"/>
      <c r="U1464" s="578"/>
      <c r="V1464" s="578"/>
      <c r="W1464" s="578"/>
      <c r="X1464" s="578"/>
      <c r="Y1464" s="578"/>
      <c r="Z1464" s="578"/>
    </row>
    <row r="1465" spans="1:26" ht="18.75">
      <c r="A1465" s="682"/>
      <c r="B1465" s="682"/>
      <c r="C1465" s="682"/>
      <c r="D1465" s="914"/>
      <c r="E1465" s="682"/>
      <c r="F1465" s="682"/>
      <c r="G1465" s="682"/>
      <c r="H1465" s="915"/>
      <c r="I1465" s="916"/>
      <c r="J1465" s="916"/>
      <c r="K1465" s="917"/>
      <c r="L1465" s="917"/>
      <c r="M1465" s="917"/>
      <c r="N1465" s="917"/>
      <c r="O1465" s="917"/>
      <c r="P1465" s="917"/>
      <c r="Q1465" s="578"/>
      <c r="R1465" s="578"/>
      <c r="S1465" s="578"/>
      <c r="T1465" s="578"/>
      <c r="U1465" s="578"/>
      <c r="V1465" s="578"/>
      <c r="W1465" s="578"/>
      <c r="X1465" s="578"/>
      <c r="Y1465" s="578"/>
      <c r="Z1465" s="578"/>
    </row>
    <row r="1466" spans="1:26" ht="18.75">
      <c r="A1466" s="682"/>
      <c r="B1466" s="682"/>
      <c r="C1466" s="682"/>
      <c r="D1466" s="914"/>
      <c r="E1466" s="682"/>
      <c r="F1466" s="682"/>
      <c r="G1466" s="682"/>
      <c r="H1466" s="915"/>
      <c r="I1466" s="916"/>
      <c r="J1466" s="916"/>
      <c r="K1466" s="917"/>
      <c r="L1466" s="917"/>
      <c r="M1466" s="917"/>
      <c r="N1466" s="917"/>
      <c r="O1466" s="917"/>
      <c r="P1466" s="917"/>
      <c r="Q1466" s="578"/>
      <c r="R1466" s="578"/>
      <c r="S1466" s="578"/>
      <c r="T1466" s="578"/>
      <c r="U1466" s="578"/>
      <c r="V1466" s="578"/>
      <c r="W1466" s="578"/>
      <c r="X1466" s="578"/>
      <c r="Y1466" s="578"/>
      <c r="Z1466" s="578"/>
    </row>
    <row r="1467" spans="1:26" ht="18.75">
      <c r="A1467" s="682"/>
      <c r="B1467" s="682"/>
      <c r="C1467" s="682"/>
      <c r="D1467" s="914"/>
      <c r="E1467" s="682"/>
      <c r="F1467" s="682"/>
      <c r="G1467" s="682"/>
      <c r="H1467" s="915"/>
      <c r="I1467" s="916"/>
      <c r="J1467" s="916"/>
      <c r="K1467" s="917"/>
      <c r="L1467" s="917"/>
      <c r="M1467" s="917"/>
      <c r="N1467" s="917"/>
      <c r="O1467" s="917"/>
      <c r="P1467" s="917"/>
      <c r="Q1467" s="578"/>
      <c r="R1467" s="578"/>
      <c r="S1467" s="578"/>
      <c r="T1467" s="578"/>
      <c r="U1467" s="578"/>
      <c r="V1467" s="578"/>
      <c r="W1467" s="578"/>
      <c r="X1467" s="578"/>
      <c r="Y1467" s="578"/>
      <c r="Z1467" s="578"/>
    </row>
    <row r="1468" spans="1:26" ht="18.75">
      <c r="A1468" s="682"/>
      <c r="B1468" s="682"/>
      <c r="C1468" s="682"/>
      <c r="D1468" s="914"/>
      <c r="E1468" s="682"/>
      <c r="F1468" s="682"/>
      <c r="G1468" s="682"/>
      <c r="H1468" s="915"/>
      <c r="I1468" s="916"/>
      <c r="J1468" s="916"/>
      <c r="K1468" s="917"/>
      <c r="L1468" s="917"/>
      <c r="M1468" s="917"/>
      <c r="N1468" s="917"/>
      <c r="O1468" s="917"/>
      <c r="P1468" s="917"/>
      <c r="Q1468" s="578"/>
      <c r="R1468" s="578"/>
      <c r="S1468" s="578"/>
      <c r="T1468" s="578"/>
      <c r="U1468" s="578"/>
      <c r="V1468" s="578"/>
      <c r="W1468" s="578"/>
      <c r="X1468" s="578"/>
      <c r="Y1468" s="578"/>
      <c r="Z1468" s="578"/>
    </row>
    <row r="1469" spans="1:26" ht="18.75">
      <c r="A1469" s="682"/>
      <c r="B1469" s="682"/>
      <c r="C1469" s="682"/>
      <c r="D1469" s="914"/>
      <c r="E1469" s="682"/>
      <c r="F1469" s="682"/>
      <c r="G1469" s="682"/>
      <c r="H1469" s="915"/>
      <c r="I1469" s="916"/>
      <c r="J1469" s="916"/>
      <c r="K1469" s="917"/>
      <c r="L1469" s="917"/>
      <c r="M1469" s="917"/>
      <c r="N1469" s="917"/>
      <c r="O1469" s="917"/>
      <c r="P1469" s="917"/>
      <c r="Q1469" s="578"/>
      <c r="R1469" s="578"/>
      <c r="S1469" s="578"/>
      <c r="T1469" s="578"/>
      <c r="U1469" s="578"/>
      <c r="V1469" s="578"/>
      <c r="W1469" s="578"/>
      <c r="X1469" s="578"/>
      <c r="Y1469" s="578"/>
      <c r="Z1469" s="578"/>
    </row>
    <row r="1470" spans="1:26" ht="18.75">
      <c r="A1470" s="682"/>
      <c r="B1470" s="682"/>
      <c r="C1470" s="682"/>
      <c r="D1470" s="914"/>
      <c r="E1470" s="682"/>
      <c r="F1470" s="682"/>
      <c r="G1470" s="682"/>
      <c r="H1470" s="915"/>
      <c r="I1470" s="916"/>
      <c r="J1470" s="916"/>
      <c r="K1470" s="917"/>
      <c r="L1470" s="917"/>
      <c r="M1470" s="917"/>
      <c r="N1470" s="917"/>
      <c r="O1470" s="917"/>
      <c r="P1470" s="917"/>
      <c r="Q1470" s="578"/>
      <c r="R1470" s="578"/>
      <c r="S1470" s="578"/>
      <c r="T1470" s="578"/>
      <c r="U1470" s="578"/>
      <c r="V1470" s="578"/>
      <c r="W1470" s="578"/>
      <c r="X1470" s="578"/>
      <c r="Y1470" s="578"/>
      <c r="Z1470" s="578"/>
    </row>
    <row r="1471" spans="1:26" ht="18.75">
      <c r="A1471" s="682"/>
      <c r="B1471" s="682"/>
      <c r="C1471" s="682"/>
      <c r="D1471" s="914"/>
      <c r="E1471" s="682"/>
      <c r="F1471" s="682"/>
      <c r="G1471" s="682"/>
      <c r="H1471" s="915"/>
      <c r="I1471" s="916"/>
      <c r="J1471" s="916"/>
      <c r="K1471" s="917"/>
      <c r="L1471" s="917"/>
      <c r="M1471" s="917"/>
      <c r="N1471" s="917"/>
      <c r="O1471" s="917"/>
      <c r="P1471" s="917"/>
      <c r="Q1471" s="578"/>
      <c r="R1471" s="578"/>
      <c r="S1471" s="578"/>
      <c r="T1471" s="578"/>
      <c r="U1471" s="578"/>
      <c r="V1471" s="578"/>
      <c r="W1471" s="578"/>
      <c r="X1471" s="578"/>
      <c r="Y1471" s="578"/>
      <c r="Z1471" s="578"/>
    </row>
    <row r="1472" spans="1:26" ht="18.75">
      <c r="A1472" s="682"/>
      <c r="B1472" s="682"/>
      <c r="C1472" s="682"/>
      <c r="D1472" s="914"/>
      <c r="E1472" s="682"/>
      <c r="F1472" s="682"/>
      <c r="G1472" s="682"/>
      <c r="H1472" s="915"/>
      <c r="I1472" s="916"/>
      <c r="J1472" s="916"/>
      <c r="K1472" s="917"/>
      <c r="L1472" s="917"/>
      <c r="M1472" s="917"/>
      <c r="N1472" s="917"/>
      <c r="O1472" s="917"/>
      <c r="P1472" s="917"/>
      <c r="Q1472" s="578"/>
      <c r="R1472" s="578"/>
      <c r="S1472" s="578"/>
      <c r="T1472" s="578"/>
      <c r="U1472" s="578"/>
      <c r="V1472" s="578"/>
      <c r="W1472" s="578"/>
      <c r="X1472" s="578"/>
      <c r="Y1472" s="578"/>
      <c r="Z1472" s="578"/>
    </row>
    <row r="1473" spans="1:26" ht="18.75">
      <c r="A1473" s="682"/>
      <c r="B1473" s="682"/>
      <c r="C1473" s="682"/>
      <c r="D1473" s="914"/>
      <c r="E1473" s="682"/>
      <c r="F1473" s="682"/>
      <c r="G1473" s="682"/>
      <c r="H1473" s="915"/>
      <c r="I1473" s="916"/>
      <c r="J1473" s="916"/>
      <c r="K1473" s="917"/>
      <c r="L1473" s="917"/>
      <c r="M1473" s="917"/>
      <c r="N1473" s="917"/>
      <c r="O1473" s="917"/>
      <c r="P1473" s="917"/>
      <c r="Q1473" s="578"/>
      <c r="R1473" s="578"/>
      <c r="S1473" s="578"/>
      <c r="T1473" s="578"/>
      <c r="U1473" s="578"/>
      <c r="V1473" s="578"/>
      <c r="W1473" s="578"/>
      <c r="X1473" s="578"/>
      <c r="Y1473" s="578"/>
      <c r="Z1473" s="578"/>
    </row>
    <row r="1474" spans="1:26" ht="18.75">
      <c r="A1474" s="682"/>
      <c r="B1474" s="682"/>
      <c r="C1474" s="682"/>
      <c r="D1474" s="914"/>
      <c r="E1474" s="682"/>
      <c r="F1474" s="682"/>
      <c r="G1474" s="682"/>
      <c r="H1474" s="915"/>
      <c r="I1474" s="916"/>
      <c r="J1474" s="916"/>
      <c r="K1474" s="917"/>
      <c r="L1474" s="917"/>
      <c r="M1474" s="917"/>
      <c r="N1474" s="917"/>
      <c r="O1474" s="917"/>
      <c r="P1474" s="917"/>
      <c r="Q1474" s="578"/>
      <c r="R1474" s="578"/>
      <c r="S1474" s="578"/>
      <c r="T1474" s="578"/>
      <c r="U1474" s="578"/>
      <c r="V1474" s="578"/>
      <c r="W1474" s="578"/>
      <c r="X1474" s="578"/>
      <c r="Y1474" s="578"/>
      <c r="Z1474" s="578"/>
    </row>
    <row r="1475" spans="1:26" ht="18.75">
      <c r="A1475" s="682"/>
      <c r="B1475" s="682"/>
      <c r="C1475" s="682"/>
      <c r="D1475" s="914"/>
      <c r="E1475" s="682"/>
      <c r="F1475" s="682"/>
      <c r="G1475" s="682"/>
      <c r="H1475" s="915"/>
      <c r="I1475" s="916"/>
      <c r="J1475" s="916"/>
      <c r="K1475" s="917"/>
      <c r="L1475" s="917"/>
      <c r="M1475" s="917"/>
      <c r="N1475" s="917"/>
      <c r="O1475" s="917"/>
      <c r="P1475" s="917"/>
      <c r="Q1475" s="578"/>
      <c r="R1475" s="578"/>
      <c r="S1475" s="578"/>
      <c r="T1475" s="578"/>
      <c r="U1475" s="578"/>
      <c r="V1475" s="578"/>
      <c r="W1475" s="578"/>
      <c r="X1475" s="578"/>
      <c r="Y1475" s="578"/>
      <c r="Z1475" s="578"/>
    </row>
    <row r="1476" spans="1:26" ht="18.75">
      <c r="A1476" s="682"/>
      <c r="B1476" s="682"/>
      <c r="C1476" s="682"/>
      <c r="D1476" s="914"/>
      <c r="E1476" s="682"/>
      <c r="F1476" s="682"/>
      <c r="G1476" s="682"/>
      <c r="H1476" s="915"/>
      <c r="I1476" s="916"/>
      <c r="J1476" s="916"/>
      <c r="K1476" s="917"/>
      <c r="L1476" s="917"/>
      <c r="M1476" s="917"/>
      <c r="N1476" s="917"/>
      <c r="O1476" s="917"/>
      <c r="P1476" s="917"/>
      <c r="Q1476" s="578"/>
      <c r="R1476" s="578"/>
      <c r="S1476" s="578"/>
      <c r="T1476" s="578"/>
      <c r="U1476" s="578"/>
      <c r="V1476" s="578"/>
      <c r="W1476" s="578"/>
      <c r="X1476" s="578"/>
      <c r="Y1476" s="578"/>
      <c r="Z1476" s="578"/>
    </row>
    <row r="1477" spans="1:26" ht="18.75">
      <c r="A1477" s="682"/>
      <c r="B1477" s="682"/>
      <c r="C1477" s="682"/>
      <c r="D1477" s="914"/>
      <c r="E1477" s="682"/>
      <c r="F1477" s="682"/>
      <c r="G1477" s="682"/>
      <c r="H1477" s="915"/>
      <c r="I1477" s="916"/>
      <c r="J1477" s="916"/>
      <c r="K1477" s="917"/>
      <c r="L1477" s="917"/>
      <c r="M1477" s="917"/>
      <c r="N1477" s="917"/>
      <c r="O1477" s="917"/>
      <c r="P1477" s="917"/>
      <c r="Q1477" s="578"/>
      <c r="R1477" s="578"/>
      <c r="S1477" s="578"/>
      <c r="T1477" s="578"/>
      <c r="U1477" s="578"/>
      <c r="V1477" s="578"/>
      <c r="W1477" s="578"/>
      <c r="X1477" s="578"/>
      <c r="Y1477" s="578"/>
      <c r="Z1477" s="578"/>
    </row>
    <row r="1478" spans="1:26" ht="18.75">
      <c r="A1478" s="682"/>
      <c r="B1478" s="682"/>
      <c r="C1478" s="682"/>
      <c r="D1478" s="914"/>
      <c r="E1478" s="682"/>
      <c r="F1478" s="682"/>
      <c r="G1478" s="682"/>
      <c r="H1478" s="915"/>
      <c r="I1478" s="916"/>
      <c r="J1478" s="916"/>
      <c r="K1478" s="917"/>
      <c r="L1478" s="917"/>
      <c r="M1478" s="917"/>
      <c r="N1478" s="917"/>
      <c r="O1478" s="917"/>
      <c r="P1478" s="917"/>
      <c r="Q1478" s="578"/>
      <c r="R1478" s="578"/>
      <c r="S1478" s="578"/>
      <c r="T1478" s="578"/>
      <c r="U1478" s="578"/>
      <c r="V1478" s="578"/>
      <c r="W1478" s="578"/>
      <c r="X1478" s="578"/>
      <c r="Y1478" s="578"/>
      <c r="Z1478" s="578"/>
    </row>
    <row r="1479" spans="1:26" ht="18.75">
      <c r="A1479" s="682"/>
      <c r="B1479" s="682"/>
      <c r="C1479" s="682"/>
      <c r="D1479" s="914"/>
      <c r="E1479" s="682"/>
      <c r="F1479" s="682"/>
      <c r="G1479" s="682"/>
      <c r="H1479" s="915"/>
      <c r="I1479" s="916"/>
      <c r="J1479" s="916"/>
      <c r="K1479" s="917"/>
      <c r="L1479" s="917"/>
      <c r="M1479" s="917"/>
      <c r="N1479" s="917"/>
      <c r="O1479" s="917"/>
      <c r="P1479" s="917"/>
      <c r="Q1479" s="578"/>
      <c r="R1479" s="578"/>
      <c r="S1479" s="578"/>
      <c r="T1479" s="578"/>
      <c r="U1479" s="578"/>
      <c r="V1479" s="578"/>
      <c r="W1479" s="578"/>
      <c r="X1479" s="578"/>
      <c r="Y1479" s="578"/>
      <c r="Z1479" s="578"/>
    </row>
    <row r="1480" spans="1:26" ht="18.75">
      <c r="A1480" s="682"/>
      <c r="B1480" s="682"/>
      <c r="C1480" s="682"/>
      <c r="D1480" s="914"/>
      <c r="E1480" s="682"/>
      <c r="F1480" s="682"/>
      <c r="G1480" s="682"/>
      <c r="H1480" s="915"/>
      <c r="I1480" s="916"/>
      <c r="J1480" s="916"/>
      <c r="K1480" s="917"/>
      <c r="L1480" s="917"/>
      <c r="M1480" s="917"/>
      <c r="N1480" s="917"/>
      <c r="O1480" s="917"/>
      <c r="P1480" s="917"/>
      <c r="Q1480" s="578"/>
      <c r="R1480" s="578"/>
      <c r="S1480" s="578"/>
      <c r="T1480" s="578"/>
      <c r="U1480" s="578"/>
      <c r="V1480" s="578"/>
      <c r="W1480" s="578"/>
      <c r="X1480" s="578"/>
      <c r="Y1480" s="578"/>
      <c r="Z1480" s="578"/>
    </row>
    <row r="1481" spans="1:26" ht="18.75">
      <c r="A1481" s="682"/>
      <c r="B1481" s="682"/>
      <c r="C1481" s="682"/>
      <c r="D1481" s="914"/>
      <c r="E1481" s="682"/>
      <c r="F1481" s="682"/>
      <c r="G1481" s="682"/>
      <c r="H1481" s="915"/>
      <c r="I1481" s="916"/>
      <c r="J1481" s="916"/>
      <c r="K1481" s="917"/>
      <c r="L1481" s="917"/>
      <c r="M1481" s="917"/>
      <c r="N1481" s="917"/>
      <c r="O1481" s="917"/>
      <c r="P1481" s="917"/>
      <c r="Q1481" s="578"/>
      <c r="R1481" s="578"/>
      <c r="S1481" s="578"/>
      <c r="T1481" s="578"/>
      <c r="U1481" s="578"/>
      <c r="V1481" s="578"/>
      <c r="W1481" s="578"/>
      <c r="X1481" s="578"/>
      <c r="Y1481" s="578"/>
      <c r="Z1481" s="578"/>
    </row>
    <row r="1482" spans="1:26" ht="18.75">
      <c r="A1482" s="682"/>
      <c r="B1482" s="682"/>
      <c r="C1482" s="682"/>
      <c r="D1482" s="914"/>
      <c r="E1482" s="682"/>
      <c r="F1482" s="682"/>
      <c r="G1482" s="682"/>
      <c r="H1482" s="915"/>
      <c r="I1482" s="916"/>
      <c r="J1482" s="916"/>
      <c r="K1482" s="917"/>
      <c r="L1482" s="917"/>
      <c r="M1482" s="917"/>
      <c r="N1482" s="917"/>
      <c r="O1482" s="917"/>
      <c r="P1482" s="917"/>
      <c r="Q1482" s="578"/>
      <c r="R1482" s="578"/>
      <c r="S1482" s="578"/>
      <c r="T1482" s="578"/>
      <c r="U1482" s="578"/>
      <c r="V1482" s="578"/>
      <c r="W1482" s="578"/>
      <c r="X1482" s="578"/>
      <c r="Y1482" s="578"/>
      <c r="Z1482" s="578"/>
    </row>
    <row r="1483" spans="1:26" ht="18.75">
      <c r="A1483" s="682"/>
      <c r="B1483" s="682"/>
      <c r="C1483" s="682"/>
      <c r="D1483" s="914"/>
      <c r="E1483" s="682"/>
      <c r="F1483" s="682"/>
      <c r="G1483" s="682"/>
      <c r="H1483" s="915"/>
      <c r="I1483" s="916"/>
      <c r="J1483" s="916"/>
      <c r="K1483" s="917"/>
      <c r="L1483" s="917"/>
      <c r="M1483" s="917"/>
      <c r="N1483" s="917"/>
      <c r="O1483" s="917"/>
      <c r="P1483" s="917"/>
      <c r="Q1483" s="578"/>
      <c r="R1483" s="578"/>
      <c r="S1483" s="578"/>
      <c r="T1483" s="578"/>
      <c r="U1483" s="578"/>
      <c r="V1483" s="578"/>
      <c r="W1483" s="578"/>
      <c r="X1483" s="578"/>
      <c r="Y1483" s="578"/>
      <c r="Z1483" s="578"/>
    </row>
    <row r="1484" spans="1:26" ht="18.75">
      <c r="A1484" s="682"/>
      <c r="B1484" s="682"/>
      <c r="C1484" s="682"/>
      <c r="D1484" s="914"/>
      <c r="E1484" s="682"/>
      <c r="F1484" s="682"/>
      <c r="G1484" s="682"/>
      <c r="H1484" s="915"/>
      <c r="I1484" s="916"/>
      <c r="J1484" s="916"/>
      <c r="K1484" s="917"/>
      <c r="L1484" s="917"/>
      <c r="M1484" s="917"/>
      <c r="N1484" s="917"/>
      <c r="O1484" s="917"/>
      <c r="P1484" s="917"/>
      <c r="Q1484" s="578"/>
      <c r="R1484" s="578"/>
      <c r="S1484" s="578"/>
      <c r="T1484" s="578"/>
      <c r="U1484" s="578"/>
      <c r="V1484" s="578"/>
      <c r="W1484" s="578"/>
      <c r="X1484" s="578"/>
      <c r="Y1484" s="578"/>
      <c r="Z1484" s="578"/>
    </row>
    <row r="1485" spans="1:26" ht="18.75">
      <c r="A1485" s="682"/>
      <c r="B1485" s="682"/>
      <c r="C1485" s="682"/>
      <c r="D1485" s="914"/>
      <c r="E1485" s="682"/>
      <c r="F1485" s="682"/>
      <c r="G1485" s="682"/>
      <c r="H1485" s="915"/>
      <c r="I1485" s="916"/>
      <c r="J1485" s="916"/>
      <c r="K1485" s="917"/>
      <c r="L1485" s="917"/>
      <c r="M1485" s="917"/>
      <c r="N1485" s="917"/>
      <c r="O1485" s="917"/>
      <c r="P1485" s="917"/>
      <c r="Q1485" s="578"/>
      <c r="R1485" s="578"/>
      <c r="S1485" s="578"/>
      <c r="T1485" s="578"/>
      <c r="U1485" s="578"/>
      <c r="V1485" s="578"/>
      <c r="W1485" s="578"/>
      <c r="X1485" s="578"/>
      <c r="Y1485" s="578"/>
      <c r="Z1485" s="578"/>
    </row>
    <row r="1486" spans="1:26" ht="18.75">
      <c r="A1486" s="682"/>
      <c r="B1486" s="682"/>
      <c r="C1486" s="682"/>
      <c r="D1486" s="914"/>
      <c r="E1486" s="682"/>
      <c r="F1486" s="682"/>
      <c r="G1486" s="682"/>
      <c r="H1486" s="915"/>
      <c r="I1486" s="916"/>
      <c r="J1486" s="916"/>
      <c r="K1486" s="917"/>
      <c r="L1486" s="917"/>
      <c r="M1486" s="917"/>
      <c r="N1486" s="917"/>
      <c r="O1486" s="917"/>
      <c r="P1486" s="917"/>
      <c r="Q1486" s="578"/>
      <c r="R1486" s="578"/>
      <c r="S1486" s="578"/>
      <c r="T1486" s="578"/>
      <c r="U1486" s="578"/>
      <c r="V1486" s="578"/>
      <c r="W1486" s="578"/>
      <c r="X1486" s="578"/>
      <c r="Y1486" s="578"/>
      <c r="Z1486" s="578"/>
    </row>
    <row r="1487" spans="1:26" ht="18.75">
      <c r="A1487" s="682"/>
      <c r="B1487" s="682"/>
      <c r="C1487" s="682"/>
      <c r="D1487" s="914"/>
      <c r="E1487" s="682"/>
      <c r="F1487" s="682"/>
      <c r="G1487" s="682"/>
      <c r="H1487" s="915"/>
      <c r="I1487" s="916"/>
      <c r="J1487" s="916"/>
      <c r="K1487" s="917"/>
      <c r="L1487" s="917"/>
      <c r="M1487" s="917"/>
      <c r="N1487" s="917"/>
      <c r="O1487" s="917"/>
      <c r="P1487" s="917"/>
      <c r="Q1487" s="578"/>
      <c r="R1487" s="578"/>
      <c r="S1487" s="578"/>
      <c r="T1487" s="578"/>
      <c r="U1487" s="578"/>
      <c r="V1487" s="578"/>
      <c r="W1487" s="578"/>
      <c r="X1487" s="578"/>
      <c r="Y1487" s="578"/>
      <c r="Z1487" s="578"/>
    </row>
    <row r="1488" spans="1:26" ht="18.75">
      <c r="A1488" s="682"/>
      <c r="B1488" s="682"/>
      <c r="C1488" s="682"/>
      <c r="D1488" s="914"/>
      <c r="E1488" s="682"/>
      <c r="F1488" s="682"/>
      <c r="G1488" s="682"/>
      <c r="H1488" s="915"/>
      <c r="I1488" s="916"/>
      <c r="J1488" s="916"/>
      <c r="K1488" s="917"/>
      <c r="L1488" s="917"/>
      <c r="M1488" s="917"/>
      <c r="N1488" s="917"/>
      <c r="O1488" s="917"/>
      <c r="P1488" s="917"/>
      <c r="Q1488" s="578"/>
      <c r="R1488" s="578"/>
      <c r="S1488" s="578"/>
      <c r="T1488" s="578"/>
      <c r="U1488" s="578"/>
      <c r="V1488" s="578"/>
      <c r="W1488" s="578"/>
      <c r="X1488" s="578"/>
      <c r="Y1488" s="578"/>
      <c r="Z1488" s="578"/>
    </row>
    <row r="1489" spans="1:26" ht="18.75">
      <c r="A1489" s="682"/>
      <c r="B1489" s="682"/>
      <c r="C1489" s="682"/>
      <c r="D1489" s="914"/>
      <c r="E1489" s="682"/>
      <c r="F1489" s="682"/>
      <c r="G1489" s="682"/>
      <c r="H1489" s="915"/>
      <c r="I1489" s="916"/>
      <c r="J1489" s="916"/>
      <c r="K1489" s="917"/>
      <c r="L1489" s="917"/>
      <c r="M1489" s="917"/>
      <c r="N1489" s="917"/>
      <c r="O1489" s="917"/>
      <c r="P1489" s="917"/>
      <c r="Q1489" s="578"/>
      <c r="R1489" s="578"/>
      <c r="S1489" s="578"/>
      <c r="T1489" s="578"/>
      <c r="U1489" s="578"/>
      <c r="V1489" s="578"/>
      <c r="W1489" s="578"/>
      <c r="X1489" s="578"/>
      <c r="Y1489" s="578"/>
      <c r="Z1489" s="578"/>
    </row>
    <row r="1490" spans="1:26" ht="18.75">
      <c r="A1490" s="682"/>
      <c r="B1490" s="682"/>
      <c r="C1490" s="682"/>
      <c r="D1490" s="914"/>
      <c r="E1490" s="682"/>
      <c r="F1490" s="682"/>
      <c r="G1490" s="682"/>
      <c r="H1490" s="915"/>
      <c r="I1490" s="916"/>
      <c r="J1490" s="916"/>
      <c r="K1490" s="917"/>
      <c r="L1490" s="917"/>
      <c r="M1490" s="917"/>
      <c r="N1490" s="917"/>
      <c r="O1490" s="917"/>
      <c r="P1490" s="917"/>
      <c r="Q1490" s="578"/>
      <c r="R1490" s="578"/>
      <c r="S1490" s="578"/>
      <c r="T1490" s="578"/>
      <c r="U1490" s="578"/>
      <c r="V1490" s="578"/>
      <c r="W1490" s="578"/>
      <c r="X1490" s="578"/>
      <c r="Y1490" s="578"/>
      <c r="Z1490" s="578"/>
    </row>
    <row r="1491" spans="1:26" ht="18.75">
      <c r="A1491" s="682"/>
      <c r="B1491" s="682"/>
      <c r="C1491" s="682"/>
      <c r="D1491" s="914"/>
      <c r="E1491" s="682"/>
      <c r="F1491" s="682"/>
      <c r="G1491" s="682"/>
      <c r="H1491" s="915"/>
      <c r="I1491" s="916"/>
      <c r="J1491" s="916"/>
      <c r="K1491" s="917"/>
      <c r="L1491" s="917"/>
      <c r="M1491" s="917"/>
      <c r="N1491" s="917"/>
      <c r="O1491" s="917"/>
      <c r="P1491" s="917"/>
      <c r="Q1491" s="578"/>
      <c r="R1491" s="578"/>
      <c r="S1491" s="578"/>
      <c r="T1491" s="578"/>
      <c r="U1491" s="578"/>
      <c r="V1491" s="578"/>
      <c r="W1491" s="578"/>
      <c r="X1491" s="578"/>
      <c r="Y1491" s="578"/>
      <c r="Z1491" s="578"/>
    </row>
    <row r="1492" spans="1:26" ht="18.75">
      <c r="A1492" s="682"/>
      <c r="B1492" s="682"/>
      <c r="C1492" s="682"/>
      <c r="D1492" s="914"/>
      <c r="E1492" s="682"/>
      <c r="F1492" s="682"/>
      <c r="G1492" s="682"/>
      <c r="H1492" s="915"/>
      <c r="I1492" s="916"/>
      <c r="J1492" s="916"/>
      <c r="K1492" s="917"/>
      <c r="L1492" s="917"/>
      <c r="M1492" s="917"/>
      <c r="N1492" s="917"/>
      <c r="O1492" s="917"/>
      <c r="P1492" s="917"/>
      <c r="Q1492" s="578"/>
      <c r="R1492" s="578"/>
      <c r="S1492" s="578"/>
      <c r="T1492" s="578"/>
      <c r="U1492" s="578"/>
      <c r="V1492" s="578"/>
      <c r="W1492" s="578"/>
      <c r="X1492" s="578"/>
      <c r="Y1492" s="578"/>
      <c r="Z1492" s="578"/>
    </row>
    <row r="1493" spans="1:26" ht="18.75">
      <c r="A1493" s="682"/>
      <c r="B1493" s="682"/>
      <c r="C1493" s="682"/>
      <c r="D1493" s="914"/>
      <c r="E1493" s="682"/>
      <c r="F1493" s="682"/>
      <c r="G1493" s="682"/>
      <c r="H1493" s="915"/>
      <c r="I1493" s="916"/>
      <c r="J1493" s="916"/>
      <c r="K1493" s="917"/>
      <c r="L1493" s="917"/>
      <c r="M1493" s="917"/>
      <c r="N1493" s="917"/>
      <c r="O1493" s="917"/>
      <c r="P1493" s="917"/>
      <c r="Q1493" s="578"/>
      <c r="R1493" s="578"/>
      <c r="S1493" s="578"/>
      <c r="T1493" s="578"/>
      <c r="U1493" s="578"/>
      <c r="V1493" s="578"/>
      <c r="W1493" s="578"/>
      <c r="X1493" s="578"/>
      <c r="Y1493" s="578"/>
      <c r="Z1493" s="578"/>
    </row>
    <row r="1494" spans="1:26" ht="18.75">
      <c r="A1494" s="682"/>
      <c r="B1494" s="682"/>
      <c r="C1494" s="682"/>
      <c r="D1494" s="914"/>
      <c r="E1494" s="682"/>
      <c r="F1494" s="682"/>
      <c r="G1494" s="682"/>
      <c r="H1494" s="915"/>
      <c r="I1494" s="916"/>
      <c r="J1494" s="916"/>
      <c r="K1494" s="917"/>
      <c r="L1494" s="917"/>
      <c r="M1494" s="917"/>
      <c r="N1494" s="917"/>
      <c r="O1494" s="917"/>
      <c r="P1494" s="917"/>
      <c r="Q1494" s="578"/>
      <c r="R1494" s="578"/>
      <c r="S1494" s="578"/>
      <c r="T1494" s="578"/>
      <c r="U1494" s="578"/>
      <c r="V1494" s="578"/>
      <c r="W1494" s="578"/>
      <c r="X1494" s="578"/>
      <c r="Y1494" s="578"/>
      <c r="Z1494" s="578"/>
    </row>
    <row r="1495" spans="1:26" ht="18.75">
      <c r="A1495" s="682"/>
      <c r="B1495" s="682"/>
      <c r="C1495" s="682"/>
      <c r="D1495" s="914"/>
      <c r="E1495" s="682"/>
      <c r="F1495" s="682"/>
      <c r="G1495" s="682"/>
      <c r="H1495" s="915"/>
      <c r="I1495" s="916"/>
      <c r="J1495" s="916"/>
      <c r="K1495" s="917"/>
      <c r="L1495" s="917"/>
      <c r="M1495" s="917"/>
      <c r="N1495" s="917"/>
      <c r="O1495" s="917"/>
      <c r="P1495" s="917"/>
      <c r="Q1495" s="578"/>
      <c r="R1495" s="578"/>
      <c r="S1495" s="578"/>
      <c r="T1495" s="578"/>
      <c r="U1495" s="578"/>
      <c r="V1495" s="578"/>
      <c r="W1495" s="578"/>
      <c r="X1495" s="578"/>
      <c r="Y1495" s="578"/>
      <c r="Z1495" s="578"/>
    </row>
    <row r="1496" spans="1:26" ht="18.75">
      <c r="A1496" s="682"/>
      <c r="B1496" s="682"/>
      <c r="C1496" s="682"/>
      <c r="D1496" s="914"/>
      <c r="E1496" s="682"/>
      <c r="F1496" s="682"/>
      <c r="G1496" s="682"/>
      <c r="H1496" s="915"/>
      <c r="I1496" s="916"/>
      <c r="J1496" s="916"/>
      <c r="K1496" s="917"/>
      <c r="L1496" s="917"/>
      <c r="M1496" s="917"/>
      <c r="N1496" s="917"/>
      <c r="O1496" s="917"/>
      <c r="P1496" s="917"/>
      <c r="Q1496" s="578"/>
      <c r="R1496" s="578"/>
      <c r="S1496" s="578"/>
      <c r="T1496" s="578"/>
      <c r="U1496" s="578"/>
      <c r="V1496" s="578"/>
      <c r="W1496" s="578"/>
      <c r="X1496" s="578"/>
      <c r="Y1496" s="578"/>
      <c r="Z1496" s="578"/>
    </row>
    <row r="1497" spans="1:26" ht="18.75">
      <c r="A1497" s="682"/>
      <c r="B1497" s="682"/>
      <c r="C1497" s="682"/>
      <c r="D1497" s="914"/>
      <c r="E1497" s="682"/>
      <c r="F1497" s="682"/>
      <c r="G1497" s="682"/>
      <c r="H1497" s="915"/>
      <c r="I1497" s="916"/>
      <c r="J1497" s="916"/>
      <c r="K1497" s="917"/>
      <c r="L1497" s="917"/>
      <c r="M1497" s="917"/>
      <c r="N1497" s="917"/>
      <c r="O1497" s="917"/>
      <c r="P1497" s="917"/>
      <c r="Q1497" s="578"/>
      <c r="R1497" s="578"/>
      <c r="S1497" s="578"/>
      <c r="T1497" s="578"/>
      <c r="U1497" s="578"/>
      <c r="V1497" s="578"/>
      <c r="W1497" s="578"/>
      <c r="X1497" s="578"/>
      <c r="Y1497" s="578"/>
      <c r="Z1497" s="578"/>
    </row>
    <row r="1498" spans="1:26" ht="18.75">
      <c r="A1498" s="682"/>
      <c r="B1498" s="682"/>
      <c r="C1498" s="682"/>
      <c r="D1498" s="914"/>
      <c r="E1498" s="682"/>
      <c r="F1498" s="682"/>
      <c r="G1498" s="682"/>
      <c r="H1498" s="915"/>
      <c r="I1498" s="916"/>
      <c r="J1498" s="916"/>
      <c r="K1498" s="917"/>
      <c r="L1498" s="917"/>
      <c r="M1498" s="917"/>
      <c r="N1498" s="917"/>
      <c r="O1498" s="917"/>
      <c r="P1498" s="917"/>
      <c r="Q1498" s="578"/>
      <c r="R1498" s="578"/>
      <c r="S1498" s="578"/>
      <c r="T1498" s="578"/>
      <c r="U1498" s="578"/>
      <c r="V1498" s="578"/>
      <c r="W1498" s="578"/>
      <c r="X1498" s="578"/>
      <c r="Y1498" s="578"/>
      <c r="Z1498" s="578"/>
    </row>
    <row r="1499" spans="1:26" ht="18.75">
      <c r="A1499" s="682"/>
      <c r="B1499" s="682"/>
      <c r="C1499" s="682"/>
      <c r="D1499" s="914"/>
      <c r="E1499" s="682"/>
      <c r="F1499" s="682"/>
      <c r="G1499" s="682"/>
      <c r="H1499" s="915"/>
      <c r="I1499" s="916"/>
      <c r="J1499" s="916"/>
      <c r="K1499" s="917"/>
      <c r="L1499" s="917"/>
      <c r="M1499" s="917"/>
      <c r="N1499" s="917"/>
      <c r="O1499" s="917"/>
      <c r="P1499" s="917"/>
      <c r="Q1499" s="578"/>
      <c r="R1499" s="578"/>
      <c r="S1499" s="578"/>
      <c r="T1499" s="578"/>
      <c r="U1499" s="578"/>
      <c r="V1499" s="578"/>
      <c r="W1499" s="578"/>
      <c r="X1499" s="578"/>
      <c r="Y1499" s="578"/>
      <c r="Z1499" s="578"/>
    </row>
    <row r="1500" spans="1:26" ht="18.75">
      <c r="A1500" s="682"/>
      <c r="B1500" s="682"/>
      <c r="C1500" s="682"/>
      <c r="D1500" s="914"/>
      <c r="E1500" s="682"/>
      <c r="F1500" s="682"/>
      <c r="G1500" s="682"/>
      <c r="H1500" s="915"/>
      <c r="I1500" s="916"/>
      <c r="J1500" s="916"/>
      <c r="K1500" s="917"/>
      <c r="L1500" s="917"/>
      <c r="M1500" s="917"/>
      <c r="N1500" s="917"/>
      <c r="O1500" s="917"/>
      <c r="P1500" s="917"/>
      <c r="Q1500" s="578"/>
      <c r="R1500" s="578"/>
      <c r="S1500" s="578"/>
      <c r="T1500" s="578"/>
      <c r="U1500" s="578"/>
      <c r="V1500" s="578"/>
      <c r="W1500" s="578"/>
      <c r="X1500" s="578"/>
      <c r="Y1500" s="578"/>
      <c r="Z1500" s="578"/>
    </row>
    <row r="1501" spans="1:26" ht="18.75">
      <c r="A1501" s="682"/>
      <c r="B1501" s="682"/>
      <c r="C1501" s="682"/>
      <c r="D1501" s="914"/>
      <c r="E1501" s="682"/>
      <c r="F1501" s="682"/>
      <c r="G1501" s="682"/>
      <c r="H1501" s="915"/>
      <c r="I1501" s="916"/>
      <c r="J1501" s="916"/>
      <c r="K1501" s="917"/>
      <c r="L1501" s="917"/>
      <c r="M1501" s="917"/>
      <c r="N1501" s="917"/>
      <c r="O1501" s="917"/>
      <c r="P1501" s="917"/>
      <c r="Q1501" s="578"/>
      <c r="R1501" s="578"/>
      <c r="S1501" s="578"/>
      <c r="T1501" s="578"/>
      <c r="U1501" s="578"/>
      <c r="V1501" s="578"/>
      <c r="W1501" s="578"/>
      <c r="X1501" s="578"/>
      <c r="Y1501" s="578"/>
      <c r="Z1501" s="578"/>
    </row>
    <row r="1502" spans="1:26" ht="18.75">
      <c r="A1502" s="682"/>
      <c r="B1502" s="682"/>
      <c r="C1502" s="682"/>
      <c r="D1502" s="914"/>
      <c r="E1502" s="682"/>
      <c r="F1502" s="682"/>
      <c r="G1502" s="682"/>
      <c r="H1502" s="915"/>
      <c r="I1502" s="916"/>
      <c r="J1502" s="916"/>
      <c r="K1502" s="917"/>
      <c r="L1502" s="917"/>
      <c r="M1502" s="917"/>
      <c r="N1502" s="917"/>
      <c r="O1502" s="917"/>
      <c r="P1502" s="917"/>
      <c r="Q1502" s="578"/>
      <c r="R1502" s="578"/>
      <c r="S1502" s="578"/>
      <c r="T1502" s="578"/>
      <c r="U1502" s="578"/>
      <c r="V1502" s="578"/>
      <c r="W1502" s="578"/>
      <c r="X1502" s="578"/>
      <c r="Y1502" s="578"/>
      <c r="Z1502" s="578"/>
    </row>
    <row r="1503" spans="1:26" ht="18.75">
      <c r="A1503" s="682"/>
      <c r="B1503" s="682"/>
      <c r="C1503" s="682"/>
      <c r="D1503" s="914"/>
      <c r="E1503" s="682"/>
      <c r="F1503" s="682"/>
      <c r="G1503" s="682"/>
      <c r="H1503" s="915"/>
      <c r="I1503" s="916"/>
      <c r="J1503" s="916"/>
      <c r="K1503" s="917"/>
      <c r="L1503" s="917"/>
      <c r="M1503" s="917"/>
      <c r="N1503" s="917"/>
      <c r="O1503" s="917"/>
      <c r="P1503" s="917"/>
      <c r="Q1503" s="578"/>
      <c r="R1503" s="578"/>
      <c r="S1503" s="578"/>
      <c r="T1503" s="578"/>
      <c r="U1503" s="578"/>
      <c r="V1503" s="578"/>
      <c r="W1503" s="578"/>
      <c r="X1503" s="578"/>
      <c r="Y1503" s="578"/>
      <c r="Z1503" s="578"/>
    </row>
    <row r="1504" spans="1:26" ht="18.75">
      <c r="A1504" s="682"/>
      <c r="B1504" s="682"/>
      <c r="C1504" s="682"/>
      <c r="D1504" s="914"/>
      <c r="E1504" s="682"/>
      <c r="F1504" s="682"/>
      <c r="G1504" s="682"/>
      <c r="H1504" s="915"/>
      <c r="I1504" s="916"/>
      <c r="J1504" s="916"/>
      <c r="K1504" s="917"/>
      <c r="L1504" s="917"/>
      <c r="M1504" s="917"/>
      <c r="N1504" s="917"/>
      <c r="O1504" s="917"/>
      <c r="P1504" s="917"/>
      <c r="Q1504" s="578"/>
      <c r="R1504" s="578"/>
      <c r="S1504" s="578"/>
      <c r="T1504" s="578"/>
      <c r="U1504" s="578"/>
      <c r="V1504" s="578"/>
      <c r="W1504" s="578"/>
      <c r="X1504" s="578"/>
      <c r="Y1504" s="578"/>
      <c r="Z1504" s="578"/>
    </row>
    <row r="1505" spans="1:26" ht="18.75">
      <c r="A1505" s="682"/>
      <c r="B1505" s="682"/>
      <c r="C1505" s="682"/>
      <c r="D1505" s="914"/>
      <c r="E1505" s="682"/>
      <c r="F1505" s="682"/>
      <c r="G1505" s="682"/>
      <c r="H1505" s="915"/>
      <c r="I1505" s="916"/>
      <c r="J1505" s="916"/>
      <c r="K1505" s="917"/>
      <c r="L1505" s="917"/>
      <c r="M1505" s="917"/>
      <c r="N1505" s="917"/>
      <c r="O1505" s="917"/>
      <c r="P1505" s="917"/>
      <c r="Q1505" s="578"/>
      <c r="R1505" s="578"/>
      <c r="S1505" s="578"/>
      <c r="T1505" s="578"/>
      <c r="U1505" s="578"/>
      <c r="V1505" s="578"/>
      <c r="W1505" s="578"/>
      <c r="X1505" s="578"/>
      <c r="Y1505" s="578"/>
      <c r="Z1505" s="578"/>
    </row>
    <row r="1506" spans="1:26" ht="18.75">
      <c r="A1506" s="682"/>
      <c r="B1506" s="682"/>
      <c r="C1506" s="682"/>
      <c r="D1506" s="914"/>
      <c r="E1506" s="682"/>
      <c r="F1506" s="682"/>
      <c r="G1506" s="682"/>
      <c r="H1506" s="915"/>
      <c r="I1506" s="916"/>
      <c r="J1506" s="916"/>
      <c r="K1506" s="917"/>
      <c r="L1506" s="917"/>
      <c r="M1506" s="917"/>
      <c r="N1506" s="917"/>
      <c r="O1506" s="917"/>
      <c r="P1506" s="917"/>
      <c r="Q1506" s="578"/>
      <c r="R1506" s="578"/>
      <c r="S1506" s="578"/>
      <c r="T1506" s="578"/>
      <c r="U1506" s="578"/>
      <c r="V1506" s="578"/>
      <c r="W1506" s="578"/>
      <c r="X1506" s="578"/>
      <c r="Y1506" s="578"/>
      <c r="Z1506" s="578"/>
    </row>
    <row r="1507" spans="1:26" ht="18.75">
      <c r="A1507" s="682"/>
      <c r="B1507" s="682"/>
      <c r="C1507" s="682"/>
      <c r="D1507" s="914"/>
      <c r="E1507" s="682"/>
      <c r="F1507" s="682"/>
      <c r="G1507" s="682"/>
      <c r="H1507" s="915"/>
      <c r="I1507" s="916"/>
      <c r="J1507" s="916"/>
      <c r="K1507" s="917"/>
      <c r="L1507" s="917"/>
      <c r="M1507" s="917"/>
      <c r="N1507" s="917"/>
      <c r="O1507" s="917"/>
      <c r="P1507" s="917"/>
      <c r="Q1507" s="578"/>
      <c r="R1507" s="578"/>
      <c r="S1507" s="578"/>
      <c r="T1507" s="578"/>
      <c r="U1507" s="578"/>
      <c r="V1507" s="578"/>
      <c r="W1507" s="578"/>
      <c r="X1507" s="578"/>
      <c r="Y1507" s="578"/>
      <c r="Z1507" s="578"/>
    </row>
    <row r="1508" spans="1:26" ht="18.75">
      <c r="A1508" s="682"/>
      <c r="B1508" s="682"/>
      <c r="C1508" s="682"/>
      <c r="D1508" s="914"/>
      <c r="E1508" s="682"/>
      <c r="F1508" s="682"/>
      <c r="G1508" s="682"/>
      <c r="H1508" s="915"/>
      <c r="I1508" s="916"/>
      <c r="J1508" s="916"/>
      <c r="K1508" s="917"/>
      <c r="L1508" s="917"/>
      <c r="M1508" s="917"/>
      <c r="N1508" s="917"/>
      <c r="O1508" s="917"/>
      <c r="P1508" s="917"/>
      <c r="Q1508" s="578"/>
      <c r="R1508" s="578"/>
      <c r="S1508" s="578"/>
      <c r="T1508" s="578"/>
      <c r="U1508" s="578"/>
      <c r="V1508" s="578"/>
      <c r="W1508" s="578"/>
      <c r="X1508" s="578"/>
      <c r="Y1508" s="578"/>
      <c r="Z1508" s="578"/>
    </row>
    <row r="1509" spans="1:26" ht="18.75">
      <c r="A1509" s="682"/>
      <c r="B1509" s="682"/>
      <c r="C1509" s="682"/>
      <c r="D1509" s="914"/>
      <c r="E1509" s="682"/>
      <c r="F1509" s="682"/>
      <c r="G1509" s="682"/>
      <c r="H1509" s="915"/>
      <c r="I1509" s="916"/>
      <c r="J1509" s="916"/>
      <c r="K1509" s="917"/>
      <c r="L1509" s="917"/>
      <c r="M1509" s="917"/>
      <c r="N1509" s="917"/>
      <c r="O1509" s="917"/>
      <c r="P1509" s="917"/>
      <c r="Q1509" s="578"/>
      <c r="R1509" s="578"/>
      <c r="S1509" s="578"/>
      <c r="T1509" s="578"/>
      <c r="U1509" s="578"/>
      <c r="V1509" s="578"/>
      <c r="W1509" s="578"/>
      <c r="X1509" s="578"/>
      <c r="Y1509" s="578"/>
      <c r="Z1509" s="578"/>
    </row>
    <row r="1510" spans="1:26" ht="18.75">
      <c r="A1510" s="682"/>
      <c r="B1510" s="682"/>
      <c r="C1510" s="682"/>
      <c r="D1510" s="914"/>
      <c r="E1510" s="682"/>
      <c r="F1510" s="682"/>
      <c r="G1510" s="682"/>
      <c r="H1510" s="915"/>
      <c r="I1510" s="916"/>
      <c r="J1510" s="916"/>
      <c r="K1510" s="917"/>
      <c r="L1510" s="917"/>
      <c r="M1510" s="917"/>
      <c r="N1510" s="917"/>
      <c r="O1510" s="917"/>
      <c r="P1510" s="917"/>
      <c r="Q1510" s="578"/>
      <c r="R1510" s="578"/>
      <c r="S1510" s="578"/>
      <c r="T1510" s="578"/>
      <c r="U1510" s="578"/>
      <c r="V1510" s="578"/>
      <c r="W1510" s="578"/>
      <c r="X1510" s="578"/>
      <c r="Y1510" s="578"/>
      <c r="Z1510" s="578"/>
    </row>
    <row r="1511" spans="1:26" ht="18.75">
      <c r="A1511" s="682"/>
      <c r="B1511" s="682"/>
      <c r="C1511" s="682"/>
      <c r="D1511" s="914"/>
      <c r="E1511" s="682"/>
      <c r="F1511" s="682"/>
      <c r="G1511" s="682"/>
      <c r="H1511" s="915"/>
      <c r="I1511" s="916"/>
      <c r="J1511" s="916"/>
      <c r="K1511" s="917"/>
      <c r="L1511" s="917"/>
      <c r="M1511" s="917"/>
      <c r="N1511" s="917"/>
      <c r="O1511" s="917"/>
      <c r="P1511" s="917"/>
      <c r="Q1511" s="578"/>
      <c r="R1511" s="578"/>
      <c r="S1511" s="578"/>
      <c r="T1511" s="578"/>
      <c r="U1511" s="578"/>
      <c r="V1511" s="578"/>
      <c r="W1511" s="578"/>
      <c r="X1511" s="578"/>
      <c r="Y1511" s="578"/>
      <c r="Z1511" s="578"/>
    </row>
    <row r="1512" spans="1:26" ht="18.75">
      <c r="A1512" s="682"/>
      <c r="B1512" s="682"/>
      <c r="C1512" s="682"/>
      <c r="D1512" s="914"/>
      <c r="E1512" s="682"/>
      <c r="F1512" s="682"/>
      <c r="G1512" s="682"/>
      <c r="H1512" s="915"/>
      <c r="I1512" s="916"/>
      <c r="J1512" s="916"/>
      <c r="K1512" s="917"/>
      <c r="L1512" s="917"/>
      <c r="M1512" s="917"/>
      <c r="N1512" s="917"/>
      <c r="O1512" s="917"/>
      <c r="P1512" s="917"/>
      <c r="Q1512" s="578"/>
      <c r="R1512" s="578"/>
      <c r="S1512" s="578"/>
      <c r="T1512" s="578"/>
      <c r="U1512" s="578"/>
      <c r="V1512" s="578"/>
      <c r="W1512" s="578"/>
      <c r="X1512" s="578"/>
      <c r="Y1512" s="578"/>
      <c r="Z1512" s="578"/>
    </row>
    <row r="1513" spans="1:26" ht="18.75">
      <c r="A1513" s="682"/>
      <c r="B1513" s="682"/>
      <c r="C1513" s="682"/>
      <c r="D1513" s="914"/>
      <c r="E1513" s="682"/>
      <c r="F1513" s="682"/>
      <c r="G1513" s="682"/>
      <c r="H1513" s="915"/>
      <c r="I1513" s="916"/>
      <c r="J1513" s="916"/>
      <c r="K1513" s="917"/>
      <c r="L1513" s="917"/>
      <c r="M1513" s="917"/>
      <c r="N1513" s="917"/>
      <c r="O1513" s="917"/>
      <c r="P1513" s="917"/>
      <c r="Q1513" s="578"/>
      <c r="R1513" s="578"/>
      <c r="S1513" s="578"/>
      <c r="T1513" s="578"/>
      <c r="U1513" s="578"/>
      <c r="V1513" s="578"/>
      <c r="W1513" s="578"/>
      <c r="X1513" s="578"/>
      <c r="Y1513" s="578"/>
      <c r="Z1513" s="578"/>
    </row>
    <row r="1514" spans="1:26" ht="18.75">
      <c r="A1514" s="682"/>
      <c r="B1514" s="682"/>
      <c r="C1514" s="682"/>
      <c r="D1514" s="914"/>
      <c r="E1514" s="682"/>
      <c r="F1514" s="682"/>
      <c r="G1514" s="682"/>
      <c r="H1514" s="915"/>
      <c r="I1514" s="916"/>
      <c r="J1514" s="916"/>
      <c r="K1514" s="917"/>
      <c r="L1514" s="917"/>
      <c r="M1514" s="917"/>
      <c r="N1514" s="917"/>
      <c r="O1514" s="917"/>
      <c r="P1514" s="917"/>
      <c r="Q1514" s="578"/>
      <c r="R1514" s="578"/>
      <c r="S1514" s="578"/>
      <c r="T1514" s="578"/>
      <c r="U1514" s="578"/>
      <c r="V1514" s="578"/>
      <c r="W1514" s="578"/>
      <c r="X1514" s="578"/>
      <c r="Y1514" s="578"/>
      <c r="Z1514" s="578"/>
    </row>
    <row r="1515" spans="1:26" ht="18.75">
      <c r="A1515" s="682"/>
      <c r="B1515" s="682"/>
      <c r="C1515" s="682"/>
      <c r="D1515" s="914"/>
      <c r="E1515" s="682"/>
      <c r="F1515" s="682"/>
      <c r="G1515" s="682"/>
      <c r="H1515" s="915"/>
      <c r="I1515" s="916"/>
      <c r="J1515" s="916"/>
      <c r="K1515" s="917"/>
      <c r="L1515" s="917"/>
      <c r="M1515" s="917"/>
      <c r="N1515" s="917"/>
      <c r="O1515" s="917"/>
      <c r="P1515" s="917"/>
      <c r="Q1515" s="578"/>
      <c r="R1515" s="578"/>
      <c r="S1515" s="578"/>
      <c r="T1515" s="578"/>
      <c r="U1515" s="578"/>
      <c r="V1515" s="578"/>
      <c r="W1515" s="578"/>
      <c r="X1515" s="578"/>
      <c r="Y1515" s="578"/>
      <c r="Z1515" s="578"/>
    </row>
    <row r="1516" spans="1:26" ht="18.75">
      <c r="A1516" s="682"/>
      <c r="B1516" s="682"/>
      <c r="C1516" s="682"/>
      <c r="D1516" s="914"/>
      <c r="E1516" s="682"/>
      <c r="F1516" s="682"/>
      <c r="G1516" s="682"/>
      <c r="H1516" s="915"/>
      <c r="I1516" s="916"/>
      <c r="J1516" s="916"/>
      <c r="K1516" s="917"/>
      <c r="L1516" s="917"/>
      <c r="M1516" s="917"/>
      <c r="N1516" s="917"/>
      <c r="O1516" s="917"/>
      <c r="P1516" s="917"/>
      <c r="Q1516" s="578"/>
      <c r="R1516" s="578"/>
      <c r="S1516" s="578"/>
      <c r="T1516" s="578"/>
      <c r="U1516" s="578"/>
      <c r="V1516" s="578"/>
      <c r="W1516" s="578"/>
      <c r="X1516" s="578"/>
      <c r="Y1516" s="578"/>
      <c r="Z1516" s="578"/>
    </row>
    <row r="1517" spans="1:26" ht="18.75">
      <c r="A1517" s="682"/>
      <c r="B1517" s="682"/>
      <c r="C1517" s="682"/>
      <c r="D1517" s="914"/>
      <c r="E1517" s="682"/>
      <c r="F1517" s="682"/>
      <c r="G1517" s="682"/>
      <c r="H1517" s="915"/>
      <c r="I1517" s="916"/>
      <c r="J1517" s="916"/>
      <c r="K1517" s="917"/>
      <c r="L1517" s="917"/>
      <c r="M1517" s="917"/>
      <c r="N1517" s="917"/>
      <c r="O1517" s="917"/>
      <c r="P1517" s="917"/>
      <c r="Q1517" s="578"/>
      <c r="R1517" s="578"/>
      <c r="S1517" s="578"/>
      <c r="T1517" s="578"/>
      <c r="U1517" s="578"/>
      <c r="V1517" s="578"/>
      <c r="W1517" s="578"/>
      <c r="X1517" s="578"/>
      <c r="Y1517" s="578"/>
      <c r="Z1517" s="578"/>
    </row>
    <row r="1518" spans="1:26" ht="18.75">
      <c r="A1518" s="682"/>
      <c r="B1518" s="682"/>
      <c r="C1518" s="682"/>
      <c r="D1518" s="914"/>
      <c r="E1518" s="682"/>
      <c r="F1518" s="682"/>
      <c r="G1518" s="682"/>
      <c r="H1518" s="915"/>
      <c r="I1518" s="916"/>
      <c r="J1518" s="916"/>
      <c r="K1518" s="917"/>
      <c r="L1518" s="917"/>
      <c r="M1518" s="917"/>
      <c r="N1518" s="917"/>
      <c r="O1518" s="917"/>
      <c r="P1518" s="917"/>
      <c r="Q1518" s="578"/>
      <c r="R1518" s="578"/>
      <c r="S1518" s="578"/>
      <c r="T1518" s="578"/>
      <c r="U1518" s="578"/>
      <c r="V1518" s="578"/>
      <c r="W1518" s="578"/>
      <c r="X1518" s="578"/>
      <c r="Y1518" s="578"/>
      <c r="Z1518" s="578"/>
    </row>
    <row r="1519" spans="1:26" ht="18.75">
      <c r="A1519" s="682"/>
      <c r="B1519" s="682"/>
      <c r="C1519" s="682"/>
      <c r="D1519" s="914"/>
      <c r="E1519" s="682"/>
      <c r="F1519" s="682"/>
      <c r="G1519" s="682"/>
      <c r="H1519" s="915"/>
      <c r="I1519" s="916"/>
      <c r="J1519" s="916"/>
      <c r="K1519" s="917"/>
      <c r="L1519" s="917"/>
      <c r="M1519" s="917"/>
      <c r="N1519" s="917"/>
      <c r="O1519" s="917"/>
      <c r="P1519" s="917"/>
      <c r="Q1519" s="578"/>
      <c r="R1519" s="578"/>
      <c r="S1519" s="578"/>
      <c r="T1519" s="578"/>
      <c r="U1519" s="578"/>
      <c r="V1519" s="578"/>
      <c r="W1519" s="578"/>
      <c r="X1519" s="578"/>
      <c r="Y1519" s="578"/>
      <c r="Z1519" s="578"/>
    </row>
    <row r="1520" spans="1:26" ht="18.75">
      <c r="A1520" s="682"/>
      <c r="B1520" s="682"/>
      <c r="C1520" s="682"/>
      <c r="D1520" s="914"/>
      <c r="E1520" s="682"/>
      <c r="F1520" s="682"/>
      <c r="G1520" s="682"/>
      <c r="H1520" s="915"/>
      <c r="I1520" s="916"/>
      <c r="J1520" s="916"/>
      <c r="K1520" s="917"/>
      <c r="L1520" s="917"/>
      <c r="M1520" s="917"/>
      <c r="N1520" s="917"/>
      <c r="O1520" s="917"/>
      <c r="P1520" s="917"/>
      <c r="Q1520" s="578"/>
      <c r="R1520" s="578"/>
      <c r="S1520" s="578"/>
      <c r="T1520" s="578"/>
      <c r="U1520" s="578"/>
      <c r="V1520" s="578"/>
      <c r="W1520" s="578"/>
      <c r="X1520" s="578"/>
      <c r="Y1520" s="578"/>
      <c r="Z1520" s="578"/>
    </row>
    <row r="1521" spans="1:26" ht="18.75">
      <c r="A1521" s="682"/>
      <c r="B1521" s="682"/>
      <c r="C1521" s="682"/>
      <c r="D1521" s="914"/>
      <c r="E1521" s="682"/>
      <c r="F1521" s="682"/>
      <c r="G1521" s="682"/>
      <c r="H1521" s="915"/>
      <c r="I1521" s="916"/>
      <c r="J1521" s="916"/>
      <c r="K1521" s="917"/>
      <c r="L1521" s="917"/>
      <c r="M1521" s="917"/>
      <c r="N1521" s="917"/>
      <c r="O1521" s="917"/>
      <c r="P1521" s="917"/>
      <c r="Q1521" s="578"/>
      <c r="R1521" s="578"/>
      <c r="S1521" s="578"/>
      <c r="T1521" s="578"/>
      <c r="U1521" s="578"/>
      <c r="V1521" s="578"/>
      <c r="W1521" s="578"/>
      <c r="X1521" s="578"/>
      <c r="Y1521" s="578"/>
      <c r="Z1521" s="578"/>
    </row>
    <row r="1522" spans="1:26" ht="18.75">
      <c r="A1522" s="682"/>
      <c r="B1522" s="682"/>
      <c r="C1522" s="682"/>
      <c r="D1522" s="914"/>
      <c r="E1522" s="682"/>
      <c r="F1522" s="682"/>
      <c r="G1522" s="682"/>
      <c r="H1522" s="915"/>
      <c r="I1522" s="916"/>
      <c r="J1522" s="916"/>
      <c r="K1522" s="917"/>
      <c r="L1522" s="917"/>
      <c r="M1522" s="917"/>
      <c r="N1522" s="917"/>
      <c r="O1522" s="917"/>
      <c r="P1522" s="917"/>
      <c r="Q1522" s="578"/>
      <c r="R1522" s="578"/>
      <c r="S1522" s="578"/>
      <c r="T1522" s="578"/>
      <c r="U1522" s="578"/>
      <c r="V1522" s="578"/>
      <c r="W1522" s="578"/>
      <c r="X1522" s="578"/>
      <c r="Y1522" s="578"/>
      <c r="Z1522" s="578"/>
    </row>
    <row r="1523" spans="1:26" ht="18.75">
      <c r="A1523" s="682"/>
      <c r="B1523" s="682"/>
      <c r="C1523" s="682"/>
      <c r="D1523" s="914"/>
      <c r="E1523" s="682"/>
      <c r="F1523" s="682"/>
      <c r="G1523" s="682"/>
      <c r="H1523" s="915"/>
      <c r="I1523" s="916"/>
      <c r="J1523" s="916"/>
      <c r="K1523" s="917"/>
      <c r="L1523" s="917"/>
      <c r="M1523" s="917"/>
      <c r="N1523" s="917"/>
      <c r="O1523" s="917"/>
      <c r="P1523" s="917"/>
      <c r="Q1523" s="578"/>
      <c r="R1523" s="578"/>
      <c r="S1523" s="578"/>
      <c r="T1523" s="578"/>
      <c r="U1523" s="578"/>
      <c r="V1523" s="578"/>
      <c r="W1523" s="578"/>
      <c r="X1523" s="578"/>
      <c r="Y1523" s="578"/>
      <c r="Z1523" s="578"/>
    </row>
    <row r="1524" spans="1:26" ht="18.75">
      <c r="A1524" s="682"/>
      <c r="B1524" s="682"/>
      <c r="C1524" s="682"/>
      <c r="D1524" s="914"/>
      <c r="E1524" s="682"/>
      <c r="F1524" s="682"/>
      <c r="G1524" s="682"/>
      <c r="H1524" s="915"/>
      <c r="I1524" s="916"/>
      <c r="J1524" s="916"/>
      <c r="K1524" s="917"/>
      <c r="L1524" s="917"/>
      <c r="M1524" s="917"/>
      <c r="N1524" s="917"/>
      <c r="O1524" s="917"/>
      <c r="P1524" s="917"/>
      <c r="Q1524" s="578"/>
      <c r="R1524" s="578"/>
      <c r="S1524" s="578"/>
      <c r="T1524" s="578"/>
      <c r="U1524" s="578"/>
      <c r="V1524" s="578"/>
      <c r="W1524" s="578"/>
      <c r="X1524" s="578"/>
      <c r="Y1524" s="578"/>
      <c r="Z1524" s="578"/>
    </row>
    <row r="1525" spans="1:26" ht="18.75">
      <c r="A1525" s="682"/>
      <c r="B1525" s="682"/>
      <c r="C1525" s="682"/>
      <c r="D1525" s="914"/>
      <c r="E1525" s="682"/>
      <c r="F1525" s="682"/>
      <c r="G1525" s="682"/>
      <c r="H1525" s="915"/>
      <c r="I1525" s="916"/>
      <c r="J1525" s="916"/>
      <c r="K1525" s="917"/>
      <c r="L1525" s="917"/>
      <c r="M1525" s="917"/>
      <c r="N1525" s="917"/>
      <c r="O1525" s="917"/>
      <c r="P1525" s="917"/>
      <c r="Q1525" s="578"/>
      <c r="R1525" s="578"/>
      <c r="S1525" s="578"/>
      <c r="T1525" s="578"/>
      <c r="U1525" s="578"/>
      <c r="V1525" s="578"/>
      <c r="W1525" s="578"/>
      <c r="X1525" s="578"/>
      <c r="Y1525" s="578"/>
      <c r="Z1525" s="578"/>
    </row>
    <row r="1526" spans="1:26" ht="18.75">
      <c r="A1526" s="682"/>
      <c r="B1526" s="682"/>
      <c r="C1526" s="682"/>
      <c r="D1526" s="914"/>
      <c r="E1526" s="682"/>
      <c r="F1526" s="682"/>
      <c r="G1526" s="682"/>
      <c r="H1526" s="915"/>
      <c r="I1526" s="916"/>
      <c r="J1526" s="916"/>
      <c r="K1526" s="917"/>
      <c r="L1526" s="917"/>
      <c r="M1526" s="917"/>
      <c r="N1526" s="917"/>
      <c r="O1526" s="917"/>
      <c r="P1526" s="917"/>
      <c r="Q1526" s="578"/>
      <c r="R1526" s="578"/>
      <c r="S1526" s="578"/>
      <c r="T1526" s="578"/>
      <c r="U1526" s="578"/>
      <c r="V1526" s="578"/>
      <c r="W1526" s="578"/>
      <c r="X1526" s="578"/>
      <c r="Y1526" s="578"/>
      <c r="Z1526" s="578"/>
    </row>
    <row r="1527" spans="1:26" ht="18.75">
      <c r="A1527" s="682"/>
      <c r="B1527" s="682"/>
      <c r="C1527" s="682"/>
      <c r="D1527" s="914"/>
      <c r="E1527" s="682"/>
      <c r="F1527" s="682"/>
      <c r="G1527" s="682"/>
      <c r="H1527" s="915"/>
      <c r="I1527" s="916"/>
      <c r="J1527" s="916"/>
      <c r="K1527" s="917"/>
      <c r="L1527" s="917"/>
      <c r="M1527" s="917"/>
      <c r="N1527" s="917"/>
      <c r="O1527" s="917"/>
      <c r="P1527" s="917"/>
      <c r="Q1527" s="578"/>
      <c r="R1527" s="578"/>
      <c r="S1527" s="578"/>
      <c r="T1527" s="578"/>
      <c r="U1527" s="578"/>
      <c r="V1527" s="578"/>
      <c r="W1527" s="578"/>
      <c r="X1527" s="578"/>
      <c r="Y1527" s="578"/>
      <c r="Z1527" s="578"/>
    </row>
    <row r="1528" spans="1:26" ht="18.75">
      <c r="A1528" s="682"/>
      <c r="B1528" s="682"/>
      <c r="C1528" s="682"/>
      <c r="D1528" s="914"/>
      <c r="E1528" s="682"/>
      <c r="F1528" s="682"/>
      <c r="G1528" s="682"/>
      <c r="H1528" s="915"/>
      <c r="I1528" s="916"/>
      <c r="J1528" s="916"/>
      <c r="K1528" s="917"/>
      <c r="L1528" s="917"/>
      <c r="M1528" s="917"/>
      <c r="N1528" s="917"/>
      <c r="O1528" s="917"/>
      <c r="P1528" s="917"/>
      <c r="Q1528" s="578"/>
      <c r="R1528" s="578"/>
      <c r="S1528" s="578"/>
      <c r="T1528" s="578"/>
      <c r="U1528" s="578"/>
      <c r="V1528" s="578"/>
      <c r="W1528" s="578"/>
      <c r="X1528" s="578"/>
      <c r="Y1528" s="578"/>
      <c r="Z1528" s="578"/>
    </row>
    <row r="1529" spans="1:26" ht="18.75">
      <c r="A1529" s="682"/>
      <c r="B1529" s="682"/>
      <c r="C1529" s="682"/>
      <c r="D1529" s="914"/>
      <c r="E1529" s="682"/>
      <c r="F1529" s="682"/>
      <c r="G1529" s="682"/>
      <c r="H1529" s="915"/>
      <c r="I1529" s="916"/>
      <c r="J1529" s="916"/>
      <c r="K1529" s="917"/>
      <c r="L1529" s="917"/>
      <c r="M1529" s="917"/>
      <c r="N1529" s="917"/>
      <c r="O1529" s="917"/>
      <c r="P1529" s="917"/>
      <c r="Q1529" s="578"/>
      <c r="R1529" s="578"/>
      <c r="S1529" s="578"/>
      <c r="T1529" s="578"/>
      <c r="U1529" s="578"/>
      <c r="V1529" s="578"/>
      <c r="W1529" s="578"/>
      <c r="X1529" s="578"/>
      <c r="Y1529" s="578"/>
      <c r="Z1529" s="578"/>
    </row>
    <row r="1530" spans="1:26" ht="18.75">
      <c r="A1530" s="682"/>
      <c r="B1530" s="682"/>
      <c r="C1530" s="682"/>
      <c r="D1530" s="914"/>
      <c r="E1530" s="682"/>
      <c r="F1530" s="682"/>
      <c r="G1530" s="682"/>
      <c r="H1530" s="915"/>
      <c r="I1530" s="916"/>
      <c r="J1530" s="916"/>
      <c r="K1530" s="917"/>
      <c r="L1530" s="917"/>
      <c r="M1530" s="917"/>
      <c r="N1530" s="917"/>
      <c r="O1530" s="917"/>
      <c r="P1530" s="917"/>
      <c r="Q1530" s="578"/>
      <c r="R1530" s="578"/>
      <c r="S1530" s="578"/>
      <c r="T1530" s="578"/>
      <c r="U1530" s="578"/>
      <c r="V1530" s="578"/>
      <c r="W1530" s="578"/>
      <c r="X1530" s="578"/>
      <c r="Y1530" s="578"/>
      <c r="Z1530" s="578"/>
    </row>
    <row r="1531" spans="1:26" ht="18.75">
      <c r="A1531" s="682"/>
      <c r="B1531" s="682"/>
      <c r="C1531" s="682"/>
      <c r="D1531" s="914"/>
      <c r="E1531" s="682"/>
      <c r="F1531" s="682"/>
      <c r="G1531" s="682"/>
      <c r="H1531" s="915"/>
      <c r="I1531" s="916"/>
      <c r="J1531" s="916"/>
      <c r="K1531" s="917"/>
      <c r="L1531" s="917"/>
      <c r="M1531" s="917"/>
      <c r="N1531" s="917"/>
      <c r="O1531" s="917"/>
      <c r="P1531" s="917"/>
      <c r="Q1531" s="578"/>
      <c r="R1531" s="578"/>
      <c r="S1531" s="578"/>
      <c r="T1531" s="578"/>
      <c r="U1531" s="578"/>
      <c r="V1531" s="578"/>
      <c r="W1531" s="578"/>
      <c r="X1531" s="578"/>
      <c r="Y1531" s="578"/>
      <c r="Z1531" s="578"/>
    </row>
    <row r="1532" spans="1:26" ht="18.75">
      <c r="A1532" s="682"/>
      <c r="B1532" s="682"/>
      <c r="C1532" s="682"/>
      <c r="D1532" s="914"/>
      <c r="E1532" s="682"/>
      <c r="F1532" s="682"/>
      <c r="G1532" s="682"/>
      <c r="H1532" s="915"/>
      <c r="I1532" s="916"/>
      <c r="J1532" s="916"/>
      <c r="K1532" s="917"/>
      <c r="L1532" s="917"/>
      <c r="M1532" s="917"/>
      <c r="N1532" s="917"/>
      <c r="O1532" s="917"/>
      <c r="P1532" s="917"/>
      <c r="Q1532" s="578"/>
      <c r="R1532" s="578"/>
      <c r="S1532" s="578"/>
      <c r="T1532" s="578"/>
      <c r="U1532" s="578"/>
      <c r="V1532" s="578"/>
      <c r="W1532" s="578"/>
      <c r="X1532" s="578"/>
      <c r="Y1532" s="578"/>
      <c r="Z1532" s="578"/>
    </row>
    <row r="1533" spans="1:26" ht="18.75">
      <c r="A1533" s="682"/>
      <c r="B1533" s="682"/>
      <c r="C1533" s="682"/>
      <c r="D1533" s="914"/>
      <c r="E1533" s="682"/>
      <c r="F1533" s="682"/>
      <c r="G1533" s="682"/>
      <c r="H1533" s="915"/>
      <c r="I1533" s="916"/>
      <c r="J1533" s="916"/>
      <c r="K1533" s="917"/>
      <c r="L1533" s="917"/>
      <c r="M1533" s="917"/>
      <c r="N1533" s="917"/>
      <c r="O1533" s="917"/>
      <c r="P1533" s="917"/>
      <c r="Q1533" s="578"/>
      <c r="R1533" s="578"/>
      <c r="S1533" s="578"/>
      <c r="T1533" s="578"/>
      <c r="U1533" s="578"/>
      <c r="V1533" s="578"/>
      <c r="W1533" s="578"/>
      <c r="X1533" s="578"/>
      <c r="Y1533" s="578"/>
      <c r="Z1533" s="578"/>
    </row>
    <row r="1534" spans="1:26" ht="18.75">
      <c r="A1534" s="682"/>
      <c r="B1534" s="682"/>
      <c r="C1534" s="682"/>
      <c r="D1534" s="914"/>
      <c r="E1534" s="682"/>
      <c r="F1534" s="682"/>
      <c r="G1534" s="682"/>
      <c r="H1534" s="915"/>
      <c r="I1534" s="916"/>
      <c r="J1534" s="916"/>
      <c r="K1534" s="917"/>
      <c r="L1534" s="917"/>
      <c r="M1534" s="917"/>
      <c r="N1534" s="917"/>
      <c r="O1534" s="917"/>
      <c r="P1534" s="917"/>
      <c r="Q1534" s="578"/>
      <c r="R1534" s="578"/>
      <c r="S1534" s="578"/>
      <c r="T1534" s="578"/>
      <c r="U1534" s="578"/>
      <c r="V1534" s="578"/>
      <c r="W1534" s="578"/>
      <c r="X1534" s="578"/>
      <c r="Y1534" s="578"/>
      <c r="Z1534" s="578"/>
    </row>
    <row r="1535" spans="1:26" ht="18.75">
      <c r="A1535" s="682"/>
      <c r="B1535" s="682"/>
      <c r="C1535" s="682"/>
      <c r="D1535" s="914"/>
      <c r="E1535" s="682"/>
      <c r="F1535" s="682"/>
      <c r="G1535" s="682"/>
      <c r="H1535" s="915"/>
      <c r="I1535" s="916"/>
      <c r="J1535" s="916"/>
      <c r="K1535" s="917"/>
      <c r="L1535" s="917"/>
      <c r="M1535" s="917"/>
      <c r="N1535" s="917"/>
      <c r="O1535" s="917"/>
      <c r="P1535" s="917"/>
      <c r="Q1535" s="578"/>
      <c r="R1535" s="578"/>
      <c r="S1535" s="578"/>
      <c r="T1535" s="578"/>
      <c r="U1535" s="578"/>
      <c r="V1535" s="578"/>
      <c r="W1535" s="578"/>
      <c r="X1535" s="578"/>
      <c r="Y1535" s="578"/>
      <c r="Z1535" s="578"/>
    </row>
    <row r="1536" spans="1:26" ht="18.75">
      <c r="A1536" s="682"/>
      <c r="B1536" s="682"/>
      <c r="C1536" s="682"/>
      <c r="D1536" s="914"/>
      <c r="E1536" s="682"/>
      <c r="F1536" s="682"/>
      <c r="G1536" s="682"/>
      <c r="H1536" s="915"/>
      <c r="I1536" s="916"/>
      <c r="J1536" s="916"/>
      <c r="K1536" s="917"/>
      <c r="L1536" s="917"/>
      <c r="M1536" s="917"/>
      <c r="N1536" s="917"/>
      <c r="O1536" s="917"/>
      <c r="P1536" s="917"/>
      <c r="Q1536" s="578"/>
      <c r="R1536" s="578"/>
      <c r="S1536" s="578"/>
      <c r="T1536" s="578"/>
      <c r="U1536" s="578"/>
      <c r="V1536" s="578"/>
      <c r="W1536" s="578"/>
      <c r="X1536" s="578"/>
      <c r="Y1536" s="578"/>
      <c r="Z1536" s="578"/>
    </row>
    <row r="1537" spans="1:26" ht="18.75">
      <c r="A1537" s="682"/>
      <c r="B1537" s="682"/>
      <c r="C1537" s="682"/>
      <c r="D1537" s="914"/>
      <c r="E1537" s="682"/>
      <c r="F1537" s="682"/>
      <c r="G1537" s="682"/>
      <c r="H1537" s="915"/>
      <c r="I1537" s="916"/>
      <c r="J1537" s="916"/>
      <c r="K1537" s="917"/>
      <c r="L1537" s="917"/>
      <c r="M1537" s="917"/>
      <c r="N1537" s="917"/>
      <c r="O1537" s="917"/>
      <c r="P1537" s="917"/>
      <c r="Q1537" s="578"/>
      <c r="R1537" s="578"/>
      <c r="S1537" s="578"/>
      <c r="T1537" s="578"/>
      <c r="U1537" s="578"/>
      <c r="V1537" s="578"/>
      <c r="W1537" s="578"/>
      <c r="X1537" s="578"/>
      <c r="Y1537" s="578"/>
      <c r="Z1537" s="578"/>
    </row>
    <row r="1538" spans="1:26" ht="18.75">
      <c r="A1538" s="682"/>
      <c r="B1538" s="682"/>
      <c r="C1538" s="682"/>
      <c r="D1538" s="914"/>
      <c r="E1538" s="682"/>
      <c r="F1538" s="682"/>
      <c r="G1538" s="682"/>
      <c r="H1538" s="915"/>
      <c r="I1538" s="916"/>
      <c r="J1538" s="916"/>
      <c r="K1538" s="917"/>
      <c r="L1538" s="917"/>
      <c r="M1538" s="917"/>
      <c r="N1538" s="917"/>
      <c r="O1538" s="917"/>
      <c r="P1538" s="917"/>
      <c r="Q1538" s="578"/>
      <c r="R1538" s="578"/>
      <c r="S1538" s="578"/>
      <c r="T1538" s="578"/>
      <c r="U1538" s="578"/>
      <c r="V1538" s="578"/>
      <c r="W1538" s="578"/>
      <c r="X1538" s="578"/>
      <c r="Y1538" s="578"/>
      <c r="Z1538" s="578"/>
    </row>
    <row r="1539" spans="1:26" ht="18.75">
      <c r="A1539" s="682"/>
      <c r="B1539" s="682"/>
      <c r="C1539" s="682"/>
      <c r="D1539" s="914"/>
      <c r="E1539" s="682"/>
      <c r="F1539" s="682"/>
      <c r="G1539" s="682"/>
      <c r="H1539" s="915"/>
      <c r="I1539" s="916"/>
      <c r="J1539" s="916"/>
      <c r="K1539" s="917"/>
      <c r="L1539" s="917"/>
      <c r="M1539" s="917"/>
      <c r="N1539" s="917"/>
      <c r="O1539" s="917"/>
      <c r="P1539" s="917"/>
      <c r="Q1539" s="578"/>
      <c r="R1539" s="578"/>
      <c r="S1539" s="578"/>
      <c r="T1539" s="578"/>
      <c r="U1539" s="578"/>
      <c r="V1539" s="578"/>
      <c r="W1539" s="578"/>
      <c r="X1539" s="578"/>
      <c r="Y1539" s="578"/>
      <c r="Z1539" s="578"/>
    </row>
    <row r="1540" spans="1:26" ht="18.75">
      <c r="A1540" s="682"/>
      <c r="B1540" s="682"/>
      <c r="C1540" s="682"/>
      <c r="D1540" s="914"/>
      <c r="E1540" s="682"/>
      <c r="F1540" s="682"/>
      <c r="G1540" s="682"/>
      <c r="H1540" s="915"/>
      <c r="I1540" s="916"/>
      <c r="J1540" s="916"/>
      <c r="K1540" s="917"/>
      <c r="L1540" s="917"/>
      <c r="M1540" s="917"/>
      <c r="N1540" s="917"/>
      <c r="O1540" s="917"/>
      <c r="P1540" s="917"/>
      <c r="Q1540" s="578"/>
      <c r="R1540" s="578"/>
      <c r="S1540" s="578"/>
      <c r="T1540" s="578"/>
      <c r="U1540" s="578"/>
      <c r="V1540" s="578"/>
      <c r="W1540" s="578"/>
      <c r="X1540" s="578"/>
      <c r="Y1540" s="578"/>
      <c r="Z1540" s="578"/>
    </row>
    <row r="1541" spans="1:26" ht="18.75">
      <c r="A1541" s="682"/>
      <c r="B1541" s="682"/>
      <c r="C1541" s="682"/>
      <c r="D1541" s="914"/>
      <c r="E1541" s="682"/>
      <c r="F1541" s="682"/>
      <c r="G1541" s="682"/>
      <c r="H1541" s="915"/>
      <c r="I1541" s="916"/>
      <c r="J1541" s="916"/>
      <c r="K1541" s="917"/>
      <c r="L1541" s="917"/>
      <c r="M1541" s="917"/>
      <c r="N1541" s="917"/>
      <c r="O1541" s="917"/>
      <c r="P1541" s="917"/>
      <c r="Q1541" s="578"/>
      <c r="R1541" s="578"/>
      <c r="S1541" s="578"/>
      <c r="T1541" s="578"/>
      <c r="U1541" s="578"/>
      <c r="V1541" s="578"/>
      <c r="W1541" s="578"/>
      <c r="X1541" s="578"/>
      <c r="Y1541" s="578"/>
      <c r="Z1541" s="578"/>
    </row>
    <row r="1542" spans="1:26" ht="18.75">
      <c r="A1542" s="682"/>
      <c r="B1542" s="682"/>
      <c r="C1542" s="682"/>
      <c r="D1542" s="914"/>
      <c r="E1542" s="682"/>
      <c r="F1542" s="682"/>
      <c r="G1542" s="682"/>
      <c r="H1542" s="915"/>
      <c r="I1542" s="916"/>
      <c r="J1542" s="916"/>
      <c r="K1542" s="917"/>
      <c r="L1542" s="917"/>
      <c r="M1542" s="917"/>
      <c r="N1542" s="917"/>
      <c r="O1542" s="917"/>
      <c r="P1542" s="917"/>
      <c r="Q1542" s="578"/>
      <c r="R1542" s="578"/>
      <c r="S1542" s="578"/>
      <c r="T1542" s="578"/>
      <c r="U1542" s="578"/>
      <c r="V1542" s="578"/>
      <c r="W1542" s="578"/>
      <c r="X1542" s="578"/>
      <c r="Y1542" s="578"/>
      <c r="Z1542" s="578"/>
    </row>
    <row r="1543" spans="1:26" ht="18.75">
      <c r="A1543" s="682"/>
      <c r="B1543" s="682"/>
      <c r="C1543" s="682"/>
      <c r="D1543" s="914"/>
      <c r="E1543" s="682"/>
      <c r="F1543" s="682"/>
      <c r="G1543" s="682"/>
      <c r="H1543" s="915"/>
      <c r="I1543" s="916"/>
      <c r="J1543" s="916"/>
      <c r="K1543" s="917"/>
      <c r="L1543" s="917"/>
      <c r="M1543" s="917"/>
      <c r="N1543" s="917"/>
      <c r="O1543" s="917"/>
      <c r="P1543" s="917"/>
      <c r="Q1543" s="578"/>
      <c r="R1543" s="578"/>
      <c r="S1543" s="578"/>
      <c r="T1543" s="578"/>
      <c r="U1543" s="578"/>
      <c r="V1543" s="578"/>
      <c r="W1543" s="578"/>
      <c r="X1543" s="578"/>
      <c r="Y1543" s="578"/>
      <c r="Z1543" s="578"/>
    </row>
    <row r="1544" spans="1:26" ht="18.75">
      <c r="A1544" s="682"/>
      <c r="B1544" s="682"/>
      <c r="C1544" s="682"/>
      <c r="D1544" s="914"/>
      <c r="E1544" s="682"/>
      <c r="F1544" s="682"/>
      <c r="G1544" s="682"/>
      <c r="H1544" s="915"/>
      <c r="I1544" s="916"/>
      <c r="J1544" s="916"/>
      <c r="K1544" s="917"/>
      <c r="L1544" s="917"/>
      <c r="M1544" s="917"/>
      <c r="N1544" s="917"/>
      <c r="O1544" s="917"/>
      <c r="P1544" s="917"/>
      <c r="Q1544" s="578"/>
      <c r="R1544" s="578"/>
      <c r="S1544" s="578"/>
      <c r="T1544" s="578"/>
      <c r="U1544" s="578"/>
      <c r="V1544" s="578"/>
      <c r="W1544" s="578"/>
      <c r="X1544" s="578"/>
      <c r="Y1544" s="578"/>
      <c r="Z1544" s="578"/>
    </row>
    <row r="1545" spans="1:26" ht="18.75">
      <c r="A1545" s="682"/>
      <c r="B1545" s="682"/>
      <c r="C1545" s="682"/>
      <c r="D1545" s="914"/>
      <c r="E1545" s="682"/>
      <c r="F1545" s="682"/>
      <c r="G1545" s="682"/>
      <c r="H1545" s="915"/>
      <c r="I1545" s="916"/>
      <c r="J1545" s="916"/>
      <c r="K1545" s="917"/>
      <c r="L1545" s="917"/>
      <c r="M1545" s="917"/>
      <c r="N1545" s="917"/>
      <c r="O1545" s="917"/>
      <c r="P1545" s="917"/>
      <c r="Q1545" s="578"/>
      <c r="R1545" s="578"/>
      <c r="S1545" s="578"/>
      <c r="T1545" s="578"/>
      <c r="U1545" s="578"/>
      <c r="V1545" s="578"/>
      <c r="W1545" s="578"/>
      <c r="X1545" s="578"/>
      <c r="Y1545" s="578"/>
      <c r="Z1545" s="578"/>
    </row>
    <row r="1546" spans="1:26" ht="18.75">
      <c r="A1546" s="682"/>
      <c r="B1546" s="682"/>
      <c r="C1546" s="682"/>
      <c r="D1546" s="914"/>
      <c r="E1546" s="682"/>
      <c r="F1546" s="682"/>
      <c r="G1546" s="682"/>
      <c r="H1546" s="915"/>
      <c r="I1546" s="916"/>
      <c r="J1546" s="916"/>
      <c r="K1546" s="917"/>
      <c r="L1546" s="917"/>
      <c r="M1546" s="917"/>
      <c r="N1546" s="917"/>
      <c r="O1546" s="917"/>
      <c r="P1546" s="917"/>
      <c r="Q1546" s="578"/>
      <c r="R1546" s="578"/>
      <c r="S1546" s="578"/>
      <c r="T1546" s="578"/>
      <c r="U1546" s="578"/>
      <c r="V1546" s="578"/>
      <c r="W1546" s="578"/>
      <c r="X1546" s="578"/>
      <c r="Y1546" s="578"/>
      <c r="Z1546" s="578"/>
    </row>
    <row r="1547" spans="1:26" ht="18.75">
      <c r="A1547" s="682"/>
      <c r="B1547" s="682"/>
      <c r="C1547" s="682"/>
      <c r="D1547" s="914"/>
      <c r="E1547" s="682"/>
      <c r="F1547" s="682"/>
      <c r="G1547" s="682"/>
      <c r="H1547" s="915"/>
      <c r="I1547" s="916"/>
      <c r="J1547" s="916"/>
      <c r="K1547" s="917"/>
      <c r="L1547" s="917"/>
      <c r="M1547" s="917"/>
      <c r="N1547" s="917"/>
      <c r="O1547" s="917"/>
      <c r="P1547" s="917"/>
      <c r="Q1547" s="578"/>
      <c r="R1547" s="578"/>
      <c r="S1547" s="578"/>
      <c r="T1547" s="578"/>
      <c r="U1547" s="578"/>
      <c r="V1547" s="578"/>
      <c r="W1547" s="578"/>
      <c r="X1547" s="578"/>
      <c r="Y1547" s="578"/>
      <c r="Z1547" s="578"/>
    </row>
    <row r="1548" spans="1:26" ht="18.75">
      <c r="A1548" s="682"/>
      <c r="B1548" s="682"/>
      <c r="C1548" s="682"/>
      <c r="D1548" s="914"/>
      <c r="E1548" s="682"/>
      <c r="F1548" s="682"/>
      <c r="G1548" s="682"/>
      <c r="H1548" s="915"/>
      <c r="I1548" s="916"/>
      <c r="J1548" s="916"/>
      <c r="K1548" s="917"/>
      <c r="L1548" s="917"/>
      <c r="M1548" s="917"/>
      <c r="N1548" s="917"/>
      <c r="O1548" s="917"/>
      <c r="P1548" s="917"/>
      <c r="Q1548" s="578"/>
      <c r="R1548" s="578"/>
      <c r="S1548" s="578"/>
      <c r="T1548" s="578"/>
      <c r="U1548" s="578"/>
      <c r="V1548" s="578"/>
      <c r="W1548" s="578"/>
      <c r="X1548" s="578"/>
      <c r="Y1548" s="578"/>
      <c r="Z1548" s="578"/>
    </row>
    <row r="1549" spans="1:26" ht="18.75">
      <c r="A1549" s="682"/>
      <c r="B1549" s="682"/>
      <c r="C1549" s="682"/>
      <c r="D1549" s="914"/>
      <c r="E1549" s="682"/>
      <c r="F1549" s="682"/>
      <c r="G1549" s="682"/>
      <c r="H1549" s="915"/>
      <c r="I1549" s="916"/>
      <c r="J1549" s="916"/>
      <c r="K1549" s="917"/>
      <c r="L1549" s="917"/>
      <c r="M1549" s="917"/>
      <c r="N1549" s="917"/>
      <c r="O1549" s="917"/>
      <c r="P1549" s="917"/>
      <c r="Q1549" s="578"/>
      <c r="R1549" s="578"/>
      <c r="S1549" s="578"/>
      <c r="T1549" s="578"/>
      <c r="U1549" s="578"/>
      <c r="V1549" s="578"/>
      <c r="W1549" s="578"/>
      <c r="X1549" s="578"/>
      <c r="Y1549" s="578"/>
      <c r="Z1549" s="578"/>
    </row>
    <row r="1550" spans="1:26" ht="18.75">
      <c r="A1550" s="682"/>
      <c r="B1550" s="682"/>
      <c r="C1550" s="682"/>
      <c r="D1550" s="914"/>
      <c r="E1550" s="682"/>
      <c r="F1550" s="682"/>
      <c r="G1550" s="682"/>
      <c r="H1550" s="915"/>
      <c r="I1550" s="916"/>
      <c r="J1550" s="916"/>
      <c r="K1550" s="917"/>
      <c r="L1550" s="917"/>
      <c r="M1550" s="917"/>
      <c r="N1550" s="917"/>
      <c r="O1550" s="917"/>
      <c r="P1550" s="917"/>
      <c r="Q1550" s="578"/>
      <c r="R1550" s="578"/>
      <c r="S1550" s="578"/>
      <c r="T1550" s="578"/>
      <c r="U1550" s="578"/>
      <c r="V1550" s="578"/>
      <c r="W1550" s="578"/>
      <c r="X1550" s="578"/>
      <c r="Y1550" s="578"/>
      <c r="Z1550" s="578"/>
    </row>
    <row r="1551" spans="1:26" ht="18.75">
      <c r="A1551" s="682"/>
      <c r="B1551" s="682"/>
      <c r="C1551" s="682"/>
      <c r="D1551" s="914"/>
      <c r="E1551" s="682"/>
      <c r="F1551" s="682"/>
      <c r="G1551" s="682"/>
      <c r="H1551" s="915"/>
      <c r="I1551" s="916"/>
      <c r="J1551" s="916"/>
      <c r="K1551" s="917"/>
      <c r="L1551" s="917"/>
      <c r="M1551" s="917"/>
      <c r="N1551" s="917"/>
      <c r="O1551" s="917"/>
      <c r="P1551" s="917"/>
      <c r="Q1551" s="578"/>
      <c r="R1551" s="578"/>
      <c r="S1551" s="578"/>
      <c r="T1551" s="578"/>
      <c r="U1551" s="578"/>
      <c r="V1551" s="578"/>
      <c r="W1551" s="578"/>
      <c r="X1551" s="578"/>
      <c r="Y1551" s="578"/>
      <c r="Z1551" s="578"/>
    </row>
    <row r="1552" spans="1:26" ht="18.75">
      <c r="A1552" s="682"/>
      <c r="B1552" s="682"/>
      <c r="C1552" s="682"/>
      <c r="D1552" s="914"/>
      <c r="E1552" s="682"/>
      <c r="F1552" s="682"/>
      <c r="G1552" s="682"/>
      <c r="H1552" s="915"/>
      <c r="I1552" s="916"/>
      <c r="J1552" s="916"/>
      <c r="K1552" s="917"/>
      <c r="L1552" s="917"/>
      <c r="M1552" s="917"/>
      <c r="N1552" s="917"/>
      <c r="O1552" s="917"/>
      <c r="P1552" s="917"/>
      <c r="Q1552" s="578"/>
      <c r="R1552" s="578"/>
      <c r="S1552" s="578"/>
      <c r="T1552" s="578"/>
      <c r="U1552" s="578"/>
      <c r="V1552" s="578"/>
      <c r="W1552" s="578"/>
      <c r="X1552" s="578"/>
      <c r="Y1552" s="578"/>
      <c r="Z1552" s="578"/>
    </row>
    <row r="1553" spans="1:26" ht="18.75">
      <c r="A1553" s="682"/>
      <c r="B1553" s="682"/>
      <c r="C1553" s="682"/>
      <c r="D1553" s="914"/>
      <c r="E1553" s="682"/>
      <c r="F1553" s="682"/>
      <c r="G1553" s="682"/>
      <c r="H1553" s="915"/>
      <c r="I1553" s="916"/>
      <c r="J1553" s="916"/>
      <c r="K1553" s="917"/>
      <c r="L1553" s="917"/>
      <c r="M1553" s="917"/>
      <c r="N1553" s="917"/>
      <c r="O1553" s="917"/>
      <c r="P1553" s="917"/>
      <c r="Q1553" s="578"/>
      <c r="R1553" s="578"/>
      <c r="S1553" s="578"/>
      <c r="T1553" s="578"/>
      <c r="U1553" s="578"/>
      <c r="V1553" s="578"/>
      <c r="W1553" s="578"/>
      <c r="X1553" s="578"/>
      <c r="Y1553" s="578"/>
      <c r="Z1553" s="578"/>
    </row>
    <row r="1554" spans="1:26" ht="18.75">
      <c r="A1554" s="682"/>
      <c r="B1554" s="682"/>
      <c r="C1554" s="682"/>
      <c r="D1554" s="914"/>
      <c r="E1554" s="682"/>
      <c r="F1554" s="682"/>
      <c r="G1554" s="682"/>
      <c r="H1554" s="915"/>
      <c r="I1554" s="916"/>
      <c r="J1554" s="916"/>
      <c r="K1554" s="917"/>
      <c r="L1554" s="917"/>
      <c r="M1554" s="917"/>
      <c r="N1554" s="917"/>
      <c r="O1554" s="917"/>
      <c r="P1554" s="917"/>
      <c r="Q1554" s="578"/>
      <c r="R1554" s="578"/>
      <c r="S1554" s="578"/>
      <c r="T1554" s="578"/>
      <c r="U1554" s="578"/>
      <c r="V1554" s="578"/>
      <c r="W1554" s="578"/>
      <c r="X1554" s="578"/>
      <c r="Y1554" s="578"/>
      <c r="Z1554" s="578"/>
    </row>
    <row r="1555" spans="1:26" ht="18.75">
      <c r="A1555" s="682"/>
      <c r="B1555" s="682"/>
      <c r="C1555" s="682"/>
      <c r="D1555" s="914"/>
      <c r="E1555" s="682"/>
      <c r="F1555" s="682"/>
      <c r="G1555" s="682"/>
      <c r="H1555" s="915"/>
      <c r="I1555" s="916"/>
      <c r="J1555" s="916"/>
      <c r="K1555" s="917"/>
      <c r="L1555" s="917"/>
      <c r="M1555" s="917"/>
      <c r="N1555" s="917"/>
      <c r="O1555" s="917"/>
      <c r="P1555" s="917"/>
      <c r="Q1555" s="578"/>
      <c r="R1555" s="578"/>
      <c r="S1555" s="578"/>
      <c r="T1555" s="578"/>
      <c r="U1555" s="578"/>
      <c r="V1555" s="578"/>
      <c r="W1555" s="578"/>
      <c r="X1555" s="578"/>
      <c r="Y1555" s="578"/>
      <c r="Z1555" s="578"/>
    </row>
    <row r="1556" spans="1:26" ht="18.75">
      <c r="A1556" s="682"/>
      <c r="B1556" s="682"/>
      <c r="C1556" s="682"/>
      <c r="D1556" s="914"/>
      <c r="E1556" s="682"/>
      <c r="F1556" s="682"/>
      <c r="G1556" s="682"/>
      <c r="H1556" s="915"/>
      <c r="I1556" s="916"/>
      <c r="J1556" s="916"/>
      <c r="K1556" s="917"/>
      <c r="L1556" s="917"/>
      <c r="M1556" s="917"/>
      <c r="N1556" s="917"/>
      <c r="O1556" s="917"/>
      <c r="P1556" s="917"/>
      <c r="Q1556" s="578"/>
      <c r="R1556" s="578"/>
      <c r="S1556" s="578"/>
      <c r="T1556" s="578"/>
      <c r="U1556" s="578"/>
      <c r="V1556" s="578"/>
      <c r="W1556" s="578"/>
      <c r="X1556" s="578"/>
      <c r="Y1556" s="578"/>
      <c r="Z1556" s="578"/>
    </row>
    <row r="1557" spans="1:26" ht="18.75">
      <c r="A1557" s="682"/>
      <c r="B1557" s="682"/>
      <c r="C1557" s="682"/>
      <c r="D1557" s="914"/>
      <c r="E1557" s="682"/>
      <c r="F1557" s="682"/>
      <c r="G1557" s="682"/>
      <c r="H1557" s="915"/>
      <c r="I1557" s="916"/>
      <c r="J1557" s="916"/>
      <c r="K1557" s="917"/>
      <c r="L1557" s="917"/>
      <c r="M1557" s="917"/>
      <c r="N1557" s="917"/>
      <c r="O1557" s="917"/>
      <c r="P1557" s="917"/>
      <c r="Q1557" s="578"/>
      <c r="R1557" s="578"/>
      <c r="S1557" s="578"/>
      <c r="T1557" s="578"/>
      <c r="U1557" s="578"/>
      <c r="V1557" s="578"/>
      <c r="W1557" s="578"/>
      <c r="X1557" s="578"/>
      <c r="Y1557" s="578"/>
      <c r="Z1557" s="578"/>
    </row>
    <row r="1558" spans="1:26" ht="18.75">
      <c r="A1558" s="682"/>
      <c r="B1558" s="682"/>
      <c r="C1558" s="682"/>
      <c r="D1558" s="914"/>
      <c r="E1558" s="682"/>
      <c r="F1558" s="682"/>
      <c r="G1558" s="682"/>
      <c r="H1558" s="915"/>
      <c r="I1558" s="916"/>
      <c r="J1558" s="916"/>
      <c r="K1558" s="917"/>
      <c r="L1558" s="917"/>
      <c r="M1558" s="917"/>
      <c r="N1558" s="917"/>
      <c r="O1558" s="917"/>
      <c r="P1558" s="917"/>
      <c r="Q1558" s="578"/>
      <c r="R1558" s="578"/>
      <c r="S1558" s="578"/>
      <c r="T1558" s="578"/>
      <c r="U1558" s="578"/>
      <c r="V1558" s="578"/>
      <c r="W1558" s="578"/>
      <c r="X1558" s="578"/>
      <c r="Y1558" s="578"/>
      <c r="Z1558" s="578"/>
    </row>
    <row r="1559" spans="1:26" ht="18.75">
      <c r="A1559" s="682"/>
      <c r="B1559" s="682"/>
      <c r="C1559" s="682"/>
      <c r="D1559" s="914"/>
      <c r="E1559" s="682"/>
      <c r="F1559" s="682"/>
      <c r="G1559" s="682"/>
      <c r="H1559" s="915"/>
      <c r="I1559" s="916"/>
      <c r="J1559" s="916"/>
      <c r="K1559" s="917"/>
      <c r="L1559" s="917"/>
      <c r="M1559" s="917"/>
      <c r="N1559" s="917"/>
      <c r="O1559" s="917"/>
      <c r="P1559" s="917"/>
      <c r="Q1559" s="578"/>
      <c r="R1559" s="578"/>
      <c r="S1559" s="578"/>
      <c r="T1559" s="578"/>
      <c r="U1559" s="578"/>
      <c r="V1559" s="578"/>
      <c r="W1559" s="578"/>
      <c r="X1559" s="578"/>
      <c r="Y1559" s="578"/>
      <c r="Z1559" s="578"/>
    </row>
    <row r="1560" spans="1:26" ht="18.75">
      <c r="A1560" s="682"/>
      <c r="B1560" s="682"/>
      <c r="C1560" s="682"/>
      <c r="D1560" s="914"/>
      <c r="E1560" s="682"/>
      <c r="F1560" s="682"/>
      <c r="G1560" s="682"/>
      <c r="H1560" s="915"/>
      <c r="I1560" s="916"/>
      <c r="J1560" s="916"/>
      <c r="K1560" s="917"/>
      <c r="L1560" s="917"/>
      <c r="M1560" s="917"/>
      <c r="N1560" s="917"/>
      <c r="O1560" s="917"/>
      <c r="P1560" s="917"/>
      <c r="Q1560" s="578"/>
      <c r="R1560" s="578"/>
      <c r="S1560" s="578"/>
      <c r="T1560" s="578"/>
      <c r="U1560" s="578"/>
      <c r="V1560" s="578"/>
      <c r="W1560" s="578"/>
      <c r="X1560" s="578"/>
      <c r="Y1560" s="578"/>
      <c r="Z1560" s="578"/>
    </row>
    <row r="1561" spans="1:26" ht="18.75">
      <c r="A1561" s="682"/>
      <c r="B1561" s="682"/>
      <c r="C1561" s="682"/>
      <c r="D1561" s="914"/>
      <c r="E1561" s="682"/>
      <c r="F1561" s="682"/>
      <c r="G1561" s="682"/>
      <c r="H1561" s="915"/>
      <c r="I1561" s="916"/>
      <c r="J1561" s="916"/>
      <c r="K1561" s="917"/>
      <c r="L1561" s="917"/>
      <c r="M1561" s="917"/>
      <c r="N1561" s="917"/>
      <c r="O1561" s="917"/>
      <c r="P1561" s="917"/>
      <c r="Q1561" s="578"/>
      <c r="R1561" s="578"/>
      <c r="S1561" s="578"/>
      <c r="T1561" s="578"/>
      <c r="U1561" s="578"/>
      <c r="V1561" s="578"/>
      <c r="W1561" s="578"/>
      <c r="X1561" s="578"/>
      <c r="Y1561" s="578"/>
      <c r="Z1561" s="578"/>
    </row>
    <row r="1562" spans="1:26" ht="18.75">
      <c r="A1562" s="682"/>
      <c r="B1562" s="682"/>
      <c r="C1562" s="682"/>
      <c r="D1562" s="914"/>
      <c r="E1562" s="682"/>
      <c r="F1562" s="682"/>
      <c r="G1562" s="682"/>
      <c r="H1562" s="915"/>
      <c r="I1562" s="916"/>
      <c r="J1562" s="916"/>
      <c r="K1562" s="917"/>
      <c r="L1562" s="917"/>
      <c r="M1562" s="917"/>
      <c r="N1562" s="917"/>
      <c r="O1562" s="917"/>
      <c r="P1562" s="917"/>
      <c r="Q1562" s="578"/>
      <c r="R1562" s="578"/>
      <c r="S1562" s="578"/>
      <c r="T1562" s="578"/>
      <c r="U1562" s="578"/>
      <c r="V1562" s="578"/>
      <c r="W1562" s="578"/>
      <c r="X1562" s="578"/>
      <c r="Y1562" s="578"/>
      <c r="Z1562" s="578"/>
    </row>
    <row r="1563" spans="1:26" ht="18.75">
      <c r="A1563" s="682"/>
      <c r="B1563" s="682"/>
      <c r="C1563" s="682"/>
      <c r="D1563" s="914"/>
      <c r="E1563" s="682"/>
      <c r="F1563" s="682"/>
      <c r="G1563" s="682"/>
      <c r="H1563" s="915"/>
      <c r="I1563" s="916"/>
      <c r="J1563" s="916"/>
      <c r="K1563" s="917"/>
      <c r="L1563" s="917"/>
      <c r="M1563" s="917"/>
      <c r="N1563" s="917"/>
      <c r="O1563" s="917"/>
      <c r="P1563" s="917"/>
      <c r="Q1563" s="578"/>
      <c r="R1563" s="578"/>
      <c r="S1563" s="578"/>
      <c r="T1563" s="578"/>
      <c r="U1563" s="578"/>
      <c r="V1563" s="578"/>
      <c r="W1563" s="578"/>
      <c r="X1563" s="578"/>
      <c r="Y1563" s="578"/>
      <c r="Z1563" s="578"/>
    </row>
    <row r="1564" spans="1:26" ht="18.75">
      <c r="A1564" s="682"/>
      <c r="B1564" s="682"/>
      <c r="C1564" s="682"/>
      <c r="D1564" s="914"/>
      <c r="E1564" s="682"/>
      <c r="F1564" s="682"/>
      <c r="G1564" s="682"/>
      <c r="H1564" s="915"/>
      <c r="I1564" s="916"/>
      <c r="J1564" s="916"/>
      <c r="K1564" s="917"/>
      <c r="L1564" s="917"/>
      <c r="M1564" s="917"/>
      <c r="N1564" s="917"/>
      <c r="O1564" s="917"/>
      <c r="P1564" s="917"/>
      <c r="Q1564" s="578"/>
      <c r="R1564" s="578"/>
      <c r="S1564" s="578"/>
      <c r="T1564" s="578"/>
      <c r="U1564" s="578"/>
      <c r="V1564" s="578"/>
      <c r="W1564" s="578"/>
      <c r="X1564" s="578"/>
      <c r="Y1564" s="578"/>
      <c r="Z1564" s="578"/>
    </row>
    <row r="1565" spans="1:26" ht="18.75">
      <c r="A1565" s="682"/>
      <c r="B1565" s="682"/>
      <c r="C1565" s="682"/>
      <c r="D1565" s="914"/>
      <c r="E1565" s="682"/>
      <c r="F1565" s="682"/>
      <c r="G1565" s="682"/>
      <c r="H1565" s="915"/>
      <c r="I1565" s="916"/>
      <c r="J1565" s="916"/>
      <c r="K1565" s="917"/>
      <c r="L1565" s="917"/>
      <c r="M1565" s="917"/>
      <c r="N1565" s="917"/>
      <c r="O1565" s="917"/>
      <c r="P1565" s="917"/>
      <c r="Q1565" s="578"/>
      <c r="R1565" s="578"/>
      <c r="S1565" s="578"/>
      <c r="T1565" s="578"/>
      <c r="U1565" s="578"/>
      <c r="V1565" s="578"/>
      <c r="W1565" s="578"/>
      <c r="X1565" s="578"/>
      <c r="Y1565" s="578"/>
      <c r="Z1565" s="578"/>
    </row>
    <row r="1566" spans="1:26" ht="18.75">
      <c r="A1566" s="682"/>
      <c r="B1566" s="682"/>
      <c r="C1566" s="682"/>
      <c r="D1566" s="914"/>
      <c r="E1566" s="682"/>
      <c r="F1566" s="682"/>
      <c r="G1566" s="682"/>
      <c r="H1566" s="915"/>
      <c r="I1566" s="916"/>
      <c r="J1566" s="916"/>
      <c r="K1566" s="917"/>
      <c r="L1566" s="917"/>
      <c r="M1566" s="917"/>
      <c r="N1566" s="917"/>
      <c r="O1566" s="917"/>
      <c r="P1566" s="917"/>
      <c r="Q1566" s="578"/>
      <c r="R1566" s="578"/>
      <c r="S1566" s="578"/>
      <c r="T1566" s="578"/>
      <c r="U1566" s="578"/>
      <c r="V1566" s="578"/>
      <c r="W1566" s="578"/>
      <c r="X1566" s="578"/>
      <c r="Y1566" s="578"/>
      <c r="Z1566" s="578"/>
    </row>
    <row r="1567" spans="1:26" ht="18.75">
      <c r="A1567" s="682"/>
      <c r="B1567" s="682"/>
      <c r="C1567" s="682"/>
      <c r="D1567" s="914"/>
      <c r="E1567" s="682"/>
      <c r="F1567" s="682"/>
      <c r="G1567" s="682"/>
      <c r="H1567" s="915"/>
      <c r="I1567" s="916"/>
      <c r="J1567" s="916"/>
      <c r="K1567" s="917"/>
      <c r="L1567" s="917"/>
      <c r="M1567" s="917"/>
      <c r="N1567" s="917"/>
      <c r="O1567" s="917"/>
      <c r="P1567" s="917"/>
      <c r="Q1567" s="578"/>
      <c r="R1567" s="578"/>
      <c r="S1567" s="578"/>
      <c r="T1567" s="578"/>
      <c r="U1567" s="578"/>
      <c r="V1567" s="578"/>
      <c r="W1567" s="578"/>
      <c r="X1567" s="578"/>
      <c r="Y1567" s="578"/>
      <c r="Z1567" s="578"/>
    </row>
    <row r="1568" spans="1:26" ht="18.75">
      <c r="A1568" s="682"/>
      <c r="B1568" s="682"/>
      <c r="C1568" s="682"/>
      <c r="D1568" s="914"/>
      <c r="E1568" s="682"/>
      <c r="F1568" s="682"/>
      <c r="G1568" s="682"/>
      <c r="H1568" s="915"/>
      <c r="I1568" s="916"/>
      <c r="J1568" s="916"/>
      <c r="K1568" s="917"/>
      <c r="L1568" s="917"/>
      <c r="M1568" s="917"/>
      <c r="N1568" s="917"/>
      <c r="O1568" s="917"/>
      <c r="P1568" s="917"/>
      <c r="Q1568" s="578"/>
      <c r="R1568" s="578"/>
      <c r="S1568" s="578"/>
      <c r="T1568" s="578"/>
      <c r="U1568" s="578"/>
      <c r="V1568" s="578"/>
      <c r="W1568" s="578"/>
      <c r="X1568" s="578"/>
      <c r="Y1568" s="578"/>
      <c r="Z1568" s="578"/>
    </row>
    <row r="1569" spans="1:26" ht="18.75">
      <c r="A1569" s="682"/>
      <c r="B1569" s="682"/>
      <c r="C1569" s="682"/>
      <c r="D1569" s="914"/>
      <c r="E1569" s="682"/>
      <c r="F1569" s="682"/>
      <c r="G1569" s="682"/>
      <c r="H1569" s="915"/>
      <c r="I1569" s="916"/>
      <c r="J1569" s="916"/>
      <c r="K1569" s="917"/>
      <c r="L1569" s="917"/>
      <c r="M1569" s="917"/>
      <c r="N1569" s="917"/>
      <c r="O1569" s="917"/>
      <c r="P1569" s="917"/>
      <c r="Q1569" s="578"/>
      <c r="R1569" s="578"/>
      <c r="S1569" s="578"/>
      <c r="T1569" s="578"/>
      <c r="U1569" s="578"/>
      <c r="V1569" s="578"/>
      <c r="W1569" s="578"/>
      <c r="X1569" s="578"/>
      <c r="Y1569" s="578"/>
      <c r="Z1569" s="578"/>
    </row>
    <row r="1570" spans="1:26" ht="18.75">
      <c r="A1570" s="682"/>
      <c r="B1570" s="682"/>
      <c r="C1570" s="682"/>
      <c r="D1570" s="914"/>
      <c r="E1570" s="682"/>
      <c r="F1570" s="682"/>
      <c r="G1570" s="682"/>
      <c r="H1570" s="915"/>
      <c r="I1570" s="916"/>
      <c r="J1570" s="916"/>
      <c r="K1570" s="917"/>
      <c r="L1570" s="917"/>
      <c r="M1570" s="917"/>
      <c r="N1570" s="917"/>
      <c r="O1570" s="917"/>
      <c r="P1570" s="917"/>
      <c r="Q1570" s="578"/>
      <c r="R1570" s="578"/>
      <c r="S1570" s="578"/>
      <c r="T1570" s="578"/>
      <c r="U1570" s="578"/>
      <c r="V1570" s="578"/>
      <c r="W1570" s="578"/>
      <c r="X1570" s="578"/>
      <c r="Y1570" s="578"/>
      <c r="Z1570" s="578"/>
    </row>
    <row r="1571" spans="1:26" ht="18.75">
      <c r="A1571" s="682"/>
      <c r="B1571" s="682"/>
      <c r="C1571" s="682"/>
      <c r="D1571" s="914"/>
      <c r="E1571" s="682"/>
      <c r="F1571" s="682"/>
      <c r="G1571" s="682"/>
      <c r="H1571" s="915"/>
      <c r="I1571" s="916"/>
      <c r="J1571" s="916"/>
      <c r="K1571" s="917"/>
      <c r="L1571" s="917"/>
      <c r="M1571" s="917"/>
      <c r="N1571" s="917"/>
      <c r="O1571" s="917"/>
      <c r="P1571" s="917"/>
      <c r="Q1571" s="578"/>
      <c r="R1571" s="578"/>
      <c r="S1571" s="578"/>
      <c r="T1571" s="578"/>
      <c r="U1571" s="578"/>
      <c r="V1571" s="578"/>
      <c r="W1571" s="578"/>
      <c r="X1571" s="578"/>
      <c r="Y1571" s="578"/>
      <c r="Z1571" s="578"/>
    </row>
    <row r="1572" spans="1:26" ht="18.75">
      <c r="A1572" s="682"/>
      <c r="B1572" s="682"/>
      <c r="C1572" s="682"/>
      <c r="D1572" s="914"/>
      <c r="E1572" s="682"/>
      <c r="F1572" s="682"/>
      <c r="G1572" s="682"/>
      <c r="H1572" s="915"/>
      <c r="I1572" s="916"/>
      <c r="J1572" s="916"/>
      <c r="K1572" s="917"/>
      <c r="L1572" s="917"/>
      <c r="M1572" s="917"/>
      <c r="N1572" s="917"/>
      <c r="O1572" s="917"/>
      <c r="P1572" s="917"/>
      <c r="Q1572" s="578"/>
      <c r="R1572" s="578"/>
      <c r="S1572" s="578"/>
      <c r="T1572" s="578"/>
      <c r="U1572" s="578"/>
      <c r="V1572" s="578"/>
      <c r="W1572" s="578"/>
      <c r="X1572" s="578"/>
      <c r="Y1572" s="578"/>
      <c r="Z1572" s="578"/>
    </row>
    <row r="1573" spans="1:26" ht="18.75">
      <c r="A1573" s="682"/>
      <c r="B1573" s="682"/>
      <c r="C1573" s="682"/>
      <c r="D1573" s="914"/>
      <c r="E1573" s="682"/>
      <c r="F1573" s="682"/>
      <c r="G1573" s="682"/>
      <c r="H1573" s="915"/>
      <c r="I1573" s="916"/>
      <c r="J1573" s="916"/>
      <c r="K1573" s="917"/>
      <c r="L1573" s="917"/>
      <c r="M1573" s="917"/>
      <c r="N1573" s="917"/>
      <c r="O1573" s="917"/>
      <c r="P1573" s="917"/>
      <c r="Q1573" s="578"/>
      <c r="R1573" s="578"/>
      <c r="S1573" s="578"/>
      <c r="T1573" s="578"/>
      <c r="U1573" s="578"/>
      <c r="V1573" s="578"/>
      <c r="W1573" s="578"/>
      <c r="X1573" s="578"/>
      <c r="Y1573" s="578"/>
      <c r="Z1573" s="578"/>
    </row>
    <row r="1574" spans="1:26" ht="18.75">
      <c r="A1574" s="682"/>
      <c r="B1574" s="682"/>
      <c r="C1574" s="682"/>
      <c r="D1574" s="914"/>
      <c r="E1574" s="682"/>
      <c r="F1574" s="682"/>
      <c r="G1574" s="682"/>
      <c r="H1574" s="915"/>
      <c r="I1574" s="916"/>
      <c r="J1574" s="916"/>
      <c r="K1574" s="917"/>
      <c r="L1574" s="917"/>
      <c r="M1574" s="917"/>
      <c r="N1574" s="917"/>
      <c r="O1574" s="917"/>
      <c r="P1574" s="917"/>
      <c r="Q1574" s="578"/>
      <c r="R1574" s="578"/>
      <c r="S1574" s="578"/>
      <c r="T1574" s="578"/>
      <c r="U1574" s="578"/>
      <c r="V1574" s="578"/>
      <c r="W1574" s="578"/>
      <c r="X1574" s="578"/>
      <c r="Y1574" s="578"/>
      <c r="Z1574" s="578"/>
    </row>
    <row r="1575" spans="1:26" ht="18.75">
      <c r="A1575" s="682"/>
      <c r="B1575" s="682"/>
      <c r="C1575" s="682"/>
      <c r="D1575" s="914"/>
      <c r="E1575" s="682"/>
      <c r="F1575" s="682"/>
      <c r="G1575" s="682"/>
      <c r="H1575" s="915"/>
      <c r="I1575" s="916"/>
      <c r="J1575" s="916"/>
      <c r="K1575" s="917"/>
      <c r="L1575" s="917"/>
      <c r="M1575" s="917"/>
      <c r="N1575" s="917"/>
      <c r="O1575" s="917"/>
      <c r="P1575" s="917"/>
      <c r="Q1575" s="578"/>
      <c r="R1575" s="578"/>
      <c r="S1575" s="578"/>
      <c r="T1575" s="578"/>
      <c r="U1575" s="578"/>
      <c r="V1575" s="578"/>
      <c r="W1575" s="578"/>
      <c r="X1575" s="578"/>
      <c r="Y1575" s="578"/>
      <c r="Z1575" s="578"/>
    </row>
    <row r="1576" spans="1:26" ht="18.75">
      <c r="A1576" s="682"/>
      <c r="B1576" s="682"/>
      <c r="C1576" s="682"/>
      <c r="D1576" s="914"/>
      <c r="E1576" s="682"/>
      <c r="F1576" s="682"/>
      <c r="G1576" s="682"/>
      <c r="H1576" s="915"/>
      <c r="I1576" s="916"/>
      <c r="J1576" s="916"/>
      <c r="K1576" s="917"/>
      <c r="L1576" s="917"/>
      <c r="M1576" s="917"/>
      <c r="N1576" s="917"/>
      <c r="O1576" s="917"/>
      <c r="P1576" s="917"/>
      <c r="Q1576" s="578"/>
      <c r="R1576" s="578"/>
      <c r="S1576" s="578"/>
      <c r="T1576" s="578"/>
      <c r="U1576" s="578"/>
      <c r="V1576" s="578"/>
      <c r="W1576" s="578"/>
      <c r="X1576" s="578"/>
      <c r="Y1576" s="578"/>
      <c r="Z1576" s="578"/>
    </row>
    <row r="1577" spans="1:26" ht="18.75">
      <c r="A1577" s="682"/>
      <c r="B1577" s="682"/>
      <c r="C1577" s="682"/>
      <c r="D1577" s="914"/>
      <c r="E1577" s="682"/>
      <c r="F1577" s="682"/>
      <c r="G1577" s="682"/>
      <c r="H1577" s="915"/>
      <c r="I1577" s="916"/>
      <c r="J1577" s="916"/>
      <c r="K1577" s="917"/>
      <c r="L1577" s="917"/>
      <c r="M1577" s="917"/>
      <c r="N1577" s="917"/>
      <c r="O1577" s="917"/>
      <c r="P1577" s="917"/>
      <c r="Q1577" s="578"/>
      <c r="R1577" s="578"/>
      <c r="S1577" s="578"/>
      <c r="T1577" s="578"/>
      <c r="U1577" s="578"/>
      <c r="V1577" s="578"/>
      <c r="W1577" s="578"/>
      <c r="X1577" s="578"/>
      <c r="Y1577" s="578"/>
      <c r="Z1577" s="578"/>
    </row>
    <row r="1578" spans="1:26" ht="18.75">
      <c r="A1578" s="682"/>
      <c r="B1578" s="682"/>
      <c r="C1578" s="682"/>
      <c r="D1578" s="914"/>
      <c r="E1578" s="682"/>
      <c r="F1578" s="682"/>
      <c r="G1578" s="682"/>
      <c r="H1578" s="915"/>
      <c r="I1578" s="916"/>
      <c r="J1578" s="916"/>
      <c r="K1578" s="917"/>
      <c r="L1578" s="917"/>
      <c r="M1578" s="917"/>
      <c r="N1578" s="917"/>
      <c r="O1578" s="917"/>
      <c r="P1578" s="917"/>
      <c r="Q1578" s="578"/>
      <c r="R1578" s="578"/>
      <c r="S1578" s="578"/>
      <c r="T1578" s="578"/>
      <c r="U1578" s="578"/>
      <c r="V1578" s="578"/>
      <c r="W1578" s="578"/>
      <c r="X1578" s="578"/>
      <c r="Y1578" s="578"/>
      <c r="Z1578" s="578"/>
    </row>
    <row r="1579" spans="1:26" ht="18.75">
      <c r="A1579" s="682"/>
      <c r="B1579" s="682"/>
      <c r="C1579" s="682"/>
      <c r="D1579" s="914"/>
      <c r="E1579" s="682"/>
      <c r="F1579" s="682"/>
      <c r="G1579" s="682"/>
      <c r="H1579" s="915"/>
      <c r="I1579" s="916"/>
      <c r="J1579" s="916"/>
      <c r="K1579" s="917"/>
      <c r="L1579" s="917"/>
      <c r="M1579" s="917"/>
      <c r="N1579" s="917"/>
      <c r="O1579" s="917"/>
      <c r="P1579" s="917"/>
      <c r="Q1579" s="578"/>
      <c r="R1579" s="578"/>
      <c r="S1579" s="578"/>
      <c r="T1579" s="578"/>
      <c r="U1579" s="578"/>
      <c r="V1579" s="578"/>
      <c r="W1579" s="578"/>
      <c r="X1579" s="578"/>
      <c r="Y1579" s="578"/>
      <c r="Z1579" s="578"/>
    </row>
    <row r="1580" spans="1:26" ht="18.75">
      <c r="A1580" s="682"/>
      <c r="B1580" s="682"/>
      <c r="C1580" s="682"/>
      <c r="D1580" s="914"/>
      <c r="E1580" s="682"/>
      <c r="F1580" s="682"/>
      <c r="G1580" s="682"/>
      <c r="H1580" s="915"/>
      <c r="I1580" s="916"/>
      <c r="J1580" s="916"/>
      <c r="K1580" s="917"/>
      <c r="L1580" s="917"/>
      <c r="M1580" s="917"/>
      <c r="N1580" s="917"/>
      <c r="O1580" s="917"/>
      <c r="P1580" s="917"/>
      <c r="Q1580" s="578"/>
      <c r="R1580" s="578"/>
      <c r="S1580" s="578"/>
      <c r="T1580" s="578"/>
      <c r="U1580" s="578"/>
      <c r="V1580" s="578"/>
      <c r="W1580" s="578"/>
      <c r="X1580" s="578"/>
      <c r="Y1580" s="578"/>
      <c r="Z1580" s="578"/>
    </row>
    <row r="1581" spans="1:26" ht="18.75">
      <c r="A1581" s="682"/>
      <c r="B1581" s="682"/>
      <c r="C1581" s="682"/>
      <c r="D1581" s="914"/>
      <c r="E1581" s="682"/>
      <c r="F1581" s="682"/>
      <c r="G1581" s="682"/>
      <c r="H1581" s="915"/>
      <c r="I1581" s="916"/>
      <c r="J1581" s="916"/>
      <c r="K1581" s="917"/>
      <c r="L1581" s="917"/>
      <c r="M1581" s="917"/>
      <c r="N1581" s="917"/>
      <c r="O1581" s="917"/>
      <c r="P1581" s="917"/>
      <c r="Q1581" s="578"/>
      <c r="R1581" s="578"/>
      <c r="S1581" s="578"/>
      <c r="T1581" s="578"/>
      <c r="U1581" s="578"/>
      <c r="V1581" s="578"/>
      <c r="W1581" s="578"/>
      <c r="X1581" s="578"/>
      <c r="Y1581" s="578"/>
      <c r="Z1581" s="578"/>
    </row>
    <row r="1582" spans="1:26" ht="18.75">
      <c r="A1582" s="682"/>
      <c r="B1582" s="682"/>
      <c r="C1582" s="682"/>
      <c r="D1582" s="914"/>
      <c r="E1582" s="682"/>
      <c r="F1582" s="682"/>
      <c r="G1582" s="682"/>
      <c r="H1582" s="915"/>
      <c r="I1582" s="916"/>
      <c r="J1582" s="916"/>
      <c r="K1582" s="917"/>
      <c r="L1582" s="917"/>
      <c r="M1582" s="917"/>
      <c r="N1582" s="917"/>
      <c r="O1582" s="917"/>
      <c r="P1582" s="917"/>
      <c r="Q1582" s="578"/>
      <c r="R1582" s="578"/>
      <c r="S1582" s="578"/>
      <c r="T1582" s="578"/>
      <c r="U1582" s="578"/>
      <c r="V1582" s="578"/>
      <c r="W1582" s="578"/>
      <c r="X1582" s="578"/>
      <c r="Y1582" s="578"/>
      <c r="Z1582" s="578"/>
    </row>
    <row r="1583" spans="1:26" ht="18.75">
      <c r="A1583" s="682"/>
      <c r="B1583" s="682"/>
      <c r="C1583" s="682"/>
      <c r="D1583" s="914"/>
      <c r="E1583" s="682"/>
      <c r="F1583" s="682"/>
      <c r="G1583" s="682"/>
      <c r="H1583" s="915"/>
      <c r="I1583" s="916"/>
      <c r="J1583" s="916"/>
      <c r="K1583" s="917"/>
      <c r="L1583" s="917"/>
      <c r="M1583" s="917"/>
      <c r="N1583" s="917"/>
      <c r="O1583" s="917"/>
      <c r="P1583" s="917"/>
      <c r="Q1583" s="578"/>
      <c r="R1583" s="578"/>
      <c r="S1583" s="578"/>
      <c r="T1583" s="578"/>
      <c r="U1583" s="578"/>
      <c r="V1583" s="578"/>
      <c r="W1583" s="578"/>
      <c r="X1583" s="578"/>
      <c r="Y1583" s="578"/>
      <c r="Z1583" s="578"/>
    </row>
    <row r="1584" spans="1:26" ht="18.75">
      <c r="A1584" s="682"/>
      <c r="B1584" s="682"/>
      <c r="C1584" s="682"/>
      <c r="D1584" s="914"/>
      <c r="E1584" s="682"/>
      <c r="F1584" s="682"/>
      <c r="G1584" s="682"/>
      <c r="H1584" s="915"/>
      <c r="I1584" s="916"/>
      <c r="J1584" s="916"/>
      <c r="K1584" s="917"/>
      <c r="L1584" s="917"/>
      <c r="M1584" s="917"/>
      <c r="N1584" s="917"/>
      <c r="O1584" s="917"/>
      <c r="P1584" s="917"/>
      <c r="Q1584" s="578"/>
      <c r="R1584" s="578"/>
      <c r="S1584" s="578"/>
      <c r="T1584" s="578"/>
      <c r="U1584" s="578"/>
      <c r="V1584" s="578"/>
      <c r="W1584" s="578"/>
      <c r="X1584" s="578"/>
      <c r="Y1584" s="578"/>
      <c r="Z1584" s="578"/>
    </row>
    <row r="1585" spans="1:26" ht="18.75">
      <c r="A1585" s="682"/>
      <c r="B1585" s="682"/>
      <c r="C1585" s="682"/>
      <c r="D1585" s="914"/>
      <c r="E1585" s="682"/>
      <c r="F1585" s="682"/>
      <c r="G1585" s="682"/>
      <c r="H1585" s="915"/>
      <c r="I1585" s="916"/>
      <c r="J1585" s="916"/>
      <c r="K1585" s="917"/>
      <c r="L1585" s="917"/>
      <c r="M1585" s="917"/>
      <c r="N1585" s="917"/>
      <c r="O1585" s="917"/>
      <c r="P1585" s="917"/>
      <c r="Q1585" s="578"/>
      <c r="R1585" s="578"/>
      <c r="S1585" s="578"/>
      <c r="T1585" s="578"/>
      <c r="U1585" s="578"/>
      <c r="V1585" s="578"/>
      <c r="W1585" s="578"/>
      <c r="X1585" s="578"/>
      <c r="Y1585" s="578"/>
      <c r="Z1585" s="578"/>
    </row>
    <row r="1586" spans="1:26" ht="18.75">
      <c r="A1586" s="682"/>
      <c r="B1586" s="682"/>
      <c r="C1586" s="682"/>
      <c r="D1586" s="914"/>
      <c r="E1586" s="682"/>
      <c r="F1586" s="682"/>
      <c r="G1586" s="682"/>
      <c r="H1586" s="915"/>
      <c r="I1586" s="916"/>
      <c r="J1586" s="916"/>
      <c r="K1586" s="917"/>
      <c r="L1586" s="917"/>
      <c r="M1586" s="917"/>
      <c r="N1586" s="917"/>
      <c r="O1586" s="917"/>
      <c r="P1586" s="917"/>
      <c r="Q1586" s="578"/>
      <c r="R1586" s="578"/>
      <c r="S1586" s="578"/>
      <c r="T1586" s="578"/>
      <c r="U1586" s="578"/>
      <c r="V1586" s="578"/>
      <c r="W1586" s="578"/>
      <c r="X1586" s="578"/>
      <c r="Y1586" s="578"/>
      <c r="Z1586" s="578"/>
    </row>
    <row r="1587" spans="1:26" ht="18.75">
      <c r="A1587" s="682"/>
      <c r="B1587" s="682"/>
      <c r="C1587" s="682"/>
      <c r="D1587" s="914"/>
      <c r="E1587" s="682"/>
      <c r="F1587" s="682"/>
      <c r="G1587" s="682"/>
      <c r="H1587" s="915"/>
      <c r="I1587" s="916"/>
      <c r="J1587" s="916"/>
      <c r="K1587" s="917"/>
      <c r="L1587" s="917"/>
      <c r="M1587" s="917"/>
      <c r="N1587" s="917"/>
      <c r="O1587" s="917"/>
      <c r="P1587" s="917"/>
      <c r="Q1587" s="578"/>
      <c r="R1587" s="578"/>
      <c r="S1587" s="578"/>
      <c r="T1587" s="578"/>
      <c r="U1587" s="578"/>
      <c r="V1587" s="578"/>
      <c r="W1587" s="578"/>
      <c r="X1587" s="578"/>
      <c r="Y1587" s="578"/>
      <c r="Z1587" s="578"/>
    </row>
    <row r="1588" spans="1:26" ht="18.75">
      <c r="A1588" s="682"/>
      <c r="B1588" s="682"/>
      <c r="C1588" s="682"/>
      <c r="D1588" s="914"/>
      <c r="E1588" s="682"/>
      <c r="F1588" s="682"/>
      <c r="G1588" s="682"/>
      <c r="H1588" s="915"/>
      <c r="I1588" s="916"/>
      <c r="J1588" s="916"/>
      <c r="K1588" s="917"/>
      <c r="L1588" s="917"/>
      <c r="M1588" s="917"/>
      <c r="N1588" s="917"/>
      <c r="O1588" s="917"/>
      <c r="P1588" s="917"/>
      <c r="Q1588" s="578"/>
      <c r="R1588" s="578"/>
      <c r="S1588" s="578"/>
      <c r="T1588" s="578"/>
      <c r="U1588" s="578"/>
      <c r="V1588" s="578"/>
      <c r="W1588" s="578"/>
      <c r="X1588" s="578"/>
      <c r="Y1588" s="578"/>
      <c r="Z1588" s="578"/>
    </row>
    <row r="1589" spans="1:26" ht="18.75">
      <c r="A1589" s="682"/>
      <c r="B1589" s="682"/>
      <c r="C1589" s="682"/>
      <c r="D1589" s="914"/>
      <c r="E1589" s="682"/>
      <c r="F1589" s="682"/>
      <c r="G1589" s="682"/>
      <c r="H1589" s="915"/>
      <c r="I1589" s="916"/>
      <c r="J1589" s="916"/>
      <c r="K1589" s="917"/>
      <c r="L1589" s="917"/>
      <c r="M1589" s="917"/>
      <c r="N1589" s="917"/>
      <c r="O1589" s="917"/>
      <c r="P1589" s="917"/>
      <c r="Q1589" s="578"/>
      <c r="R1589" s="578"/>
      <c r="S1589" s="578"/>
      <c r="T1589" s="578"/>
      <c r="U1589" s="578"/>
      <c r="V1589" s="578"/>
      <c r="W1589" s="578"/>
      <c r="X1589" s="578"/>
      <c r="Y1589" s="578"/>
      <c r="Z1589" s="578"/>
    </row>
    <row r="1590" spans="1:26" ht="18.75">
      <c r="A1590" s="682"/>
      <c r="B1590" s="682"/>
      <c r="C1590" s="682"/>
      <c r="D1590" s="914"/>
      <c r="E1590" s="682"/>
      <c r="F1590" s="682"/>
      <c r="G1590" s="682"/>
      <c r="H1590" s="915"/>
      <c r="I1590" s="916"/>
      <c r="J1590" s="916"/>
      <c r="K1590" s="917"/>
      <c r="L1590" s="917"/>
      <c r="M1590" s="917"/>
      <c r="N1590" s="917"/>
      <c r="O1590" s="917"/>
      <c r="P1590" s="917"/>
      <c r="Q1590" s="578"/>
      <c r="R1590" s="578"/>
      <c r="S1590" s="578"/>
      <c r="T1590" s="578"/>
      <c r="U1590" s="578"/>
      <c r="V1590" s="578"/>
      <c r="W1590" s="578"/>
      <c r="X1590" s="578"/>
      <c r="Y1590" s="578"/>
      <c r="Z1590" s="578"/>
    </row>
    <row r="1591" spans="1:26" ht="18.75">
      <c r="A1591" s="682"/>
      <c r="B1591" s="682"/>
      <c r="C1591" s="682"/>
      <c r="D1591" s="914"/>
      <c r="E1591" s="682"/>
      <c r="F1591" s="682"/>
      <c r="G1591" s="682"/>
      <c r="H1591" s="915"/>
      <c r="I1591" s="916"/>
      <c r="J1591" s="916"/>
      <c r="K1591" s="917"/>
      <c r="L1591" s="917"/>
      <c r="M1591" s="917"/>
      <c r="N1591" s="917"/>
      <c r="O1591" s="917"/>
      <c r="P1591" s="917"/>
      <c r="Q1591" s="578"/>
      <c r="R1591" s="578"/>
      <c r="S1591" s="578"/>
      <c r="T1591" s="578"/>
      <c r="U1591" s="578"/>
      <c r="V1591" s="578"/>
      <c r="W1591" s="578"/>
      <c r="X1591" s="578"/>
      <c r="Y1591" s="578"/>
      <c r="Z1591" s="578"/>
    </row>
    <row r="1592" spans="1:26" ht="18.75">
      <c r="A1592" s="682"/>
      <c r="B1592" s="682"/>
      <c r="C1592" s="682"/>
      <c r="D1592" s="914"/>
      <c r="E1592" s="682"/>
      <c r="F1592" s="682"/>
      <c r="G1592" s="682"/>
      <c r="H1592" s="915"/>
      <c r="I1592" s="916"/>
      <c r="J1592" s="916"/>
      <c r="K1592" s="917"/>
      <c r="L1592" s="917"/>
      <c r="M1592" s="917"/>
      <c r="N1592" s="917"/>
      <c r="O1592" s="917"/>
      <c r="P1592" s="917"/>
      <c r="Q1592" s="578"/>
      <c r="R1592" s="578"/>
      <c r="S1592" s="578"/>
      <c r="T1592" s="578"/>
      <c r="U1592" s="578"/>
      <c r="V1592" s="578"/>
      <c r="W1592" s="578"/>
      <c r="X1592" s="578"/>
      <c r="Y1592" s="578"/>
      <c r="Z1592" s="578"/>
    </row>
    <row r="1593" spans="1:26" ht="18.75">
      <c r="A1593" s="682"/>
      <c r="B1593" s="682"/>
      <c r="C1593" s="682"/>
      <c r="D1593" s="914"/>
      <c r="E1593" s="682"/>
      <c r="F1593" s="682"/>
      <c r="G1593" s="682"/>
      <c r="H1593" s="915"/>
      <c r="I1593" s="916"/>
      <c r="J1593" s="916"/>
      <c r="K1593" s="917"/>
      <c r="L1593" s="917"/>
      <c r="M1593" s="917"/>
      <c r="N1593" s="917"/>
      <c r="O1593" s="917"/>
      <c r="P1593" s="917"/>
      <c r="Q1593" s="578"/>
      <c r="R1593" s="578"/>
      <c r="S1593" s="578"/>
      <c r="T1593" s="578"/>
      <c r="U1593" s="578"/>
      <c r="V1593" s="578"/>
      <c r="W1593" s="578"/>
      <c r="X1593" s="578"/>
      <c r="Y1593" s="578"/>
      <c r="Z1593" s="578"/>
    </row>
    <row r="1594" spans="1:26" ht="18.75">
      <c r="A1594" s="682"/>
      <c r="B1594" s="682"/>
      <c r="C1594" s="682"/>
      <c r="D1594" s="914"/>
      <c r="E1594" s="682"/>
      <c r="F1594" s="682"/>
      <c r="G1594" s="682"/>
      <c r="H1594" s="915"/>
      <c r="I1594" s="916"/>
      <c r="J1594" s="916"/>
      <c r="K1594" s="917"/>
      <c r="L1594" s="917"/>
      <c r="M1594" s="917"/>
      <c r="N1594" s="917"/>
      <c r="O1594" s="917"/>
      <c r="P1594" s="917"/>
      <c r="Q1594" s="578"/>
      <c r="R1594" s="578"/>
      <c r="S1594" s="578"/>
      <c r="T1594" s="578"/>
      <c r="U1594" s="578"/>
      <c r="V1594" s="578"/>
      <c r="W1594" s="578"/>
      <c r="X1594" s="578"/>
      <c r="Y1594" s="578"/>
      <c r="Z1594" s="578"/>
    </row>
    <row r="1595" spans="1:26" ht="18.75">
      <c r="A1595" s="682"/>
      <c r="B1595" s="682"/>
      <c r="C1595" s="682"/>
      <c r="D1595" s="914"/>
      <c r="E1595" s="682"/>
      <c r="F1595" s="682"/>
      <c r="G1595" s="682"/>
      <c r="H1595" s="915"/>
      <c r="I1595" s="916"/>
      <c r="J1595" s="916"/>
      <c r="K1595" s="917"/>
      <c r="L1595" s="917"/>
      <c r="M1595" s="917"/>
      <c r="N1595" s="917"/>
      <c r="O1595" s="917"/>
      <c r="P1595" s="917"/>
      <c r="Q1595" s="578"/>
      <c r="R1595" s="578"/>
      <c r="S1595" s="578"/>
      <c r="T1595" s="578"/>
      <c r="U1595" s="578"/>
      <c r="V1595" s="578"/>
      <c r="W1595" s="578"/>
      <c r="X1595" s="578"/>
      <c r="Y1595" s="578"/>
      <c r="Z1595" s="578"/>
    </row>
    <row r="1596" spans="1:26" ht="18.75">
      <c r="A1596" s="682"/>
      <c r="B1596" s="682"/>
      <c r="C1596" s="682"/>
      <c r="D1596" s="914"/>
      <c r="E1596" s="682"/>
      <c r="F1596" s="682"/>
      <c r="G1596" s="682"/>
      <c r="H1596" s="915"/>
      <c r="I1596" s="916"/>
      <c r="J1596" s="916"/>
      <c r="K1596" s="917"/>
      <c r="L1596" s="917"/>
      <c r="M1596" s="917"/>
      <c r="N1596" s="917"/>
      <c r="O1596" s="917"/>
      <c r="P1596" s="917"/>
      <c r="Q1596" s="578"/>
      <c r="R1596" s="578"/>
      <c r="S1596" s="578"/>
      <c r="T1596" s="578"/>
      <c r="U1596" s="578"/>
      <c r="V1596" s="578"/>
      <c r="W1596" s="578"/>
      <c r="X1596" s="578"/>
      <c r="Y1596" s="578"/>
      <c r="Z1596" s="578"/>
    </row>
    <row r="1597" spans="1:26" ht="18.75">
      <c r="A1597" s="682"/>
      <c r="B1597" s="682"/>
      <c r="C1597" s="682"/>
      <c r="D1597" s="914"/>
      <c r="E1597" s="682"/>
      <c r="F1597" s="682"/>
      <c r="G1597" s="682"/>
      <c r="H1597" s="915"/>
      <c r="I1597" s="916"/>
      <c r="J1597" s="916"/>
      <c r="K1597" s="917"/>
      <c r="L1597" s="917"/>
      <c r="M1597" s="917"/>
      <c r="N1597" s="917"/>
      <c r="O1597" s="917"/>
      <c r="P1597" s="917"/>
      <c r="Q1597" s="578"/>
      <c r="R1597" s="578"/>
      <c r="S1597" s="578"/>
      <c r="T1597" s="578"/>
      <c r="U1597" s="578"/>
      <c r="V1597" s="578"/>
      <c r="W1597" s="578"/>
      <c r="X1597" s="578"/>
      <c r="Y1597" s="578"/>
      <c r="Z1597" s="578"/>
    </row>
    <row r="1598" spans="1:26" ht="18.75">
      <c r="A1598" s="682"/>
      <c r="B1598" s="682"/>
      <c r="C1598" s="682"/>
      <c r="D1598" s="914"/>
      <c r="E1598" s="682"/>
      <c r="F1598" s="682"/>
      <c r="G1598" s="682"/>
      <c r="H1598" s="915"/>
      <c r="I1598" s="916"/>
      <c r="J1598" s="916"/>
      <c r="K1598" s="917"/>
      <c r="L1598" s="917"/>
      <c r="M1598" s="917"/>
      <c r="N1598" s="917"/>
      <c r="O1598" s="917"/>
      <c r="P1598" s="917"/>
      <c r="Q1598" s="578"/>
      <c r="R1598" s="578"/>
      <c r="S1598" s="578"/>
      <c r="T1598" s="578"/>
      <c r="U1598" s="578"/>
      <c r="V1598" s="578"/>
      <c r="W1598" s="578"/>
      <c r="X1598" s="578"/>
      <c r="Y1598" s="578"/>
      <c r="Z1598" s="578"/>
    </row>
    <row r="1599" spans="1:26" ht="18.75">
      <c r="A1599" s="682"/>
      <c r="B1599" s="682"/>
      <c r="C1599" s="682"/>
      <c r="D1599" s="914"/>
      <c r="E1599" s="682"/>
      <c r="F1599" s="682"/>
      <c r="G1599" s="682"/>
      <c r="H1599" s="915"/>
      <c r="I1599" s="916"/>
      <c r="J1599" s="916"/>
      <c r="K1599" s="917"/>
      <c r="L1599" s="917"/>
      <c r="M1599" s="917"/>
      <c r="N1599" s="917"/>
      <c r="O1599" s="917"/>
      <c r="P1599" s="917"/>
      <c r="Q1599" s="578"/>
      <c r="R1599" s="578"/>
      <c r="S1599" s="578"/>
      <c r="T1599" s="578"/>
      <c r="U1599" s="578"/>
      <c r="V1599" s="578"/>
      <c r="W1599" s="578"/>
      <c r="X1599" s="578"/>
      <c r="Y1599" s="578"/>
      <c r="Z1599" s="578"/>
    </row>
    <row r="1600" spans="1:26" ht="18.75">
      <c r="A1600" s="682"/>
      <c r="B1600" s="682"/>
      <c r="C1600" s="682"/>
      <c r="D1600" s="914"/>
      <c r="E1600" s="682"/>
      <c r="F1600" s="682"/>
      <c r="G1600" s="682"/>
      <c r="H1600" s="915"/>
      <c r="I1600" s="916"/>
      <c r="J1600" s="916"/>
      <c r="K1600" s="917"/>
      <c r="L1600" s="917"/>
      <c r="M1600" s="917"/>
      <c r="N1600" s="917"/>
      <c r="O1600" s="917"/>
      <c r="P1600" s="917"/>
      <c r="Q1600" s="578"/>
      <c r="R1600" s="578"/>
      <c r="S1600" s="578"/>
      <c r="T1600" s="578"/>
      <c r="U1600" s="578"/>
      <c r="V1600" s="578"/>
      <c r="W1600" s="578"/>
      <c r="X1600" s="578"/>
      <c r="Y1600" s="578"/>
      <c r="Z1600" s="578"/>
    </row>
    <row r="1601" spans="1:26" ht="18.75">
      <c r="A1601" s="682"/>
      <c r="B1601" s="682"/>
      <c r="C1601" s="682"/>
      <c r="D1601" s="914"/>
      <c r="E1601" s="682"/>
      <c r="F1601" s="682"/>
      <c r="G1601" s="682"/>
      <c r="H1601" s="915"/>
      <c r="I1601" s="916"/>
      <c r="J1601" s="916"/>
      <c r="K1601" s="917"/>
      <c r="L1601" s="917"/>
      <c r="M1601" s="917"/>
      <c r="N1601" s="917"/>
      <c r="O1601" s="917"/>
      <c r="P1601" s="917"/>
      <c r="Q1601" s="578"/>
      <c r="R1601" s="578"/>
      <c r="S1601" s="578"/>
      <c r="T1601" s="578"/>
      <c r="U1601" s="578"/>
      <c r="V1601" s="578"/>
      <c r="W1601" s="578"/>
      <c r="X1601" s="578"/>
      <c r="Y1601" s="578"/>
      <c r="Z1601" s="578"/>
    </row>
    <row r="1602" spans="1:26" ht="18.75">
      <c r="A1602" s="682"/>
      <c r="B1602" s="682"/>
      <c r="C1602" s="682"/>
      <c r="D1602" s="914"/>
      <c r="E1602" s="682"/>
      <c r="F1602" s="682"/>
      <c r="G1602" s="682"/>
      <c r="H1602" s="915"/>
      <c r="I1602" s="916"/>
      <c r="J1602" s="916"/>
      <c r="K1602" s="917"/>
      <c r="L1602" s="917"/>
      <c r="M1602" s="917"/>
      <c r="N1602" s="917"/>
      <c r="O1602" s="917"/>
      <c r="P1602" s="917"/>
      <c r="Q1602" s="578"/>
      <c r="R1602" s="578"/>
      <c r="S1602" s="578"/>
      <c r="T1602" s="578"/>
      <c r="U1602" s="578"/>
      <c r="V1602" s="578"/>
      <c r="W1602" s="578"/>
      <c r="X1602" s="578"/>
      <c r="Y1602" s="578"/>
      <c r="Z1602" s="578"/>
    </row>
    <row r="1603" spans="1:26" ht="18.75">
      <c r="A1603" s="682"/>
      <c r="B1603" s="682"/>
      <c r="C1603" s="682"/>
      <c r="D1603" s="914"/>
      <c r="E1603" s="682"/>
      <c r="F1603" s="682"/>
      <c r="G1603" s="682"/>
      <c r="H1603" s="915"/>
      <c r="I1603" s="916"/>
      <c r="J1603" s="916"/>
      <c r="K1603" s="917"/>
      <c r="L1603" s="917"/>
      <c r="M1603" s="917"/>
      <c r="N1603" s="917"/>
      <c r="O1603" s="917"/>
      <c r="P1603" s="917"/>
      <c r="Q1603" s="578"/>
      <c r="R1603" s="578"/>
      <c r="S1603" s="578"/>
      <c r="T1603" s="578"/>
      <c r="U1603" s="578"/>
      <c r="V1603" s="578"/>
      <c r="W1603" s="578"/>
      <c r="X1603" s="578"/>
      <c r="Y1603" s="578"/>
      <c r="Z1603" s="578"/>
    </row>
    <row r="1604" spans="1:26" ht="18.75">
      <c r="A1604" s="682"/>
      <c r="B1604" s="682"/>
      <c r="C1604" s="682"/>
      <c r="D1604" s="914"/>
      <c r="E1604" s="682"/>
      <c r="F1604" s="682"/>
      <c r="G1604" s="682"/>
      <c r="H1604" s="915"/>
      <c r="I1604" s="916"/>
      <c r="J1604" s="916"/>
      <c r="K1604" s="917"/>
      <c r="L1604" s="917"/>
      <c r="M1604" s="917"/>
      <c r="N1604" s="917"/>
      <c r="O1604" s="917"/>
      <c r="P1604" s="917"/>
      <c r="Q1604" s="578"/>
      <c r="R1604" s="578"/>
      <c r="S1604" s="578"/>
      <c r="T1604" s="578"/>
      <c r="U1604" s="578"/>
      <c r="V1604" s="578"/>
      <c r="W1604" s="578"/>
      <c r="X1604" s="578"/>
      <c r="Y1604" s="578"/>
      <c r="Z1604" s="578"/>
    </row>
    <row r="1605" spans="1:26" ht="18.75">
      <c r="A1605" s="682"/>
      <c r="B1605" s="682"/>
      <c r="C1605" s="682"/>
      <c r="D1605" s="914"/>
      <c r="E1605" s="682"/>
      <c r="F1605" s="682"/>
      <c r="G1605" s="682"/>
      <c r="H1605" s="915"/>
      <c r="I1605" s="916"/>
      <c r="J1605" s="916"/>
      <c r="K1605" s="917"/>
      <c r="L1605" s="917"/>
      <c r="M1605" s="917"/>
      <c r="N1605" s="917"/>
      <c r="O1605" s="917"/>
      <c r="P1605" s="917"/>
      <c r="Q1605" s="578"/>
      <c r="R1605" s="578"/>
      <c r="S1605" s="578"/>
      <c r="T1605" s="578"/>
      <c r="U1605" s="578"/>
      <c r="V1605" s="578"/>
      <c r="W1605" s="578"/>
      <c r="X1605" s="578"/>
      <c r="Y1605" s="578"/>
      <c r="Z1605" s="578"/>
    </row>
    <row r="1606" spans="1:26" ht="18.75">
      <c r="A1606" s="682"/>
      <c r="B1606" s="682"/>
      <c r="C1606" s="682"/>
      <c r="D1606" s="914"/>
      <c r="E1606" s="682"/>
      <c r="F1606" s="682"/>
      <c r="G1606" s="682"/>
      <c r="H1606" s="915"/>
      <c r="I1606" s="916"/>
      <c r="J1606" s="916"/>
      <c r="K1606" s="917"/>
      <c r="L1606" s="917"/>
      <c r="M1606" s="917"/>
      <c r="N1606" s="917"/>
      <c r="O1606" s="917"/>
      <c r="P1606" s="917"/>
      <c r="Q1606" s="578"/>
      <c r="R1606" s="578"/>
      <c r="S1606" s="578"/>
      <c r="T1606" s="578"/>
      <c r="U1606" s="578"/>
      <c r="V1606" s="578"/>
      <c r="W1606" s="578"/>
      <c r="X1606" s="578"/>
      <c r="Y1606" s="578"/>
      <c r="Z1606" s="578"/>
    </row>
    <row r="1607" spans="1:26" ht="18.75">
      <c r="A1607" s="682"/>
      <c r="B1607" s="682"/>
      <c r="C1607" s="682"/>
      <c r="D1607" s="914"/>
      <c r="E1607" s="682"/>
      <c r="F1607" s="682"/>
      <c r="G1607" s="682"/>
      <c r="H1607" s="915"/>
      <c r="I1607" s="916"/>
      <c r="J1607" s="916"/>
      <c r="K1607" s="917"/>
      <c r="L1607" s="917"/>
      <c r="M1607" s="917"/>
      <c r="N1607" s="917"/>
      <c r="O1607" s="917"/>
      <c r="P1607" s="917"/>
      <c r="Q1607" s="578"/>
      <c r="R1607" s="578"/>
      <c r="S1607" s="578"/>
      <c r="T1607" s="578"/>
      <c r="U1607" s="578"/>
      <c r="V1607" s="578"/>
      <c r="W1607" s="578"/>
      <c r="X1607" s="578"/>
      <c r="Y1607" s="578"/>
      <c r="Z1607" s="578"/>
    </row>
    <row r="1608" spans="1:26" ht="18.75">
      <c r="A1608" s="682"/>
      <c r="B1608" s="682"/>
      <c r="C1608" s="682"/>
      <c r="D1608" s="914"/>
      <c r="E1608" s="682"/>
      <c r="F1608" s="682"/>
      <c r="G1608" s="682"/>
      <c r="H1608" s="915"/>
      <c r="I1608" s="916"/>
      <c r="J1608" s="916"/>
      <c r="K1608" s="917"/>
      <c r="L1608" s="917"/>
      <c r="M1608" s="917"/>
      <c r="N1608" s="917"/>
      <c r="O1608" s="917"/>
      <c r="P1608" s="917"/>
      <c r="Q1608" s="578"/>
      <c r="R1608" s="578"/>
      <c r="S1608" s="578"/>
      <c r="T1608" s="578"/>
      <c r="U1608" s="578"/>
      <c r="V1608" s="578"/>
      <c r="W1608" s="578"/>
      <c r="X1608" s="578"/>
      <c r="Y1608" s="578"/>
      <c r="Z1608" s="578"/>
    </row>
    <row r="1609" spans="1:26" ht="18.75">
      <c r="A1609" s="682"/>
      <c r="B1609" s="682"/>
      <c r="C1609" s="682"/>
      <c r="D1609" s="914"/>
      <c r="E1609" s="682"/>
      <c r="F1609" s="682"/>
      <c r="G1609" s="682"/>
      <c r="H1609" s="915"/>
      <c r="I1609" s="916"/>
      <c r="J1609" s="916"/>
      <c r="K1609" s="917"/>
      <c r="L1609" s="917"/>
      <c r="M1609" s="917"/>
      <c r="N1609" s="917"/>
      <c r="O1609" s="917"/>
      <c r="P1609" s="917"/>
      <c r="Q1609" s="578"/>
      <c r="R1609" s="578"/>
      <c r="S1609" s="578"/>
      <c r="T1609" s="578"/>
      <c r="U1609" s="578"/>
      <c r="V1609" s="578"/>
      <c r="W1609" s="578"/>
      <c r="X1609" s="578"/>
      <c r="Y1609" s="578"/>
      <c r="Z1609" s="578"/>
    </row>
    <row r="1610" spans="1:26" ht="18.75">
      <c r="A1610" s="682"/>
      <c r="B1610" s="682"/>
      <c r="C1610" s="682"/>
      <c r="D1610" s="914"/>
      <c r="E1610" s="682"/>
      <c r="F1610" s="682"/>
      <c r="G1610" s="682"/>
      <c r="H1610" s="915"/>
      <c r="I1610" s="916"/>
      <c r="J1610" s="916"/>
      <c r="K1610" s="917"/>
      <c r="L1610" s="917"/>
      <c r="M1610" s="917"/>
      <c r="N1610" s="917"/>
      <c r="O1610" s="917"/>
      <c r="P1610" s="917"/>
      <c r="Q1610" s="578"/>
      <c r="R1610" s="578"/>
      <c r="S1610" s="578"/>
      <c r="T1610" s="578"/>
      <c r="U1610" s="578"/>
      <c r="V1610" s="578"/>
      <c r="W1610" s="578"/>
      <c r="X1610" s="578"/>
      <c r="Y1610" s="578"/>
      <c r="Z1610" s="578"/>
    </row>
    <row r="1611" spans="1:26" ht="18.75">
      <c r="A1611" s="682"/>
      <c r="B1611" s="682"/>
      <c r="C1611" s="682"/>
      <c r="D1611" s="914"/>
      <c r="E1611" s="682"/>
      <c r="F1611" s="682"/>
      <c r="G1611" s="682"/>
      <c r="H1611" s="915"/>
      <c r="I1611" s="916"/>
      <c r="J1611" s="916"/>
      <c r="K1611" s="917"/>
      <c r="L1611" s="917"/>
      <c r="M1611" s="917"/>
      <c r="N1611" s="917"/>
      <c r="O1611" s="917"/>
      <c r="P1611" s="917"/>
      <c r="Q1611" s="578"/>
      <c r="R1611" s="578"/>
      <c r="S1611" s="578"/>
      <c r="T1611" s="578"/>
      <c r="U1611" s="578"/>
      <c r="V1611" s="578"/>
      <c r="W1611" s="578"/>
      <c r="X1611" s="578"/>
      <c r="Y1611" s="578"/>
      <c r="Z1611" s="578"/>
    </row>
    <row r="1612" spans="1:26" ht="18.75">
      <c r="A1612" s="682"/>
      <c r="B1612" s="682"/>
      <c r="C1612" s="682"/>
      <c r="D1612" s="914"/>
      <c r="E1612" s="682"/>
      <c r="F1612" s="682"/>
      <c r="G1612" s="682"/>
      <c r="H1612" s="915"/>
      <c r="I1612" s="916"/>
      <c r="J1612" s="916"/>
      <c r="K1612" s="917"/>
      <c r="L1612" s="917"/>
      <c r="M1612" s="917"/>
      <c r="N1612" s="917"/>
      <c r="O1612" s="917"/>
      <c r="P1612" s="917"/>
      <c r="Q1612" s="578"/>
      <c r="R1612" s="578"/>
      <c r="S1612" s="578"/>
      <c r="T1612" s="578"/>
      <c r="U1612" s="578"/>
      <c r="V1612" s="578"/>
      <c r="W1612" s="578"/>
      <c r="X1612" s="578"/>
      <c r="Y1612" s="578"/>
      <c r="Z1612" s="578"/>
    </row>
    <row r="1613" spans="1:26" ht="18.75">
      <c r="A1613" s="682"/>
      <c r="B1613" s="682"/>
      <c r="C1613" s="682"/>
      <c r="D1613" s="914"/>
      <c r="E1613" s="682"/>
      <c r="F1613" s="682"/>
      <c r="G1613" s="682"/>
      <c r="H1613" s="915"/>
      <c r="I1613" s="916"/>
      <c r="J1613" s="916"/>
      <c r="K1613" s="917"/>
      <c r="L1613" s="917"/>
      <c r="M1613" s="917"/>
      <c r="N1613" s="917"/>
      <c r="O1613" s="917"/>
      <c r="P1613" s="917"/>
      <c r="Q1613" s="578"/>
      <c r="R1613" s="578"/>
      <c r="S1613" s="578"/>
      <c r="T1613" s="578"/>
      <c r="U1613" s="578"/>
      <c r="V1613" s="578"/>
      <c r="W1613" s="578"/>
      <c r="X1613" s="578"/>
      <c r="Y1613" s="578"/>
      <c r="Z1613" s="578"/>
    </row>
    <row r="1614" spans="1:26" ht="18.75">
      <c r="A1614" s="682"/>
      <c r="B1614" s="682"/>
      <c r="C1614" s="682"/>
      <c r="D1614" s="914"/>
      <c r="E1614" s="682"/>
      <c r="F1614" s="682"/>
      <c r="G1614" s="682"/>
      <c r="H1614" s="915"/>
      <c r="I1614" s="916"/>
      <c r="J1614" s="916"/>
      <c r="K1614" s="917"/>
      <c r="L1614" s="917"/>
      <c r="M1614" s="917"/>
      <c r="N1614" s="917"/>
      <c r="O1614" s="917"/>
      <c r="P1614" s="917"/>
      <c r="Q1614" s="578"/>
      <c r="R1614" s="578"/>
      <c r="S1614" s="578"/>
      <c r="T1614" s="578"/>
      <c r="U1614" s="578"/>
      <c r="V1614" s="578"/>
      <c r="W1614" s="578"/>
      <c r="X1614" s="578"/>
      <c r="Y1614" s="578"/>
      <c r="Z1614" s="578"/>
    </row>
    <row r="1615" spans="1:26" ht="18.75">
      <c r="A1615" s="682"/>
      <c r="B1615" s="682"/>
      <c r="C1615" s="682"/>
      <c r="D1615" s="914"/>
      <c r="E1615" s="682"/>
      <c r="F1615" s="682"/>
      <c r="G1615" s="682"/>
      <c r="H1615" s="915"/>
      <c r="I1615" s="916"/>
      <c r="J1615" s="916"/>
      <c r="K1615" s="917"/>
      <c r="L1615" s="917"/>
      <c r="M1615" s="917"/>
      <c r="N1615" s="917"/>
      <c r="O1615" s="917"/>
      <c r="P1615" s="917"/>
      <c r="Q1615" s="578"/>
      <c r="R1615" s="578"/>
      <c r="S1615" s="578"/>
      <c r="T1615" s="578"/>
      <c r="U1615" s="578"/>
      <c r="V1615" s="578"/>
      <c r="W1615" s="578"/>
      <c r="X1615" s="578"/>
      <c r="Y1615" s="578"/>
      <c r="Z1615" s="578"/>
    </row>
    <row r="1616" spans="1:26" ht="18.75">
      <c r="A1616" s="682"/>
      <c r="B1616" s="682"/>
      <c r="C1616" s="682"/>
      <c r="D1616" s="914"/>
      <c r="E1616" s="682"/>
      <c r="F1616" s="682"/>
      <c r="G1616" s="682"/>
      <c r="H1616" s="915"/>
      <c r="I1616" s="916"/>
      <c r="J1616" s="916"/>
      <c r="K1616" s="917"/>
      <c r="L1616" s="917"/>
      <c r="M1616" s="917"/>
      <c r="N1616" s="917"/>
      <c r="O1616" s="917"/>
      <c r="P1616" s="917"/>
      <c r="Q1616" s="578"/>
      <c r="R1616" s="578"/>
      <c r="S1616" s="578"/>
      <c r="T1616" s="578"/>
      <c r="U1616" s="578"/>
      <c r="V1616" s="578"/>
      <c r="W1616" s="578"/>
      <c r="X1616" s="578"/>
      <c r="Y1616" s="578"/>
      <c r="Z1616" s="578"/>
    </row>
    <row r="1617" spans="1:26" ht="18.75">
      <c r="A1617" s="682"/>
      <c r="B1617" s="682"/>
      <c r="C1617" s="682"/>
      <c r="D1617" s="914"/>
      <c r="E1617" s="682"/>
      <c r="F1617" s="682"/>
      <c r="G1617" s="682"/>
      <c r="H1617" s="915"/>
      <c r="I1617" s="916"/>
      <c r="J1617" s="916"/>
      <c r="K1617" s="917"/>
      <c r="L1617" s="917"/>
      <c r="M1617" s="917"/>
      <c r="N1617" s="917"/>
      <c r="O1617" s="917"/>
      <c r="P1617" s="917"/>
      <c r="Q1617" s="578"/>
      <c r="R1617" s="578"/>
      <c r="S1617" s="578"/>
      <c r="T1617" s="578"/>
      <c r="U1617" s="578"/>
      <c r="V1617" s="578"/>
      <c r="W1617" s="578"/>
      <c r="X1617" s="578"/>
      <c r="Y1617" s="578"/>
      <c r="Z1617" s="578"/>
    </row>
    <row r="1618" spans="1:26" ht="18.75">
      <c r="A1618" s="682"/>
      <c r="B1618" s="682"/>
      <c r="C1618" s="682"/>
      <c r="D1618" s="914"/>
      <c r="E1618" s="682"/>
      <c r="F1618" s="682"/>
      <c r="G1618" s="682"/>
      <c r="H1618" s="915"/>
      <c r="I1618" s="916"/>
      <c r="J1618" s="916"/>
      <c r="K1618" s="917"/>
      <c r="L1618" s="917"/>
      <c r="M1618" s="917"/>
      <c r="N1618" s="917"/>
      <c r="O1618" s="917"/>
      <c r="P1618" s="917"/>
      <c r="Q1618" s="578"/>
      <c r="R1618" s="578"/>
      <c r="S1618" s="578"/>
      <c r="T1618" s="578"/>
      <c r="U1618" s="578"/>
      <c r="V1618" s="578"/>
      <c r="W1618" s="578"/>
      <c r="X1618" s="578"/>
      <c r="Y1618" s="578"/>
      <c r="Z1618" s="578"/>
    </row>
    <row r="1619" spans="1:26" ht="18.75">
      <c r="A1619" s="682"/>
      <c r="B1619" s="682"/>
      <c r="C1619" s="682"/>
      <c r="D1619" s="914"/>
      <c r="E1619" s="682"/>
      <c r="F1619" s="682"/>
      <c r="G1619" s="682"/>
      <c r="H1619" s="915"/>
      <c r="I1619" s="916"/>
      <c r="J1619" s="916"/>
      <c r="K1619" s="917"/>
      <c r="L1619" s="917"/>
      <c r="M1619" s="917"/>
      <c r="N1619" s="917"/>
      <c r="O1619" s="917"/>
      <c r="P1619" s="917"/>
      <c r="Q1619" s="578"/>
      <c r="R1619" s="578"/>
      <c r="S1619" s="578"/>
      <c r="T1619" s="578"/>
      <c r="U1619" s="578"/>
      <c r="V1619" s="578"/>
      <c r="W1619" s="578"/>
      <c r="X1619" s="578"/>
      <c r="Y1619" s="578"/>
      <c r="Z1619" s="578"/>
    </row>
    <row r="1620" spans="1:26" ht="18.75">
      <c r="A1620" s="682"/>
      <c r="B1620" s="682"/>
      <c r="C1620" s="682"/>
      <c r="D1620" s="914"/>
      <c r="E1620" s="682"/>
      <c r="F1620" s="682"/>
      <c r="G1620" s="682"/>
      <c r="H1620" s="915"/>
      <c r="I1620" s="916"/>
      <c r="J1620" s="916"/>
      <c r="K1620" s="917"/>
      <c r="L1620" s="917"/>
      <c r="M1620" s="917"/>
      <c r="N1620" s="917"/>
      <c r="O1620" s="917"/>
      <c r="P1620" s="917"/>
      <c r="Q1620" s="578"/>
      <c r="R1620" s="578"/>
      <c r="S1620" s="578"/>
      <c r="T1620" s="578"/>
      <c r="U1620" s="578"/>
      <c r="V1620" s="578"/>
      <c r="W1620" s="578"/>
      <c r="X1620" s="578"/>
      <c r="Y1620" s="578"/>
      <c r="Z1620" s="578"/>
    </row>
    <row r="1621" spans="1:26" ht="18.75">
      <c r="A1621" s="682"/>
      <c r="B1621" s="682"/>
      <c r="C1621" s="682"/>
      <c r="D1621" s="914"/>
      <c r="E1621" s="682"/>
      <c r="F1621" s="682"/>
      <c r="G1621" s="682"/>
      <c r="H1621" s="915"/>
      <c r="I1621" s="916"/>
      <c r="J1621" s="916"/>
      <c r="K1621" s="917"/>
      <c r="L1621" s="917"/>
      <c r="M1621" s="917"/>
      <c r="N1621" s="917"/>
      <c r="O1621" s="917"/>
      <c r="P1621" s="917"/>
      <c r="Q1621" s="578"/>
      <c r="R1621" s="578"/>
      <c r="S1621" s="578"/>
      <c r="T1621" s="578"/>
      <c r="U1621" s="578"/>
      <c r="V1621" s="578"/>
      <c r="W1621" s="578"/>
      <c r="X1621" s="578"/>
      <c r="Y1621" s="578"/>
      <c r="Z1621" s="578"/>
    </row>
    <row r="1622" spans="1:26" ht="18.75">
      <c r="A1622" s="682"/>
      <c r="B1622" s="682"/>
      <c r="C1622" s="682"/>
      <c r="D1622" s="914"/>
      <c r="E1622" s="682"/>
      <c r="F1622" s="682"/>
      <c r="G1622" s="682"/>
      <c r="H1622" s="915"/>
      <c r="I1622" s="916"/>
      <c r="J1622" s="916"/>
      <c r="K1622" s="917"/>
      <c r="L1622" s="917"/>
      <c r="M1622" s="917"/>
      <c r="N1622" s="917"/>
      <c r="O1622" s="917"/>
      <c r="P1622" s="917"/>
      <c r="Q1622" s="578"/>
      <c r="R1622" s="578"/>
      <c r="S1622" s="578"/>
      <c r="T1622" s="578"/>
      <c r="U1622" s="578"/>
      <c r="V1622" s="578"/>
      <c r="W1622" s="578"/>
      <c r="X1622" s="578"/>
      <c r="Y1622" s="578"/>
      <c r="Z1622" s="578"/>
    </row>
    <row r="1623" spans="1:26" ht="18.75">
      <c r="A1623" s="682"/>
      <c r="B1623" s="682"/>
      <c r="C1623" s="682"/>
      <c r="D1623" s="914"/>
      <c r="E1623" s="682"/>
      <c r="F1623" s="682"/>
      <c r="G1623" s="682"/>
      <c r="H1623" s="915"/>
      <c r="I1623" s="916"/>
      <c r="J1623" s="916"/>
      <c r="K1623" s="917"/>
      <c r="L1623" s="917"/>
      <c r="M1623" s="917"/>
      <c r="N1623" s="917"/>
      <c r="O1623" s="917"/>
      <c r="P1623" s="917"/>
      <c r="Q1623" s="578"/>
      <c r="R1623" s="578"/>
      <c r="S1623" s="578"/>
      <c r="T1623" s="578"/>
      <c r="U1623" s="578"/>
      <c r="V1623" s="578"/>
      <c r="W1623" s="578"/>
      <c r="X1623" s="578"/>
      <c r="Y1623" s="578"/>
      <c r="Z1623" s="578"/>
    </row>
    <row r="1624" spans="1:26" ht="18.75">
      <c r="A1624" s="682"/>
      <c r="B1624" s="682"/>
      <c r="C1624" s="682"/>
      <c r="D1624" s="914"/>
      <c r="E1624" s="682"/>
      <c r="F1624" s="682"/>
      <c r="G1624" s="682"/>
      <c r="H1624" s="915"/>
      <c r="I1624" s="916"/>
      <c r="J1624" s="916"/>
      <c r="K1624" s="917"/>
      <c r="L1624" s="917"/>
      <c r="M1624" s="917"/>
      <c r="N1624" s="917"/>
      <c r="O1624" s="917"/>
      <c r="P1624" s="917"/>
      <c r="Q1624" s="578"/>
      <c r="R1624" s="578"/>
      <c r="S1624" s="578"/>
      <c r="T1624" s="578"/>
      <c r="U1624" s="578"/>
      <c r="V1624" s="578"/>
      <c r="W1624" s="578"/>
      <c r="X1624" s="578"/>
      <c r="Y1624" s="578"/>
      <c r="Z1624" s="578"/>
    </row>
    <row r="1625" spans="1:26" ht="18.75">
      <c r="A1625" s="682"/>
      <c r="B1625" s="682"/>
      <c r="C1625" s="682"/>
      <c r="D1625" s="914"/>
      <c r="E1625" s="682"/>
      <c r="F1625" s="682"/>
      <c r="G1625" s="682"/>
      <c r="H1625" s="915"/>
      <c r="I1625" s="916"/>
      <c r="J1625" s="916"/>
      <c r="K1625" s="917"/>
      <c r="L1625" s="917"/>
      <c r="M1625" s="917"/>
      <c r="N1625" s="917"/>
      <c r="O1625" s="917"/>
      <c r="P1625" s="917"/>
      <c r="Q1625" s="578"/>
      <c r="R1625" s="578"/>
      <c r="S1625" s="578"/>
      <c r="T1625" s="578"/>
      <c r="U1625" s="578"/>
      <c r="V1625" s="578"/>
      <c r="W1625" s="578"/>
      <c r="X1625" s="578"/>
      <c r="Y1625" s="578"/>
      <c r="Z1625" s="578"/>
    </row>
    <row r="1626" spans="1:26" ht="18.75">
      <c r="A1626" s="682"/>
      <c r="B1626" s="682"/>
      <c r="C1626" s="682"/>
      <c r="D1626" s="914"/>
      <c r="E1626" s="682"/>
      <c r="F1626" s="682"/>
      <c r="G1626" s="682"/>
      <c r="H1626" s="915"/>
      <c r="I1626" s="916"/>
      <c r="J1626" s="916"/>
      <c r="K1626" s="917"/>
      <c r="L1626" s="917"/>
      <c r="M1626" s="917"/>
      <c r="N1626" s="917"/>
      <c r="O1626" s="917"/>
      <c r="P1626" s="917"/>
      <c r="Q1626" s="578"/>
      <c r="R1626" s="578"/>
      <c r="S1626" s="578"/>
      <c r="T1626" s="578"/>
      <c r="U1626" s="578"/>
      <c r="V1626" s="578"/>
      <c r="W1626" s="578"/>
      <c r="X1626" s="578"/>
      <c r="Y1626" s="578"/>
      <c r="Z1626" s="578"/>
    </row>
    <row r="1627" spans="1:26" ht="18.75">
      <c r="A1627" s="682"/>
      <c r="B1627" s="682"/>
      <c r="C1627" s="682"/>
      <c r="D1627" s="914"/>
      <c r="E1627" s="682"/>
      <c r="F1627" s="682"/>
      <c r="G1627" s="682"/>
      <c r="H1627" s="915"/>
      <c r="I1627" s="916"/>
      <c r="J1627" s="916"/>
      <c r="K1627" s="917"/>
      <c r="L1627" s="917"/>
      <c r="M1627" s="917"/>
      <c r="N1627" s="917"/>
      <c r="O1627" s="917"/>
      <c r="P1627" s="917"/>
      <c r="Q1627" s="578"/>
      <c r="R1627" s="578"/>
      <c r="S1627" s="578"/>
      <c r="T1627" s="578"/>
      <c r="U1627" s="578"/>
      <c r="V1627" s="578"/>
      <c r="W1627" s="578"/>
      <c r="X1627" s="578"/>
      <c r="Y1627" s="578"/>
      <c r="Z1627" s="578"/>
    </row>
    <row r="1628" spans="1:26" ht="18.75">
      <c r="A1628" s="682"/>
      <c r="B1628" s="682"/>
      <c r="C1628" s="682"/>
      <c r="D1628" s="914"/>
      <c r="E1628" s="682"/>
      <c r="F1628" s="682"/>
      <c r="G1628" s="682"/>
      <c r="H1628" s="915"/>
      <c r="I1628" s="916"/>
      <c r="J1628" s="916"/>
      <c r="K1628" s="917"/>
      <c r="L1628" s="917"/>
      <c r="M1628" s="917"/>
      <c r="N1628" s="917"/>
      <c r="O1628" s="917"/>
      <c r="P1628" s="917"/>
      <c r="Q1628" s="578"/>
      <c r="R1628" s="578"/>
      <c r="S1628" s="578"/>
      <c r="T1628" s="578"/>
      <c r="U1628" s="578"/>
      <c r="V1628" s="578"/>
      <c r="W1628" s="578"/>
      <c r="X1628" s="578"/>
      <c r="Y1628" s="578"/>
      <c r="Z1628" s="578"/>
    </row>
    <row r="1629" spans="1:26" ht="18.75">
      <c r="A1629" s="682"/>
      <c r="B1629" s="682"/>
      <c r="C1629" s="682"/>
      <c r="D1629" s="914"/>
      <c r="E1629" s="682"/>
      <c r="F1629" s="682"/>
      <c r="G1629" s="682"/>
      <c r="H1629" s="915"/>
      <c r="I1629" s="916"/>
      <c r="J1629" s="916"/>
      <c r="K1629" s="917"/>
      <c r="L1629" s="917"/>
      <c r="M1629" s="917"/>
      <c r="N1629" s="917"/>
      <c r="O1629" s="917"/>
      <c r="P1629" s="917"/>
      <c r="Q1629" s="578"/>
      <c r="R1629" s="578"/>
      <c r="S1629" s="578"/>
      <c r="T1629" s="578"/>
      <c r="U1629" s="578"/>
      <c r="V1629" s="578"/>
      <c r="W1629" s="578"/>
      <c r="X1629" s="578"/>
      <c r="Y1629" s="578"/>
      <c r="Z1629" s="578"/>
    </row>
    <row r="1630" spans="1:26" ht="18.75">
      <c r="A1630" s="682"/>
      <c r="B1630" s="682"/>
      <c r="C1630" s="682"/>
      <c r="D1630" s="914"/>
      <c r="E1630" s="682"/>
      <c r="F1630" s="682"/>
      <c r="G1630" s="682"/>
      <c r="H1630" s="915"/>
      <c r="I1630" s="916"/>
      <c r="J1630" s="916"/>
      <c r="K1630" s="917"/>
      <c r="L1630" s="917"/>
      <c r="M1630" s="917"/>
      <c r="N1630" s="917"/>
      <c r="O1630" s="917"/>
      <c r="P1630" s="917"/>
      <c r="Q1630" s="578"/>
      <c r="R1630" s="578"/>
      <c r="S1630" s="578"/>
      <c r="T1630" s="578"/>
      <c r="U1630" s="578"/>
      <c r="V1630" s="578"/>
      <c r="W1630" s="578"/>
      <c r="X1630" s="578"/>
      <c r="Y1630" s="578"/>
      <c r="Z1630" s="578"/>
    </row>
    <row r="1631" spans="1:26" ht="18.75">
      <c r="A1631" s="682"/>
      <c r="B1631" s="682"/>
      <c r="C1631" s="682"/>
      <c r="D1631" s="914"/>
      <c r="E1631" s="682"/>
      <c r="F1631" s="682"/>
      <c r="G1631" s="682"/>
      <c r="H1631" s="915"/>
      <c r="I1631" s="916"/>
      <c r="J1631" s="916"/>
      <c r="K1631" s="917"/>
      <c r="L1631" s="917"/>
      <c r="M1631" s="917"/>
      <c r="N1631" s="917"/>
      <c r="O1631" s="917"/>
      <c r="P1631" s="917"/>
      <c r="Q1631" s="578"/>
      <c r="R1631" s="578"/>
      <c r="S1631" s="578"/>
      <c r="T1631" s="578"/>
      <c r="U1631" s="578"/>
      <c r="V1631" s="578"/>
      <c r="W1631" s="578"/>
      <c r="X1631" s="578"/>
      <c r="Y1631" s="578"/>
      <c r="Z1631" s="578"/>
    </row>
    <row r="1632" spans="1:26" ht="18.75">
      <c r="A1632" s="682"/>
      <c r="B1632" s="682"/>
      <c r="C1632" s="682"/>
      <c r="D1632" s="914"/>
      <c r="E1632" s="682"/>
      <c r="F1632" s="682"/>
      <c r="G1632" s="682"/>
      <c r="H1632" s="915"/>
      <c r="I1632" s="916"/>
      <c r="J1632" s="916"/>
      <c r="K1632" s="917"/>
      <c r="L1632" s="917"/>
      <c r="M1632" s="917"/>
      <c r="N1632" s="917"/>
      <c r="O1632" s="917"/>
      <c r="P1632" s="917"/>
      <c r="Q1632" s="578"/>
      <c r="R1632" s="578"/>
      <c r="S1632" s="578"/>
      <c r="T1632" s="578"/>
      <c r="U1632" s="578"/>
      <c r="V1632" s="578"/>
      <c r="W1632" s="578"/>
      <c r="X1632" s="578"/>
      <c r="Y1632" s="578"/>
      <c r="Z1632" s="578"/>
    </row>
    <row r="1633" spans="1:26" ht="18.75">
      <c r="A1633" s="682"/>
      <c r="B1633" s="682"/>
      <c r="C1633" s="682"/>
      <c r="D1633" s="914"/>
      <c r="E1633" s="682"/>
      <c r="F1633" s="682"/>
      <c r="G1633" s="682"/>
      <c r="H1633" s="915"/>
      <c r="I1633" s="916"/>
      <c r="J1633" s="916"/>
      <c r="K1633" s="917"/>
      <c r="L1633" s="917"/>
      <c r="M1633" s="917"/>
      <c r="N1633" s="917"/>
      <c r="O1633" s="917"/>
      <c r="P1633" s="917"/>
      <c r="Q1633" s="578"/>
      <c r="R1633" s="578"/>
      <c r="S1633" s="578"/>
      <c r="T1633" s="578"/>
      <c r="U1633" s="578"/>
      <c r="V1633" s="578"/>
      <c r="W1633" s="578"/>
      <c r="X1633" s="578"/>
      <c r="Y1633" s="578"/>
      <c r="Z1633" s="578"/>
    </row>
    <row r="1634" spans="1:26" ht="18.75">
      <c r="A1634" s="682"/>
      <c r="B1634" s="682"/>
      <c r="C1634" s="682"/>
      <c r="D1634" s="914"/>
      <c r="E1634" s="682"/>
      <c r="F1634" s="682"/>
      <c r="G1634" s="682"/>
      <c r="H1634" s="915"/>
      <c r="I1634" s="916"/>
      <c r="J1634" s="916"/>
      <c r="K1634" s="917"/>
      <c r="L1634" s="917"/>
      <c r="M1634" s="917"/>
      <c r="N1634" s="917"/>
      <c r="O1634" s="917"/>
      <c r="P1634" s="917"/>
      <c r="Q1634" s="578"/>
      <c r="R1634" s="578"/>
      <c r="S1634" s="578"/>
      <c r="T1634" s="578"/>
      <c r="U1634" s="578"/>
      <c r="V1634" s="578"/>
      <c r="W1634" s="578"/>
      <c r="X1634" s="578"/>
      <c r="Y1634" s="578"/>
      <c r="Z1634" s="578"/>
    </row>
    <row r="1635" spans="1:26" ht="18.75">
      <c r="A1635" s="682"/>
      <c r="B1635" s="682"/>
      <c r="C1635" s="682"/>
      <c r="D1635" s="914"/>
      <c r="E1635" s="682"/>
      <c r="F1635" s="682"/>
      <c r="G1635" s="682"/>
      <c r="H1635" s="915"/>
      <c r="I1635" s="916"/>
      <c r="J1635" s="916"/>
      <c r="K1635" s="917"/>
      <c r="L1635" s="917"/>
      <c r="M1635" s="917"/>
      <c r="N1635" s="917"/>
      <c r="O1635" s="917"/>
      <c r="P1635" s="917"/>
      <c r="Q1635" s="578"/>
      <c r="R1635" s="578"/>
      <c r="S1635" s="578"/>
      <c r="T1635" s="578"/>
      <c r="U1635" s="578"/>
      <c r="V1635" s="578"/>
      <c r="W1635" s="578"/>
      <c r="X1635" s="578"/>
      <c r="Y1635" s="578"/>
      <c r="Z1635" s="578"/>
    </row>
    <row r="1636" spans="1:26" ht="18.75">
      <c r="A1636" s="682"/>
      <c r="B1636" s="682"/>
      <c r="C1636" s="682"/>
      <c r="D1636" s="914"/>
      <c r="E1636" s="682"/>
      <c r="F1636" s="682"/>
      <c r="G1636" s="682"/>
      <c r="H1636" s="915"/>
      <c r="I1636" s="916"/>
      <c r="J1636" s="916"/>
      <c r="K1636" s="917"/>
      <c r="L1636" s="917"/>
      <c r="M1636" s="917"/>
      <c r="N1636" s="917"/>
      <c r="O1636" s="917"/>
      <c r="P1636" s="917"/>
      <c r="Q1636" s="578"/>
      <c r="R1636" s="578"/>
      <c r="S1636" s="578"/>
      <c r="T1636" s="578"/>
      <c r="U1636" s="578"/>
      <c r="V1636" s="578"/>
      <c r="W1636" s="578"/>
      <c r="X1636" s="578"/>
      <c r="Y1636" s="578"/>
      <c r="Z1636" s="578"/>
    </row>
    <row r="1637" spans="1:26" ht="18.75">
      <c r="A1637" s="682"/>
      <c r="B1637" s="682"/>
      <c r="C1637" s="682"/>
      <c r="D1637" s="914"/>
      <c r="E1637" s="682"/>
      <c r="F1637" s="682"/>
      <c r="G1637" s="682"/>
      <c r="H1637" s="915"/>
      <c r="I1637" s="916"/>
      <c r="J1637" s="916"/>
      <c r="K1637" s="917"/>
      <c r="L1637" s="917"/>
      <c r="M1637" s="917"/>
      <c r="N1637" s="917"/>
      <c r="O1637" s="917"/>
      <c r="P1637" s="917"/>
      <c r="Q1637" s="578"/>
      <c r="R1637" s="578"/>
      <c r="S1637" s="578"/>
      <c r="T1637" s="578"/>
      <c r="U1637" s="578"/>
      <c r="V1637" s="578"/>
      <c r="W1637" s="578"/>
      <c r="X1637" s="578"/>
      <c r="Y1637" s="578"/>
      <c r="Z1637" s="578"/>
    </row>
    <row r="1638" spans="1:26" ht="18.75">
      <c r="A1638" s="682"/>
      <c r="B1638" s="682"/>
      <c r="C1638" s="682"/>
      <c r="D1638" s="914"/>
      <c r="E1638" s="682"/>
      <c r="F1638" s="682"/>
      <c r="G1638" s="682"/>
      <c r="H1638" s="915"/>
      <c r="I1638" s="916"/>
      <c r="J1638" s="916"/>
      <c r="K1638" s="917"/>
      <c r="L1638" s="917"/>
      <c r="M1638" s="917"/>
      <c r="N1638" s="917"/>
      <c r="O1638" s="917"/>
      <c r="P1638" s="917"/>
      <c r="Q1638" s="578"/>
      <c r="R1638" s="578"/>
      <c r="S1638" s="578"/>
      <c r="T1638" s="578"/>
      <c r="U1638" s="578"/>
      <c r="V1638" s="578"/>
      <c r="W1638" s="578"/>
      <c r="X1638" s="578"/>
      <c r="Y1638" s="578"/>
      <c r="Z1638" s="578"/>
    </row>
    <row r="1639" spans="1:26" ht="18.75">
      <c r="A1639" s="682"/>
      <c r="B1639" s="682"/>
      <c r="C1639" s="682"/>
      <c r="D1639" s="914"/>
      <c r="E1639" s="682"/>
      <c r="F1639" s="682"/>
      <c r="G1639" s="682"/>
      <c r="H1639" s="915"/>
      <c r="I1639" s="916"/>
      <c r="J1639" s="916"/>
      <c r="K1639" s="917"/>
      <c r="L1639" s="917"/>
      <c r="M1639" s="917"/>
      <c r="N1639" s="917"/>
      <c r="O1639" s="917"/>
      <c r="P1639" s="917"/>
      <c r="Q1639" s="578"/>
      <c r="R1639" s="578"/>
      <c r="S1639" s="578"/>
      <c r="T1639" s="578"/>
      <c r="U1639" s="578"/>
      <c r="V1639" s="578"/>
      <c r="W1639" s="578"/>
      <c r="X1639" s="578"/>
      <c r="Y1639" s="578"/>
      <c r="Z1639" s="578"/>
    </row>
    <row r="1640" spans="1:26" ht="18.75">
      <c r="A1640" s="682"/>
      <c r="B1640" s="682"/>
      <c r="C1640" s="682"/>
      <c r="D1640" s="914"/>
      <c r="E1640" s="682"/>
      <c r="F1640" s="682"/>
      <c r="G1640" s="682"/>
      <c r="H1640" s="915"/>
      <c r="I1640" s="916"/>
      <c r="J1640" s="916"/>
      <c r="K1640" s="917"/>
      <c r="L1640" s="917"/>
      <c r="M1640" s="917"/>
      <c r="N1640" s="917"/>
      <c r="O1640" s="917"/>
      <c r="P1640" s="917"/>
      <c r="Q1640" s="578"/>
      <c r="R1640" s="578"/>
      <c r="S1640" s="578"/>
      <c r="T1640" s="578"/>
      <c r="U1640" s="578"/>
      <c r="V1640" s="578"/>
      <c r="W1640" s="578"/>
      <c r="X1640" s="578"/>
      <c r="Y1640" s="578"/>
      <c r="Z1640" s="578"/>
    </row>
    <row r="1641" spans="1:26" ht="18.75">
      <c r="A1641" s="682"/>
      <c r="B1641" s="682"/>
      <c r="C1641" s="682"/>
      <c r="D1641" s="914"/>
      <c r="E1641" s="682"/>
      <c r="F1641" s="682"/>
      <c r="G1641" s="682"/>
      <c r="H1641" s="915"/>
      <c r="I1641" s="916"/>
      <c r="J1641" s="916"/>
      <c r="K1641" s="917"/>
      <c r="L1641" s="917"/>
      <c r="M1641" s="917"/>
      <c r="N1641" s="917"/>
      <c r="O1641" s="917"/>
      <c r="P1641" s="917"/>
      <c r="Q1641" s="578"/>
      <c r="R1641" s="578"/>
      <c r="S1641" s="578"/>
      <c r="T1641" s="578"/>
      <c r="U1641" s="578"/>
      <c r="V1641" s="578"/>
      <c r="W1641" s="578"/>
      <c r="X1641" s="578"/>
      <c r="Y1641" s="578"/>
      <c r="Z1641" s="578"/>
    </row>
    <row r="1642" spans="1:26" ht="18.75">
      <c r="A1642" s="682"/>
      <c r="B1642" s="682"/>
      <c r="C1642" s="682"/>
      <c r="D1642" s="914"/>
      <c r="E1642" s="682"/>
      <c r="F1642" s="682"/>
      <c r="G1642" s="682"/>
      <c r="H1642" s="915"/>
      <c r="I1642" s="916"/>
      <c r="J1642" s="916"/>
      <c r="K1642" s="917"/>
      <c r="L1642" s="917"/>
      <c r="M1642" s="917"/>
      <c r="N1642" s="917"/>
      <c r="O1642" s="917"/>
      <c r="P1642" s="917"/>
      <c r="Q1642" s="578"/>
      <c r="R1642" s="578"/>
      <c r="S1642" s="578"/>
      <c r="T1642" s="578"/>
      <c r="U1642" s="578"/>
      <c r="V1642" s="578"/>
      <c r="W1642" s="578"/>
      <c r="X1642" s="578"/>
      <c r="Y1642" s="578"/>
      <c r="Z1642" s="578"/>
    </row>
    <row r="1643" spans="1:26" ht="18.75">
      <c r="A1643" s="682"/>
      <c r="B1643" s="682"/>
      <c r="C1643" s="682"/>
      <c r="D1643" s="914"/>
      <c r="E1643" s="682"/>
      <c r="F1643" s="682"/>
      <c r="G1643" s="682"/>
      <c r="H1643" s="915"/>
      <c r="I1643" s="916"/>
      <c r="J1643" s="916"/>
      <c r="K1643" s="917"/>
      <c r="L1643" s="917"/>
      <c r="M1643" s="917"/>
      <c r="N1643" s="917"/>
      <c r="O1643" s="917"/>
      <c r="P1643" s="917"/>
      <c r="Q1643" s="578"/>
      <c r="R1643" s="578"/>
      <c r="S1643" s="578"/>
      <c r="T1643" s="578"/>
      <c r="U1643" s="578"/>
      <c r="V1643" s="578"/>
      <c r="W1643" s="578"/>
      <c r="X1643" s="578"/>
      <c r="Y1643" s="578"/>
      <c r="Z1643" s="578"/>
    </row>
    <row r="1644" spans="1:26" ht="18.75">
      <c r="A1644" s="682"/>
      <c r="B1644" s="682"/>
      <c r="C1644" s="682"/>
      <c r="D1644" s="914"/>
      <c r="E1644" s="682"/>
      <c r="F1644" s="682"/>
      <c r="G1644" s="682"/>
      <c r="H1644" s="915"/>
      <c r="I1644" s="916"/>
      <c r="J1644" s="916"/>
      <c r="K1644" s="917"/>
      <c r="L1644" s="917"/>
      <c r="M1644" s="917"/>
      <c r="N1644" s="917"/>
      <c r="O1644" s="917"/>
      <c r="P1644" s="917"/>
      <c r="Q1644" s="578"/>
      <c r="R1644" s="578"/>
      <c r="S1644" s="578"/>
      <c r="T1644" s="578"/>
      <c r="U1644" s="578"/>
      <c r="V1644" s="578"/>
      <c r="W1644" s="578"/>
      <c r="X1644" s="578"/>
      <c r="Y1644" s="578"/>
      <c r="Z1644" s="578"/>
    </row>
    <row r="1645" spans="1:26" ht="18.75">
      <c r="A1645" s="682"/>
      <c r="B1645" s="682"/>
      <c r="C1645" s="682"/>
      <c r="D1645" s="914"/>
      <c r="E1645" s="682"/>
      <c r="F1645" s="682"/>
      <c r="G1645" s="682"/>
      <c r="H1645" s="915"/>
      <c r="I1645" s="916"/>
      <c r="J1645" s="916"/>
      <c r="K1645" s="917"/>
      <c r="L1645" s="917"/>
      <c r="M1645" s="917"/>
      <c r="N1645" s="917"/>
      <c r="O1645" s="917"/>
      <c r="P1645" s="917"/>
      <c r="Q1645" s="578"/>
      <c r="R1645" s="578"/>
      <c r="S1645" s="578"/>
      <c r="T1645" s="578"/>
      <c r="U1645" s="578"/>
      <c r="V1645" s="578"/>
      <c r="W1645" s="578"/>
      <c r="X1645" s="578"/>
      <c r="Y1645" s="578"/>
      <c r="Z1645" s="578"/>
    </row>
    <row r="1646" spans="1:26" ht="18.75">
      <c r="A1646" s="682"/>
      <c r="B1646" s="682"/>
      <c r="C1646" s="682"/>
      <c r="D1646" s="914"/>
      <c r="E1646" s="682"/>
      <c r="F1646" s="682"/>
      <c r="G1646" s="682"/>
      <c r="H1646" s="915"/>
      <c r="I1646" s="916"/>
      <c r="J1646" s="916"/>
      <c r="K1646" s="917"/>
      <c r="L1646" s="917"/>
      <c r="M1646" s="917"/>
      <c r="N1646" s="917"/>
      <c r="O1646" s="917"/>
      <c r="P1646" s="917"/>
      <c r="Q1646" s="578"/>
      <c r="R1646" s="578"/>
      <c r="S1646" s="578"/>
      <c r="T1646" s="578"/>
      <c r="U1646" s="578"/>
      <c r="V1646" s="578"/>
      <c r="W1646" s="578"/>
      <c r="X1646" s="578"/>
      <c r="Y1646" s="578"/>
      <c r="Z1646" s="578"/>
    </row>
    <row r="1647" spans="1:26" ht="18.75">
      <c r="A1647" s="682"/>
      <c r="B1647" s="682"/>
      <c r="C1647" s="682"/>
      <c r="D1647" s="914"/>
      <c r="E1647" s="682"/>
      <c r="F1647" s="682"/>
      <c r="G1647" s="682"/>
      <c r="H1647" s="915"/>
      <c r="I1647" s="916"/>
      <c r="J1647" s="916"/>
      <c r="K1647" s="917"/>
      <c r="L1647" s="917"/>
      <c r="M1647" s="917"/>
      <c r="N1647" s="917"/>
      <c r="O1647" s="917"/>
      <c r="P1647" s="917"/>
      <c r="Q1647" s="578"/>
      <c r="R1647" s="578"/>
      <c r="S1647" s="578"/>
      <c r="T1647" s="578"/>
      <c r="U1647" s="578"/>
      <c r="V1647" s="578"/>
      <c r="W1647" s="578"/>
      <c r="X1647" s="578"/>
      <c r="Y1647" s="578"/>
      <c r="Z1647" s="578"/>
    </row>
    <row r="1648" spans="1:26" ht="18.75">
      <c r="A1648" s="682"/>
      <c r="B1648" s="682"/>
      <c r="C1648" s="682"/>
      <c r="D1648" s="914"/>
      <c r="E1648" s="682"/>
      <c r="F1648" s="682"/>
      <c r="G1648" s="682"/>
      <c r="H1648" s="915"/>
      <c r="I1648" s="916"/>
      <c r="J1648" s="916"/>
      <c r="K1648" s="917"/>
      <c r="L1648" s="917"/>
      <c r="M1648" s="917"/>
      <c r="N1648" s="917"/>
      <c r="O1648" s="917"/>
      <c r="P1648" s="917"/>
      <c r="Q1648" s="578"/>
      <c r="R1648" s="578"/>
      <c r="S1648" s="578"/>
      <c r="T1648" s="578"/>
      <c r="U1648" s="578"/>
      <c r="V1648" s="578"/>
      <c r="W1648" s="578"/>
      <c r="X1648" s="578"/>
      <c r="Y1648" s="578"/>
      <c r="Z1648" s="578"/>
    </row>
    <row r="1649" spans="1:26" ht="18.75">
      <c r="A1649" s="682"/>
      <c r="B1649" s="682"/>
      <c r="C1649" s="682"/>
      <c r="D1649" s="914"/>
      <c r="E1649" s="682"/>
      <c r="F1649" s="682"/>
      <c r="G1649" s="682"/>
      <c r="H1649" s="915"/>
      <c r="I1649" s="916"/>
      <c r="J1649" s="916"/>
      <c r="K1649" s="917"/>
      <c r="L1649" s="917"/>
      <c r="M1649" s="917"/>
      <c r="N1649" s="917"/>
      <c r="O1649" s="917"/>
      <c r="P1649" s="917"/>
      <c r="Q1649" s="578"/>
      <c r="R1649" s="578"/>
      <c r="S1649" s="578"/>
      <c r="T1649" s="578"/>
      <c r="U1649" s="578"/>
      <c r="V1649" s="578"/>
      <c r="W1649" s="578"/>
      <c r="X1649" s="578"/>
      <c r="Y1649" s="578"/>
      <c r="Z1649" s="578"/>
    </row>
    <row r="1650" spans="1:26" ht="18.75">
      <c r="A1650" s="682"/>
      <c r="B1650" s="682"/>
      <c r="C1650" s="682"/>
      <c r="D1650" s="914"/>
      <c r="E1650" s="682"/>
      <c r="F1650" s="682"/>
      <c r="G1650" s="682"/>
      <c r="H1650" s="915"/>
      <c r="I1650" s="916"/>
      <c r="J1650" s="916"/>
      <c r="K1650" s="917"/>
      <c r="L1650" s="917"/>
      <c r="M1650" s="917"/>
      <c r="N1650" s="917"/>
      <c r="O1650" s="917"/>
      <c r="P1650" s="917"/>
      <c r="Q1650" s="578"/>
      <c r="R1650" s="578"/>
      <c r="S1650" s="578"/>
      <c r="T1650" s="578"/>
      <c r="U1650" s="578"/>
      <c r="V1650" s="578"/>
      <c r="W1650" s="578"/>
      <c r="X1650" s="578"/>
      <c r="Y1650" s="578"/>
      <c r="Z1650" s="578"/>
    </row>
    <row r="1651" spans="1:26" ht="18.75">
      <c r="A1651" s="682"/>
      <c r="B1651" s="682"/>
      <c r="C1651" s="682"/>
      <c r="D1651" s="914"/>
      <c r="E1651" s="682"/>
      <c r="F1651" s="682"/>
      <c r="G1651" s="682"/>
      <c r="H1651" s="915"/>
      <c r="I1651" s="916"/>
      <c r="J1651" s="916"/>
      <c r="K1651" s="917"/>
      <c r="L1651" s="917"/>
      <c r="M1651" s="917"/>
      <c r="N1651" s="917"/>
      <c r="O1651" s="917"/>
      <c r="P1651" s="917"/>
      <c r="Q1651" s="578"/>
      <c r="R1651" s="578"/>
      <c r="S1651" s="578"/>
      <c r="T1651" s="578"/>
      <c r="U1651" s="578"/>
      <c r="V1651" s="578"/>
      <c r="W1651" s="578"/>
      <c r="X1651" s="578"/>
      <c r="Y1651" s="578"/>
      <c r="Z1651" s="578"/>
    </row>
    <row r="1652" spans="1:26" ht="18.75">
      <c r="A1652" s="682"/>
      <c r="B1652" s="682"/>
      <c r="C1652" s="682"/>
      <c r="D1652" s="914"/>
      <c r="E1652" s="682"/>
      <c r="F1652" s="682"/>
      <c r="G1652" s="682"/>
      <c r="H1652" s="915"/>
      <c r="I1652" s="916"/>
      <c r="J1652" s="916"/>
      <c r="K1652" s="917"/>
      <c r="L1652" s="917"/>
      <c r="M1652" s="917"/>
      <c r="N1652" s="917"/>
      <c r="O1652" s="917"/>
      <c r="P1652" s="917"/>
      <c r="Q1652" s="578"/>
      <c r="R1652" s="578"/>
      <c r="S1652" s="578"/>
      <c r="T1652" s="578"/>
      <c r="U1652" s="578"/>
      <c r="V1652" s="578"/>
      <c r="W1652" s="578"/>
      <c r="X1652" s="578"/>
      <c r="Y1652" s="578"/>
      <c r="Z1652" s="578"/>
    </row>
    <row r="1653" spans="1:26" ht="18.75">
      <c r="A1653" s="682"/>
      <c r="B1653" s="682"/>
      <c r="C1653" s="682"/>
      <c r="D1653" s="914"/>
      <c r="E1653" s="682"/>
      <c r="F1653" s="682"/>
      <c r="G1653" s="682"/>
      <c r="H1653" s="915"/>
      <c r="I1653" s="916"/>
      <c r="J1653" s="916"/>
      <c r="K1653" s="917"/>
      <c r="L1653" s="917"/>
      <c r="M1653" s="917"/>
      <c r="N1653" s="917"/>
      <c r="O1653" s="917"/>
      <c r="P1653" s="917"/>
      <c r="Q1653" s="578"/>
      <c r="R1653" s="578"/>
      <c r="S1653" s="578"/>
      <c r="T1653" s="578"/>
      <c r="U1653" s="578"/>
      <c r="V1653" s="578"/>
      <c r="W1653" s="578"/>
      <c r="X1653" s="578"/>
      <c r="Y1653" s="578"/>
      <c r="Z1653" s="578"/>
    </row>
    <row r="1654" spans="1:26" ht="18.75">
      <c r="A1654" s="682"/>
      <c r="B1654" s="682"/>
      <c r="C1654" s="682"/>
      <c r="D1654" s="914"/>
      <c r="E1654" s="682"/>
      <c r="F1654" s="682"/>
      <c r="G1654" s="682"/>
      <c r="H1654" s="915"/>
      <c r="I1654" s="916"/>
      <c r="J1654" s="916"/>
      <c r="K1654" s="917"/>
      <c r="L1654" s="917"/>
      <c r="M1654" s="917"/>
      <c r="N1654" s="917"/>
      <c r="O1654" s="917"/>
      <c r="P1654" s="917"/>
      <c r="Q1654" s="578"/>
      <c r="R1654" s="578"/>
      <c r="S1654" s="578"/>
      <c r="T1654" s="578"/>
      <c r="U1654" s="578"/>
      <c r="V1654" s="578"/>
      <c r="W1654" s="578"/>
      <c r="X1654" s="578"/>
      <c r="Y1654" s="578"/>
      <c r="Z1654" s="578"/>
    </row>
    <row r="1655" spans="1:26" ht="18.75">
      <c r="A1655" s="682"/>
      <c r="B1655" s="682"/>
      <c r="C1655" s="682"/>
      <c r="D1655" s="914"/>
      <c r="E1655" s="682"/>
      <c r="F1655" s="682"/>
      <c r="G1655" s="682"/>
      <c r="H1655" s="915"/>
      <c r="I1655" s="916"/>
      <c r="J1655" s="916"/>
      <c r="K1655" s="917"/>
      <c r="L1655" s="917"/>
      <c r="M1655" s="917"/>
      <c r="N1655" s="917"/>
      <c r="O1655" s="917"/>
      <c r="P1655" s="917"/>
      <c r="Q1655" s="578"/>
      <c r="R1655" s="578"/>
      <c r="S1655" s="578"/>
      <c r="T1655" s="578"/>
      <c r="U1655" s="578"/>
      <c r="V1655" s="578"/>
      <c r="W1655" s="578"/>
      <c r="X1655" s="578"/>
      <c r="Y1655" s="578"/>
      <c r="Z1655" s="578"/>
    </row>
    <row r="1656" spans="1:26" ht="18.75">
      <c r="A1656" s="682"/>
      <c r="B1656" s="682"/>
      <c r="C1656" s="682"/>
      <c r="D1656" s="914"/>
      <c r="E1656" s="682"/>
      <c r="F1656" s="682"/>
      <c r="G1656" s="682"/>
      <c r="H1656" s="915"/>
      <c r="I1656" s="916"/>
      <c r="J1656" s="916"/>
      <c r="K1656" s="917"/>
      <c r="L1656" s="917"/>
      <c r="M1656" s="917"/>
      <c r="N1656" s="917"/>
      <c r="O1656" s="917"/>
      <c r="P1656" s="917"/>
      <c r="Q1656" s="578"/>
      <c r="R1656" s="578"/>
      <c r="S1656" s="578"/>
      <c r="T1656" s="578"/>
      <c r="U1656" s="578"/>
      <c r="V1656" s="578"/>
      <c r="W1656" s="578"/>
      <c r="X1656" s="578"/>
      <c r="Y1656" s="578"/>
      <c r="Z1656" s="578"/>
    </row>
    <row r="1657" spans="1:26" ht="18.75">
      <c r="A1657" s="682"/>
      <c r="B1657" s="682"/>
      <c r="C1657" s="682"/>
      <c r="D1657" s="914"/>
      <c r="E1657" s="682"/>
      <c r="F1657" s="682"/>
      <c r="G1657" s="682"/>
      <c r="H1657" s="915"/>
      <c r="I1657" s="916"/>
      <c r="J1657" s="916"/>
      <c r="K1657" s="917"/>
      <c r="L1657" s="917"/>
      <c r="M1657" s="917"/>
      <c r="N1657" s="917"/>
      <c r="O1657" s="917"/>
      <c r="P1657" s="917"/>
      <c r="Q1657" s="578"/>
      <c r="R1657" s="578"/>
      <c r="S1657" s="578"/>
      <c r="T1657" s="578"/>
      <c r="U1657" s="578"/>
      <c r="V1657" s="578"/>
      <c r="W1657" s="578"/>
      <c r="X1657" s="578"/>
      <c r="Y1657" s="578"/>
      <c r="Z1657" s="578"/>
    </row>
    <row r="1658" spans="1:26" ht="18.75">
      <c r="A1658" s="682"/>
      <c r="B1658" s="682"/>
      <c r="C1658" s="682"/>
      <c r="D1658" s="914"/>
      <c r="E1658" s="682"/>
      <c r="F1658" s="682"/>
      <c r="G1658" s="682"/>
      <c r="H1658" s="915"/>
      <c r="I1658" s="916"/>
      <c r="J1658" s="916"/>
      <c r="K1658" s="917"/>
      <c r="L1658" s="917"/>
      <c r="M1658" s="917"/>
      <c r="N1658" s="917"/>
      <c r="O1658" s="917"/>
      <c r="P1658" s="917"/>
      <c r="Q1658" s="578"/>
      <c r="R1658" s="578"/>
      <c r="S1658" s="578"/>
      <c r="T1658" s="578"/>
      <c r="U1658" s="578"/>
      <c r="V1658" s="578"/>
      <c r="W1658" s="578"/>
      <c r="X1658" s="578"/>
      <c r="Y1658" s="578"/>
      <c r="Z1658" s="578"/>
    </row>
    <row r="1659" spans="1:26" ht="18.75">
      <c r="A1659" s="682"/>
      <c r="B1659" s="682"/>
      <c r="C1659" s="682"/>
      <c r="D1659" s="914"/>
      <c r="E1659" s="682"/>
      <c r="F1659" s="682"/>
      <c r="G1659" s="682"/>
      <c r="H1659" s="915"/>
      <c r="I1659" s="916"/>
      <c r="J1659" s="916"/>
      <c r="K1659" s="917"/>
      <c r="L1659" s="917"/>
      <c r="M1659" s="917"/>
      <c r="N1659" s="917"/>
      <c r="O1659" s="917"/>
      <c r="P1659" s="917"/>
      <c r="Q1659" s="578"/>
      <c r="R1659" s="578"/>
      <c r="S1659" s="578"/>
      <c r="T1659" s="578"/>
      <c r="U1659" s="578"/>
      <c r="V1659" s="578"/>
      <c r="W1659" s="578"/>
      <c r="X1659" s="578"/>
      <c r="Y1659" s="578"/>
      <c r="Z1659" s="578"/>
    </row>
    <row r="1660" spans="1:26" ht="18.75">
      <c r="A1660" s="682"/>
      <c r="B1660" s="682"/>
      <c r="C1660" s="682"/>
      <c r="D1660" s="914"/>
      <c r="E1660" s="682"/>
      <c r="F1660" s="682"/>
      <c r="G1660" s="682"/>
      <c r="H1660" s="915"/>
      <c r="I1660" s="916"/>
      <c r="J1660" s="916"/>
      <c r="K1660" s="917"/>
      <c r="L1660" s="917"/>
      <c r="M1660" s="917"/>
      <c r="N1660" s="917"/>
      <c r="O1660" s="917"/>
      <c r="P1660" s="917"/>
      <c r="Q1660" s="578"/>
      <c r="R1660" s="578"/>
      <c r="S1660" s="578"/>
      <c r="T1660" s="578"/>
      <c r="U1660" s="578"/>
      <c r="V1660" s="578"/>
      <c r="W1660" s="578"/>
      <c r="X1660" s="578"/>
      <c r="Y1660" s="578"/>
      <c r="Z1660" s="578"/>
    </row>
    <row r="1661" spans="1:26" ht="18.75">
      <c r="A1661" s="682"/>
      <c r="B1661" s="682"/>
      <c r="C1661" s="682"/>
      <c r="D1661" s="914"/>
      <c r="E1661" s="682"/>
      <c r="F1661" s="682"/>
      <c r="G1661" s="682"/>
      <c r="H1661" s="915"/>
      <c r="I1661" s="916"/>
      <c r="J1661" s="916"/>
      <c r="K1661" s="917"/>
      <c r="L1661" s="917"/>
      <c r="M1661" s="917"/>
      <c r="N1661" s="917"/>
      <c r="O1661" s="917"/>
      <c r="P1661" s="917"/>
      <c r="Q1661" s="578"/>
      <c r="R1661" s="578"/>
      <c r="S1661" s="578"/>
      <c r="T1661" s="578"/>
      <c r="U1661" s="578"/>
      <c r="V1661" s="578"/>
      <c r="W1661" s="578"/>
      <c r="X1661" s="578"/>
      <c r="Y1661" s="578"/>
      <c r="Z1661" s="578"/>
    </row>
    <row r="1662" spans="1:26" ht="18.75">
      <c r="A1662" s="682"/>
      <c r="B1662" s="682"/>
      <c r="C1662" s="682"/>
      <c r="D1662" s="914"/>
      <c r="E1662" s="682"/>
      <c r="F1662" s="682"/>
      <c r="G1662" s="682"/>
      <c r="H1662" s="915"/>
      <c r="I1662" s="916"/>
      <c r="J1662" s="916"/>
      <c r="K1662" s="917"/>
      <c r="L1662" s="917"/>
      <c r="M1662" s="917"/>
      <c r="N1662" s="917"/>
      <c r="O1662" s="917"/>
      <c r="P1662" s="917"/>
      <c r="Q1662" s="578"/>
      <c r="R1662" s="578"/>
      <c r="S1662" s="578"/>
      <c r="T1662" s="578"/>
      <c r="U1662" s="578"/>
      <c r="V1662" s="578"/>
      <c r="W1662" s="578"/>
      <c r="X1662" s="578"/>
      <c r="Y1662" s="578"/>
      <c r="Z1662" s="578"/>
    </row>
    <row r="1663" spans="1:26" ht="18.75">
      <c r="A1663" s="682"/>
      <c r="B1663" s="682"/>
      <c r="C1663" s="682"/>
      <c r="D1663" s="914"/>
      <c r="E1663" s="682"/>
      <c r="F1663" s="682"/>
      <c r="G1663" s="682"/>
      <c r="H1663" s="915"/>
      <c r="I1663" s="916"/>
      <c r="J1663" s="916"/>
      <c r="K1663" s="917"/>
      <c r="L1663" s="917"/>
      <c r="M1663" s="917"/>
      <c r="N1663" s="917"/>
      <c r="O1663" s="917"/>
      <c r="P1663" s="917"/>
      <c r="Q1663" s="578"/>
      <c r="R1663" s="578"/>
      <c r="S1663" s="578"/>
      <c r="T1663" s="578"/>
      <c r="U1663" s="578"/>
      <c r="V1663" s="578"/>
      <c r="W1663" s="578"/>
      <c r="X1663" s="578"/>
      <c r="Y1663" s="578"/>
      <c r="Z1663" s="578"/>
    </row>
    <row r="1664" spans="1:26" ht="18.75">
      <c r="A1664" s="682"/>
      <c r="B1664" s="682"/>
      <c r="C1664" s="682"/>
      <c r="D1664" s="914"/>
      <c r="E1664" s="682"/>
      <c r="F1664" s="682"/>
      <c r="G1664" s="682"/>
      <c r="H1664" s="915"/>
      <c r="I1664" s="916"/>
      <c r="J1664" s="916"/>
      <c r="K1664" s="917"/>
      <c r="L1664" s="917"/>
      <c r="M1664" s="917"/>
      <c r="N1664" s="917"/>
      <c r="O1664" s="917"/>
      <c r="P1664" s="917"/>
      <c r="Q1664" s="578"/>
      <c r="R1664" s="578"/>
      <c r="S1664" s="578"/>
      <c r="T1664" s="578"/>
      <c r="U1664" s="578"/>
      <c r="V1664" s="578"/>
      <c r="W1664" s="578"/>
      <c r="X1664" s="578"/>
      <c r="Y1664" s="578"/>
      <c r="Z1664" s="578"/>
    </row>
    <row r="1665" spans="1:26" ht="18.75">
      <c r="A1665" s="682"/>
      <c r="B1665" s="682"/>
      <c r="C1665" s="682"/>
      <c r="D1665" s="914"/>
      <c r="E1665" s="682"/>
      <c r="F1665" s="682"/>
      <c r="G1665" s="682"/>
      <c r="H1665" s="915"/>
      <c r="I1665" s="916"/>
      <c r="J1665" s="916"/>
      <c r="K1665" s="917"/>
      <c r="L1665" s="917"/>
      <c r="M1665" s="917"/>
      <c r="N1665" s="917"/>
      <c r="O1665" s="917"/>
      <c r="P1665" s="917"/>
      <c r="Q1665" s="578"/>
      <c r="R1665" s="578"/>
      <c r="S1665" s="578"/>
      <c r="T1665" s="578"/>
      <c r="U1665" s="578"/>
      <c r="V1665" s="578"/>
      <c r="W1665" s="578"/>
      <c r="X1665" s="578"/>
      <c r="Y1665" s="578"/>
      <c r="Z1665" s="578"/>
    </row>
    <row r="1666" spans="1:26" ht="18.75">
      <c r="A1666" s="682"/>
      <c r="B1666" s="682"/>
      <c r="C1666" s="682"/>
      <c r="D1666" s="914"/>
      <c r="E1666" s="682"/>
      <c r="F1666" s="682"/>
      <c r="G1666" s="682"/>
      <c r="H1666" s="915"/>
      <c r="I1666" s="916"/>
      <c r="J1666" s="916"/>
      <c r="K1666" s="917"/>
      <c r="L1666" s="917"/>
      <c r="M1666" s="917"/>
      <c r="N1666" s="917"/>
      <c r="O1666" s="917"/>
      <c r="P1666" s="917"/>
      <c r="Q1666" s="578"/>
      <c r="R1666" s="578"/>
      <c r="S1666" s="578"/>
      <c r="T1666" s="578"/>
      <c r="U1666" s="578"/>
      <c r="V1666" s="578"/>
      <c r="W1666" s="578"/>
      <c r="X1666" s="578"/>
      <c r="Y1666" s="578"/>
      <c r="Z1666" s="578"/>
    </row>
    <row r="1667" spans="1:26" ht="18.75">
      <c r="A1667" s="682"/>
      <c r="B1667" s="682"/>
      <c r="C1667" s="682"/>
      <c r="D1667" s="914"/>
      <c r="E1667" s="682"/>
      <c r="F1667" s="682"/>
      <c r="G1667" s="682"/>
      <c r="H1667" s="915"/>
      <c r="I1667" s="916"/>
      <c r="J1667" s="916"/>
      <c r="K1667" s="917"/>
      <c r="L1667" s="917"/>
      <c r="M1667" s="917"/>
      <c r="N1667" s="917"/>
      <c r="O1667" s="917"/>
      <c r="P1667" s="917"/>
      <c r="Q1667" s="578"/>
      <c r="R1667" s="578"/>
      <c r="S1667" s="578"/>
      <c r="T1667" s="578"/>
      <c r="U1667" s="578"/>
      <c r="V1667" s="578"/>
      <c r="W1667" s="578"/>
      <c r="X1667" s="578"/>
      <c r="Y1667" s="578"/>
      <c r="Z1667" s="578"/>
    </row>
    <row r="1668" spans="1:26" ht="18.75">
      <c r="A1668" s="682"/>
      <c r="B1668" s="682"/>
      <c r="C1668" s="682"/>
      <c r="D1668" s="914"/>
      <c r="E1668" s="682"/>
      <c r="F1668" s="682"/>
      <c r="G1668" s="682"/>
      <c r="H1668" s="915"/>
      <c r="I1668" s="916"/>
      <c r="J1668" s="916"/>
      <c r="K1668" s="917"/>
      <c r="L1668" s="917"/>
      <c r="M1668" s="917"/>
      <c r="N1668" s="917"/>
      <c r="O1668" s="917"/>
      <c r="P1668" s="917"/>
      <c r="Q1668" s="578"/>
      <c r="R1668" s="578"/>
      <c r="S1668" s="578"/>
      <c r="T1668" s="578"/>
      <c r="U1668" s="578"/>
      <c r="V1668" s="578"/>
      <c r="W1668" s="578"/>
      <c r="X1668" s="578"/>
      <c r="Y1668" s="578"/>
      <c r="Z1668" s="578"/>
    </row>
    <row r="1669" spans="1:26" ht="18.75">
      <c r="A1669" s="682"/>
      <c r="B1669" s="682"/>
      <c r="C1669" s="682"/>
      <c r="D1669" s="914"/>
      <c r="E1669" s="682"/>
      <c r="F1669" s="682"/>
      <c r="G1669" s="682"/>
      <c r="H1669" s="915"/>
      <c r="I1669" s="916"/>
      <c r="J1669" s="916"/>
      <c r="K1669" s="917"/>
      <c r="L1669" s="917"/>
      <c r="M1669" s="917"/>
      <c r="N1669" s="917"/>
      <c r="O1669" s="917"/>
      <c r="P1669" s="917"/>
      <c r="Q1669" s="578"/>
      <c r="R1669" s="578"/>
      <c r="S1669" s="578"/>
      <c r="T1669" s="578"/>
      <c r="U1669" s="578"/>
      <c r="V1669" s="578"/>
      <c r="W1669" s="578"/>
      <c r="X1669" s="578"/>
      <c r="Y1669" s="578"/>
      <c r="Z1669" s="578"/>
    </row>
    <row r="1670" spans="1:26" ht="18.75">
      <c r="A1670" s="682"/>
      <c r="B1670" s="682"/>
      <c r="C1670" s="682"/>
      <c r="D1670" s="914"/>
      <c r="E1670" s="682"/>
      <c r="F1670" s="682"/>
      <c r="G1670" s="682"/>
      <c r="H1670" s="915"/>
      <c r="I1670" s="916"/>
      <c r="J1670" s="916"/>
      <c r="K1670" s="917"/>
      <c r="L1670" s="917"/>
      <c r="M1670" s="917"/>
      <c r="N1670" s="917"/>
      <c r="O1670" s="917"/>
      <c r="P1670" s="917"/>
      <c r="Q1670" s="578"/>
      <c r="R1670" s="578"/>
      <c r="S1670" s="578"/>
      <c r="T1670" s="578"/>
      <c r="U1670" s="578"/>
      <c r="V1670" s="578"/>
      <c r="W1670" s="578"/>
      <c r="X1670" s="578"/>
      <c r="Y1670" s="578"/>
      <c r="Z1670" s="578"/>
    </row>
    <row r="1671" spans="1:26" ht="18.75">
      <c r="A1671" s="682"/>
      <c r="B1671" s="682"/>
      <c r="C1671" s="682"/>
      <c r="D1671" s="914"/>
      <c r="E1671" s="682"/>
      <c r="F1671" s="682"/>
      <c r="G1671" s="682"/>
      <c r="H1671" s="915"/>
      <c r="I1671" s="916"/>
      <c r="J1671" s="916"/>
      <c r="K1671" s="917"/>
      <c r="L1671" s="917"/>
      <c r="M1671" s="917"/>
      <c r="N1671" s="917"/>
      <c r="O1671" s="917"/>
      <c r="P1671" s="917"/>
      <c r="Q1671" s="578"/>
      <c r="R1671" s="578"/>
      <c r="S1671" s="578"/>
      <c r="T1671" s="578"/>
      <c r="U1671" s="578"/>
      <c r="V1671" s="578"/>
      <c r="W1671" s="578"/>
      <c r="X1671" s="578"/>
      <c r="Y1671" s="578"/>
      <c r="Z1671" s="578"/>
    </row>
    <row r="1672" spans="1:26" ht="18.75">
      <c r="A1672" s="682"/>
      <c r="B1672" s="682"/>
      <c r="C1672" s="682"/>
      <c r="D1672" s="914"/>
      <c r="E1672" s="682"/>
      <c r="F1672" s="682"/>
      <c r="G1672" s="682"/>
      <c r="H1672" s="915"/>
      <c r="I1672" s="916"/>
      <c r="J1672" s="916"/>
      <c r="K1672" s="917"/>
      <c r="L1672" s="917"/>
      <c r="M1672" s="917"/>
      <c r="N1672" s="917"/>
      <c r="O1672" s="917"/>
      <c r="P1672" s="917"/>
      <c r="Q1672" s="578"/>
      <c r="R1672" s="578"/>
      <c r="S1672" s="578"/>
      <c r="T1672" s="578"/>
      <c r="U1672" s="578"/>
      <c r="V1672" s="578"/>
      <c r="W1672" s="578"/>
      <c r="X1672" s="578"/>
      <c r="Y1672" s="578"/>
      <c r="Z1672" s="578"/>
    </row>
    <row r="1673" spans="1:26" ht="18.75">
      <c r="A1673" s="682"/>
      <c r="B1673" s="682"/>
      <c r="C1673" s="682"/>
      <c r="D1673" s="914"/>
      <c r="E1673" s="682"/>
      <c r="F1673" s="682"/>
      <c r="G1673" s="682"/>
      <c r="H1673" s="915"/>
      <c r="I1673" s="916"/>
      <c r="J1673" s="916"/>
      <c r="K1673" s="917"/>
      <c r="L1673" s="917"/>
      <c r="M1673" s="917"/>
      <c r="N1673" s="917"/>
      <c r="O1673" s="917"/>
      <c r="P1673" s="917"/>
      <c r="Q1673" s="578"/>
      <c r="R1673" s="578"/>
      <c r="S1673" s="578"/>
      <c r="T1673" s="578"/>
      <c r="U1673" s="578"/>
      <c r="V1673" s="578"/>
      <c r="W1673" s="578"/>
      <c r="X1673" s="578"/>
      <c r="Y1673" s="578"/>
      <c r="Z1673" s="578"/>
    </row>
    <row r="1674" spans="1:26" ht="18.75">
      <c r="A1674" s="682"/>
      <c r="B1674" s="682"/>
      <c r="C1674" s="682"/>
      <c r="D1674" s="914"/>
      <c r="E1674" s="682"/>
      <c r="F1674" s="682"/>
      <c r="G1674" s="682"/>
      <c r="H1674" s="915"/>
      <c r="I1674" s="916"/>
      <c r="J1674" s="916"/>
      <c r="K1674" s="917"/>
      <c r="L1674" s="917"/>
      <c r="M1674" s="917"/>
      <c r="N1674" s="917"/>
      <c r="O1674" s="917"/>
      <c r="P1674" s="917"/>
      <c r="Q1674" s="578"/>
      <c r="R1674" s="578"/>
      <c r="S1674" s="578"/>
      <c r="T1674" s="578"/>
      <c r="U1674" s="578"/>
      <c r="V1674" s="578"/>
      <c r="W1674" s="578"/>
      <c r="X1674" s="578"/>
      <c r="Y1674" s="578"/>
      <c r="Z1674" s="578"/>
    </row>
    <row r="1675" spans="1:26" ht="18.75">
      <c r="A1675" s="682"/>
      <c r="B1675" s="682"/>
      <c r="C1675" s="682"/>
      <c r="D1675" s="914"/>
      <c r="E1675" s="682"/>
      <c r="F1675" s="682"/>
      <c r="G1675" s="682"/>
      <c r="H1675" s="915"/>
      <c r="I1675" s="916"/>
      <c r="J1675" s="916"/>
      <c r="K1675" s="917"/>
      <c r="L1675" s="917"/>
      <c r="M1675" s="917"/>
      <c r="N1675" s="917"/>
      <c r="O1675" s="917"/>
      <c r="P1675" s="917"/>
      <c r="Q1675" s="578"/>
      <c r="R1675" s="578"/>
      <c r="S1675" s="578"/>
      <c r="T1675" s="578"/>
      <c r="U1675" s="578"/>
      <c r="V1675" s="578"/>
      <c r="W1675" s="578"/>
      <c r="X1675" s="578"/>
      <c r="Y1675" s="578"/>
      <c r="Z1675" s="578"/>
    </row>
    <row r="1676" spans="1:26" ht="18.75">
      <c r="A1676" s="682"/>
      <c r="B1676" s="682"/>
      <c r="C1676" s="682"/>
      <c r="D1676" s="914"/>
      <c r="E1676" s="682"/>
      <c r="F1676" s="682"/>
      <c r="G1676" s="682"/>
      <c r="H1676" s="915"/>
      <c r="I1676" s="916"/>
      <c r="J1676" s="916"/>
      <c r="K1676" s="917"/>
      <c r="L1676" s="917"/>
      <c r="M1676" s="917"/>
      <c r="N1676" s="917"/>
      <c r="O1676" s="917"/>
      <c r="P1676" s="917"/>
      <c r="Q1676" s="578"/>
      <c r="R1676" s="578"/>
      <c r="S1676" s="578"/>
      <c r="T1676" s="578"/>
      <c r="U1676" s="578"/>
      <c r="V1676" s="578"/>
      <c r="W1676" s="578"/>
      <c r="X1676" s="578"/>
      <c r="Y1676" s="578"/>
      <c r="Z1676" s="578"/>
    </row>
    <row r="1677" spans="1:26" ht="18.75">
      <c r="A1677" s="682"/>
      <c r="B1677" s="682"/>
      <c r="C1677" s="682"/>
      <c r="D1677" s="914"/>
      <c r="E1677" s="682"/>
      <c r="F1677" s="682"/>
      <c r="G1677" s="682"/>
      <c r="H1677" s="915"/>
      <c r="I1677" s="916"/>
      <c r="J1677" s="916"/>
      <c r="K1677" s="917"/>
      <c r="L1677" s="917"/>
      <c r="M1677" s="917"/>
      <c r="N1677" s="917"/>
      <c r="O1677" s="917"/>
      <c r="P1677" s="917"/>
      <c r="Q1677" s="578"/>
      <c r="R1677" s="578"/>
      <c r="S1677" s="578"/>
      <c r="T1677" s="578"/>
      <c r="U1677" s="578"/>
      <c r="V1677" s="578"/>
      <c r="W1677" s="578"/>
      <c r="X1677" s="578"/>
      <c r="Y1677" s="578"/>
      <c r="Z1677" s="578"/>
    </row>
    <row r="1678" spans="1:26" ht="18.75">
      <c r="A1678" s="682"/>
      <c r="B1678" s="682"/>
      <c r="C1678" s="682"/>
      <c r="D1678" s="914"/>
      <c r="E1678" s="682"/>
      <c r="F1678" s="682"/>
      <c r="G1678" s="682"/>
      <c r="H1678" s="915"/>
      <c r="I1678" s="916"/>
      <c r="J1678" s="916"/>
      <c r="K1678" s="917"/>
      <c r="L1678" s="917"/>
      <c r="M1678" s="917"/>
      <c r="N1678" s="917"/>
      <c r="O1678" s="917"/>
      <c r="P1678" s="917"/>
      <c r="Q1678" s="578"/>
      <c r="R1678" s="578"/>
      <c r="S1678" s="578"/>
      <c r="T1678" s="578"/>
      <c r="U1678" s="578"/>
      <c r="V1678" s="578"/>
      <c r="W1678" s="578"/>
      <c r="X1678" s="578"/>
      <c r="Y1678" s="578"/>
      <c r="Z1678" s="578"/>
    </row>
    <row r="1679" spans="1:26" ht="18.75">
      <c r="A1679" s="682"/>
      <c r="B1679" s="682"/>
      <c r="C1679" s="682"/>
      <c r="D1679" s="914"/>
      <c r="E1679" s="682"/>
      <c r="F1679" s="682"/>
      <c r="G1679" s="682"/>
      <c r="H1679" s="915"/>
      <c r="I1679" s="916"/>
      <c r="J1679" s="916"/>
      <c r="K1679" s="917"/>
      <c r="L1679" s="917"/>
      <c r="M1679" s="917"/>
      <c r="N1679" s="917"/>
      <c r="O1679" s="917"/>
      <c r="P1679" s="917"/>
      <c r="Q1679" s="578"/>
      <c r="R1679" s="578"/>
      <c r="S1679" s="578"/>
      <c r="T1679" s="578"/>
      <c r="U1679" s="578"/>
      <c r="V1679" s="578"/>
      <c r="W1679" s="578"/>
      <c r="X1679" s="578"/>
      <c r="Y1679" s="578"/>
      <c r="Z1679" s="578"/>
    </row>
    <row r="1680" spans="1:26" ht="18.75">
      <c r="A1680" s="682"/>
      <c r="B1680" s="682"/>
      <c r="C1680" s="682"/>
      <c r="D1680" s="914"/>
      <c r="E1680" s="682"/>
      <c r="F1680" s="682"/>
      <c r="G1680" s="682"/>
      <c r="H1680" s="915"/>
      <c r="I1680" s="916"/>
      <c r="J1680" s="916"/>
      <c r="K1680" s="917"/>
      <c r="L1680" s="917"/>
      <c r="M1680" s="917"/>
      <c r="N1680" s="917"/>
      <c r="O1680" s="917"/>
      <c r="P1680" s="917"/>
      <c r="Q1680" s="578"/>
      <c r="R1680" s="578"/>
      <c r="S1680" s="578"/>
      <c r="T1680" s="578"/>
      <c r="U1680" s="578"/>
      <c r="V1680" s="578"/>
      <c r="W1680" s="578"/>
      <c r="X1680" s="578"/>
      <c r="Y1680" s="578"/>
      <c r="Z1680" s="578"/>
    </row>
    <row r="1681" spans="1:26" ht="18.75">
      <c r="A1681" s="682"/>
      <c r="B1681" s="682"/>
      <c r="C1681" s="682"/>
      <c r="D1681" s="914"/>
      <c r="E1681" s="682"/>
      <c r="F1681" s="682"/>
      <c r="G1681" s="682"/>
      <c r="H1681" s="915"/>
      <c r="I1681" s="916"/>
      <c r="J1681" s="916"/>
      <c r="K1681" s="917"/>
      <c r="L1681" s="917"/>
      <c r="M1681" s="917"/>
      <c r="N1681" s="917"/>
      <c r="O1681" s="917"/>
      <c r="P1681" s="917"/>
      <c r="Q1681" s="578"/>
      <c r="R1681" s="578"/>
      <c r="S1681" s="578"/>
      <c r="T1681" s="578"/>
      <c r="U1681" s="578"/>
      <c r="V1681" s="578"/>
      <c r="W1681" s="578"/>
      <c r="X1681" s="578"/>
      <c r="Y1681" s="578"/>
      <c r="Z1681" s="578"/>
    </row>
    <row r="1682" spans="1:26" ht="18.75">
      <c r="A1682" s="682"/>
      <c r="B1682" s="682"/>
      <c r="C1682" s="682"/>
      <c r="D1682" s="914"/>
      <c r="E1682" s="682"/>
      <c r="F1682" s="682"/>
      <c r="G1682" s="682"/>
      <c r="H1682" s="915"/>
      <c r="I1682" s="916"/>
      <c r="J1682" s="916"/>
      <c r="K1682" s="917"/>
      <c r="L1682" s="917"/>
      <c r="M1682" s="917"/>
      <c r="N1682" s="917"/>
      <c r="O1682" s="917"/>
      <c r="P1682" s="917"/>
      <c r="Q1682" s="578"/>
      <c r="R1682" s="578"/>
      <c r="S1682" s="578"/>
      <c r="T1682" s="578"/>
      <c r="U1682" s="578"/>
      <c r="V1682" s="578"/>
      <c r="W1682" s="578"/>
      <c r="X1682" s="578"/>
      <c r="Y1682" s="578"/>
      <c r="Z1682" s="578"/>
    </row>
    <row r="1683" spans="1:26" ht="18.75">
      <c r="A1683" s="682"/>
      <c r="B1683" s="682"/>
      <c r="C1683" s="682"/>
      <c r="D1683" s="914"/>
      <c r="E1683" s="682"/>
      <c r="F1683" s="682"/>
      <c r="G1683" s="682"/>
      <c r="H1683" s="915"/>
      <c r="I1683" s="916"/>
      <c r="J1683" s="916"/>
      <c r="K1683" s="917"/>
      <c r="L1683" s="917"/>
      <c r="M1683" s="917"/>
      <c r="N1683" s="917"/>
      <c r="O1683" s="917"/>
      <c r="P1683" s="917"/>
      <c r="Q1683" s="578"/>
      <c r="R1683" s="578"/>
      <c r="S1683" s="578"/>
      <c r="T1683" s="578"/>
      <c r="U1683" s="578"/>
      <c r="V1683" s="578"/>
      <c r="W1683" s="578"/>
      <c r="X1683" s="578"/>
      <c r="Y1683" s="578"/>
      <c r="Z1683" s="578"/>
    </row>
    <row r="1684" spans="1:26" ht="18.75">
      <c r="A1684" s="682"/>
      <c r="B1684" s="682"/>
      <c r="C1684" s="682"/>
      <c r="D1684" s="914"/>
      <c r="E1684" s="682"/>
      <c r="F1684" s="682"/>
      <c r="G1684" s="682"/>
      <c r="H1684" s="915"/>
      <c r="I1684" s="916"/>
      <c r="J1684" s="916"/>
      <c r="K1684" s="917"/>
      <c r="L1684" s="917"/>
      <c r="M1684" s="917"/>
      <c r="N1684" s="917"/>
      <c r="O1684" s="917"/>
      <c r="P1684" s="917"/>
      <c r="Q1684" s="578"/>
      <c r="R1684" s="578"/>
      <c r="S1684" s="578"/>
      <c r="T1684" s="578"/>
      <c r="U1684" s="578"/>
      <c r="V1684" s="578"/>
      <c r="W1684" s="578"/>
      <c r="X1684" s="578"/>
      <c r="Y1684" s="578"/>
      <c r="Z1684" s="578"/>
    </row>
    <row r="1685" spans="1:26" ht="18.75">
      <c r="A1685" s="682"/>
      <c r="B1685" s="682"/>
      <c r="C1685" s="682"/>
      <c r="D1685" s="914"/>
      <c r="E1685" s="682"/>
      <c r="F1685" s="682"/>
      <c r="G1685" s="682"/>
      <c r="H1685" s="915"/>
      <c r="I1685" s="916"/>
      <c r="J1685" s="916"/>
      <c r="K1685" s="917"/>
      <c r="L1685" s="917"/>
      <c r="M1685" s="917"/>
      <c r="N1685" s="917"/>
      <c r="O1685" s="917"/>
      <c r="P1685" s="917"/>
      <c r="Q1685" s="578"/>
      <c r="R1685" s="578"/>
      <c r="S1685" s="578"/>
      <c r="T1685" s="578"/>
      <c r="U1685" s="578"/>
      <c r="V1685" s="578"/>
      <c r="W1685" s="578"/>
      <c r="X1685" s="578"/>
      <c r="Y1685" s="578"/>
      <c r="Z1685" s="578"/>
    </row>
    <row r="1686" spans="1:26" ht="18.75">
      <c r="A1686" s="682"/>
      <c r="B1686" s="682"/>
      <c r="C1686" s="682"/>
      <c r="D1686" s="914"/>
      <c r="E1686" s="682"/>
      <c r="F1686" s="682"/>
      <c r="G1686" s="682"/>
      <c r="H1686" s="915"/>
      <c r="I1686" s="916"/>
      <c r="J1686" s="916"/>
      <c r="K1686" s="917"/>
      <c r="L1686" s="917"/>
      <c r="M1686" s="917"/>
      <c r="N1686" s="917"/>
      <c r="O1686" s="917"/>
      <c r="P1686" s="917"/>
      <c r="Q1686" s="578"/>
      <c r="R1686" s="578"/>
      <c r="S1686" s="578"/>
      <c r="T1686" s="578"/>
      <c r="U1686" s="578"/>
      <c r="V1686" s="578"/>
      <c r="W1686" s="578"/>
      <c r="X1686" s="578"/>
      <c r="Y1686" s="578"/>
      <c r="Z1686" s="578"/>
    </row>
    <row r="1687" spans="1:26" ht="18.75">
      <c r="A1687" s="682"/>
      <c r="B1687" s="682"/>
      <c r="C1687" s="682"/>
      <c r="D1687" s="914"/>
      <c r="E1687" s="682"/>
      <c r="F1687" s="682"/>
      <c r="G1687" s="682"/>
      <c r="H1687" s="915"/>
      <c r="I1687" s="916"/>
      <c r="J1687" s="916"/>
      <c r="K1687" s="917"/>
      <c r="L1687" s="917"/>
      <c r="M1687" s="917"/>
      <c r="N1687" s="917"/>
      <c r="O1687" s="917"/>
      <c r="P1687" s="917"/>
      <c r="Q1687" s="578"/>
      <c r="R1687" s="578"/>
      <c r="S1687" s="578"/>
      <c r="T1687" s="578"/>
      <c r="U1687" s="578"/>
      <c r="V1687" s="578"/>
      <c r="W1687" s="578"/>
      <c r="X1687" s="578"/>
      <c r="Y1687" s="578"/>
      <c r="Z1687" s="578"/>
    </row>
    <row r="1688" spans="1:26" ht="18.75">
      <c r="A1688" s="682"/>
      <c r="B1688" s="682"/>
      <c r="C1688" s="682"/>
      <c r="D1688" s="914"/>
      <c r="E1688" s="682"/>
      <c r="F1688" s="682"/>
      <c r="G1688" s="682"/>
      <c r="H1688" s="915"/>
      <c r="I1688" s="916"/>
      <c r="J1688" s="916"/>
      <c r="K1688" s="917"/>
      <c r="L1688" s="917"/>
      <c r="M1688" s="917"/>
      <c r="N1688" s="917"/>
      <c r="O1688" s="917"/>
      <c r="P1688" s="917"/>
      <c r="Q1688" s="578"/>
      <c r="R1688" s="578"/>
      <c r="S1688" s="578"/>
      <c r="T1688" s="578"/>
      <c r="U1688" s="578"/>
      <c r="V1688" s="578"/>
      <c r="W1688" s="578"/>
      <c r="X1688" s="578"/>
      <c r="Y1688" s="578"/>
      <c r="Z1688" s="578"/>
    </row>
    <row r="1689" spans="1:26" ht="18.75">
      <c r="A1689" s="682"/>
      <c r="B1689" s="682"/>
      <c r="C1689" s="682"/>
      <c r="D1689" s="914"/>
      <c r="E1689" s="682"/>
      <c r="F1689" s="682"/>
      <c r="G1689" s="682"/>
      <c r="H1689" s="915"/>
      <c r="I1689" s="916"/>
      <c r="J1689" s="916"/>
      <c r="K1689" s="917"/>
      <c r="L1689" s="917"/>
      <c r="M1689" s="917"/>
      <c r="N1689" s="917"/>
      <c r="O1689" s="917"/>
      <c r="P1689" s="917"/>
      <c r="Q1689" s="578"/>
      <c r="R1689" s="578"/>
      <c r="S1689" s="578"/>
      <c r="T1689" s="578"/>
      <c r="U1689" s="578"/>
      <c r="V1689" s="578"/>
      <c r="W1689" s="578"/>
      <c r="X1689" s="578"/>
      <c r="Y1689" s="578"/>
      <c r="Z1689" s="578"/>
    </row>
    <row r="1690" spans="1:26" ht="18.75">
      <c r="A1690" s="682"/>
      <c r="B1690" s="682"/>
      <c r="C1690" s="682"/>
      <c r="D1690" s="914"/>
      <c r="E1690" s="682"/>
      <c r="F1690" s="682"/>
      <c r="G1690" s="682"/>
      <c r="H1690" s="915"/>
      <c r="I1690" s="916"/>
      <c r="J1690" s="916"/>
      <c r="K1690" s="917"/>
      <c r="L1690" s="917"/>
      <c r="M1690" s="917"/>
      <c r="N1690" s="917"/>
      <c r="O1690" s="917"/>
      <c r="P1690" s="917"/>
      <c r="Q1690" s="578"/>
      <c r="R1690" s="578"/>
      <c r="S1690" s="578"/>
      <c r="T1690" s="578"/>
      <c r="U1690" s="578"/>
      <c r="V1690" s="578"/>
      <c r="W1690" s="578"/>
      <c r="X1690" s="578"/>
      <c r="Y1690" s="578"/>
      <c r="Z1690" s="578"/>
    </row>
    <row r="1691" spans="1:26" ht="18.75">
      <c r="A1691" s="682"/>
      <c r="B1691" s="682"/>
      <c r="C1691" s="682"/>
      <c r="D1691" s="914"/>
      <c r="E1691" s="682"/>
      <c r="F1691" s="682"/>
      <c r="G1691" s="682"/>
      <c r="H1691" s="915"/>
      <c r="I1691" s="916"/>
      <c r="J1691" s="916"/>
      <c r="K1691" s="917"/>
      <c r="L1691" s="917"/>
      <c r="M1691" s="917"/>
      <c r="N1691" s="917"/>
      <c r="O1691" s="917"/>
      <c r="P1691" s="917"/>
      <c r="Q1691" s="578"/>
      <c r="R1691" s="578"/>
      <c r="S1691" s="578"/>
      <c r="T1691" s="578"/>
      <c r="U1691" s="578"/>
      <c r="V1691" s="578"/>
      <c r="W1691" s="578"/>
      <c r="X1691" s="578"/>
      <c r="Y1691" s="578"/>
      <c r="Z1691" s="578"/>
    </row>
    <row r="1692" spans="1:26" ht="18.75">
      <c r="A1692" s="682"/>
      <c r="B1692" s="682"/>
      <c r="C1692" s="682"/>
      <c r="D1692" s="914"/>
      <c r="E1692" s="682"/>
      <c r="F1692" s="682"/>
      <c r="G1692" s="682"/>
      <c r="H1692" s="915"/>
      <c r="I1692" s="916"/>
      <c r="J1692" s="916"/>
      <c r="K1692" s="917"/>
      <c r="L1692" s="917"/>
      <c r="M1692" s="917"/>
      <c r="N1692" s="917"/>
      <c r="O1692" s="917"/>
      <c r="P1692" s="917"/>
      <c r="Q1692" s="578"/>
      <c r="R1692" s="578"/>
      <c r="S1692" s="578"/>
      <c r="T1692" s="578"/>
      <c r="U1692" s="578"/>
      <c r="V1692" s="578"/>
      <c r="W1692" s="578"/>
      <c r="X1692" s="578"/>
      <c r="Y1692" s="578"/>
      <c r="Z1692" s="578"/>
    </row>
    <row r="1693" spans="1:26" ht="18.75">
      <c r="A1693" s="682"/>
      <c r="B1693" s="682"/>
      <c r="C1693" s="682"/>
      <c r="D1693" s="914"/>
      <c r="E1693" s="682"/>
      <c r="F1693" s="682"/>
      <c r="G1693" s="682"/>
      <c r="H1693" s="915"/>
      <c r="I1693" s="916"/>
      <c r="J1693" s="916"/>
      <c r="K1693" s="917"/>
      <c r="L1693" s="917"/>
      <c r="M1693" s="917"/>
      <c r="N1693" s="917"/>
      <c r="O1693" s="917"/>
      <c r="P1693" s="917"/>
      <c r="Q1693" s="578"/>
      <c r="R1693" s="578"/>
      <c r="S1693" s="578"/>
      <c r="T1693" s="578"/>
      <c r="U1693" s="578"/>
      <c r="V1693" s="578"/>
      <c r="W1693" s="578"/>
      <c r="X1693" s="578"/>
      <c r="Y1693" s="578"/>
      <c r="Z1693" s="578"/>
    </row>
    <row r="1694" spans="1:26" ht="18.75">
      <c r="A1694" s="682"/>
      <c r="B1694" s="682"/>
      <c r="C1694" s="682"/>
      <c r="D1694" s="914"/>
      <c r="E1694" s="682"/>
      <c r="F1694" s="682"/>
      <c r="G1694" s="682"/>
      <c r="H1694" s="915"/>
      <c r="I1694" s="916"/>
      <c r="J1694" s="916"/>
      <c r="K1694" s="917"/>
      <c r="L1694" s="917"/>
      <c r="M1694" s="917"/>
      <c r="N1694" s="917"/>
      <c r="O1694" s="917"/>
      <c r="P1694" s="917"/>
      <c r="Q1694" s="578"/>
      <c r="R1694" s="578"/>
      <c r="S1694" s="578"/>
      <c r="T1694" s="578"/>
      <c r="U1694" s="578"/>
      <c r="V1694" s="578"/>
      <c r="W1694" s="578"/>
      <c r="X1694" s="578"/>
      <c r="Y1694" s="578"/>
      <c r="Z1694" s="578"/>
    </row>
    <row r="1695" spans="1:26" ht="18.75">
      <c r="A1695" s="682"/>
      <c r="B1695" s="682"/>
      <c r="C1695" s="682"/>
      <c r="D1695" s="914"/>
      <c r="E1695" s="682"/>
      <c r="F1695" s="682"/>
      <c r="G1695" s="682"/>
      <c r="H1695" s="915"/>
      <c r="I1695" s="916"/>
      <c r="J1695" s="916"/>
      <c r="K1695" s="917"/>
      <c r="L1695" s="917"/>
      <c r="M1695" s="917"/>
      <c r="N1695" s="917"/>
      <c r="O1695" s="917"/>
      <c r="P1695" s="917"/>
      <c r="Q1695" s="578"/>
      <c r="R1695" s="578"/>
      <c r="S1695" s="578"/>
      <c r="T1695" s="578"/>
      <c r="U1695" s="578"/>
      <c r="V1695" s="578"/>
      <c r="W1695" s="578"/>
      <c r="X1695" s="578"/>
      <c r="Y1695" s="578"/>
      <c r="Z1695" s="578"/>
    </row>
    <row r="1696" spans="1:26" ht="18.75">
      <c r="A1696" s="682"/>
      <c r="B1696" s="682"/>
      <c r="C1696" s="682"/>
      <c r="D1696" s="914"/>
      <c r="E1696" s="682"/>
      <c r="F1696" s="682"/>
      <c r="G1696" s="682"/>
      <c r="H1696" s="915"/>
      <c r="I1696" s="916"/>
      <c r="J1696" s="916"/>
      <c r="K1696" s="917"/>
      <c r="L1696" s="917"/>
      <c r="M1696" s="917"/>
      <c r="N1696" s="917"/>
      <c r="O1696" s="917"/>
      <c r="P1696" s="917"/>
      <c r="Q1696" s="578"/>
      <c r="R1696" s="578"/>
      <c r="S1696" s="578"/>
      <c r="T1696" s="578"/>
      <c r="U1696" s="578"/>
      <c r="V1696" s="578"/>
      <c r="W1696" s="578"/>
      <c r="X1696" s="578"/>
      <c r="Y1696" s="578"/>
      <c r="Z1696" s="578"/>
    </row>
    <row r="1697" spans="1:26" ht="18.75">
      <c r="A1697" s="682"/>
      <c r="B1697" s="682"/>
      <c r="C1697" s="682"/>
      <c r="D1697" s="914"/>
      <c r="E1697" s="682"/>
      <c r="F1697" s="682"/>
      <c r="G1697" s="682"/>
      <c r="H1697" s="915"/>
      <c r="I1697" s="916"/>
      <c r="J1697" s="916"/>
      <c r="K1697" s="917"/>
      <c r="L1697" s="917"/>
      <c r="M1697" s="917"/>
      <c r="N1697" s="917"/>
      <c r="O1697" s="917"/>
      <c r="P1697" s="917"/>
      <c r="Q1697" s="578"/>
      <c r="R1697" s="578"/>
      <c r="S1697" s="578"/>
      <c r="T1697" s="578"/>
      <c r="U1697" s="578"/>
      <c r="V1697" s="578"/>
      <c r="W1697" s="578"/>
      <c r="X1697" s="578"/>
      <c r="Y1697" s="578"/>
      <c r="Z1697" s="578"/>
    </row>
    <row r="1698" spans="1:26" ht="18.75">
      <c r="A1698" s="682"/>
      <c r="B1698" s="682"/>
      <c r="C1698" s="682"/>
      <c r="D1698" s="914"/>
      <c r="E1698" s="682"/>
      <c r="F1698" s="682"/>
      <c r="G1698" s="682"/>
      <c r="H1698" s="915"/>
      <c r="I1698" s="916"/>
      <c r="J1698" s="916"/>
      <c r="K1698" s="917"/>
      <c r="L1698" s="917"/>
      <c r="M1698" s="917"/>
      <c r="N1698" s="917"/>
      <c r="O1698" s="917"/>
      <c r="P1698" s="917"/>
      <c r="Q1698" s="578"/>
      <c r="R1698" s="578"/>
      <c r="S1698" s="578"/>
      <c r="T1698" s="578"/>
      <c r="U1698" s="578"/>
      <c r="V1698" s="578"/>
      <c r="W1698" s="578"/>
      <c r="X1698" s="578"/>
      <c r="Y1698" s="578"/>
      <c r="Z1698" s="578"/>
    </row>
    <row r="1699" spans="1:26" ht="18.75">
      <c r="A1699" s="682"/>
      <c r="B1699" s="682"/>
      <c r="C1699" s="682"/>
      <c r="D1699" s="914"/>
      <c r="E1699" s="682"/>
      <c r="F1699" s="682"/>
      <c r="G1699" s="682"/>
      <c r="H1699" s="915"/>
      <c r="I1699" s="916"/>
      <c r="J1699" s="916"/>
      <c r="K1699" s="917"/>
      <c r="L1699" s="917"/>
      <c r="M1699" s="917"/>
      <c r="N1699" s="917"/>
      <c r="O1699" s="917"/>
      <c r="P1699" s="917"/>
      <c r="Q1699" s="578"/>
      <c r="R1699" s="578"/>
      <c r="S1699" s="578"/>
      <c r="T1699" s="578"/>
      <c r="U1699" s="578"/>
      <c r="V1699" s="578"/>
      <c r="W1699" s="578"/>
      <c r="X1699" s="578"/>
      <c r="Y1699" s="578"/>
      <c r="Z1699" s="578"/>
    </row>
    <row r="1700" spans="1:26" ht="18.75">
      <c r="A1700" s="682"/>
      <c r="B1700" s="682"/>
      <c r="C1700" s="682"/>
      <c r="D1700" s="914"/>
      <c r="E1700" s="682"/>
      <c r="F1700" s="682"/>
      <c r="G1700" s="682"/>
      <c r="H1700" s="915"/>
      <c r="I1700" s="916"/>
      <c r="J1700" s="916"/>
      <c r="K1700" s="917"/>
      <c r="L1700" s="917"/>
      <c r="M1700" s="917"/>
      <c r="N1700" s="917"/>
      <c r="O1700" s="917"/>
      <c r="P1700" s="917"/>
      <c r="Q1700" s="578"/>
      <c r="R1700" s="578"/>
      <c r="S1700" s="578"/>
      <c r="T1700" s="578"/>
      <c r="U1700" s="578"/>
      <c r="V1700" s="578"/>
      <c r="W1700" s="578"/>
      <c r="X1700" s="578"/>
      <c r="Y1700" s="578"/>
      <c r="Z1700" s="578"/>
    </row>
    <row r="1701" spans="1:26" ht="18.75">
      <c r="A1701" s="682"/>
      <c r="B1701" s="682"/>
      <c r="C1701" s="682"/>
      <c r="D1701" s="914"/>
      <c r="E1701" s="682"/>
      <c r="F1701" s="682"/>
      <c r="G1701" s="682"/>
      <c r="H1701" s="915"/>
      <c r="I1701" s="916"/>
      <c r="J1701" s="916"/>
      <c r="K1701" s="917"/>
      <c r="L1701" s="917"/>
      <c r="M1701" s="917"/>
      <c r="N1701" s="917"/>
      <c r="O1701" s="917"/>
      <c r="P1701" s="917"/>
      <c r="Q1701" s="578"/>
      <c r="R1701" s="578"/>
      <c r="S1701" s="578"/>
      <c r="T1701" s="578"/>
      <c r="U1701" s="578"/>
      <c r="V1701" s="578"/>
      <c r="W1701" s="578"/>
      <c r="X1701" s="578"/>
      <c r="Y1701" s="578"/>
      <c r="Z1701" s="578"/>
    </row>
    <row r="1702" spans="1:26" ht="18.75">
      <c r="A1702" s="682"/>
      <c r="B1702" s="682"/>
      <c r="C1702" s="682"/>
      <c r="D1702" s="914"/>
      <c r="E1702" s="682"/>
      <c r="F1702" s="682"/>
      <c r="G1702" s="682"/>
      <c r="H1702" s="915"/>
      <c r="I1702" s="916"/>
      <c r="J1702" s="916"/>
      <c r="K1702" s="917"/>
      <c r="L1702" s="917"/>
      <c r="M1702" s="917"/>
      <c r="N1702" s="917"/>
      <c r="O1702" s="917"/>
      <c r="P1702" s="917"/>
      <c r="Q1702" s="578"/>
      <c r="R1702" s="578"/>
      <c r="S1702" s="578"/>
      <c r="T1702" s="578"/>
      <c r="U1702" s="578"/>
      <c r="V1702" s="578"/>
      <c r="W1702" s="578"/>
      <c r="X1702" s="578"/>
      <c r="Y1702" s="578"/>
      <c r="Z1702" s="578"/>
    </row>
    <row r="1703" spans="1:26" ht="18.75">
      <c r="A1703" s="682"/>
      <c r="B1703" s="682"/>
      <c r="C1703" s="682"/>
      <c r="D1703" s="914"/>
      <c r="E1703" s="682"/>
      <c r="F1703" s="682"/>
      <c r="G1703" s="682"/>
      <c r="H1703" s="915"/>
      <c r="I1703" s="916"/>
      <c r="J1703" s="916"/>
      <c r="K1703" s="917"/>
      <c r="L1703" s="917"/>
      <c r="M1703" s="917"/>
      <c r="N1703" s="917"/>
      <c r="O1703" s="917"/>
      <c r="P1703" s="917"/>
      <c r="Q1703" s="578"/>
      <c r="R1703" s="578"/>
      <c r="S1703" s="578"/>
      <c r="T1703" s="578"/>
      <c r="U1703" s="578"/>
      <c r="V1703" s="578"/>
      <c r="W1703" s="578"/>
      <c r="X1703" s="578"/>
      <c r="Y1703" s="578"/>
      <c r="Z1703" s="578"/>
    </row>
    <row r="1704" spans="1:26" ht="18.75">
      <c r="A1704" s="682"/>
      <c r="B1704" s="682"/>
      <c r="C1704" s="682"/>
      <c r="D1704" s="914"/>
      <c r="E1704" s="682"/>
      <c r="F1704" s="682"/>
      <c r="G1704" s="682"/>
      <c r="H1704" s="915"/>
      <c r="I1704" s="916"/>
      <c r="J1704" s="916"/>
      <c r="K1704" s="917"/>
      <c r="L1704" s="917"/>
      <c r="M1704" s="917"/>
      <c r="N1704" s="917"/>
      <c r="O1704" s="917"/>
      <c r="P1704" s="917"/>
      <c r="Q1704" s="578"/>
      <c r="R1704" s="578"/>
      <c r="S1704" s="578"/>
      <c r="T1704" s="578"/>
      <c r="U1704" s="578"/>
      <c r="V1704" s="578"/>
      <c r="W1704" s="578"/>
      <c r="X1704" s="578"/>
      <c r="Y1704" s="578"/>
      <c r="Z1704" s="578"/>
    </row>
    <row r="1705" spans="1:26" ht="18.75">
      <c r="A1705" s="682"/>
      <c r="B1705" s="682"/>
      <c r="C1705" s="682"/>
      <c r="D1705" s="914"/>
      <c r="E1705" s="682"/>
      <c r="F1705" s="682"/>
      <c r="G1705" s="682"/>
      <c r="H1705" s="915"/>
      <c r="I1705" s="916"/>
      <c r="J1705" s="916"/>
      <c r="K1705" s="917"/>
      <c r="L1705" s="917"/>
      <c r="M1705" s="917"/>
      <c r="N1705" s="917"/>
      <c r="O1705" s="917"/>
      <c r="P1705" s="917"/>
      <c r="Q1705" s="578"/>
      <c r="R1705" s="578"/>
      <c r="S1705" s="578"/>
      <c r="T1705" s="578"/>
      <c r="U1705" s="578"/>
      <c r="V1705" s="578"/>
      <c r="W1705" s="578"/>
      <c r="X1705" s="578"/>
      <c r="Y1705" s="578"/>
      <c r="Z1705" s="578"/>
    </row>
    <row r="1706" spans="1:26" ht="18.75">
      <c r="A1706" s="682"/>
      <c r="B1706" s="682"/>
      <c r="C1706" s="682"/>
      <c r="D1706" s="914"/>
      <c r="E1706" s="682"/>
      <c r="F1706" s="682"/>
      <c r="G1706" s="682"/>
      <c r="H1706" s="915"/>
      <c r="I1706" s="916"/>
      <c r="J1706" s="916"/>
      <c r="K1706" s="917"/>
      <c r="L1706" s="917"/>
      <c r="M1706" s="917"/>
      <c r="N1706" s="917"/>
      <c r="O1706" s="917"/>
      <c r="P1706" s="917"/>
      <c r="Q1706" s="578"/>
      <c r="R1706" s="578"/>
      <c r="S1706" s="578"/>
      <c r="T1706" s="578"/>
      <c r="U1706" s="578"/>
      <c r="V1706" s="578"/>
      <c r="W1706" s="578"/>
      <c r="X1706" s="578"/>
      <c r="Y1706" s="578"/>
      <c r="Z1706" s="578"/>
    </row>
    <row r="1707" spans="1:26" ht="18.75">
      <c r="A1707" s="682"/>
      <c r="B1707" s="682"/>
      <c r="C1707" s="682"/>
      <c r="D1707" s="914"/>
      <c r="E1707" s="682"/>
      <c r="F1707" s="682"/>
      <c r="G1707" s="682"/>
      <c r="H1707" s="915"/>
      <c r="I1707" s="916"/>
      <c r="J1707" s="916"/>
      <c r="K1707" s="917"/>
      <c r="L1707" s="917"/>
      <c r="M1707" s="917"/>
      <c r="N1707" s="917"/>
      <c r="O1707" s="917"/>
      <c r="P1707" s="917"/>
      <c r="Q1707" s="578"/>
      <c r="R1707" s="578"/>
      <c r="S1707" s="578"/>
      <c r="T1707" s="578"/>
      <c r="U1707" s="578"/>
      <c r="V1707" s="578"/>
      <c r="W1707" s="578"/>
      <c r="X1707" s="578"/>
      <c r="Y1707" s="578"/>
      <c r="Z1707" s="578"/>
    </row>
    <row r="1708" spans="1:26" ht="18.75">
      <c r="A1708" s="682"/>
      <c r="B1708" s="682"/>
      <c r="C1708" s="682"/>
      <c r="D1708" s="914"/>
      <c r="E1708" s="682"/>
      <c r="F1708" s="682"/>
      <c r="G1708" s="682"/>
      <c r="H1708" s="915"/>
      <c r="I1708" s="916"/>
      <c r="J1708" s="916"/>
      <c r="K1708" s="917"/>
      <c r="L1708" s="917"/>
      <c r="M1708" s="917"/>
      <c r="N1708" s="917"/>
      <c r="O1708" s="917"/>
      <c r="P1708" s="917"/>
      <c r="Q1708" s="578"/>
      <c r="R1708" s="578"/>
      <c r="S1708" s="578"/>
      <c r="T1708" s="578"/>
      <c r="U1708" s="578"/>
      <c r="V1708" s="578"/>
      <c r="W1708" s="578"/>
      <c r="X1708" s="578"/>
      <c r="Y1708" s="578"/>
      <c r="Z1708" s="578"/>
    </row>
    <row r="1709" spans="1:26" ht="18.75">
      <c r="A1709" s="682"/>
      <c r="B1709" s="682"/>
      <c r="C1709" s="682"/>
      <c r="D1709" s="914"/>
      <c r="E1709" s="682"/>
      <c r="F1709" s="682"/>
      <c r="G1709" s="682"/>
      <c r="H1709" s="915"/>
      <c r="I1709" s="916"/>
      <c r="J1709" s="916"/>
      <c r="K1709" s="917"/>
      <c r="L1709" s="917"/>
      <c r="M1709" s="917"/>
      <c r="N1709" s="917"/>
      <c r="O1709" s="917"/>
      <c r="P1709" s="917"/>
      <c r="Q1709" s="578"/>
      <c r="R1709" s="578"/>
      <c r="S1709" s="578"/>
      <c r="T1709" s="578"/>
      <c r="U1709" s="578"/>
      <c r="V1709" s="578"/>
      <c r="W1709" s="578"/>
      <c r="X1709" s="578"/>
      <c r="Y1709" s="578"/>
      <c r="Z1709" s="578"/>
    </row>
    <row r="1710" spans="1:26" ht="18.75">
      <c r="A1710" s="682"/>
      <c r="B1710" s="682"/>
      <c r="C1710" s="682"/>
      <c r="D1710" s="914"/>
      <c r="E1710" s="682"/>
      <c r="F1710" s="682"/>
      <c r="G1710" s="682"/>
      <c r="H1710" s="915"/>
      <c r="I1710" s="916"/>
      <c r="J1710" s="916"/>
      <c r="K1710" s="917"/>
      <c r="L1710" s="917"/>
      <c r="M1710" s="917"/>
      <c r="N1710" s="917"/>
      <c r="O1710" s="917"/>
      <c r="P1710" s="917"/>
      <c r="Q1710" s="578"/>
      <c r="R1710" s="578"/>
      <c r="S1710" s="578"/>
      <c r="T1710" s="578"/>
      <c r="U1710" s="578"/>
      <c r="V1710" s="578"/>
      <c r="W1710" s="578"/>
      <c r="X1710" s="578"/>
      <c r="Y1710" s="578"/>
      <c r="Z1710" s="578"/>
    </row>
    <row r="1711" spans="1:26" ht="18.75">
      <c r="A1711" s="682"/>
      <c r="B1711" s="682"/>
      <c r="C1711" s="682"/>
      <c r="D1711" s="914"/>
      <c r="E1711" s="682"/>
      <c r="F1711" s="682"/>
      <c r="G1711" s="682"/>
      <c r="H1711" s="915"/>
      <c r="I1711" s="916"/>
      <c r="J1711" s="916"/>
      <c r="K1711" s="917"/>
      <c r="L1711" s="917"/>
      <c r="M1711" s="917"/>
      <c r="N1711" s="917"/>
      <c r="O1711" s="917"/>
      <c r="P1711" s="917"/>
      <c r="Q1711" s="578"/>
      <c r="R1711" s="578"/>
      <c r="S1711" s="578"/>
      <c r="T1711" s="578"/>
      <c r="U1711" s="578"/>
      <c r="V1711" s="578"/>
      <c r="W1711" s="578"/>
      <c r="X1711" s="578"/>
      <c r="Y1711" s="578"/>
      <c r="Z1711" s="578"/>
    </row>
    <row r="1712" spans="1:26" ht="18.75">
      <c r="A1712" s="682"/>
      <c r="B1712" s="682"/>
      <c r="C1712" s="682"/>
      <c r="D1712" s="914"/>
      <c r="E1712" s="682"/>
      <c r="F1712" s="682"/>
      <c r="G1712" s="682"/>
      <c r="H1712" s="915"/>
      <c r="I1712" s="916"/>
      <c r="J1712" s="916"/>
      <c r="K1712" s="917"/>
      <c r="L1712" s="917"/>
      <c r="M1712" s="917"/>
      <c r="N1712" s="917"/>
      <c r="O1712" s="917"/>
      <c r="P1712" s="917"/>
      <c r="Q1712" s="578"/>
      <c r="R1712" s="578"/>
      <c r="S1712" s="578"/>
      <c r="T1712" s="578"/>
      <c r="U1712" s="578"/>
      <c r="V1712" s="578"/>
      <c r="W1712" s="578"/>
      <c r="X1712" s="578"/>
      <c r="Y1712" s="578"/>
      <c r="Z1712" s="578"/>
    </row>
    <row r="1713" spans="1:26" ht="18.75">
      <c r="A1713" s="682"/>
      <c r="B1713" s="682"/>
      <c r="C1713" s="682"/>
      <c r="D1713" s="914"/>
      <c r="E1713" s="682"/>
      <c r="F1713" s="682"/>
      <c r="G1713" s="682"/>
      <c r="H1713" s="915"/>
      <c r="I1713" s="916"/>
      <c r="J1713" s="916"/>
      <c r="K1713" s="917"/>
      <c r="L1713" s="917"/>
      <c r="M1713" s="917"/>
      <c r="N1713" s="917"/>
      <c r="O1713" s="917"/>
      <c r="P1713" s="917"/>
      <c r="Q1713" s="578"/>
      <c r="R1713" s="578"/>
      <c r="S1713" s="578"/>
      <c r="T1713" s="578"/>
      <c r="U1713" s="578"/>
      <c r="V1713" s="578"/>
      <c r="W1713" s="578"/>
      <c r="X1713" s="578"/>
      <c r="Y1713" s="578"/>
      <c r="Z1713" s="578"/>
    </row>
    <row r="1714" spans="1:26" ht="18.75">
      <c r="A1714" s="682"/>
      <c r="B1714" s="682"/>
      <c r="C1714" s="682"/>
      <c r="D1714" s="914"/>
      <c r="E1714" s="682"/>
      <c r="F1714" s="682"/>
      <c r="G1714" s="682"/>
      <c r="H1714" s="915"/>
      <c r="I1714" s="916"/>
      <c r="J1714" s="916"/>
      <c r="K1714" s="917"/>
      <c r="L1714" s="917"/>
      <c r="M1714" s="917"/>
      <c r="N1714" s="917"/>
      <c r="O1714" s="917"/>
      <c r="P1714" s="917"/>
      <c r="Q1714" s="578"/>
      <c r="R1714" s="578"/>
      <c r="S1714" s="578"/>
      <c r="T1714" s="578"/>
      <c r="U1714" s="578"/>
      <c r="V1714" s="578"/>
      <c r="W1714" s="578"/>
      <c r="X1714" s="578"/>
      <c r="Y1714" s="578"/>
      <c r="Z1714" s="578"/>
    </row>
    <row r="1715" spans="1:26" ht="18.75">
      <c r="A1715" s="682"/>
      <c r="B1715" s="682"/>
      <c r="C1715" s="682"/>
      <c r="D1715" s="914"/>
      <c r="E1715" s="682"/>
      <c r="F1715" s="682"/>
      <c r="G1715" s="682"/>
      <c r="H1715" s="915"/>
      <c r="I1715" s="916"/>
      <c r="J1715" s="916"/>
      <c r="K1715" s="917"/>
      <c r="L1715" s="917"/>
      <c r="M1715" s="917"/>
      <c r="N1715" s="917"/>
      <c r="O1715" s="917"/>
      <c r="P1715" s="917"/>
      <c r="Q1715" s="578"/>
      <c r="R1715" s="578"/>
      <c r="S1715" s="578"/>
      <c r="T1715" s="578"/>
      <c r="U1715" s="578"/>
      <c r="V1715" s="578"/>
      <c r="W1715" s="578"/>
      <c r="X1715" s="578"/>
      <c r="Y1715" s="578"/>
      <c r="Z1715" s="578"/>
    </row>
    <row r="1716" spans="1:26" ht="18.75">
      <c r="A1716" s="682"/>
      <c r="B1716" s="682"/>
      <c r="C1716" s="682"/>
      <c r="D1716" s="914"/>
      <c r="E1716" s="682"/>
      <c r="F1716" s="682"/>
      <c r="G1716" s="682"/>
      <c r="H1716" s="915"/>
      <c r="I1716" s="916"/>
      <c r="J1716" s="916"/>
      <c r="K1716" s="917"/>
      <c r="L1716" s="917"/>
      <c r="M1716" s="917"/>
      <c r="N1716" s="917"/>
      <c r="O1716" s="917"/>
      <c r="P1716" s="917"/>
      <c r="Q1716" s="578"/>
      <c r="R1716" s="578"/>
      <c r="S1716" s="578"/>
      <c r="T1716" s="578"/>
      <c r="U1716" s="578"/>
      <c r="V1716" s="578"/>
      <c r="W1716" s="578"/>
      <c r="X1716" s="578"/>
      <c r="Y1716" s="578"/>
      <c r="Z1716" s="578"/>
    </row>
    <row r="1717" spans="1:26" ht="18.75">
      <c r="A1717" s="682"/>
      <c r="B1717" s="682"/>
      <c r="C1717" s="682"/>
      <c r="D1717" s="914"/>
      <c r="E1717" s="682"/>
      <c r="F1717" s="682"/>
      <c r="G1717" s="682"/>
      <c r="H1717" s="915"/>
      <c r="I1717" s="916"/>
      <c r="J1717" s="916"/>
      <c r="K1717" s="917"/>
      <c r="L1717" s="917"/>
      <c r="M1717" s="917"/>
      <c r="N1717" s="917"/>
      <c r="O1717" s="917"/>
      <c r="P1717" s="917"/>
      <c r="Q1717" s="578"/>
      <c r="R1717" s="578"/>
      <c r="S1717" s="578"/>
      <c r="T1717" s="578"/>
      <c r="U1717" s="578"/>
      <c r="V1717" s="578"/>
      <c r="W1717" s="578"/>
      <c r="X1717" s="578"/>
      <c r="Y1717" s="578"/>
      <c r="Z1717" s="578"/>
    </row>
    <row r="1718" spans="1:26" ht="18.75">
      <c r="A1718" s="682"/>
      <c r="B1718" s="682"/>
      <c r="C1718" s="682"/>
      <c r="D1718" s="914"/>
      <c r="E1718" s="682"/>
      <c r="F1718" s="682"/>
      <c r="G1718" s="682"/>
      <c r="H1718" s="915"/>
      <c r="I1718" s="916"/>
      <c r="J1718" s="916"/>
      <c r="K1718" s="917"/>
      <c r="L1718" s="917"/>
      <c r="M1718" s="917"/>
      <c r="N1718" s="917"/>
      <c r="O1718" s="917"/>
      <c r="P1718" s="917"/>
      <c r="Q1718" s="578"/>
      <c r="R1718" s="578"/>
      <c r="S1718" s="578"/>
      <c r="T1718" s="578"/>
      <c r="U1718" s="578"/>
      <c r="V1718" s="578"/>
      <c r="W1718" s="578"/>
      <c r="X1718" s="578"/>
      <c r="Y1718" s="578"/>
      <c r="Z1718" s="578"/>
    </row>
    <row r="1719" spans="1:26" ht="18.75">
      <c r="A1719" s="682"/>
      <c r="B1719" s="682"/>
      <c r="C1719" s="682"/>
      <c r="D1719" s="914"/>
      <c r="E1719" s="682"/>
      <c r="F1719" s="682"/>
      <c r="G1719" s="682"/>
      <c r="H1719" s="915"/>
      <c r="I1719" s="916"/>
      <c r="J1719" s="916"/>
      <c r="K1719" s="917"/>
      <c r="L1719" s="917"/>
      <c r="M1719" s="917"/>
      <c r="N1719" s="917"/>
      <c r="O1719" s="917"/>
      <c r="P1719" s="917"/>
      <c r="Q1719" s="578"/>
      <c r="R1719" s="578"/>
      <c r="S1719" s="578"/>
      <c r="T1719" s="578"/>
      <c r="U1719" s="578"/>
      <c r="V1719" s="578"/>
      <c r="W1719" s="578"/>
      <c r="X1719" s="578"/>
      <c r="Y1719" s="578"/>
      <c r="Z1719" s="578"/>
    </row>
    <row r="1720" spans="1:26" ht="18.75">
      <c r="A1720" s="682"/>
      <c r="B1720" s="682"/>
      <c r="C1720" s="682"/>
      <c r="D1720" s="914"/>
      <c r="E1720" s="682"/>
      <c r="F1720" s="682"/>
      <c r="G1720" s="682"/>
      <c r="H1720" s="915"/>
      <c r="I1720" s="916"/>
      <c r="J1720" s="916"/>
      <c r="K1720" s="917"/>
      <c r="L1720" s="917"/>
      <c r="M1720" s="917"/>
      <c r="N1720" s="917"/>
      <c r="O1720" s="917"/>
      <c r="P1720" s="917"/>
      <c r="Q1720" s="578"/>
      <c r="R1720" s="578"/>
      <c r="S1720" s="578"/>
      <c r="T1720" s="578"/>
      <c r="U1720" s="578"/>
      <c r="V1720" s="578"/>
      <c r="W1720" s="578"/>
      <c r="X1720" s="578"/>
      <c r="Y1720" s="578"/>
      <c r="Z1720" s="578"/>
    </row>
    <row r="1721" spans="1:26" ht="18.75">
      <c r="A1721" s="682"/>
      <c r="B1721" s="682"/>
      <c r="C1721" s="682"/>
      <c r="D1721" s="914"/>
      <c r="E1721" s="682"/>
      <c r="F1721" s="682"/>
      <c r="G1721" s="682"/>
      <c r="H1721" s="915"/>
      <c r="I1721" s="916"/>
      <c r="J1721" s="916"/>
      <c r="K1721" s="917"/>
      <c r="L1721" s="917"/>
      <c r="M1721" s="917"/>
      <c r="N1721" s="917"/>
      <c r="O1721" s="917"/>
      <c r="P1721" s="917"/>
      <c r="Q1721" s="578"/>
      <c r="R1721" s="578"/>
      <c r="S1721" s="578"/>
      <c r="T1721" s="578"/>
      <c r="U1721" s="578"/>
      <c r="V1721" s="578"/>
      <c r="W1721" s="578"/>
      <c r="X1721" s="578"/>
      <c r="Y1721" s="578"/>
      <c r="Z1721" s="578"/>
    </row>
    <row r="1722" spans="1:26" ht="18.75">
      <c r="A1722" s="682"/>
      <c r="B1722" s="682"/>
      <c r="C1722" s="682"/>
      <c r="D1722" s="914"/>
      <c r="E1722" s="682"/>
      <c r="F1722" s="682"/>
      <c r="G1722" s="682"/>
      <c r="H1722" s="915"/>
      <c r="I1722" s="916"/>
      <c r="J1722" s="916"/>
      <c r="K1722" s="917"/>
      <c r="L1722" s="917"/>
      <c r="M1722" s="917"/>
      <c r="N1722" s="917"/>
      <c r="O1722" s="917"/>
      <c r="P1722" s="917"/>
      <c r="Q1722" s="578"/>
      <c r="R1722" s="578"/>
      <c r="S1722" s="578"/>
      <c r="T1722" s="578"/>
      <c r="U1722" s="578"/>
      <c r="V1722" s="578"/>
      <c r="W1722" s="578"/>
      <c r="X1722" s="578"/>
      <c r="Y1722" s="578"/>
      <c r="Z1722" s="578"/>
    </row>
    <row r="1723" spans="1:26" ht="18.75">
      <c r="A1723" s="682"/>
      <c r="B1723" s="682"/>
      <c r="C1723" s="682"/>
      <c r="D1723" s="914"/>
      <c r="E1723" s="682"/>
      <c r="F1723" s="682"/>
      <c r="G1723" s="682"/>
      <c r="H1723" s="915"/>
      <c r="I1723" s="916"/>
      <c r="J1723" s="916"/>
      <c r="K1723" s="917"/>
      <c r="L1723" s="917"/>
      <c r="M1723" s="917"/>
      <c r="N1723" s="917"/>
      <c r="O1723" s="917"/>
      <c r="P1723" s="917"/>
      <c r="Q1723" s="578"/>
      <c r="R1723" s="578"/>
      <c r="S1723" s="578"/>
      <c r="T1723" s="578"/>
      <c r="U1723" s="578"/>
      <c r="V1723" s="578"/>
      <c r="W1723" s="578"/>
      <c r="X1723" s="578"/>
      <c r="Y1723" s="578"/>
      <c r="Z1723" s="578"/>
    </row>
    <row r="1724" spans="1:26" ht="18.75">
      <c r="A1724" s="682"/>
      <c r="B1724" s="682"/>
      <c r="C1724" s="682"/>
      <c r="D1724" s="914"/>
      <c r="E1724" s="682"/>
      <c r="F1724" s="682"/>
      <c r="G1724" s="682"/>
      <c r="H1724" s="915"/>
      <c r="I1724" s="916"/>
      <c r="J1724" s="916"/>
      <c r="K1724" s="917"/>
      <c r="L1724" s="917"/>
      <c r="M1724" s="917"/>
      <c r="N1724" s="917"/>
      <c r="O1724" s="917"/>
      <c r="P1724" s="917"/>
      <c r="Q1724" s="578"/>
      <c r="R1724" s="578"/>
      <c r="S1724" s="578"/>
      <c r="T1724" s="578"/>
      <c r="U1724" s="578"/>
      <c r="V1724" s="578"/>
      <c r="W1724" s="578"/>
      <c r="X1724" s="578"/>
      <c r="Y1724" s="578"/>
      <c r="Z1724" s="578"/>
    </row>
    <row r="1725" spans="1:26" ht="18.75">
      <c r="A1725" s="682"/>
      <c r="B1725" s="682"/>
      <c r="C1725" s="682"/>
      <c r="D1725" s="914"/>
      <c r="E1725" s="682"/>
      <c r="F1725" s="682"/>
      <c r="G1725" s="682"/>
      <c r="H1725" s="915"/>
      <c r="I1725" s="916"/>
      <c r="J1725" s="916"/>
      <c r="K1725" s="917"/>
      <c r="L1725" s="917"/>
      <c r="M1725" s="917"/>
      <c r="N1725" s="917"/>
      <c r="O1725" s="917"/>
      <c r="P1725" s="917"/>
      <c r="Q1725" s="578"/>
      <c r="R1725" s="578"/>
      <c r="S1725" s="578"/>
      <c r="T1725" s="578"/>
      <c r="U1725" s="578"/>
      <c r="V1725" s="578"/>
      <c r="W1725" s="578"/>
      <c r="X1725" s="578"/>
      <c r="Y1725" s="578"/>
      <c r="Z1725" s="578"/>
    </row>
    <row r="1726" spans="1:26" ht="18.75">
      <c r="A1726" s="682"/>
      <c r="B1726" s="682"/>
      <c r="C1726" s="682"/>
      <c r="D1726" s="914"/>
      <c r="E1726" s="682"/>
      <c r="F1726" s="682"/>
      <c r="G1726" s="682"/>
      <c r="H1726" s="915"/>
      <c r="I1726" s="916"/>
      <c r="J1726" s="916"/>
      <c r="K1726" s="917"/>
      <c r="L1726" s="917"/>
      <c r="M1726" s="917"/>
      <c r="N1726" s="917"/>
      <c r="O1726" s="917"/>
      <c r="P1726" s="917"/>
      <c r="Q1726" s="578"/>
      <c r="R1726" s="578"/>
      <c r="S1726" s="578"/>
      <c r="T1726" s="578"/>
      <c r="U1726" s="578"/>
      <c r="V1726" s="578"/>
      <c r="W1726" s="578"/>
      <c r="X1726" s="578"/>
      <c r="Y1726" s="578"/>
      <c r="Z1726" s="578"/>
    </row>
    <row r="1727" spans="1:26" ht="18.75">
      <c r="A1727" s="682"/>
      <c r="B1727" s="682"/>
      <c r="C1727" s="682"/>
      <c r="D1727" s="914"/>
      <c r="E1727" s="682"/>
      <c r="F1727" s="682"/>
      <c r="G1727" s="682"/>
      <c r="H1727" s="915"/>
      <c r="I1727" s="916"/>
      <c r="J1727" s="916"/>
      <c r="K1727" s="917"/>
      <c r="L1727" s="917"/>
      <c r="M1727" s="917"/>
      <c r="N1727" s="917"/>
      <c r="O1727" s="917"/>
      <c r="P1727" s="917"/>
      <c r="Q1727" s="578"/>
      <c r="R1727" s="578"/>
      <c r="S1727" s="578"/>
      <c r="T1727" s="578"/>
      <c r="U1727" s="578"/>
      <c r="V1727" s="578"/>
      <c r="W1727" s="578"/>
      <c r="X1727" s="578"/>
      <c r="Y1727" s="578"/>
      <c r="Z1727" s="578"/>
    </row>
    <row r="1728" spans="1:26" ht="18.75">
      <c r="A1728" s="682"/>
      <c r="B1728" s="682"/>
      <c r="C1728" s="682"/>
      <c r="D1728" s="914"/>
      <c r="E1728" s="682"/>
      <c r="F1728" s="682"/>
      <c r="G1728" s="682"/>
      <c r="H1728" s="915"/>
      <c r="I1728" s="916"/>
      <c r="J1728" s="916"/>
      <c r="K1728" s="917"/>
      <c r="L1728" s="917"/>
      <c r="M1728" s="917"/>
      <c r="N1728" s="917"/>
      <c r="O1728" s="917"/>
      <c r="P1728" s="917"/>
      <c r="Q1728" s="578"/>
      <c r="R1728" s="578"/>
      <c r="S1728" s="578"/>
      <c r="T1728" s="578"/>
      <c r="U1728" s="578"/>
      <c r="V1728" s="578"/>
      <c r="W1728" s="578"/>
      <c r="X1728" s="578"/>
      <c r="Y1728" s="578"/>
      <c r="Z1728" s="578"/>
    </row>
    <row r="1729" spans="1:26" ht="18.75">
      <c r="A1729" s="682"/>
      <c r="B1729" s="682"/>
      <c r="C1729" s="682"/>
      <c r="D1729" s="914"/>
      <c r="E1729" s="682"/>
      <c r="F1729" s="682"/>
      <c r="G1729" s="682"/>
      <c r="H1729" s="915"/>
      <c r="I1729" s="916"/>
      <c r="J1729" s="916"/>
      <c r="K1729" s="917"/>
      <c r="L1729" s="917"/>
      <c r="M1729" s="917"/>
      <c r="N1729" s="917"/>
      <c r="O1729" s="917"/>
      <c r="P1729" s="917"/>
      <c r="Q1729" s="578"/>
      <c r="R1729" s="578"/>
      <c r="S1729" s="578"/>
      <c r="T1729" s="578"/>
      <c r="U1729" s="578"/>
      <c r="V1729" s="578"/>
      <c r="W1729" s="578"/>
      <c r="X1729" s="578"/>
      <c r="Y1729" s="578"/>
      <c r="Z1729" s="578"/>
    </row>
    <row r="1730" spans="1:26" ht="18.75">
      <c r="A1730" s="682"/>
      <c r="B1730" s="682"/>
      <c r="C1730" s="682"/>
      <c r="D1730" s="914"/>
      <c r="E1730" s="682"/>
      <c r="F1730" s="682"/>
      <c r="G1730" s="682"/>
      <c r="H1730" s="915"/>
      <c r="I1730" s="916"/>
      <c r="J1730" s="916"/>
      <c r="K1730" s="917"/>
      <c r="L1730" s="917"/>
      <c r="M1730" s="917"/>
      <c r="N1730" s="917"/>
      <c r="O1730" s="917"/>
      <c r="P1730" s="917"/>
      <c r="Q1730" s="578"/>
      <c r="R1730" s="578"/>
      <c r="S1730" s="578"/>
      <c r="T1730" s="578"/>
      <c r="U1730" s="578"/>
      <c r="V1730" s="578"/>
      <c r="W1730" s="578"/>
      <c r="X1730" s="578"/>
      <c r="Y1730" s="578"/>
      <c r="Z1730" s="578"/>
    </row>
    <row r="1731" spans="1:26" ht="18.75">
      <c r="A1731" s="682"/>
      <c r="B1731" s="682"/>
      <c r="C1731" s="682"/>
      <c r="D1731" s="914"/>
      <c r="E1731" s="682"/>
      <c r="F1731" s="682"/>
      <c r="G1731" s="682"/>
      <c r="H1731" s="915"/>
      <c r="I1731" s="916"/>
      <c r="J1731" s="916"/>
      <c r="K1731" s="917"/>
      <c r="L1731" s="917"/>
      <c r="M1731" s="917"/>
      <c r="N1731" s="917"/>
      <c r="O1731" s="917"/>
      <c r="P1731" s="917"/>
      <c r="Q1731" s="578"/>
      <c r="R1731" s="578"/>
      <c r="S1731" s="578"/>
      <c r="T1731" s="578"/>
      <c r="U1731" s="578"/>
      <c r="V1731" s="578"/>
      <c r="W1731" s="578"/>
      <c r="X1731" s="578"/>
      <c r="Y1731" s="578"/>
      <c r="Z1731" s="578"/>
    </row>
    <row r="1732" spans="1:26" ht="18.75">
      <c r="A1732" s="682"/>
      <c r="B1732" s="682"/>
      <c r="C1732" s="682"/>
      <c r="D1732" s="914"/>
      <c r="E1732" s="682"/>
      <c r="F1732" s="682"/>
      <c r="G1732" s="682"/>
      <c r="H1732" s="915"/>
      <c r="I1732" s="916"/>
      <c r="J1732" s="916"/>
      <c r="K1732" s="917"/>
      <c r="L1732" s="917"/>
      <c r="M1732" s="917"/>
      <c r="N1732" s="917"/>
      <c r="O1732" s="917"/>
      <c r="P1732" s="917"/>
      <c r="Q1732" s="578"/>
      <c r="R1732" s="578"/>
      <c r="S1732" s="578"/>
      <c r="T1732" s="578"/>
      <c r="U1732" s="578"/>
      <c r="V1732" s="578"/>
      <c r="W1732" s="578"/>
      <c r="X1732" s="578"/>
      <c r="Y1732" s="578"/>
      <c r="Z1732" s="578"/>
    </row>
    <row r="1733" spans="1:26" ht="18.75">
      <c r="A1733" s="682"/>
      <c r="B1733" s="682"/>
      <c r="C1733" s="682"/>
      <c r="D1733" s="914"/>
      <c r="E1733" s="682"/>
      <c r="F1733" s="682"/>
      <c r="G1733" s="682"/>
      <c r="H1733" s="915"/>
      <c r="I1733" s="916"/>
      <c r="J1733" s="916"/>
      <c r="K1733" s="917"/>
      <c r="L1733" s="917"/>
      <c r="M1733" s="917"/>
      <c r="N1733" s="917"/>
      <c r="O1733" s="917"/>
      <c r="P1733" s="917"/>
      <c r="Q1733" s="578"/>
      <c r="R1733" s="578"/>
      <c r="S1733" s="578"/>
      <c r="T1733" s="578"/>
      <c r="U1733" s="578"/>
      <c r="V1733" s="578"/>
      <c r="W1733" s="578"/>
      <c r="X1733" s="578"/>
      <c r="Y1733" s="578"/>
      <c r="Z1733" s="578"/>
    </row>
    <row r="1734" spans="1:26" ht="18.75">
      <c r="A1734" s="682"/>
      <c r="B1734" s="682"/>
      <c r="C1734" s="682"/>
      <c r="D1734" s="914"/>
      <c r="E1734" s="682"/>
      <c r="F1734" s="682"/>
      <c r="G1734" s="682"/>
      <c r="H1734" s="915"/>
      <c r="I1734" s="916"/>
      <c r="J1734" s="916"/>
      <c r="K1734" s="917"/>
      <c r="L1734" s="917"/>
      <c r="M1734" s="917"/>
      <c r="N1734" s="917"/>
      <c r="O1734" s="917"/>
      <c r="P1734" s="917"/>
      <c r="Q1734" s="578"/>
      <c r="R1734" s="578"/>
      <c r="S1734" s="578"/>
      <c r="T1734" s="578"/>
      <c r="U1734" s="578"/>
      <c r="V1734" s="578"/>
      <c r="W1734" s="578"/>
      <c r="X1734" s="578"/>
      <c r="Y1734" s="578"/>
      <c r="Z1734" s="578"/>
    </row>
    <row r="1735" spans="1:26" ht="18.75">
      <c r="A1735" s="682"/>
      <c r="B1735" s="682"/>
      <c r="C1735" s="682"/>
      <c r="D1735" s="914"/>
      <c r="E1735" s="682"/>
      <c r="F1735" s="682"/>
      <c r="G1735" s="682"/>
      <c r="H1735" s="915"/>
      <c r="I1735" s="916"/>
      <c r="J1735" s="916"/>
      <c r="K1735" s="917"/>
      <c r="L1735" s="917"/>
      <c r="M1735" s="917"/>
      <c r="N1735" s="917"/>
      <c r="O1735" s="917"/>
      <c r="P1735" s="917"/>
      <c r="Q1735" s="578"/>
      <c r="R1735" s="578"/>
      <c r="S1735" s="578"/>
      <c r="T1735" s="578"/>
      <c r="U1735" s="578"/>
      <c r="V1735" s="578"/>
      <c r="W1735" s="578"/>
      <c r="X1735" s="578"/>
      <c r="Y1735" s="578"/>
      <c r="Z1735" s="578"/>
    </row>
    <row r="1736" spans="1:26" ht="18.75">
      <c r="A1736" s="682"/>
      <c r="B1736" s="682"/>
      <c r="C1736" s="682"/>
      <c r="D1736" s="914"/>
      <c r="E1736" s="682"/>
      <c r="F1736" s="682"/>
      <c r="G1736" s="682"/>
      <c r="H1736" s="915"/>
      <c r="I1736" s="916"/>
      <c r="J1736" s="916"/>
      <c r="K1736" s="917"/>
      <c r="L1736" s="917"/>
      <c r="M1736" s="917"/>
      <c r="N1736" s="917"/>
      <c r="O1736" s="917"/>
      <c r="P1736" s="917"/>
      <c r="Q1736" s="578"/>
      <c r="R1736" s="578"/>
      <c r="S1736" s="578"/>
      <c r="T1736" s="578"/>
      <c r="U1736" s="578"/>
      <c r="V1736" s="578"/>
      <c r="W1736" s="578"/>
      <c r="X1736" s="578"/>
      <c r="Y1736" s="578"/>
      <c r="Z1736" s="578"/>
    </row>
    <row r="1737" spans="1:26" ht="18.75">
      <c r="A1737" s="682"/>
      <c r="B1737" s="682"/>
      <c r="C1737" s="682"/>
      <c r="D1737" s="914"/>
      <c r="E1737" s="682"/>
      <c r="F1737" s="682"/>
      <c r="G1737" s="682"/>
      <c r="H1737" s="915"/>
      <c r="I1737" s="916"/>
      <c r="J1737" s="916"/>
      <c r="K1737" s="917"/>
      <c r="L1737" s="917"/>
      <c r="M1737" s="917"/>
      <c r="N1737" s="917"/>
      <c r="O1737" s="917"/>
      <c r="P1737" s="917"/>
      <c r="Q1737" s="578"/>
      <c r="R1737" s="578"/>
      <c r="S1737" s="578"/>
      <c r="T1737" s="578"/>
      <c r="U1737" s="578"/>
      <c r="V1737" s="578"/>
      <c r="W1737" s="578"/>
      <c r="X1737" s="578"/>
      <c r="Y1737" s="578"/>
      <c r="Z1737" s="578"/>
    </row>
    <row r="1738" spans="1:26" ht="18.75">
      <c r="A1738" s="682"/>
      <c r="B1738" s="682"/>
      <c r="C1738" s="682"/>
      <c r="D1738" s="914"/>
      <c r="E1738" s="682"/>
      <c r="F1738" s="682"/>
      <c r="G1738" s="682"/>
      <c r="H1738" s="915"/>
      <c r="I1738" s="916"/>
      <c r="J1738" s="916"/>
      <c r="K1738" s="917"/>
      <c r="L1738" s="917"/>
      <c r="M1738" s="917"/>
      <c r="N1738" s="917"/>
      <c r="O1738" s="917"/>
      <c r="P1738" s="917"/>
      <c r="Q1738" s="578"/>
      <c r="R1738" s="578"/>
      <c r="S1738" s="578"/>
      <c r="T1738" s="578"/>
      <c r="U1738" s="578"/>
      <c r="V1738" s="578"/>
      <c r="W1738" s="578"/>
      <c r="X1738" s="578"/>
      <c r="Y1738" s="578"/>
      <c r="Z1738" s="578"/>
    </row>
    <row r="1739" spans="1:26" ht="18.75">
      <c r="A1739" s="682"/>
      <c r="B1739" s="682"/>
      <c r="C1739" s="682"/>
      <c r="D1739" s="914"/>
      <c r="E1739" s="682"/>
      <c r="F1739" s="682"/>
      <c r="G1739" s="682"/>
      <c r="H1739" s="915"/>
      <c r="I1739" s="916"/>
      <c r="J1739" s="916"/>
      <c r="K1739" s="917"/>
      <c r="L1739" s="917"/>
      <c r="M1739" s="917"/>
      <c r="N1739" s="917"/>
      <c r="O1739" s="917"/>
      <c r="P1739" s="917"/>
      <c r="Q1739" s="578"/>
      <c r="R1739" s="578"/>
      <c r="S1739" s="578"/>
      <c r="T1739" s="578"/>
      <c r="U1739" s="578"/>
      <c r="V1739" s="578"/>
      <c r="W1739" s="578"/>
      <c r="X1739" s="578"/>
      <c r="Y1739" s="578"/>
      <c r="Z1739" s="578"/>
    </row>
    <row r="1740" spans="1:26" ht="18.75">
      <c r="A1740" s="682"/>
      <c r="B1740" s="682"/>
      <c r="C1740" s="682"/>
      <c r="D1740" s="914"/>
      <c r="E1740" s="682"/>
      <c r="F1740" s="682"/>
      <c r="G1740" s="682"/>
      <c r="H1740" s="915"/>
      <c r="I1740" s="916"/>
      <c r="J1740" s="916"/>
      <c r="K1740" s="917"/>
      <c r="L1740" s="917"/>
      <c r="M1740" s="917"/>
      <c r="N1740" s="917"/>
      <c r="O1740" s="917"/>
      <c r="P1740" s="917"/>
      <c r="Q1740" s="578"/>
      <c r="R1740" s="578"/>
      <c r="S1740" s="578"/>
      <c r="T1740" s="578"/>
      <c r="U1740" s="578"/>
      <c r="V1740" s="578"/>
      <c r="W1740" s="578"/>
      <c r="X1740" s="578"/>
      <c r="Y1740" s="578"/>
      <c r="Z1740" s="578"/>
    </row>
    <row r="1741" spans="1:26" ht="18.75">
      <c r="A1741" s="682"/>
      <c r="B1741" s="682"/>
      <c r="C1741" s="682"/>
      <c r="D1741" s="914"/>
      <c r="E1741" s="682"/>
      <c r="F1741" s="682"/>
      <c r="G1741" s="682"/>
      <c r="H1741" s="915"/>
      <c r="I1741" s="916"/>
      <c r="J1741" s="916"/>
      <c r="K1741" s="917"/>
      <c r="L1741" s="917"/>
      <c r="M1741" s="917"/>
      <c r="N1741" s="917"/>
      <c r="O1741" s="917"/>
      <c r="P1741" s="917"/>
      <c r="Q1741" s="578"/>
      <c r="R1741" s="578"/>
      <c r="S1741" s="578"/>
      <c r="T1741" s="578"/>
      <c r="U1741" s="578"/>
      <c r="V1741" s="578"/>
      <c r="W1741" s="578"/>
      <c r="X1741" s="578"/>
      <c r="Y1741" s="578"/>
      <c r="Z1741" s="578"/>
    </row>
    <row r="1742" spans="1:26" ht="18.75">
      <c r="A1742" s="682"/>
      <c r="B1742" s="682"/>
      <c r="C1742" s="682"/>
      <c r="D1742" s="914"/>
      <c r="E1742" s="682"/>
      <c r="F1742" s="682"/>
      <c r="G1742" s="682"/>
      <c r="H1742" s="915"/>
      <c r="I1742" s="916"/>
      <c r="J1742" s="916"/>
      <c r="K1742" s="917"/>
      <c r="L1742" s="917"/>
      <c r="M1742" s="917"/>
      <c r="N1742" s="917"/>
      <c r="O1742" s="917"/>
      <c r="P1742" s="917"/>
      <c r="Q1742" s="578"/>
      <c r="R1742" s="578"/>
      <c r="S1742" s="578"/>
      <c r="T1742" s="578"/>
      <c r="U1742" s="578"/>
      <c r="V1742" s="578"/>
      <c r="W1742" s="578"/>
      <c r="X1742" s="578"/>
      <c r="Y1742" s="578"/>
      <c r="Z1742" s="578"/>
    </row>
    <row r="1743" spans="1:26" ht="18.75">
      <c r="A1743" s="682"/>
      <c r="B1743" s="682"/>
      <c r="C1743" s="682"/>
      <c r="D1743" s="914"/>
      <c r="E1743" s="682"/>
      <c r="F1743" s="682"/>
      <c r="G1743" s="682"/>
      <c r="H1743" s="915"/>
      <c r="I1743" s="916"/>
      <c r="J1743" s="916"/>
      <c r="K1743" s="917"/>
      <c r="L1743" s="917"/>
      <c r="M1743" s="917"/>
      <c r="N1743" s="917"/>
      <c r="O1743" s="917"/>
      <c r="P1743" s="917"/>
      <c r="Q1743" s="578"/>
      <c r="R1743" s="578"/>
      <c r="S1743" s="578"/>
      <c r="T1743" s="578"/>
      <c r="U1743" s="578"/>
      <c r="V1743" s="578"/>
      <c r="W1743" s="578"/>
      <c r="X1743" s="578"/>
      <c r="Y1743" s="578"/>
      <c r="Z1743" s="578"/>
    </row>
    <row r="1744" spans="1:26" ht="18.75">
      <c r="A1744" s="682"/>
      <c r="B1744" s="682"/>
      <c r="C1744" s="682"/>
      <c r="D1744" s="914"/>
      <c r="E1744" s="682"/>
      <c r="F1744" s="682"/>
      <c r="G1744" s="682"/>
      <c r="H1744" s="915"/>
      <c r="I1744" s="916"/>
      <c r="J1744" s="916"/>
      <c r="K1744" s="917"/>
      <c r="L1744" s="917"/>
      <c r="M1744" s="917"/>
      <c r="N1744" s="917"/>
      <c r="O1744" s="917"/>
      <c r="P1744" s="917"/>
      <c r="Q1744" s="578"/>
      <c r="R1744" s="578"/>
      <c r="S1744" s="578"/>
      <c r="T1744" s="578"/>
      <c r="U1744" s="578"/>
      <c r="V1744" s="578"/>
      <c r="W1744" s="578"/>
      <c r="X1744" s="578"/>
      <c r="Y1744" s="578"/>
      <c r="Z1744" s="578"/>
    </row>
    <row r="1745" spans="1:26" ht="18.75">
      <c r="A1745" s="682"/>
      <c r="B1745" s="682"/>
      <c r="C1745" s="682"/>
      <c r="D1745" s="914"/>
      <c r="E1745" s="682"/>
      <c r="F1745" s="682"/>
      <c r="G1745" s="682"/>
      <c r="H1745" s="915"/>
      <c r="I1745" s="916"/>
      <c r="J1745" s="916"/>
      <c r="K1745" s="917"/>
      <c r="L1745" s="917"/>
      <c r="M1745" s="917"/>
      <c r="N1745" s="917"/>
      <c r="O1745" s="917"/>
      <c r="P1745" s="917"/>
      <c r="Q1745" s="578"/>
      <c r="R1745" s="578"/>
      <c r="S1745" s="578"/>
      <c r="T1745" s="578"/>
      <c r="U1745" s="578"/>
      <c r="V1745" s="578"/>
      <c r="W1745" s="578"/>
      <c r="X1745" s="578"/>
      <c r="Y1745" s="578"/>
      <c r="Z1745" s="578"/>
    </row>
    <row r="1746" spans="1:26" ht="18.75">
      <c r="A1746" s="682"/>
      <c r="B1746" s="682"/>
      <c r="C1746" s="682"/>
      <c r="D1746" s="914"/>
      <c r="E1746" s="682"/>
      <c r="F1746" s="682"/>
      <c r="G1746" s="682"/>
      <c r="H1746" s="915"/>
      <c r="I1746" s="916"/>
      <c r="J1746" s="916"/>
      <c r="K1746" s="917"/>
      <c r="L1746" s="917"/>
      <c r="M1746" s="917"/>
      <c r="N1746" s="917"/>
      <c r="O1746" s="917"/>
      <c r="P1746" s="917"/>
      <c r="Q1746" s="578"/>
      <c r="R1746" s="578"/>
      <c r="S1746" s="578"/>
      <c r="T1746" s="578"/>
      <c r="U1746" s="578"/>
      <c r="V1746" s="578"/>
      <c r="W1746" s="578"/>
      <c r="X1746" s="578"/>
      <c r="Y1746" s="578"/>
      <c r="Z1746" s="578"/>
    </row>
    <row r="1747" spans="1:26" ht="18.75">
      <c r="A1747" s="682"/>
      <c r="B1747" s="682"/>
      <c r="C1747" s="682"/>
      <c r="D1747" s="914"/>
      <c r="E1747" s="682"/>
      <c r="F1747" s="682"/>
      <c r="G1747" s="682"/>
      <c r="H1747" s="915"/>
      <c r="I1747" s="916"/>
      <c r="J1747" s="916"/>
      <c r="K1747" s="917"/>
      <c r="L1747" s="917"/>
      <c r="M1747" s="917"/>
      <c r="N1747" s="917"/>
      <c r="O1747" s="917"/>
      <c r="P1747" s="917"/>
      <c r="Q1747" s="578"/>
      <c r="R1747" s="578"/>
      <c r="S1747" s="578"/>
      <c r="T1747" s="578"/>
      <c r="U1747" s="578"/>
      <c r="V1747" s="578"/>
      <c r="W1747" s="578"/>
      <c r="X1747" s="578"/>
      <c r="Y1747" s="578"/>
      <c r="Z1747" s="578"/>
    </row>
    <row r="1748" spans="1:26" ht="18.75">
      <c r="A1748" s="682"/>
      <c r="B1748" s="682"/>
      <c r="C1748" s="682"/>
      <c r="D1748" s="914"/>
      <c r="E1748" s="682"/>
      <c r="F1748" s="682"/>
      <c r="G1748" s="682"/>
      <c r="H1748" s="915"/>
      <c r="I1748" s="916"/>
      <c r="J1748" s="916"/>
      <c r="K1748" s="917"/>
      <c r="L1748" s="917"/>
      <c r="M1748" s="917"/>
      <c r="N1748" s="917"/>
      <c r="O1748" s="917"/>
      <c r="P1748" s="917"/>
      <c r="Q1748" s="578"/>
      <c r="R1748" s="578"/>
      <c r="S1748" s="578"/>
      <c r="T1748" s="578"/>
      <c r="U1748" s="578"/>
      <c r="V1748" s="578"/>
      <c r="W1748" s="578"/>
      <c r="X1748" s="578"/>
      <c r="Y1748" s="578"/>
      <c r="Z1748" s="578"/>
    </row>
    <row r="1749" spans="1:26" ht="18.75">
      <c r="A1749" s="682"/>
      <c r="B1749" s="682"/>
      <c r="C1749" s="682"/>
      <c r="D1749" s="914"/>
      <c r="E1749" s="682"/>
      <c r="F1749" s="682"/>
      <c r="G1749" s="682"/>
      <c r="H1749" s="915"/>
      <c r="I1749" s="916"/>
      <c r="J1749" s="916"/>
      <c r="K1749" s="917"/>
      <c r="L1749" s="917"/>
      <c r="M1749" s="917"/>
      <c r="N1749" s="917"/>
      <c r="O1749" s="917"/>
      <c r="P1749" s="917"/>
      <c r="Q1749" s="578"/>
      <c r="R1749" s="578"/>
      <c r="S1749" s="578"/>
      <c r="T1749" s="578"/>
      <c r="U1749" s="578"/>
      <c r="V1749" s="578"/>
      <c r="W1749" s="578"/>
      <c r="X1749" s="578"/>
      <c r="Y1749" s="578"/>
      <c r="Z1749" s="578"/>
    </row>
    <row r="1750" spans="1:26" ht="18.75">
      <c r="A1750" s="682"/>
      <c r="B1750" s="682"/>
      <c r="C1750" s="682"/>
      <c r="D1750" s="914"/>
      <c r="E1750" s="682"/>
      <c r="F1750" s="682"/>
      <c r="G1750" s="682"/>
      <c r="H1750" s="915"/>
      <c r="I1750" s="916"/>
      <c r="J1750" s="916"/>
      <c r="K1750" s="917"/>
      <c r="L1750" s="917"/>
      <c r="M1750" s="917"/>
      <c r="N1750" s="917"/>
      <c r="O1750" s="917"/>
      <c r="P1750" s="917"/>
      <c r="Q1750" s="578"/>
      <c r="R1750" s="578"/>
      <c r="S1750" s="578"/>
      <c r="T1750" s="578"/>
      <c r="U1750" s="578"/>
      <c r="V1750" s="578"/>
      <c r="W1750" s="578"/>
      <c r="X1750" s="578"/>
      <c r="Y1750" s="578"/>
      <c r="Z1750" s="578"/>
    </row>
    <row r="1751" spans="1:26" ht="18.75">
      <c r="A1751" s="682"/>
      <c r="B1751" s="682"/>
      <c r="C1751" s="682"/>
      <c r="D1751" s="914"/>
      <c r="E1751" s="682"/>
      <c r="F1751" s="682"/>
      <c r="G1751" s="682"/>
      <c r="H1751" s="915"/>
      <c r="I1751" s="916"/>
      <c r="J1751" s="916"/>
      <c r="K1751" s="917"/>
      <c r="L1751" s="917"/>
      <c r="M1751" s="917"/>
      <c r="N1751" s="917"/>
      <c r="O1751" s="917"/>
      <c r="P1751" s="917"/>
      <c r="Q1751" s="578"/>
      <c r="R1751" s="578"/>
      <c r="S1751" s="578"/>
      <c r="T1751" s="578"/>
      <c r="U1751" s="578"/>
      <c r="V1751" s="578"/>
      <c r="W1751" s="578"/>
      <c r="X1751" s="578"/>
      <c r="Y1751" s="578"/>
      <c r="Z1751" s="578"/>
    </row>
    <row r="1752" spans="1:26" ht="18.75">
      <c r="A1752" s="682"/>
      <c r="B1752" s="682"/>
      <c r="C1752" s="682"/>
      <c r="D1752" s="914"/>
      <c r="E1752" s="682"/>
      <c r="F1752" s="682"/>
      <c r="G1752" s="682"/>
      <c r="H1752" s="915"/>
      <c r="I1752" s="916"/>
      <c r="J1752" s="916"/>
      <c r="K1752" s="917"/>
      <c r="L1752" s="917"/>
      <c r="M1752" s="917"/>
      <c r="N1752" s="917"/>
      <c r="O1752" s="917"/>
      <c r="P1752" s="917"/>
      <c r="Q1752" s="578"/>
      <c r="R1752" s="578"/>
      <c r="S1752" s="578"/>
      <c r="T1752" s="578"/>
      <c r="U1752" s="578"/>
      <c r="V1752" s="578"/>
      <c r="W1752" s="578"/>
      <c r="X1752" s="578"/>
      <c r="Y1752" s="578"/>
      <c r="Z1752" s="578"/>
    </row>
    <row r="1753" spans="1:26" ht="18.75">
      <c r="A1753" s="682"/>
      <c r="B1753" s="682"/>
      <c r="C1753" s="682"/>
      <c r="D1753" s="914"/>
      <c r="E1753" s="682"/>
      <c r="F1753" s="682"/>
      <c r="G1753" s="682"/>
      <c r="H1753" s="915"/>
      <c r="I1753" s="916"/>
      <c r="J1753" s="916"/>
      <c r="K1753" s="917"/>
      <c r="L1753" s="917"/>
      <c r="M1753" s="917"/>
      <c r="N1753" s="917"/>
      <c r="O1753" s="917"/>
      <c r="P1753" s="917"/>
      <c r="Q1753" s="578"/>
      <c r="R1753" s="578"/>
      <c r="S1753" s="578"/>
      <c r="T1753" s="578"/>
      <c r="U1753" s="578"/>
      <c r="V1753" s="578"/>
      <c r="W1753" s="578"/>
      <c r="X1753" s="578"/>
      <c r="Y1753" s="578"/>
      <c r="Z1753" s="578"/>
    </row>
    <row r="1754" spans="1:26" ht="18.75">
      <c r="A1754" s="682"/>
      <c r="B1754" s="682"/>
      <c r="C1754" s="682"/>
      <c r="D1754" s="914"/>
      <c r="E1754" s="682"/>
      <c r="F1754" s="682"/>
      <c r="G1754" s="682"/>
      <c r="H1754" s="915"/>
      <c r="I1754" s="916"/>
      <c r="J1754" s="916"/>
      <c r="K1754" s="917"/>
      <c r="L1754" s="917"/>
      <c r="M1754" s="917"/>
      <c r="N1754" s="917"/>
      <c r="O1754" s="917"/>
      <c r="P1754" s="917"/>
      <c r="Q1754" s="578"/>
      <c r="R1754" s="578"/>
      <c r="S1754" s="578"/>
      <c r="T1754" s="578"/>
      <c r="U1754" s="578"/>
      <c r="V1754" s="578"/>
      <c r="W1754" s="578"/>
      <c r="X1754" s="578"/>
      <c r="Y1754" s="578"/>
      <c r="Z1754" s="578"/>
    </row>
    <row r="1755" spans="1:26" ht="18.75">
      <c r="A1755" s="682"/>
      <c r="B1755" s="682"/>
      <c r="C1755" s="682"/>
      <c r="D1755" s="914"/>
      <c r="E1755" s="682"/>
      <c r="F1755" s="682"/>
      <c r="G1755" s="682"/>
      <c r="H1755" s="915"/>
      <c r="I1755" s="916"/>
      <c r="J1755" s="916"/>
      <c r="K1755" s="917"/>
      <c r="L1755" s="917"/>
      <c r="M1755" s="917"/>
      <c r="N1755" s="917"/>
      <c r="O1755" s="917"/>
      <c r="P1755" s="917"/>
      <c r="Q1755" s="578"/>
      <c r="R1755" s="578"/>
      <c r="S1755" s="578"/>
      <c r="T1755" s="578"/>
      <c r="U1755" s="578"/>
      <c r="V1755" s="578"/>
      <c r="W1755" s="578"/>
      <c r="X1755" s="578"/>
      <c r="Y1755" s="578"/>
      <c r="Z1755" s="578"/>
    </row>
    <row r="1756" spans="1:26" ht="18.75">
      <c r="A1756" s="682"/>
      <c r="B1756" s="682"/>
      <c r="C1756" s="682"/>
      <c r="D1756" s="914"/>
      <c r="E1756" s="682"/>
      <c r="F1756" s="682"/>
      <c r="G1756" s="682"/>
      <c r="H1756" s="915"/>
      <c r="I1756" s="916"/>
      <c r="J1756" s="916"/>
      <c r="K1756" s="917"/>
      <c r="L1756" s="917"/>
      <c r="M1756" s="917"/>
      <c r="N1756" s="917"/>
      <c r="O1756" s="917"/>
      <c r="P1756" s="917"/>
      <c r="Q1756" s="578"/>
      <c r="R1756" s="578"/>
      <c r="S1756" s="578"/>
      <c r="T1756" s="578"/>
      <c r="U1756" s="578"/>
      <c r="V1756" s="578"/>
      <c r="W1756" s="578"/>
      <c r="X1756" s="578"/>
      <c r="Y1756" s="578"/>
      <c r="Z1756" s="578"/>
    </row>
    <row r="1757" spans="1:26" ht="18.75">
      <c r="A1757" s="682"/>
      <c r="B1757" s="682"/>
      <c r="C1757" s="682"/>
      <c r="D1757" s="914"/>
      <c r="E1757" s="682"/>
      <c r="F1757" s="682"/>
      <c r="G1757" s="682"/>
      <c r="H1757" s="915"/>
      <c r="I1757" s="916"/>
      <c r="J1757" s="916"/>
      <c r="K1757" s="917"/>
      <c r="L1757" s="917"/>
      <c r="M1757" s="917"/>
      <c r="N1757" s="917"/>
      <c r="O1757" s="917"/>
      <c r="P1757" s="917"/>
      <c r="Q1757" s="578"/>
      <c r="R1757" s="578"/>
      <c r="S1757" s="578"/>
      <c r="T1757" s="578"/>
      <c r="U1757" s="578"/>
      <c r="V1757" s="578"/>
      <c r="W1757" s="578"/>
      <c r="X1757" s="578"/>
      <c r="Y1757" s="578"/>
      <c r="Z1757" s="578"/>
    </row>
    <row r="1758" spans="1:26" ht="18.75">
      <c r="A1758" s="682"/>
      <c r="B1758" s="682"/>
      <c r="C1758" s="682"/>
      <c r="D1758" s="914"/>
      <c r="E1758" s="682"/>
      <c r="F1758" s="682"/>
      <c r="G1758" s="682"/>
      <c r="H1758" s="915"/>
      <c r="I1758" s="916"/>
      <c r="J1758" s="916"/>
      <c r="K1758" s="917"/>
      <c r="L1758" s="917"/>
      <c r="M1758" s="917"/>
      <c r="N1758" s="917"/>
      <c r="O1758" s="917"/>
      <c r="P1758" s="917"/>
      <c r="Q1758" s="578"/>
      <c r="R1758" s="578"/>
      <c r="S1758" s="578"/>
      <c r="T1758" s="578"/>
      <c r="U1758" s="578"/>
      <c r="V1758" s="578"/>
      <c r="W1758" s="578"/>
      <c r="X1758" s="578"/>
      <c r="Y1758" s="578"/>
      <c r="Z1758" s="578"/>
    </row>
    <row r="1759" spans="1:26" ht="18.75">
      <c r="A1759" s="682"/>
      <c r="B1759" s="682"/>
      <c r="C1759" s="682"/>
      <c r="D1759" s="914"/>
      <c r="E1759" s="682"/>
      <c r="F1759" s="682"/>
      <c r="G1759" s="682"/>
      <c r="H1759" s="915"/>
      <c r="I1759" s="916"/>
      <c r="J1759" s="916"/>
      <c r="K1759" s="917"/>
      <c r="L1759" s="917"/>
      <c r="M1759" s="917"/>
      <c r="N1759" s="917"/>
      <c r="O1759" s="917"/>
      <c r="P1759" s="917"/>
      <c r="Q1759" s="578"/>
      <c r="R1759" s="578"/>
      <c r="S1759" s="578"/>
      <c r="T1759" s="578"/>
      <c r="U1759" s="578"/>
      <c r="V1759" s="578"/>
      <c r="W1759" s="578"/>
      <c r="X1759" s="578"/>
      <c r="Y1759" s="578"/>
      <c r="Z1759" s="578"/>
    </row>
    <row r="1760" spans="1:26" ht="18.75">
      <c r="A1760" s="682"/>
      <c r="B1760" s="682"/>
      <c r="C1760" s="682"/>
      <c r="D1760" s="914"/>
      <c r="E1760" s="682"/>
      <c r="F1760" s="682"/>
      <c r="G1760" s="682"/>
      <c r="H1760" s="915"/>
      <c r="I1760" s="916"/>
      <c r="J1760" s="916"/>
      <c r="K1760" s="917"/>
      <c r="L1760" s="917"/>
      <c r="M1760" s="917"/>
      <c r="N1760" s="917"/>
      <c r="O1760" s="917"/>
      <c r="P1760" s="917"/>
      <c r="Q1760" s="578"/>
      <c r="R1760" s="578"/>
      <c r="S1760" s="578"/>
      <c r="T1760" s="578"/>
      <c r="U1760" s="578"/>
      <c r="V1760" s="578"/>
      <c r="W1760" s="578"/>
      <c r="X1760" s="578"/>
      <c r="Y1760" s="578"/>
      <c r="Z1760" s="578"/>
    </row>
    <row r="1761" spans="1:26" ht="18.75">
      <c r="A1761" s="682"/>
      <c r="B1761" s="682"/>
      <c r="C1761" s="682"/>
      <c r="D1761" s="914"/>
      <c r="E1761" s="682"/>
      <c r="F1761" s="682"/>
      <c r="G1761" s="682"/>
      <c r="H1761" s="915"/>
      <c r="I1761" s="916"/>
      <c r="J1761" s="916"/>
      <c r="K1761" s="917"/>
      <c r="L1761" s="917"/>
      <c r="M1761" s="917"/>
      <c r="N1761" s="917"/>
      <c r="O1761" s="917"/>
      <c r="P1761" s="917"/>
      <c r="Q1761" s="578"/>
      <c r="R1761" s="578"/>
      <c r="S1761" s="578"/>
      <c r="T1761" s="578"/>
      <c r="U1761" s="578"/>
      <c r="V1761" s="578"/>
      <c r="W1761" s="578"/>
      <c r="X1761" s="578"/>
      <c r="Y1761" s="578"/>
      <c r="Z1761" s="578"/>
    </row>
    <row r="1762" spans="1:26" ht="18.75">
      <c r="A1762" s="682"/>
      <c r="B1762" s="682"/>
      <c r="C1762" s="682"/>
      <c r="D1762" s="914"/>
      <c r="E1762" s="682"/>
      <c r="F1762" s="682"/>
      <c r="G1762" s="682"/>
      <c r="H1762" s="915"/>
      <c r="I1762" s="916"/>
      <c r="J1762" s="916"/>
      <c r="K1762" s="917"/>
      <c r="L1762" s="917"/>
      <c r="M1762" s="917"/>
      <c r="N1762" s="917"/>
      <c r="O1762" s="917"/>
      <c r="P1762" s="917"/>
      <c r="Q1762" s="578"/>
      <c r="R1762" s="578"/>
      <c r="S1762" s="578"/>
      <c r="T1762" s="578"/>
      <c r="U1762" s="578"/>
      <c r="V1762" s="578"/>
      <c r="W1762" s="578"/>
      <c r="X1762" s="578"/>
      <c r="Y1762" s="578"/>
      <c r="Z1762" s="578"/>
    </row>
    <row r="1763" spans="1:26" ht="18.75">
      <c r="A1763" s="682"/>
      <c r="B1763" s="682"/>
      <c r="C1763" s="682"/>
      <c r="D1763" s="914"/>
      <c r="E1763" s="682"/>
      <c r="F1763" s="682"/>
      <c r="G1763" s="682"/>
      <c r="H1763" s="915"/>
      <c r="I1763" s="916"/>
      <c r="J1763" s="916"/>
      <c r="K1763" s="917"/>
      <c r="L1763" s="917"/>
      <c r="M1763" s="917"/>
      <c r="N1763" s="917"/>
      <c r="O1763" s="917"/>
      <c r="P1763" s="917"/>
      <c r="Q1763" s="578"/>
      <c r="R1763" s="578"/>
      <c r="S1763" s="578"/>
      <c r="T1763" s="578"/>
      <c r="U1763" s="578"/>
      <c r="V1763" s="578"/>
      <c r="W1763" s="578"/>
      <c r="X1763" s="578"/>
      <c r="Y1763" s="578"/>
      <c r="Z1763" s="578"/>
    </row>
    <row r="1764" spans="1:26" ht="18.75">
      <c r="A1764" s="682"/>
      <c r="B1764" s="682"/>
      <c r="C1764" s="682"/>
      <c r="D1764" s="914"/>
      <c r="E1764" s="682"/>
      <c r="F1764" s="682"/>
      <c r="G1764" s="682"/>
      <c r="H1764" s="915"/>
      <c r="I1764" s="916"/>
      <c r="J1764" s="916"/>
      <c r="K1764" s="917"/>
      <c r="L1764" s="917"/>
      <c r="M1764" s="917"/>
      <c r="N1764" s="917"/>
      <c r="O1764" s="917"/>
      <c r="P1764" s="917"/>
      <c r="Q1764" s="578"/>
      <c r="R1764" s="578"/>
      <c r="S1764" s="578"/>
      <c r="T1764" s="578"/>
      <c r="U1764" s="578"/>
      <c r="V1764" s="578"/>
      <c r="W1764" s="578"/>
      <c r="X1764" s="578"/>
      <c r="Y1764" s="578"/>
      <c r="Z1764" s="578"/>
    </row>
    <row r="1765" spans="1:26" ht="18.75">
      <c r="A1765" s="682"/>
      <c r="B1765" s="682"/>
      <c r="C1765" s="682"/>
      <c r="D1765" s="914"/>
      <c r="E1765" s="682"/>
      <c r="F1765" s="682"/>
      <c r="G1765" s="682"/>
      <c r="H1765" s="915"/>
      <c r="I1765" s="916"/>
      <c r="J1765" s="916"/>
      <c r="K1765" s="917"/>
      <c r="L1765" s="917"/>
      <c r="M1765" s="917"/>
      <c r="N1765" s="917"/>
      <c r="O1765" s="917"/>
      <c r="P1765" s="917"/>
      <c r="Q1765" s="578"/>
      <c r="R1765" s="578"/>
      <c r="S1765" s="578"/>
      <c r="T1765" s="578"/>
      <c r="U1765" s="578"/>
      <c r="V1765" s="578"/>
      <c r="W1765" s="578"/>
      <c r="X1765" s="578"/>
      <c r="Y1765" s="578"/>
      <c r="Z1765" s="578"/>
    </row>
    <row r="1766" spans="1:26" ht="18.75">
      <c r="A1766" s="682"/>
      <c r="B1766" s="682"/>
      <c r="C1766" s="682"/>
      <c r="D1766" s="914"/>
      <c r="E1766" s="682"/>
      <c r="F1766" s="682"/>
      <c r="G1766" s="682"/>
      <c r="H1766" s="915"/>
      <c r="I1766" s="916"/>
      <c r="J1766" s="916"/>
      <c r="K1766" s="917"/>
      <c r="L1766" s="917"/>
      <c r="M1766" s="917"/>
      <c r="N1766" s="917"/>
      <c r="O1766" s="917"/>
      <c r="P1766" s="917"/>
      <c r="Q1766" s="578"/>
      <c r="R1766" s="578"/>
      <c r="S1766" s="578"/>
      <c r="T1766" s="578"/>
      <c r="U1766" s="578"/>
      <c r="V1766" s="578"/>
      <c r="W1766" s="578"/>
      <c r="X1766" s="578"/>
      <c r="Y1766" s="578"/>
      <c r="Z1766" s="578"/>
    </row>
    <row r="1767" spans="1:26" ht="18.75">
      <c r="A1767" s="682"/>
      <c r="B1767" s="682"/>
      <c r="C1767" s="682"/>
      <c r="D1767" s="914"/>
      <c r="E1767" s="682"/>
      <c r="F1767" s="682"/>
      <c r="G1767" s="682"/>
      <c r="H1767" s="915"/>
      <c r="I1767" s="916"/>
      <c r="J1767" s="916"/>
      <c r="K1767" s="917"/>
      <c r="L1767" s="917"/>
      <c r="M1767" s="917"/>
      <c r="N1767" s="917"/>
      <c r="O1767" s="917"/>
      <c r="P1767" s="917"/>
      <c r="Q1767" s="578"/>
      <c r="R1767" s="578"/>
      <c r="S1767" s="578"/>
      <c r="T1767" s="578"/>
      <c r="U1767" s="578"/>
      <c r="V1767" s="578"/>
      <c r="W1767" s="578"/>
      <c r="X1767" s="578"/>
      <c r="Y1767" s="578"/>
      <c r="Z1767" s="578"/>
    </row>
    <row r="1768" spans="1:26" ht="18.75">
      <c r="A1768" s="682"/>
      <c r="B1768" s="682"/>
      <c r="C1768" s="682"/>
      <c r="D1768" s="914"/>
      <c r="E1768" s="682"/>
      <c r="F1768" s="682"/>
      <c r="G1768" s="682"/>
      <c r="H1768" s="915"/>
      <c r="I1768" s="916"/>
      <c r="J1768" s="916"/>
      <c r="K1768" s="917"/>
      <c r="L1768" s="917"/>
      <c r="M1768" s="917"/>
      <c r="N1768" s="917"/>
      <c r="O1768" s="917"/>
      <c r="P1768" s="917"/>
      <c r="Q1768" s="578"/>
      <c r="R1768" s="578"/>
      <c r="S1768" s="578"/>
      <c r="T1768" s="578"/>
      <c r="U1768" s="578"/>
      <c r="V1768" s="578"/>
      <c r="W1768" s="578"/>
      <c r="X1768" s="578"/>
      <c r="Y1768" s="578"/>
      <c r="Z1768" s="578"/>
    </row>
    <row r="1769" spans="1:26" ht="18.75">
      <c r="A1769" s="682"/>
      <c r="B1769" s="682"/>
      <c r="C1769" s="682"/>
      <c r="D1769" s="914"/>
      <c r="E1769" s="682"/>
      <c r="F1769" s="682"/>
      <c r="G1769" s="682"/>
      <c r="H1769" s="915"/>
      <c r="I1769" s="916"/>
      <c r="J1769" s="916"/>
      <c r="K1769" s="917"/>
      <c r="L1769" s="917"/>
      <c r="M1769" s="917"/>
      <c r="N1769" s="917"/>
      <c r="O1769" s="917"/>
      <c r="P1769" s="917"/>
      <c r="Q1769" s="578"/>
      <c r="R1769" s="578"/>
      <c r="S1769" s="578"/>
      <c r="T1769" s="578"/>
      <c r="U1769" s="578"/>
      <c r="V1769" s="578"/>
      <c r="W1769" s="578"/>
      <c r="X1769" s="578"/>
      <c r="Y1769" s="578"/>
      <c r="Z1769" s="578"/>
    </row>
    <row r="1770" spans="1:26" ht="18.75">
      <c r="A1770" s="682"/>
      <c r="B1770" s="682"/>
      <c r="C1770" s="682"/>
      <c r="D1770" s="914"/>
      <c r="E1770" s="682"/>
      <c r="F1770" s="682"/>
      <c r="G1770" s="682"/>
      <c r="H1770" s="915"/>
      <c r="I1770" s="916"/>
      <c r="J1770" s="916"/>
      <c r="K1770" s="917"/>
      <c r="L1770" s="917"/>
      <c r="M1770" s="917"/>
      <c r="N1770" s="917"/>
      <c r="O1770" s="917"/>
      <c r="P1770" s="917"/>
      <c r="Q1770" s="578"/>
      <c r="R1770" s="578"/>
      <c r="S1770" s="578"/>
      <c r="T1770" s="578"/>
      <c r="U1770" s="578"/>
      <c r="V1770" s="578"/>
      <c r="W1770" s="578"/>
      <c r="X1770" s="578"/>
      <c r="Y1770" s="578"/>
      <c r="Z1770" s="578"/>
    </row>
    <row r="1771" spans="1:26" ht="18.75">
      <c r="A1771" s="682"/>
      <c r="B1771" s="682"/>
      <c r="C1771" s="682"/>
      <c r="D1771" s="914"/>
      <c r="E1771" s="682"/>
      <c r="F1771" s="682"/>
      <c r="G1771" s="682"/>
      <c r="H1771" s="915"/>
      <c r="I1771" s="916"/>
      <c r="J1771" s="916"/>
      <c r="K1771" s="917"/>
      <c r="L1771" s="917"/>
      <c r="M1771" s="917"/>
      <c r="N1771" s="917"/>
      <c r="O1771" s="917"/>
      <c r="P1771" s="917"/>
      <c r="Q1771" s="578"/>
      <c r="R1771" s="578"/>
      <c r="S1771" s="578"/>
      <c r="T1771" s="578"/>
      <c r="U1771" s="578"/>
      <c r="V1771" s="578"/>
      <c r="W1771" s="578"/>
      <c r="X1771" s="578"/>
      <c r="Y1771" s="578"/>
      <c r="Z1771" s="578"/>
    </row>
    <row r="1772" spans="1:26" ht="18.75">
      <c r="A1772" s="682"/>
      <c r="B1772" s="682"/>
      <c r="C1772" s="682"/>
      <c r="D1772" s="914"/>
      <c r="E1772" s="682"/>
      <c r="F1772" s="682"/>
      <c r="G1772" s="682"/>
      <c r="H1772" s="915"/>
      <c r="I1772" s="916"/>
      <c r="J1772" s="916"/>
      <c r="K1772" s="917"/>
      <c r="L1772" s="917"/>
      <c r="M1772" s="917"/>
      <c r="N1772" s="917"/>
      <c r="O1772" s="917"/>
      <c r="P1772" s="917"/>
      <c r="Q1772" s="578"/>
      <c r="R1772" s="578"/>
      <c r="S1772" s="578"/>
      <c r="T1772" s="578"/>
      <c r="U1772" s="578"/>
      <c r="V1772" s="578"/>
      <c r="W1772" s="578"/>
      <c r="X1772" s="578"/>
      <c r="Y1772" s="578"/>
      <c r="Z1772" s="578"/>
    </row>
    <row r="1773" spans="1:26" ht="18.75">
      <c r="A1773" s="682"/>
      <c r="B1773" s="682"/>
      <c r="C1773" s="682"/>
      <c r="D1773" s="914"/>
      <c r="E1773" s="682"/>
      <c r="F1773" s="682"/>
      <c r="G1773" s="682"/>
      <c r="H1773" s="915"/>
      <c r="I1773" s="916"/>
      <c r="J1773" s="916"/>
      <c r="K1773" s="917"/>
      <c r="L1773" s="917"/>
      <c r="M1773" s="917"/>
      <c r="N1773" s="917"/>
      <c r="O1773" s="917"/>
      <c r="P1773" s="917"/>
      <c r="Q1773" s="578"/>
      <c r="R1773" s="578"/>
      <c r="S1773" s="578"/>
      <c r="T1773" s="578"/>
      <c r="U1773" s="578"/>
      <c r="V1773" s="578"/>
      <c r="W1773" s="578"/>
      <c r="X1773" s="578"/>
      <c r="Y1773" s="578"/>
      <c r="Z1773" s="578"/>
    </row>
    <row r="1774" spans="1:26" ht="18.75">
      <c r="A1774" s="682"/>
      <c r="B1774" s="682"/>
      <c r="C1774" s="682"/>
      <c r="D1774" s="914"/>
      <c r="E1774" s="682"/>
      <c r="F1774" s="682"/>
      <c r="G1774" s="682"/>
      <c r="H1774" s="915"/>
      <c r="I1774" s="916"/>
      <c r="J1774" s="916"/>
      <c r="K1774" s="917"/>
      <c r="L1774" s="917"/>
      <c r="M1774" s="917"/>
      <c r="N1774" s="917"/>
      <c r="O1774" s="917"/>
      <c r="P1774" s="917"/>
      <c r="Q1774" s="578"/>
      <c r="R1774" s="578"/>
      <c r="S1774" s="578"/>
      <c r="T1774" s="578"/>
      <c r="U1774" s="578"/>
      <c r="V1774" s="578"/>
      <c r="W1774" s="578"/>
      <c r="X1774" s="578"/>
      <c r="Y1774" s="578"/>
      <c r="Z1774" s="578"/>
    </row>
    <row r="1775" spans="1:26" ht="18.75">
      <c r="A1775" s="682"/>
      <c r="B1775" s="682"/>
      <c r="C1775" s="682"/>
      <c r="D1775" s="914"/>
      <c r="E1775" s="682"/>
      <c r="F1775" s="682"/>
      <c r="G1775" s="682"/>
      <c r="H1775" s="915"/>
      <c r="I1775" s="916"/>
      <c r="J1775" s="916"/>
      <c r="K1775" s="917"/>
      <c r="L1775" s="917"/>
      <c r="M1775" s="917"/>
      <c r="N1775" s="917"/>
      <c r="O1775" s="917"/>
      <c r="P1775" s="917"/>
      <c r="Q1775" s="578"/>
      <c r="R1775" s="578"/>
      <c r="S1775" s="578"/>
      <c r="T1775" s="578"/>
      <c r="U1775" s="578"/>
      <c r="V1775" s="578"/>
      <c r="W1775" s="578"/>
      <c r="X1775" s="578"/>
      <c r="Y1775" s="578"/>
      <c r="Z1775" s="578"/>
    </row>
    <row r="1776" spans="1:26" ht="18.75">
      <c r="A1776" s="682"/>
      <c r="B1776" s="682"/>
      <c r="C1776" s="682"/>
      <c r="D1776" s="914"/>
      <c r="E1776" s="682"/>
      <c r="F1776" s="682"/>
      <c r="G1776" s="682"/>
      <c r="H1776" s="915"/>
      <c r="I1776" s="916"/>
      <c r="J1776" s="916"/>
      <c r="K1776" s="917"/>
      <c r="L1776" s="917"/>
      <c r="M1776" s="917"/>
      <c r="N1776" s="917"/>
      <c r="O1776" s="917"/>
      <c r="P1776" s="917"/>
      <c r="Q1776" s="578"/>
      <c r="R1776" s="578"/>
      <c r="S1776" s="578"/>
      <c r="T1776" s="578"/>
      <c r="U1776" s="578"/>
      <c r="V1776" s="578"/>
      <c r="W1776" s="578"/>
      <c r="X1776" s="578"/>
      <c r="Y1776" s="578"/>
      <c r="Z1776" s="578"/>
    </row>
    <row r="1777" spans="1:26" ht="18.75">
      <c r="A1777" s="682"/>
      <c r="B1777" s="682"/>
      <c r="C1777" s="682"/>
      <c r="D1777" s="914"/>
      <c r="E1777" s="682"/>
      <c r="F1777" s="682"/>
      <c r="G1777" s="682"/>
      <c r="H1777" s="915"/>
      <c r="I1777" s="916"/>
      <c r="J1777" s="916"/>
      <c r="K1777" s="917"/>
      <c r="L1777" s="917"/>
      <c r="M1777" s="917"/>
      <c r="N1777" s="917"/>
      <c r="O1777" s="917"/>
      <c r="P1777" s="917"/>
      <c r="Q1777" s="578"/>
      <c r="R1777" s="578"/>
      <c r="S1777" s="578"/>
      <c r="T1777" s="578"/>
      <c r="U1777" s="578"/>
      <c r="V1777" s="578"/>
      <c r="W1777" s="578"/>
      <c r="X1777" s="578"/>
      <c r="Y1777" s="578"/>
      <c r="Z1777" s="578"/>
    </row>
    <row r="1778" spans="1:26" ht="18.75">
      <c r="A1778" s="682"/>
      <c r="B1778" s="682"/>
      <c r="C1778" s="682"/>
      <c r="D1778" s="914"/>
      <c r="E1778" s="682"/>
      <c r="F1778" s="682"/>
      <c r="G1778" s="682"/>
      <c r="H1778" s="915"/>
      <c r="I1778" s="916"/>
      <c r="J1778" s="916"/>
      <c r="K1778" s="917"/>
      <c r="L1778" s="917"/>
      <c r="M1778" s="917"/>
      <c r="N1778" s="917"/>
      <c r="O1778" s="917"/>
      <c r="P1778" s="917"/>
      <c r="Q1778" s="578"/>
      <c r="R1778" s="578"/>
      <c r="S1778" s="578"/>
      <c r="T1778" s="578"/>
      <c r="U1778" s="578"/>
      <c r="V1778" s="578"/>
      <c r="W1778" s="578"/>
      <c r="X1778" s="578"/>
      <c r="Y1778" s="578"/>
      <c r="Z1778" s="578"/>
    </row>
    <row r="1779" spans="1:26" ht="18.75">
      <c r="A1779" s="682"/>
      <c r="B1779" s="682"/>
      <c r="C1779" s="682"/>
      <c r="D1779" s="914"/>
      <c r="E1779" s="682"/>
      <c r="F1779" s="682"/>
      <c r="G1779" s="682"/>
      <c r="H1779" s="915"/>
      <c r="I1779" s="916"/>
      <c r="J1779" s="916"/>
      <c r="K1779" s="917"/>
      <c r="L1779" s="917"/>
      <c r="M1779" s="917"/>
      <c r="N1779" s="917"/>
      <c r="O1779" s="917"/>
      <c r="P1779" s="917"/>
      <c r="Q1779" s="578"/>
      <c r="R1779" s="578"/>
      <c r="S1779" s="578"/>
      <c r="T1779" s="578"/>
      <c r="U1779" s="578"/>
      <c r="V1779" s="578"/>
      <c r="W1779" s="578"/>
      <c r="X1779" s="578"/>
      <c r="Y1779" s="578"/>
      <c r="Z1779" s="578"/>
    </row>
    <row r="1780" spans="1:26" ht="18.75">
      <c r="A1780" s="682"/>
      <c r="B1780" s="682"/>
      <c r="C1780" s="682"/>
      <c r="D1780" s="914"/>
      <c r="E1780" s="682"/>
      <c r="F1780" s="682"/>
      <c r="G1780" s="682"/>
      <c r="H1780" s="915"/>
      <c r="I1780" s="916"/>
      <c r="J1780" s="916"/>
      <c r="K1780" s="917"/>
      <c r="L1780" s="917"/>
      <c r="M1780" s="917"/>
      <c r="N1780" s="917"/>
      <c r="O1780" s="917"/>
      <c r="P1780" s="917"/>
      <c r="Q1780" s="578"/>
      <c r="R1780" s="578"/>
      <c r="S1780" s="578"/>
      <c r="T1780" s="578"/>
      <c r="U1780" s="578"/>
      <c r="V1780" s="578"/>
      <c r="W1780" s="578"/>
      <c r="X1780" s="578"/>
      <c r="Y1780" s="578"/>
      <c r="Z1780" s="578"/>
    </row>
    <row r="1781" spans="1:26" ht="18.75">
      <c r="A1781" s="682"/>
      <c r="B1781" s="682"/>
      <c r="C1781" s="682"/>
      <c r="D1781" s="914"/>
      <c r="E1781" s="682"/>
      <c r="F1781" s="682"/>
      <c r="G1781" s="682"/>
      <c r="H1781" s="915"/>
      <c r="I1781" s="916"/>
      <c r="J1781" s="916"/>
      <c r="K1781" s="917"/>
      <c r="L1781" s="917"/>
      <c r="M1781" s="917"/>
      <c r="N1781" s="917"/>
      <c r="O1781" s="917"/>
      <c r="P1781" s="917"/>
      <c r="Q1781" s="578"/>
      <c r="R1781" s="578"/>
      <c r="S1781" s="578"/>
      <c r="T1781" s="578"/>
      <c r="U1781" s="578"/>
      <c r="V1781" s="578"/>
      <c r="W1781" s="578"/>
      <c r="X1781" s="578"/>
      <c r="Y1781" s="578"/>
      <c r="Z1781" s="578"/>
    </row>
    <row r="1782" spans="1:26" ht="18.75">
      <c r="A1782" s="682"/>
      <c r="B1782" s="682"/>
      <c r="C1782" s="682"/>
      <c r="D1782" s="914"/>
      <c r="E1782" s="682"/>
      <c r="F1782" s="682"/>
      <c r="G1782" s="682"/>
      <c r="H1782" s="915"/>
      <c r="I1782" s="916"/>
      <c r="J1782" s="916"/>
      <c r="K1782" s="917"/>
      <c r="L1782" s="917"/>
      <c r="M1782" s="917"/>
      <c r="N1782" s="917"/>
      <c r="O1782" s="917"/>
      <c r="P1782" s="917"/>
      <c r="Q1782" s="578"/>
      <c r="R1782" s="578"/>
      <c r="S1782" s="578"/>
      <c r="T1782" s="578"/>
      <c r="U1782" s="578"/>
      <c r="V1782" s="578"/>
      <c r="W1782" s="578"/>
      <c r="X1782" s="578"/>
      <c r="Y1782" s="578"/>
      <c r="Z1782" s="578"/>
    </row>
    <row r="1783" spans="1:26" ht="18.75">
      <c r="A1783" s="682"/>
      <c r="B1783" s="682"/>
      <c r="C1783" s="682"/>
      <c r="D1783" s="914"/>
      <c r="E1783" s="682"/>
      <c r="F1783" s="682"/>
      <c r="G1783" s="682"/>
      <c r="H1783" s="915"/>
      <c r="I1783" s="916"/>
      <c r="J1783" s="916"/>
      <c r="K1783" s="917"/>
      <c r="L1783" s="917"/>
      <c r="M1783" s="917"/>
      <c r="N1783" s="917"/>
      <c r="O1783" s="917"/>
      <c r="P1783" s="917"/>
      <c r="Q1783" s="578"/>
      <c r="R1783" s="578"/>
      <c r="S1783" s="578"/>
      <c r="T1783" s="578"/>
      <c r="U1783" s="578"/>
      <c r="V1783" s="578"/>
      <c r="W1783" s="578"/>
      <c r="X1783" s="578"/>
      <c r="Y1783" s="578"/>
      <c r="Z1783" s="578"/>
    </row>
    <row r="1784" spans="1:26" ht="18.75">
      <c r="A1784" s="682"/>
      <c r="B1784" s="682"/>
      <c r="C1784" s="682"/>
      <c r="D1784" s="914"/>
      <c r="E1784" s="682"/>
      <c r="F1784" s="682"/>
      <c r="G1784" s="682"/>
      <c r="H1784" s="915"/>
      <c r="I1784" s="916"/>
      <c r="J1784" s="916"/>
      <c r="K1784" s="917"/>
      <c r="L1784" s="917"/>
      <c r="M1784" s="917"/>
      <c r="N1784" s="917"/>
      <c r="O1784" s="917"/>
      <c r="P1784" s="917"/>
      <c r="Q1784" s="578"/>
      <c r="R1784" s="578"/>
      <c r="S1784" s="578"/>
      <c r="T1784" s="578"/>
      <c r="U1784" s="578"/>
      <c r="V1784" s="578"/>
      <c r="W1784" s="578"/>
      <c r="X1784" s="578"/>
      <c r="Y1784" s="578"/>
      <c r="Z1784" s="578"/>
    </row>
    <row r="1785" spans="1:26" ht="18.75">
      <c r="A1785" s="682"/>
      <c r="B1785" s="682"/>
      <c r="C1785" s="682"/>
      <c r="D1785" s="914"/>
      <c r="E1785" s="682"/>
      <c r="F1785" s="682"/>
      <c r="G1785" s="682"/>
      <c r="H1785" s="915"/>
      <c r="I1785" s="916"/>
      <c r="J1785" s="916"/>
      <c r="K1785" s="917"/>
      <c r="L1785" s="917"/>
      <c r="M1785" s="917"/>
      <c r="N1785" s="917"/>
      <c r="O1785" s="917"/>
      <c r="P1785" s="917"/>
      <c r="Q1785" s="578"/>
      <c r="R1785" s="578"/>
      <c r="S1785" s="578"/>
      <c r="T1785" s="578"/>
      <c r="U1785" s="578"/>
      <c r="V1785" s="578"/>
      <c r="W1785" s="578"/>
      <c r="X1785" s="578"/>
      <c r="Y1785" s="578"/>
      <c r="Z1785" s="578"/>
    </row>
    <row r="1786" spans="1:26" ht="18.75">
      <c r="A1786" s="682"/>
      <c r="B1786" s="682"/>
      <c r="C1786" s="682"/>
      <c r="D1786" s="914"/>
      <c r="E1786" s="682"/>
      <c r="F1786" s="682"/>
      <c r="G1786" s="682"/>
      <c r="H1786" s="915"/>
      <c r="I1786" s="916"/>
      <c r="J1786" s="916"/>
      <c r="K1786" s="917"/>
      <c r="L1786" s="917"/>
      <c r="M1786" s="917"/>
      <c r="N1786" s="917"/>
      <c r="O1786" s="917"/>
      <c r="P1786" s="917"/>
      <c r="Q1786" s="578"/>
      <c r="R1786" s="578"/>
      <c r="S1786" s="578"/>
      <c r="T1786" s="578"/>
      <c r="U1786" s="578"/>
      <c r="V1786" s="578"/>
      <c r="W1786" s="578"/>
      <c r="X1786" s="578"/>
      <c r="Y1786" s="578"/>
      <c r="Z1786" s="578"/>
    </row>
    <row r="1787" spans="1:26" ht="18.75">
      <c r="A1787" s="682"/>
      <c r="B1787" s="682"/>
      <c r="C1787" s="682"/>
      <c r="D1787" s="914"/>
      <c r="E1787" s="682"/>
      <c r="F1787" s="682"/>
      <c r="G1787" s="682"/>
      <c r="H1787" s="915"/>
      <c r="I1787" s="916"/>
      <c r="J1787" s="916"/>
      <c r="K1787" s="917"/>
      <c r="L1787" s="917"/>
      <c r="M1787" s="917"/>
      <c r="N1787" s="917"/>
      <c r="O1787" s="917"/>
      <c r="P1787" s="917"/>
      <c r="Q1787" s="578"/>
      <c r="R1787" s="578"/>
      <c r="S1787" s="578"/>
      <c r="T1787" s="578"/>
      <c r="U1787" s="578"/>
      <c r="V1787" s="578"/>
      <c r="W1787" s="578"/>
      <c r="X1787" s="578"/>
      <c r="Y1787" s="578"/>
      <c r="Z1787" s="578"/>
    </row>
    <row r="1788" spans="1:26" ht="18.75">
      <c r="A1788" s="682"/>
      <c r="B1788" s="682"/>
      <c r="C1788" s="682"/>
      <c r="D1788" s="914"/>
      <c r="E1788" s="682"/>
      <c r="F1788" s="682"/>
      <c r="G1788" s="682"/>
      <c r="H1788" s="915"/>
      <c r="I1788" s="916"/>
      <c r="J1788" s="916"/>
      <c r="K1788" s="917"/>
      <c r="L1788" s="917"/>
      <c r="M1788" s="917"/>
      <c r="N1788" s="917"/>
      <c r="O1788" s="917"/>
      <c r="P1788" s="917"/>
      <c r="Q1788" s="578"/>
      <c r="R1788" s="578"/>
      <c r="S1788" s="578"/>
      <c r="T1788" s="578"/>
      <c r="U1788" s="578"/>
      <c r="V1788" s="578"/>
      <c r="W1788" s="578"/>
      <c r="X1788" s="578"/>
      <c r="Y1788" s="578"/>
      <c r="Z1788" s="578"/>
    </row>
    <row r="1789" spans="1:26" ht="18.75">
      <c r="A1789" s="682"/>
      <c r="B1789" s="682"/>
      <c r="C1789" s="682"/>
      <c r="D1789" s="914"/>
      <c r="E1789" s="682"/>
      <c r="F1789" s="682"/>
      <c r="G1789" s="682"/>
      <c r="H1789" s="915"/>
      <c r="I1789" s="916"/>
      <c r="J1789" s="916"/>
      <c r="K1789" s="917"/>
      <c r="L1789" s="917"/>
      <c r="M1789" s="917"/>
      <c r="N1789" s="917"/>
      <c r="O1789" s="917"/>
      <c r="P1789" s="917"/>
      <c r="Q1789" s="578"/>
      <c r="R1789" s="578"/>
      <c r="S1789" s="578"/>
      <c r="T1789" s="578"/>
      <c r="U1789" s="578"/>
      <c r="V1789" s="578"/>
      <c r="W1789" s="578"/>
      <c r="X1789" s="578"/>
      <c r="Y1789" s="578"/>
      <c r="Z1789" s="578"/>
    </row>
    <row r="1790" spans="1:26" ht="18.75">
      <c r="A1790" s="682"/>
      <c r="B1790" s="682"/>
      <c r="C1790" s="682"/>
      <c r="D1790" s="914"/>
      <c r="E1790" s="682"/>
      <c r="F1790" s="682"/>
      <c r="G1790" s="682"/>
      <c r="H1790" s="915"/>
      <c r="I1790" s="916"/>
      <c r="J1790" s="916"/>
      <c r="K1790" s="917"/>
      <c r="L1790" s="917"/>
      <c r="M1790" s="917"/>
      <c r="N1790" s="917"/>
      <c r="O1790" s="917"/>
      <c r="P1790" s="917"/>
      <c r="Q1790" s="578"/>
      <c r="R1790" s="578"/>
      <c r="S1790" s="578"/>
      <c r="T1790" s="578"/>
      <c r="U1790" s="578"/>
      <c r="V1790" s="578"/>
      <c r="W1790" s="578"/>
      <c r="X1790" s="578"/>
      <c r="Y1790" s="578"/>
      <c r="Z1790" s="578"/>
    </row>
    <row r="1791" spans="1:26" ht="18.75">
      <c r="A1791" s="682"/>
      <c r="B1791" s="682"/>
      <c r="C1791" s="682"/>
      <c r="D1791" s="914"/>
      <c r="E1791" s="682"/>
      <c r="F1791" s="682"/>
      <c r="G1791" s="682"/>
      <c r="H1791" s="915"/>
      <c r="I1791" s="916"/>
      <c r="J1791" s="916"/>
      <c r="K1791" s="917"/>
      <c r="L1791" s="917"/>
      <c r="M1791" s="917"/>
      <c r="N1791" s="917"/>
      <c r="O1791" s="917"/>
      <c r="P1791" s="917"/>
      <c r="Q1791" s="578"/>
      <c r="R1791" s="578"/>
      <c r="S1791" s="578"/>
      <c r="T1791" s="578"/>
      <c r="U1791" s="578"/>
      <c r="V1791" s="578"/>
      <c r="W1791" s="578"/>
      <c r="X1791" s="578"/>
      <c r="Y1791" s="578"/>
      <c r="Z1791" s="578"/>
    </row>
    <row r="1792" spans="1:26" ht="18.75">
      <c r="A1792" s="682"/>
      <c r="B1792" s="682"/>
      <c r="C1792" s="682"/>
      <c r="D1792" s="914"/>
      <c r="E1792" s="682"/>
      <c r="F1792" s="682"/>
      <c r="G1792" s="682"/>
      <c r="H1792" s="915"/>
      <c r="I1792" s="916"/>
      <c r="J1792" s="916"/>
      <c r="K1792" s="917"/>
      <c r="L1792" s="917"/>
      <c r="M1792" s="917"/>
      <c r="N1792" s="917"/>
      <c r="O1792" s="917"/>
      <c r="P1792" s="917"/>
      <c r="Q1792" s="578"/>
      <c r="R1792" s="578"/>
      <c r="S1792" s="578"/>
      <c r="T1792" s="578"/>
      <c r="U1792" s="578"/>
      <c r="V1792" s="578"/>
      <c r="W1792" s="578"/>
      <c r="X1792" s="578"/>
      <c r="Y1792" s="578"/>
      <c r="Z1792" s="578"/>
    </row>
    <row r="1793" spans="1:26" ht="18.75">
      <c r="A1793" s="682"/>
      <c r="B1793" s="682"/>
      <c r="C1793" s="682"/>
      <c r="D1793" s="914"/>
      <c r="E1793" s="682"/>
      <c r="F1793" s="682"/>
      <c r="G1793" s="682"/>
      <c r="H1793" s="915"/>
      <c r="I1793" s="916"/>
      <c r="J1793" s="916"/>
      <c r="K1793" s="917"/>
      <c r="L1793" s="917"/>
      <c r="M1793" s="917"/>
      <c r="N1793" s="917"/>
      <c r="O1793" s="917"/>
      <c r="P1793" s="917"/>
      <c r="Q1793" s="578"/>
      <c r="R1793" s="578"/>
      <c r="S1793" s="578"/>
      <c r="T1793" s="578"/>
      <c r="U1793" s="578"/>
      <c r="V1793" s="578"/>
      <c r="W1793" s="578"/>
      <c r="X1793" s="578"/>
      <c r="Y1793" s="578"/>
      <c r="Z1793" s="578"/>
    </row>
    <row r="1794" spans="1:26" ht="18.75">
      <c r="A1794" s="682"/>
      <c r="B1794" s="682"/>
      <c r="C1794" s="682"/>
      <c r="D1794" s="914"/>
      <c r="E1794" s="682"/>
      <c r="F1794" s="682"/>
      <c r="G1794" s="682"/>
      <c r="H1794" s="915"/>
      <c r="I1794" s="916"/>
      <c r="J1794" s="916"/>
      <c r="K1794" s="917"/>
      <c r="L1794" s="917"/>
      <c r="M1794" s="917"/>
      <c r="N1794" s="917"/>
      <c r="O1794" s="917"/>
      <c r="P1794" s="917"/>
      <c r="Q1794" s="578"/>
      <c r="R1794" s="578"/>
      <c r="S1794" s="578"/>
      <c r="T1794" s="578"/>
      <c r="U1794" s="578"/>
      <c r="V1794" s="578"/>
      <c r="W1794" s="578"/>
      <c r="X1794" s="578"/>
      <c r="Y1794" s="578"/>
      <c r="Z1794" s="578"/>
    </row>
    <row r="1795" spans="1:26" ht="18.75">
      <c r="A1795" s="682"/>
      <c r="B1795" s="682"/>
      <c r="C1795" s="682"/>
      <c r="D1795" s="914"/>
      <c r="E1795" s="682"/>
      <c r="F1795" s="682"/>
      <c r="G1795" s="682"/>
      <c r="H1795" s="915"/>
      <c r="I1795" s="916"/>
      <c r="J1795" s="916"/>
      <c r="K1795" s="917"/>
      <c r="L1795" s="917"/>
      <c r="M1795" s="917"/>
      <c r="N1795" s="917"/>
      <c r="O1795" s="917"/>
      <c r="P1795" s="917"/>
      <c r="Q1795" s="578"/>
      <c r="R1795" s="578"/>
      <c r="S1795" s="578"/>
      <c r="T1795" s="578"/>
      <c r="U1795" s="578"/>
      <c r="V1795" s="578"/>
      <c r="W1795" s="578"/>
      <c r="X1795" s="578"/>
      <c r="Y1795" s="578"/>
      <c r="Z1795" s="578"/>
    </row>
    <row r="1796" spans="1:26" ht="18.75">
      <c r="A1796" s="682"/>
      <c r="B1796" s="682"/>
      <c r="C1796" s="682"/>
      <c r="D1796" s="914"/>
      <c r="E1796" s="682"/>
      <c r="F1796" s="682"/>
      <c r="G1796" s="682"/>
      <c r="H1796" s="915"/>
      <c r="I1796" s="916"/>
      <c r="J1796" s="916"/>
      <c r="K1796" s="917"/>
      <c r="L1796" s="917"/>
      <c r="M1796" s="917"/>
      <c r="N1796" s="917"/>
      <c r="O1796" s="917"/>
      <c r="P1796" s="917"/>
      <c r="Q1796" s="578"/>
      <c r="R1796" s="578"/>
      <c r="S1796" s="578"/>
      <c r="T1796" s="578"/>
      <c r="U1796" s="578"/>
      <c r="V1796" s="578"/>
      <c r="W1796" s="578"/>
      <c r="X1796" s="578"/>
      <c r="Y1796" s="578"/>
      <c r="Z1796" s="578"/>
    </row>
    <row r="1797" spans="1:26" ht="18.75">
      <c r="A1797" s="682"/>
      <c r="B1797" s="682"/>
      <c r="C1797" s="682"/>
      <c r="D1797" s="914"/>
      <c r="E1797" s="682"/>
      <c r="F1797" s="682"/>
      <c r="G1797" s="682"/>
      <c r="H1797" s="915"/>
      <c r="I1797" s="916"/>
      <c r="J1797" s="916"/>
      <c r="K1797" s="917"/>
      <c r="L1797" s="917"/>
      <c r="M1797" s="917"/>
      <c r="N1797" s="917"/>
      <c r="O1797" s="917"/>
      <c r="P1797" s="917"/>
      <c r="Q1797" s="578"/>
      <c r="R1797" s="578"/>
      <c r="S1797" s="578"/>
      <c r="T1797" s="578"/>
      <c r="U1797" s="578"/>
      <c r="V1797" s="578"/>
      <c r="W1797" s="578"/>
      <c r="X1797" s="578"/>
      <c r="Y1797" s="578"/>
      <c r="Z1797" s="578"/>
    </row>
    <row r="1798" spans="1:26" ht="18.75">
      <c r="A1798" s="682"/>
      <c r="B1798" s="682"/>
      <c r="C1798" s="682"/>
      <c r="D1798" s="914"/>
      <c r="E1798" s="682"/>
      <c r="F1798" s="682"/>
      <c r="G1798" s="682"/>
      <c r="H1798" s="915"/>
      <c r="I1798" s="916"/>
      <c r="J1798" s="916"/>
      <c r="K1798" s="917"/>
      <c r="L1798" s="917"/>
      <c r="M1798" s="917"/>
      <c r="N1798" s="917"/>
      <c r="O1798" s="917"/>
      <c r="P1798" s="917"/>
      <c r="Q1798" s="578"/>
      <c r="R1798" s="578"/>
      <c r="S1798" s="578"/>
      <c r="T1798" s="578"/>
      <c r="U1798" s="578"/>
      <c r="V1798" s="578"/>
      <c r="W1798" s="578"/>
      <c r="X1798" s="578"/>
      <c r="Y1798" s="578"/>
      <c r="Z1798" s="578"/>
    </row>
    <row r="1799" spans="1:26" ht="18.75">
      <c r="A1799" s="682"/>
      <c r="B1799" s="682"/>
      <c r="C1799" s="682"/>
      <c r="D1799" s="914"/>
      <c r="E1799" s="682"/>
      <c r="F1799" s="682"/>
      <c r="G1799" s="682"/>
      <c r="H1799" s="915"/>
      <c r="I1799" s="916"/>
      <c r="J1799" s="916"/>
      <c r="K1799" s="917"/>
      <c r="L1799" s="917"/>
      <c r="M1799" s="917"/>
      <c r="N1799" s="917"/>
      <c r="O1799" s="917"/>
      <c r="P1799" s="917"/>
      <c r="Q1799" s="578"/>
      <c r="R1799" s="578"/>
      <c r="S1799" s="578"/>
      <c r="T1799" s="578"/>
      <c r="U1799" s="578"/>
      <c r="V1799" s="578"/>
      <c r="W1799" s="578"/>
      <c r="X1799" s="578"/>
      <c r="Y1799" s="578"/>
      <c r="Z1799" s="578"/>
    </row>
    <row r="1800" spans="1:26" ht="18.75">
      <c r="A1800" s="682"/>
      <c r="B1800" s="682"/>
      <c r="C1800" s="682"/>
      <c r="D1800" s="914"/>
      <c r="E1800" s="682"/>
      <c r="F1800" s="682"/>
      <c r="G1800" s="682"/>
      <c r="H1800" s="915"/>
      <c r="I1800" s="916"/>
      <c r="J1800" s="916"/>
      <c r="K1800" s="917"/>
      <c r="L1800" s="917"/>
      <c r="M1800" s="917"/>
      <c r="N1800" s="917"/>
      <c r="O1800" s="917"/>
      <c r="P1800" s="917"/>
      <c r="Q1800" s="578"/>
      <c r="R1800" s="578"/>
      <c r="S1800" s="578"/>
      <c r="T1800" s="578"/>
      <c r="U1800" s="578"/>
      <c r="V1800" s="578"/>
      <c r="W1800" s="578"/>
      <c r="X1800" s="578"/>
      <c r="Y1800" s="578"/>
      <c r="Z1800" s="578"/>
    </row>
    <row r="1801" spans="1:26" ht="18.75">
      <c r="A1801" s="682"/>
      <c r="B1801" s="682"/>
      <c r="C1801" s="682"/>
      <c r="D1801" s="914"/>
      <c r="E1801" s="682"/>
      <c r="F1801" s="682"/>
      <c r="G1801" s="682"/>
      <c r="H1801" s="915"/>
      <c r="I1801" s="916"/>
      <c r="J1801" s="916"/>
      <c r="K1801" s="917"/>
      <c r="L1801" s="917"/>
      <c r="M1801" s="917"/>
      <c r="N1801" s="917"/>
      <c r="O1801" s="917"/>
      <c r="P1801" s="917"/>
      <c r="Q1801" s="578"/>
      <c r="R1801" s="578"/>
      <c r="S1801" s="578"/>
      <c r="T1801" s="578"/>
      <c r="U1801" s="578"/>
      <c r="V1801" s="578"/>
      <c r="W1801" s="578"/>
      <c r="X1801" s="578"/>
      <c r="Y1801" s="578"/>
      <c r="Z1801" s="578"/>
    </row>
    <row r="1802" spans="1:26" ht="18.75">
      <c r="A1802" s="682"/>
      <c r="B1802" s="682"/>
      <c r="C1802" s="682"/>
      <c r="D1802" s="914"/>
      <c r="E1802" s="682"/>
      <c r="F1802" s="682"/>
      <c r="G1802" s="682"/>
      <c r="H1802" s="915"/>
      <c r="I1802" s="916"/>
      <c r="J1802" s="916"/>
      <c r="K1802" s="917"/>
      <c r="L1802" s="917"/>
      <c r="M1802" s="917"/>
      <c r="N1802" s="917"/>
      <c r="O1802" s="917"/>
      <c r="P1802" s="917"/>
      <c r="Q1802" s="578"/>
      <c r="R1802" s="578"/>
      <c r="S1802" s="578"/>
      <c r="T1802" s="578"/>
      <c r="U1802" s="578"/>
      <c r="V1802" s="578"/>
      <c r="W1802" s="578"/>
      <c r="X1802" s="578"/>
      <c r="Y1802" s="578"/>
      <c r="Z1802" s="578"/>
    </row>
    <row r="1803" spans="1:26" ht="18.75">
      <c r="A1803" s="682"/>
      <c r="B1803" s="682"/>
      <c r="C1803" s="682"/>
      <c r="D1803" s="914"/>
      <c r="E1803" s="682"/>
      <c r="F1803" s="682"/>
      <c r="G1803" s="682"/>
      <c r="H1803" s="915"/>
      <c r="I1803" s="916"/>
      <c r="J1803" s="916"/>
      <c r="K1803" s="917"/>
      <c r="L1803" s="917"/>
      <c r="M1803" s="917"/>
      <c r="N1803" s="917"/>
      <c r="O1803" s="917"/>
      <c r="P1803" s="917"/>
      <c r="Q1803" s="578"/>
      <c r="R1803" s="578"/>
      <c r="S1803" s="578"/>
      <c r="T1803" s="578"/>
      <c r="U1803" s="578"/>
      <c r="V1803" s="578"/>
      <c r="W1803" s="578"/>
      <c r="X1803" s="578"/>
      <c r="Y1803" s="578"/>
      <c r="Z1803" s="578"/>
    </row>
    <row r="1804" spans="1:26" ht="18.75">
      <c r="A1804" s="682"/>
      <c r="B1804" s="682"/>
      <c r="C1804" s="682"/>
      <c r="D1804" s="914"/>
      <c r="E1804" s="682"/>
      <c r="F1804" s="682"/>
      <c r="G1804" s="682"/>
      <c r="H1804" s="915"/>
      <c r="I1804" s="916"/>
      <c r="J1804" s="916"/>
      <c r="K1804" s="917"/>
      <c r="L1804" s="917"/>
      <c r="M1804" s="917"/>
      <c r="N1804" s="917"/>
      <c r="O1804" s="917"/>
      <c r="P1804" s="917"/>
      <c r="Q1804" s="578"/>
      <c r="R1804" s="578"/>
      <c r="S1804" s="578"/>
      <c r="T1804" s="578"/>
      <c r="U1804" s="578"/>
      <c r="V1804" s="578"/>
      <c r="W1804" s="578"/>
      <c r="X1804" s="578"/>
      <c r="Y1804" s="578"/>
      <c r="Z1804" s="578"/>
    </row>
    <row r="1805" spans="1:26" ht="18.75">
      <c r="A1805" s="682"/>
      <c r="B1805" s="682"/>
      <c r="C1805" s="682"/>
      <c r="D1805" s="914"/>
      <c r="E1805" s="682"/>
      <c r="F1805" s="682"/>
      <c r="G1805" s="682"/>
      <c r="H1805" s="915"/>
      <c r="I1805" s="916"/>
      <c r="J1805" s="916"/>
      <c r="K1805" s="917"/>
      <c r="L1805" s="917"/>
      <c r="M1805" s="917"/>
      <c r="N1805" s="917"/>
      <c r="O1805" s="917"/>
      <c r="P1805" s="917"/>
      <c r="Q1805" s="578"/>
      <c r="R1805" s="578"/>
      <c r="S1805" s="578"/>
      <c r="T1805" s="578"/>
      <c r="U1805" s="578"/>
      <c r="V1805" s="578"/>
      <c r="W1805" s="578"/>
      <c r="X1805" s="578"/>
      <c r="Y1805" s="578"/>
      <c r="Z1805" s="578"/>
    </row>
    <row r="1806" spans="1:26" ht="18.75">
      <c r="A1806" s="682"/>
      <c r="B1806" s="682"/>
      <c r="C1806" s="682"/>
      <c r="D1806" s="914"/>
      <c r="E1806" s="682"/>
      <c r="F1806" s="682"/>
      <c r="G1806" s="682"/>
      <c r="H1806" s="915"/>
      <c r="I1806" s="916"/>
      <c r="J1806" s="916"/>
      <c r="K1806" s="917"/>
      <c r="L1806" s="917"/>
      <c r="M1806" s="917"/>
      <c r="N1806" s="917"/>
      <c r="O1806" s="917"/>
      <c r="P1806" s="917"/>
      <c r="Q1806" s="578"/>
      <c r="R1806" s="578"/>
      <c r="S1806" s="578"/>
      <c r="T1806" s="578"/>
      <c r="U1806" s="578"/>
      <c r="V1806" s="578"/>
      <c r="W1806" s="578"/>
      <c r="X1806" s="578"/>
      <c r="Y1806" s="578"/>
      <c r="Z1806" s="578"/>
    </row>
    <row r="1807" spans="1:26" ht="18.75">
      <c r="A1807" s="682"/>
      <c r="B1807" s="682"/>
      <c r="C1807" s="682"/>
      <c r="D1807" s="914"/>
      <c r="E1807" s="682"/>
      <c r="F1807" s="682"/>
      <c r="G1807" s="682"/>
      <c r="H1807" s="915"/>
      <c r="I1807" s="916"/>
      <c r="J1807" s="916"/>
      <c r="K1807" s="917"/>
      <c r="L1807" s="917"/>
      <c r="M1807" s="917"/>
      <c r="N1807" s="917"/>
      <c r="O1807" s="917"/>
      <c r="P1807" s="917"/>
      <c r="Q1807" s="578"/>
      <c r="R1807" s="578"/>
      <c r="S1807" s="578"/>
      <c r="T1807" s="578"/>
      <c r="U1807" s="578"/>
      <c r="V1807" s="578"/>
      <c r="W1807" s="578"/>
      <c r="X1807" s="578"/>
      <c r="Y1807" s="578"/>
      <c r="Z1807" s="578"/>
    </row>
    <row r="1808" spans="1:26" ht="18.75">
      <c r="A1808" s="682"/>
      <c r="B1808" s="682"/>
      <c r="C1808" s="682"/>
      <c r="D1808" s="914"/>
      <c r="E1808" s="682"/>
      <c r="F1808" s="682"/>
      <c r="G1808" s="682"/>
      <c r="H1808" s="915"/>
      <c r="I1808" s="916"/>
      <c r="J1808" s="916"/>
      <c r="K1808" s="917"/>
      <c r="L1808" s="917"/>
      <c r="M1808" s="917"/>
      <c r="N1808" s="917"/>
      <c r="O1808" s="917"/>
      <c r="P1808" s="917"/>
      <c r="Q1808" s="578"/>
      <c r="R1808" s="578"/>
      <c r="S1808" s="578"/>
      <c r="T1808" s="578"/>
      <c r="U1808" s="578"/>
      <c r="V1808" s="578"/>
      <c r="W1808" s="578"/>
      <c r="X1808" s="578"/>
      <c r="Y1808" s="578"/>
      <c r="Z1808" s="578"/>
    </row>
    <row r="1809" spans="1:26" ht="18.75">
      <c r="A1809" s="682"/>
      <c r="B1809" s="682"/>
      <c r="C1809" s="682"/>
      <c r="D1809" s="914"/>
      <c r="E1809" s="682"/>
      <c r="F1809" s="682"/>
      <c r="G1809" s="682"/>
      <c r="H1809" s="915"/>
      <c r="I1809" s="916"/>
      <c r="J1809" s="916"/>
      <c r="K1809" s="917"/>
      <c r="L1809" s="917"/>
      <c r="M1809" s="917"/>
      <c r="N1809" s="917"/>
      <c r="O1809" s="917"/>
      <c r="P1809" s="917"/>
      <c r="Q1809" s="578"/>
      <c r="R1809" s="578"/>
      <c r="S1809" s="578"/>
      <c r="T1809" s="578"/>
      <c r="U1809" s="578"/>
      <c r="V1809" s="578"/>
      <c r="W1809" s="578"/>
      <c r="X1809" s="578"/>
      <c r="Y1809" s="578"/>
      <c r="Z1809" s="578"/>
    </row>
    <row r="1810" spans="1:26" ht="18.75">
      <c r="A1810" s="682"/>
      <c r="B1810" s="682"/>
      <c r="C1810" s="682"/>
      <c r="D1810" s="914"/>
      <c r="E1810" s="682"/>
      <c r="F1810" s="682"/>
      <c r="G1810" s="682"/>
      <c r="H1810" s="915"/>
      <c r="I1810" s="916"/>
      <c r="J1810" s="916"/>
      <c r="K1810" s="917"/>
      <c r="L1810" s="917"/>
      <c r="M1810" s="917"/>
      <c r="N1810" s="917"/>
      <c r="O1810" s="917"/>
      <c r="P1810" s="917"/>
      <c r="Q1810" s="578"/>
      <c r="R1810" s="578"/>
      <c r="S1810" s="578"/>
      <c r="T1810" s="578"/>
      <c r="U1810" s="578"/>
      <c r="V1810" s="578"/>
      <c r="W1810" s="578"/>
      <c r="X1810" s="578"/>
      <c r="Y1810" s="578"/>
      <c r="Z1810" s="578"/>
    </row>
    <row r="1811" spans="1:26" ht="18.75">
      <c r="A1811" s="682"/>
      <c r="B1811" s="682"/>
      <c r="C1811" s="682"/>
      <c r="D1811" s="914"/>
      <c r="E1811" s="682"/>
      <c r="F1811" s="682"/>
      <c r="G1811" s="682"/>
      <c r="H1811" s="915"/>
      <c r="I1811" s="916"/>
      <c r="J1811" s="916"/>
      <c r="K1811" s="917"/>
      <c r="L1811" s="917"/>
      <c r="M1811" s="917"/>
      <c r="N1811" s="917"/>
      <c r="O1811" s="917"/>
      <c r="P1811" s="917"/>
      <c r="Q1811" s="578"/>
      <c r="R1811" s="578"/>
      <c r="S1811" s="578"/>
      <c r="T1811" s="578"/>
      <c r="U1811" s="578"/>
      <c r="V1811" s="578"/>
      <c r="W1811" s="578"/>
      <c r="X1811" s="578"/>
      <c r="Y1811" s="578"/>
      <c r="Z1811" s="578"/>
    </row>
    <row r="1812" spans="1:26" ht="18.75">
      <c r="A1812" s="682"/>
      <c r="B1812" s="682"/>
      <c r="C1812" s="682"/>
      <c r="D1812" s="914"/>
      <c r="E1812" s="682"/>
      <c r="F1812" s="682"/>
      <c r="G1812" s="682"/>
      <c r="H1812" s="915"/>
      <c r="I1812" s="916"/>
      <c r="J1812" s="916"/>
      <c r="K1812" s="917"/>
      <c r="L1812" s="917"/>
      <c r="M1812" s="917"/>
      <c r="N1812" s="917"/>
      <c r="O1812" s="917"/>
      <c r="P1812" s="917"/>
      <c r="Q1812" s="578"/>
      <c r="R1812" s="578"/>
      <c r="S1812" s="578"/>
      <c r="T1812" s="578"/>
      <c r="U1812" s="578"/>
      <c r="V1812" s="578"/>
      <c r="W1812" s="578"/>
      <c r="X1812" s="578"/>
      <c r="Y1812" s="578"/>
      <c r="Z1812" s="578"/>
    </row>
    <row r="1813" spans="1:26" ht="18.75">
      <c r="A1813" s="682"/>
      <c r="B1813" s="682"/>
      <c r="C1813" s="682"/>
      <c r="D1813" s="914"/>
      <c r="E1813" s="682"/>
      <c r="F1813" s="682"/>
      <c r="G1813" s="682"/>
      <c r="H1813" s="915"/>
      <c r="I1813" s="916"/>
      <c r="J1813" s="916"/>
      <c r="K1813" s="917"/>
      <c r="L1813" s="917"/>
      <c r="M1813" s="917"/>
      <c r="N1813" s="917"/>
      <c r="O1813" s="917"/>
      <c r="P1813" s="917"/>
      <c r="Q1813" s="578"/>
      <c r="R1813" s="578"/>
      <c r="S1813" s="578"/>
      <c r="T1813" s="578"/>
      <c r="U1813" s="578"/>
      <c r="V1813" s="578"/>
      <c r="W1813" s="578"/>
      <c r="X1813" s="578"/>
      <c r="Y1813" s="578"/>
      <c r="Z1813" s="578"/>
    </row>
    <row r="1814" spans="1:26" ht="18.75">
      <c r="A1814" s="682"/>
      <c r="B1814" s="682"/>
      <c r="C1814" s="682"/>
      <c r="D1814" s="914"/>
      <c r="E1814" s="682"/>
      <c r="F1814" s="682"/>
      <c r="G1814" s="682"/>
      <c r="H1814" s="915"/>
      <c r="I1814" s="916"/>
      <c r="J1814" s="916"/>
      <c r="K1814" s="917"/>
      <c r="L1814" s="917"/>
      <c r="M1814" s="917"/>
      <c r="N1814" s="917"/>
      <c r="O1814" s="917"/>
      <c r="P1814" s="917"/>
      <c r="Q1814" s="578"/>
      <c r="R1814" s="578"/>
      <c r="S1814" s="578"/>
      <c r="T1814" s="578"/>
      <c r="U1814" s="578"/>
      <c r="V1814" s="578"/>
      <c r="W1814" s="578"/>
      <c r="X1814" s="578"/>
      <c r="Y1814" s="578"/>
      <c r="Z1814" s="578"/>
    </row>
    <row r="1815" spans="1:26" ht="18.75">
      <c r="A1815" s="682"/>
      <c r="B1815" s="682"/>
      <c r="C1815" s="682"/>
      <c r="D1815" s="914"/>
      <c r="E1815" s="682"/>
      <c r="F1815" s="682"/>
      <c r="G1815" s="682"/>
      <c r="H1815" s="915"/>
      <c r="I1815" s="916"/>
      <c r="J1815" s="916"/>
      <c r="K1815" s="917"/>
      <c r="L1815" s="917"/>
      <c r="M1815" s="917"/>
      <c r="N1815" s="917"/>
      <c r="O1815" s="917"/>
      <c r="P1815" s="917"/>
      <c r="Q1815" s="578"/>
      <c r="R1815" s="578"/>
      <c r="S1815" s="578"/>
      <c r="T1815" s="578"/>
      <c r="U1815" s="578"/>
      <c r="V1815" s="578"/>
      <c r="W1815" s="578"/>
      <c r="X1815" s="578"/>
      <c r="Y1815" s="578"/>
      <c r="Z1815" s="578"/>
    </row>
    <row r="1816" spans="1:26" ht="18.75">
      <c r="A1816" s="682"/>
      <c r="B1816" s="682"/>
      <c r="C1816" s="682"/>
      <c r="D1816" s="914"/>
      <c r="E1816" s="682"/>
      <c r="F1816" s="682"/>
      <c r="G1816" s="682"/>
      <c r="H1816" s="915"/>
      <c r="I1816" s="916"/>
      <c r="J1816" s="916"/>
      <c r="K1816" s="917"/>
      <c r="L1816" s="917"/>
      <c r="M1816" s="917"/>
      <c r="N1816" s="917"/>
      <c r="O1816" s="917"/>
      <c r="P1816" s="917"/>
      <c r="Q1816" s="578"/>
      <c r="R1816" s="578"/>
      <c r="S1816" s="578"/>
      <c r="T1816" s="578"/>
      <c r="U1816" s="578"/>
      <c r="V1816" s="578"/>
      <c r="W1816" s="578"/>
      <c r="X1816" s="578"/>
      <c r="Y1816" s="578"/>
      <c r="Z1816" s="578"/>
    </row>
    <row r="1817" spans="1:26" ht="18.75">
      <c r="A1817" s="682"/>
      <c r="B1817" s="682"/>
      <c r="C1817" s="682"/>
      <c r="D1817" s="914"/>
      <c r="E1817" s="682"/>
      <c r="F1817" s="682"/>
      <c r="G1817" s="682"/>
      <c r="H1817" s="915"/>
      <c r="I1817" s="916"/>
      <c r="J1817" s="916"/>
      <c r="K1817" s="917"/>
      <c r="L1817" s="917"/>
      <c r="M1817" s="917"/>
      <c r="N1817" s="917"/>
      <c r="O1817" s="917"/>
      <c r="P1817" s="917"/>
      <c r="Q1817" s="578"/>
      <c r="R1817" s="578"/>
      <c r="S1817" s="578"/>
      <c r="T1817" s="578"/>
      <c r="U1817" s="578"/>
      <c r="V1817" s="578"/>
      <c r="W1817" s="578"/>
      <c r="X1817" s="578"/>
      <c r="Y1817" s="578"/>
      <c r="Z1817" s="578"/>
    </row>
    <row r="1818" spans="1:26" ht="18.75">
      <c r="A1818" s="682"/>
      <c r="B1818" s="682"/>
      <c r="C1818" s="682"/>
      <c r="D1818" s="914"/>
      <c r="E1818" s="682"/>
      <c r="F1818" s="682"/>
      <c r="G1818" s="682"/>
      <c r="H1818" s="915"/>
      <c r="I1818" s="916"/>
      <c r="J1818" s="916"/>
      <c r="K1818" s="917"/>
      <c r="L1818" s="917"/>
      <c r="M1818" s="917"/>
      <c r="N1818" s="917"/>
      <c r="O1818" s="917"/>
      <c r="P1818" s="917"/>
      <c r="Q1818" s="578"/>
      <c r="R1818" s="578"/>
      <c r="S1818" s="578"/>
      <c r="T1818" s="578"/>
      <c r="U1818" s="578"/>
      <c r="V1818" s="578"/>
      <c r="W1818" s="578"/>
      <c r="X1818" s="578"/>
      <c r="Y1818" s="578"/>
      <c r="Z1818" s="578"/>
    </row>
    <row r="1819" spans="1:26" ht="18.75">
      <c r="A1819" s="682"/>
      <c r="B1819" s="682"/>
      <c r="C1819" s="682"/>
      <c r="D1819" s="914"/>
      <c r="E1819" s="682"/>
      <c r="F1819" s="682"/>
      <c r="G1819" s="682"/>
      <c r="H1819" s="915"/>
      <c r="I1819" s="916"/>
      <c r="J1819" s="916"/>
      <c r="K1819" s="917"/>
      <c r="L1819" s="917"/>
      <c r="M1819" s="917"/>
      <c r="N1819" s="917"/>
      <c r="O1819" s="917"/>
      <c r="P1819" s="917"/>
      <c r="Q1819" s="578"/>
      <c r="R1819" s="578"/>
      <c r="S1819" s="578"/>
      <c r="T1819" s="578"/>
      <c r="U1819" s="578"/>
      <c r="V1819" s="578"/>
      <c r="W1819" s="578"/>
      <c r="X1819" s="578"/>
      <c r="Y1819" s="578"/>
      <c r="Z1819" s="578"/>
    </row>
    <row r="1820" spans="1:26" ht="18.75">
      <c r="A1820" s="682"/>
      <c r="B1820" s="682"/>
      <c r="C1820" s="682"/>
      <c r="D1820" s="914"/>
      <c r="E1820" s="682"/>
      <c r="F1820" s="682"/>
      <c r="G1820" s="682"/>
      <c r="H1820" s="915"/>
      <c r="I1820" s="916"/>
      <c r="J1820" s="916"/>
      <c r="K1820" s="917"/>
      <c r="L1820" s="917"/>
      <c r="M1820" s="917"/>
      <c r="N1820" s="917"/>
      <c r="O1820" s="917"/>
      <c r="P1820" s="917"/>
      <c r="Q1820" s="578"/>
      <c r="R1820" s="578"/>
      <c r="S1820" s="578"/>
      <c r="T1820" s="578"/>
      <c r="U1820" s="578"/>
      <c r="V1820" s="578"/>
      <c r="W1820" s="578"/>
      <c r="X1820" s="578"/>
      <c r="Y1820" s="578"/>
      <c r="Z1820" s="578"/>
    </row>
    <row r="1821" spans="1:26" ht="18.75">
      <c r="A1821" s="682"/>
      <c r="B1821" s="682"/>
      <c r="C1821" s="682"/>
      <c r="D1821" s="914"/>
      <c r="E1821" s="682"/>
      <c r="F1821" s="682"/>
      <c r="G1821" s="682"/>
      <c r="H1821" s="915"/>
      <c r="I1821" s="916"/>
      <c r="J1821" s="916"/>
      <c r="K1821" s="917"/>
      <c r="L1821" s="917"/>
      <c r="M1821" s="917"/>
      <c r="N1821" s="917"/>
      <c r="O1821" s="917"/>
      <c r="P1821" s="917"/>
      <c r="Q1821" s="578"/>
      <c r="R1821" s="578"/>
      <c r="S1821" s="578"/>
      <c r="T1821" s="578"/>
      <c r="U1821" s="578"/>
      <c r="V1821" s="578"/>
      <c r="W1821" s="578"/>
      <c r="X1821" s="578"/>
      <c r="Y1821" s="578"/>
      <c r="Z1821" s="578"/>
    </row>
    <row r="1822" spans="1:26" ht="18.75">
      <c r="A1822" s="682"/>
      <c r="B1822" s="682"/>
      <c r="C1822" s="682"/>
      <c r="D1822" s="914"/>
      <c r="E1822" s="682"/>
      <c r="F1822" s="682"/>
      <c r="G1822" s="682"/>
      <c r="H1822" s="915"/>
      <c r="I1822" s="916"/>
      <c r="J1822" s="916"/>
      <c r="K1822" s="917"/>
      <c r="L1822" s="917"/>
      <c r="M1822" s="917"/>
      <c r="N1822" s="917"/>
      <c r="O1822" s="917"/>
      <c r="P1822" s="917"/>
      <c r="Q1822" s="578"/>
      <c r="R1822" s="578"/>
      <c r="S1822" s="578"/>
      <c r="T1822" s="578"/>
      <c r="U1822" s="578"/>
      <c r="V1822" s="578"/>
      <c r="W1822" s="578"/>
      <c r="X1822" s="578"/>
      <c r="Y1822" s="578"/>
      <c r="Z1822" s="578"/>
    </row>
    <row r="1823" spans="1:26" ht="18.75">
      <c r="A1823" s="682"/>
      <c r="B1823" s="682"/>
      <c r="C1823" s="682"/>
      <c r="D1823" s="914"/>
      <c r="E1823" s="682"/>
      <c r="F1823" s="682"/>
      <c r="G1823" s="682"/>
      <c r="H1823" s="915"/>
      <c r="I1823" s="916"/>
      <c r="J1823" s="916"/>
      <c r="K1823" s="917"/>
      <c r="L1823" s="917"/>
      <c r="M1823" s="917"/>
      <c r="N1823" s="917"/>
      <c r="O1823" s="917"/>
      <c r="P1823" s="917"/>
      <c r="Q1823" s="578"/>
      <c r="R1823" s="578"/>
      <c r="S1823" s="578"/>
      <c r="T1823" s="578"/>
      <c r="U1823" s="578"/>
      <c r="V1823" s="578"/>
      <c r="W1823" s="578"/>
      <c r="X1823" s="578"/>
      <c r="Y1823" s="578"/>
      <c r="Z1823" s="578"/>
    </row>
    <row r="1824" spans="1:26" ht="18.75">
      <c r="A1824" s="682"/>
      <c r="B1824" s="682"/>
      <c r="C1824" s="682"/>
      <c r="D1824" s="914"/>
      <c r="E1824" s="682"/>
      <c r="F1824" s="682"/>
      <c r="G1824" s="682"/>
      <c r="H1824" s="915"/>
      <c r="I1824" s="916"/>
      <c r="J1824" s="916"/>
      <c r="K1824" s="917"/>
      <c r="L1824" s="917"/>
      <c r="M1824" s="917"/>
      <c r="N1824" s="917"/>
      <c r="O1824" s="917"/>
      <c r="P1824" s="917"/>
      <c r="Q1824" s="578"/>
      <c r="R1824" s="578"/>
      <c r="S1824" s="578"/>
      <c r="T1824" s="578"/>
      <c r="U1824" s="578"/>
      <c r="V1824" s="578"/>
      <c r="W1824" s="578"/>
      <c r="X1824" s="578"/>
      <c r="Y1824" s="578"/>
      <c r="Z1824" s="578"/>
    </row>
    <row r="1825" spans="1:26" ht="18.75">
      <c r="A1825" s="682"/>
      <c r="B1825" s="682"/>
      <c r="C1825" s="682"/>
      <c r="D1825" s="914"/>
      <c r="E1825" s="682"/>
      <c r="F1825" s="682"/>
      <c r="G1825" s="682"/>
      <c r="H1825" s="915"/>
      <c r="I1825" s="916"/>
      <c r="J1825" s="916"/>
      <c r="K1825" s="917"/>
      <c r="L1825" s="917"/>
      <c r="M1825" s="917"/>
      <c r="N1825" s="917"/>
      <c r="O1825" s="917"/>
      <c r="P1825" s="917"/>
      <c r="Q1825" s="578"/>
      <c r="R1825" s="578"/>
      <c r="S1825" s="578"/>
      <c r="T1825" s="578"/>
      <c r="U1825" s="578"/>
      <c r="V1825" s="578"/>
      <c r="W1825" s="578"/>
      <c r="X1825" s="578"/>
      <c r="Y1825" s="578"/>
      <c r="Z1825" s="578"/>
    </row>
    <row r="1826" spans="1:26" ht="18.75">
      <c r="A1826" s="682"/>
      <c r="B1826" s="682"/>
      <c r="C1826" s="682"/>
      <c r="D1826" s="914"/>
      <c r="E1826" s="682"/>
      <c r="F1826" s="682"/>
      <c r="G1826" s="682"/>
      <c r="H1826" s="915"/>
      <c r="I1826" s="916"/>
      <c r="J1826" s="916"/>
      <c r="K1826" s="917"/>
      <c r="L1826" s="917"/>
      <c r="M1826" s="917"/>
      <c r="N1826" s="917"/>
      <c r="O1826" s="917"/>
      <c r="P1826" s="917"/>
      <c r="Q1826" s="578"/>
      <c r="R1826" s="578"/>
      <c r="S1826" s="578"/>
      <c r="T1826" s="578"/>
      <c r="U1826" s="578"/>
      <c r="V1826" s="578"/>
      <c r="W1826" s="578"/>
      <c r="X1826" s="578"/>
      <c r="Y1826" s="578"/>
      <c r="Z1826" s="578"/>
    </row>
    <row r="1827" spans="1:26" ht="18.75">
      <c r="A1827" s="682"/>
      <c r="B1827" s="682"/>
      <c r="C1827" s="682"/>
      <c r="D1827" s="914"/>
      <c r="E1827" s="682"/>
      <c r="F1827" s="682"/>
      <c r="G1827" s="682"/>
      <c r="H1827" s="915"/>
      <c r="I1827" s="916"/>
      <c r="J1827" s="916"/>
      <c r="K1827" s="917"/>
      <c r="L1827" s="917"/>
      <c r="M1827" s="917"/>
      <c r="N1827" s="917"/>
      <c r="O1827" s="917"/>
      <c r="P1827" s="917"/>
      <c r="Q1827" s="578"/>
      <c r="R1827" s="578"/>
      <c r="S1827" s="578"/>
      <c r="T1827" s="578"/>
      <c r="U1827" s="578"/>
      <c r="V1827" s="578"/>
      <c r="W1827" s="578"/>
      <c r="X1827" s="578"/>
      <c r="Y1827" s="578"/>
      <c r="Z1827" s="578"/>
    </row>
    <row r="1828" spans="1:26" ht="18.75">
      <c r="A1828" s="682"/>
      <c r="B1828" s="682"/>
      <c r="C1828" s="682"/>
      <c r="D1828" s="914"/>
      <c r="E1828" s="682"/>
      <c r="F1828" s="682"/>
      <c r="G1828" s="682"/>
      <c r="H1828" s="915"/>
      <c r="I1828" s="916"/>
      <c r="J1828" s="916"/>
      <c r="K1828" s="917"/>
      <c r="L1828" s="917"/>
      <c r="M1828" s="917"/>
      <c r="N1828" s="917"/>
      <c r="O1828" s="917"/>
      <c r="P1828" s="917"/>
      <c r="Q1828" s="578"/>
      <c r="R1828" s="578"/>
      <c r="S1828" s="578"/>
      <c r="T1828" s="578"/>
      <c r="U1828" s="578"/>
      <c r="V1828" s="578"/>
      <c r="W1828" s="578"/>
      <c r="X1828" s="578"/>
      <c r="Y1828" s="578"/>
      <c r="Z1828" s="57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592E1-AFC4-4B31-87C5-953A723EB23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338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364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7207466</v>
      </c>
      <c r="M8" s="22">
        <f t="shared" ca="1" si="0"/>
        <v>7292062.7699999996</v>
      </c>
      <c r="N8" s="22">
        <f t="shared" ca="1" si="0"/>
        <v>7292069.3699999992</v>
      </c>
      <c r="O8" s="22">
        <f t="shared" ref="O8:O16" ca="1" si="1">IF(L8&gt;0,N8*100/L8,0)</f>
        <v>101.17382960946328</v>
      </c>
      <c r="P8" s="22">
        <f t="shared" ref="P8:P16" ca="1" si="2">IF(M8&gt;0,N8*100/M8,0)</f>
        <v>100.00009050936899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7207466</v>
      </c>
      <c r="M10" s="30">
        <f t="shared" ca="1" si="3"/>
        <v>7292062.7699999996</v>
      </c>
      <c r="N10" s="30">
        <f t="shared" ca="1" si="3"/>
        <v>7292069.3699999992</v>
      </c>
      <c r="O10" s="30">
        <f t="shared" ca="1" si="1"/>
        <v>101.17382960946328</v>
      </c>
      <c r="P10" s="30">
        <f t="shared" ca="1" si="2"/>
        <v>100.00009050936899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3" t="s">
        <v>12</v>
      </c>
      <c r="I11" s="270"/>
      <c r="J11" s="270"/>
      <c r="K11" s="498"/>
      <c r="L11" s="498">
        <f t="shared" ref="L11:N11" ca="1" si="4">L12+L13</f>
        <v>7055866</v>
      </c>
      <c r="M11" s="498">
        <f t="shared" ca="1" si="4"/>
        <v>7140462.7699999996</v>
      </c>
      <c r="N11" s="498">
        <f t="shared" ca="1" si="4"/>
        <v>7140469.3699999992</v>
      </c>
      <c r="O11" s="498">
        <f t="shared" ca="1" si="1"/>
        <v>101.1990501236843</v>
      </c>
      <c r="P11" s="498">
        <f t="shared" ca="1" si="2"/>
        <v>100.00009243098398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7"/>
      <c r="J12" s="617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7"/>
      <c r="J13" s="617"/>
      <c r="K13" s="93"/>
      <c r="L13" s="93">
        <f t="shared" ca="1" si="5"/>
        <v>7055866</v>
      </c>
      <c r="M13" s="93">
        <f t="shared" ca="1" si="5"/>
        <v>7140462.7699999996</v>
      </c>
      <c r="N13" s="93">
        <f t="shared" ca="1" si="5"/>
        <v>7140469.3699999992</v>
      </c>
      <c r="O13" s="93">
        <f t="shared" ca="1" si="1"/>
        <v>101.1990501236843</v>
      </c>
      <c r="P13" s="93">
        <f t="shared" ca="1" si="2"/>
        <v>100.00009243098398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3" t="s">
        <v>12</v>
      </c>
      <c r="I14" s="270"/>
      <c r="J14" s="270"/>
      <c r="K14" s="498"/>
      <c r="L14" s="498">
        <f t="shared" ref="L14:N14" ca="1" si="6">L15+L16</f>
        <v>151600</v>
      </c>
      <c r="M14" s="498">
        <f t="shared" ca="1" si="6"/>
        <v>151600</v>
      </c>
      <c r="N14" s="498">
        <f t="shared" ca="1" si="6"/>
        <v>151600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7"/>
      <c r="J15" s="617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151600</v>
      </c>
      <c r="M16" s="52">
        <f t="shared" ca="1" si="7"/>
        <v>151600</v>
      </c>
      <c r="N16" s="52">
        <f t="shared" ca="1" si="7"/>
        <v>151600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4817772</v>
      </c>
      <c r="M18" s="22">
        <f t="shared" ca="1" si="8"/>
        <v>4927143.97</v>
      </c>
      <c r="N18" s="22">
        <f t="shared" ca="1" si="8"/>
        <v>4927143.97</v>
      </c>
      <c r="O18" s="22">
        <f t="shared" ref="O18:O26" ca="1" si="9">IF(L18&gt;0,N18*100/L18,0)</f>
        <v>102.27017737659648</v>
      </c>
      <c r="P18" s="22">
        <f t="shared" ref="P18:P26" ca="1" si="10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4817772</v>
      </c>
      <c r="M20" s="30">
        <f t="shared" ca="1" si="11"/>
        <v>4927143.97</v>
      </c>
      <c r="N20" s="30">
        <f t="shared" ca="1" si="11"/>
        <v>4927143.97</v>
      </c>
      <c r="O20" s="30">
        <f t="shared" ca="1" si="9"/>
        <v>102.27017737659648</v>
      </c>
      <c r="P20" s="30">
        <f t="shared" ca="1" si="10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3" t="s">
        <v>12</v>
      </c>
      <c r="I21" s="270"/>
      <c r="J21" s="270"/>
      <c r="K21" s="498"/>
      <c r="L21" s="498">
        <f t="shared" ref="L21:N21" ca="1" si="12">L22+L23</f>
        <v>4666172</v>
      </c>
      <c r="M21" s="498">
        <f t="shared" ca="1" si="12"/>
        <v>4775543.97</v>
      </c>
      <c r="N21" s="498">
        <f t="shared" ca="1" si="12"/>
        <v>4775543.97</v>
      </c>
      <c r="O21" s="498">
        <f t="shared" ca="1" si="9"/>
        <v>102.34393352838258</v>
      </c>
      <c r="P21" s="498">
        <f t="shared" ca="1" si="10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7"/>
      <c r="J22" s="617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7"/>
      <c r="J23" s="617"/>
      <c r="K23" s="93"/>
      <c r="L23" s="93">
        <f t="shared" ca="1" si="13"/>
        <v>4666172</v>
      </c>
      <c r="M23" s="93">
        <f t="shared" ca="1" si="13"/>
        <v>4775543.97</v>
      </c>
      <c r="N23" s="93">
        <f t="shared" ca="1" si="13"/>
        <v>4775543.97</v>
      </c>
      <c r="O23" s="93">
        <f t="shared" ca="1" si="9"/>
        <v>102.34393352838258</v>
      </c>
      <c r="P23" s="93">
        <f t="shared" ca="1" si="10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3" t="s">
        <v>12</v>
      </c>
      <c r="I24" s="270"/>
      <c r="J24" s="270"/>
      <c r="K24" s="498"/>
      <c r="L24" s="498">
        <f t="shared" ref="L24:N24" ca="1" si="14">L25+L26</f>
        <v>151600</v>
      </c>
      <c r="M24" s="498">
        <f t="shared" ca="1" si="14"/>
        <v>151600</v>
      </c>
      <c r="N24" s="498">
        <f t="shared" ca="1" si="14"/>
        <v>151600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7"/>
      <c r="J25" s="617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151600</v>
      </c>
      <c r="M26" s="52">
        <f t="shared" ca="1" si="15"/>
        <v>151600</v>
      </c>
      <c r="N26" s="52">
        <f t="shared" ca="1" si="15"/>
        <v>151600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2389694</v>
      </c>
      <c r="M28" s="22">
        <f t="shared" ca="1" si="16"/>
        <v>2364918.7999999998</v>
      </c>
      <c r="N28" s="22">
        <f t="shared" si="16"/>
        <v>2364925.4</v>
      </c>
      <c r="O28" s="22">
        <f t="shared" ref="O28:O37" ca="1" si="17">IF(L28&gt;0,N28*100/L28,0)</f>
        <v>98.963524200169559</v>
      </c>
      <c r="P28" s="22">
        <f t="shared" ref="P28:P37" ca="1" si="18">IF(M28&gt;0,N28*100/M28,0)</f>
        <v>100.00027907934937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2389694</v>
      </c>
      <c r="M30" s="30">
        <f t="shared" ca="1" si="19"/>
        <v>2364918.7999999998</v>
      </c>
      <c r="N30" s="30">
        <f t="shared" si="19"/>
        <v>2364925.4</v>
      </c>
      <c r="O30" s="30">
        <f t="shared" ca="1" si="17"/>
        <v>98.963524200169559</v>
      </c>
      <c r="P30" s="30">
        <f t="shared" ca="1" si="18"/>
        <v>100.00027907934937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3" t="s">
        <v>12</v>
      </c>
      <c r="I31" s="270"/>
      <c r="J31" s="270"/>
      <c r="K31" s="498"/>
      <c r="L31" s="498">
        <f t="shared" ref="L31:N31" ca="1" si="20">L32+L33</f>
        <v>2389694</v>
      </c>
      <c r="M31" s="498">
        <f t="shared" ca="1" si="20"/>
        <v>2364918.7999999998</v>
      </c>
      <c r="N31" s="498">
        <f t="shared" si="20"/>
        <v>2364925.4</v>
      </c>
      <c r="O31" s="498">
        <f t="shared" ca="1" si="17"/>
        <v>98.963524200169559</v>
      </c>
      <c r="P31" s="498">
        <f t="shared" ca="1" si="18"/>
        <v>100.00027907934937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7"/>
      <c r="J32" s="617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7"/>
      <c r="J33" s="617"/>
      <c r="K33" s="93"/>
      <c r="L33" s="93">
        <f t="shared" ca="1" si="21"/>
        <v>2389694</v>
      </c>
      <c r="M33" s="93">
        <f t="shared" ca="1" si="21"/>
        <v>2364918.7999999998</v>
      </c>
      <c r="N33" s="93">
        <f t="shared" si="21"/>
        <v>2364925.4</v>
      </c>
      <c r="O33" s="93">
        <f t="shared" ca="1" si="17"/>
        <v>98.963524200169559</v>
      </c>
      <c r="P33" s="93">
        <f t="shared" ca="1" si="18"/>
        <v>100.00027907934937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3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7"/>
      <c r="J35" s="617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7" t="s">
        <v>24</v>
      </c>
      <c r="B37" s="868"/>
      <c r="C37" s="868"/>
      <c r="D37" s="868"/>
      <c r="E37" s="868"/>
      <c r="F37" s="868"/>
      <c r="G37" s="869"/>
      <c r="H37" s="870"/>
      <c r="I37" s="871"/>
      <c r="J37" s="871"/>
      <c r="K37" s="872"/>
      <c r="L37" s="873">
        <f t="shared" ref="L37:N37" ca="1" si="24">L41+L53+L66+L88+L119+L132+L149+L165+L181+L261+L277+L298+L315+L328+L345+L389+L402</f>
        <v>4817772</v>
      </c>
      <c r="M37" s="873">
        <f t="shared" ca="1" si="24"/>
        <v>4927143.97</v>
      </c>
      <c r="N37" s="873">
        <f t="shared" ca="1" si="24"/>
        <v>4927143.97</v>
      </c>
      <c r="O37" s="873">
        <f t="shared" ca="1" si="17"/>
        <v>102.27017737659648</v>
      </c>
      <c r="P37" s="873">
        <f t="shared" ca="1" si="18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882742</v>
      </c>
      <c r="M41" s="85">
        <f t="shared" ca="1" si="25"/>
        <v>1083573.97</v>
      </c>
      <c r="N41" s="85">
        <f t="shared" ca="1" si="25"/>
        <v>1083573.97</v>
      </c>
      <c r="O41" s="85">
        <f t="shared" ref="O41:O49" ca="1" si="26">IF(L41&gt;0,N41*100/L41,0)</f>
        <v>122.75092495882149</v>
      </c>
      <c r="P41" s="85">
        <f t="shared" ref="P41:P49" ca="1" si="27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882742</v>
      </c>
      <c r="M43" s="92">
        <f t="shared" ca="1" si="28"/>
        <v>1083573.97</v>
      </c>
      <c r="N43" s="92">
        <f t="shared" ca="1" si="28"/>
        <v>1083573.97</v>
      </c>
      <c r="O43" s="92">
        <f t="shared" ca="1" si="26"/>
        <v>122.75092495882149</v>
      </c>
      <c r="P43" s="92">
        <f t="shared" ca="1" si="27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3" t="s">
        <v>12</v>
      </c>
      <c r="I44" s="270"/>
      <c r="J44" s="270"/>
      <c r="K44" s="498"/>
      <c r="L44" s="498">
        <f t="shared" ref="L44:N44" ca="1" si="29">L45+L46</f>
        <v>882742</v>
      </c>
      <c r="M44" s="498">
        <f t="shared" ca="1" si="29"/>
        <v>1083573.97</v>
      </c>
      <c r="N44" s="498">
        <f t="shared" ca="1" si="29"/>
        <v>1083573.97</v>
      </c>
      <c r="O44" s="498">
        <f t="shared" ca="1" si="26"/>
        <v>122.75092495882149</v>
      </c>
      <c r="P44" s="498">
        <f t="shared" ca="1" si="27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7"/>
      <c r="J45" s="617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7"/>
      <c r="J46" s="617"/>
      <c r="K46" s="93"/>
      <c r="L46" s="93">
        <f ca="1">IFERROR(__xludf.DUMMYFUNCTION("IMPORTRANGE(""https://docs.google.com/spreadsheets/d/1MeEWN-I1oV_STSDYn1IFDPWt_1FKiwhDph83XaGc0o0/edit?usp=sharing"",""งบพรบ!M34"")"),882742)</f>
        <v>882742</v>
      </c>
      <c r="M46" s="93">
        <f ca="1">IFERROR(__xludf.DUMMYFUNCTION("IMPORTRANGE(""https://docs.google.com/spreadsheets/d/1MeEWN-I1oV_STSDYn1IFDPWt_1FKiwhDph83XaGc0o0/edit?usp=sharing"",""งบพรบ!R34"")"),1083573.97)</f>
        <v>1083573.97</v>
      </c>
      <c r="N46" s="93">
        <f ca="1">IFERROR(__xludf.DUMMYFUNCTION("IMPORTRANGE(""https://docs.google.com/spreadsheets/d/1MeEWN-I1oV_STSDYn1IFDPWt_1FKiwhDph83XaGc0o0/edit?usp=sharing"",""งบพรบ!T34"")"),1083573.97)</f>
        <v>1083573.97</v>
      </c>
      <c r="O46" s="93">
        <f t="shared" ca="1" si="26"/>
        <v>122.75092495882149</v>
      </c>
      <c r="P46" s="93">
        <f t="shared" ca="1" si="27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3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7"/>
      <c r="J48" s="617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IFERROR(__xludf.DUMMYFUNCTION("IMPORTRANGE(""https://docs.google.com/spreadsheets/d/1MeEWN-I1oV_STSDYn1IFDPWt_1FKiwhDph83XaGc0o0/edit?usp=sharing"",""งบพรบ!P34"")"),0)</f>
        <v>0</v>
      </c>
      <c r="M49" s="52">
        <f ca="1">IFERROR(__xludf.DUMMYFUNCTION("IMPORTRANGE(""https://docs.google.com/spreadsheets/d/1MeEWN-I1oV_STSDYn1IFDPWt_1FKiwhDph83XaGc0o0/edit?usp=sharing"",""งบพรบ!S34"")"),0)</f>
        <v>0</v>
      </c>
      <c r="N49" s="52">
        <f ca="1">IFERROR(__xludf.DUMMYFUNCTION("IMPORTRANGE(""https://docs.google.com/spreadsheets/d/1MeEWN-I1oV_STSDYn1IFDPWt_1FKiwhDph83XaGc0o0/edit?usp=sharing"",""งบพรบ!U34"")"),0)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991600</v>
      </c>
      <c r="M53" s="116">
        <f t="shared" ca="1" si="31"/>
        <v>1056307</v>
      </c>
      <c r="N53" s="116">
        <f t="shared" ca="1" si="31"/>
        <v>1056307</v>
      </c>
      <c r="O53" s="116">
        <f t="shared" ref="O53:O61" ca="1" si="32">IF(L53&gt;0,N53*100/L53,0)</f>
        <v>106.52551432029044</v>
      </c>
      <c r="P53" s="116">
        <f t="shared" ref="P53:P61" ca="1" si="33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991600</v>
      </c>
      <c r="M55" s="123">
        <f t="shared" ca="1" si="34"/>
        <v>1056307</v>
      </c>
      <c r="N55" s="123">
        <f t="shared" ca="1" si="34"/>
        <v>1056307</v>
      </c>
      <c r="O55" s="123">
        <f t="shared" ca="1" si="32"/>
        <v>106.52551432029044</v>
      </c>
      <c r="P55" s="123">
        <f t="shared" ca="1" si="33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3" t="s">
        <v>12</v>
      </c>
      <c r="I56" s="270"/>
      <c r="J56" s="270"/>
      <c r="K56" s="498"/>
      <c r="L56" s="498">
        <f t="shared" ref="L56:N56" ca="1" si="35">L57+L58</f>
        <v>991600</v>
      </c>
      <c r="M56" s="498">
        <f t="shared" ca="1" si="35"/>
        <v>1056307</v>
      </c>
      <c r="N56" s="498">
        <f t="shared" ca="1" si="35"/>
        <v>1056307</v>
      </c>
      <c r="O56" s="498">
        <f t="shared" ca="1" si="32"/>
        <v>106.52551432029044</v>
      </c>
      <c r="P56" s="498">
        <f t="shared" ca="1" si="33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7"/>
      <c r="J57" s="617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7"/>
      <c r="J58" s="617"/>
      <c r="K58" s="93"/>
      <c r="L58" s="93">
        <f ca="1">IFERROR(__xludf.DUMMYFUNCTION("IMPORTRANGE(""https://docs.google.com/spreadsheets/d/1MeEWN-I1oV_STSDYn1IFDPWt_1FKiwhDph83XaGc0o0/edit?usp=sharing"",""งบพรบ!W34"")"),991600)</f>
        <v>991600</v>
      </c>
      <c r="M58" s="93">
        <f ca="1">IFERROR(__xludf.DUMMYFUNCTION("IMPORTRANGE(""https://docs.google.com/spreadsheets/d/1MeEWN-I1oV_STSDYn1IFDPWt_1FKiwhDph83XaGc0o0/edit?usp=sharing"",""งบพรบ!AB34"")"),1056307)</f>
        <v>1056307</v>
      </c>
      <c r="N58" s="93">
        <f ca="1">IFERROR(__xludf.DUMMYFUNCTION("IMPORTRANGE(""https://docs.google.com/spreadsheets/d/1MeEWN-I1oV_STSDYn1IFDPWt_1FKiwhDph83XaGc0o0/edit?usp=sharing"",""งบพรบ!AD34"")"),1056307)</f>
        <v>1056307</v>
      </c>
      <c r="O58" s="93">
        <f t="shared" ca="1" si="32"/>
        <v>106.52551432029044</v>
      </c>
      <c r="P58" s="93">
        <f t="shared" ca="1" si="33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3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7"/>
      <c r="J60" s="617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IFERROR(__xludf.DUMMYFUNCTION("IMPORTRANGE(""https://docs.google.com/spreadsheets/d/1MeEWN-I1oV_STSDYn1IFDPWt_1FKiwhDph83XaGc0o0/edit?usp=sharing"",""งบพรบ!Z34"")"),0)</f>
        <v>0</v>
      </c>
      <c r="M61" s="52">
        <f ca="1">IFERROR(__xludf.DUMMYFUNCTION("IMPORTRANGE(""https://docs.google.com/spreadsheets/d/1MeEWN-I1oV_STSDYn1IFDPWt_1FKiwhDph83XaGc0o0/edit?usp=sharing"",""งบพรบ!AC34"")"),0)</f>
        <v>0</v>
      </c>
      <c r="N61" s="52">
        <f ca="1">IFERROR(__xludf.DUMMYFUNCTION("IMPORTRANGE(""https://docs.google.com/spreadsheets/d/1MeEWN-I1oV_STSDYn1IFDPWt_1FKiwhDph83XaGc0o0/edit?usp=sharing"",""งบพรบ!AE34"")"),0)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7"/>
      <c r="J67" s="617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7"/>
      <c r="J68" s="617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IFERROR(__xludf.DUMMYFUNCTION("IMPORTRANGE(""https://docs.google.com/spreadsheets/d/1MeEWN-I1oV_STSDYn1IFDPWt_1FKiwhDph83XaGc0o0/edit?usp=sharing"",""งบพรบ!AG34"")"),0)</f>
        <v>0</v>
      </c>
      <c r="M71" s="93">
        <f ca="1">IFERROR(__xludf.DUMMYFUNCTION("IMPORTRANGE(""https://docs.google.com/spreadsheets/d/1MeEWN-I1oV_STSDYn1IFDPWt_1FKiwhDph83XaGc0o0/edit?usp=sharing"",""งบพรบ!AL34"")"),0)</f>
        <v>0</v>
      </c>
      <c r="N71" s="93">
        <f ca="1">IFERROR(__xludf.DUMMYFUNCTION("IMPORTRANGE(""https://docs.google.com/spreadsheets/d/1MeEWN-I1oV_STSDYn1IFDPWt_1FKiwhDph83XaGc0o0/edit?usp=sharing"",""งบพรบ!AN34"")"),0)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IFERROR(__xludf.DUMMYFUNCTION("IMPORTRANGE(""https://docs.google.com/spreadsheets/d/1MeEWN-I1oV_STSDYn1IFDPWt_1FKiwhDph83XaGc0o0/edit?usp=sharing"",""งบพรบ!AJ34"")"),0)</f>
        <v>0</v>
      </c>
      <c r="M74" s="93">
        <f ca="1">IFERROR(__xludf.DUMMYFUNCTION("IMPORTRANGE(""https://docs.google.com/spreadsheets/d/1MeEWN-I1oV_STSDYn1IFDPWt_1FKiwhDph83XaGc0o0/edit?usp=sharing"",""งบพรบ!AM34"")"),0)</f>
        <v>0</v>
      </c>
      <c r="N74" s="93">
        <f ca="1">IFERROR(__xludf.DUMMYFUNCTION("IMPORTRANGE(""https://docs.google.com/spreadsheets/d/1MeEWN-I1oV_STSDYn1IFDPWt_1FKiwhDph83XaGc0o0/edit?usp=sharing"",""งบพรบ!AO34"")"),0)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7" t="s">
        <v>38</v>
      </c>
      <c r="E75" s="173"/>
      <c r="F75" s="173"/>
      <c r="G75" s="174"/>
      <c r="H75" s="762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4" t="s">
        <v>34</v>
      </c>
      <c r="I78" s="184">
        <f ca="1">IFERROR(__xludf.DUMMYFUNCTION("IMPORTRANGE(""https://docs.google.com/spreadsheets/d/1QqKyyYR6Q21VydFLVH3TRQUabQu_ym0Zz7PgGX0-kHA/edit?usp=sharing"",""แผน!H34"")"),0)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4" t="s">
        <v>35</v>
      </c>
      <c r="I79" s="184">
        <f ca="1">IFERROR(__xludf.DUMMYFUNCTION("IMPORTRANGE(""https://docs.google.com/spreadsheets/d/1QqKyyYR6Q21VydFLVH3TRQUabQu_ym0Zz7PgGX0-kHA/edit?usp=sharing"",""แผน!I34"")"),0)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4" t="s">
        <v>34</v>
      </c>
      <c r="I80" s="184">
        <f ca="1">IFERROR(__xludf.DUMMYFUNCTION("IMPORTRANGE(""https://docs.google.com/spreadsheets/d/1QqKyyYR6Q21VydFLVH3TRQUabQu_ym0Zz7PgGX0-kHA/edit?usp=sharing"",""แผน!F34"")"),0)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4" t="s">
        <v>35</v>
      </c>
      <c r="I81" s="184">
        <f ca="1">IFERROR(__xludf.DUMMYFUNCTION("IMPORTRANGE(""https://docs.google.com/spreadsheets/d/1QqKyyYR6Q21VydFLVH3TRQUabQu_ym0Zz7PgGX0-kHA/edit?usp=sharing"",""แผน!G34"")"),0)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4" t="s">
        <v>34</v>
      </c>
      <c r="I82" s="184">
        <f ca="1">IFERROR(__xludf.DUMMYFUNCTION("IMPORTRANGE(""https://docs.google.com/spreadsheets/d/1QqKyyYR6Q21VydFLVH3TRQUabQu_ym0Zz7PgGX0-kHA/edit?usp=sharing"",""แผน!D34"")"),0)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4" t="s">
        <v>35</v>
      </c>
      <c r="I83" s="184">
        <f ca="1">IFERROR(__xludf.DUMMYFUNCTION("IMPORTRANGE(""https://docs.google.com/spreadsheets/d/1QqKyyYR6Q21VydFLVH3TRQUabQu_ym0Zz7PgGX0-kHA/edit?usp=sharing"",""แผน!E34"")"),0)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31200</v>
      </c>
      <c r="N88" s="155">
        <f t="shared" ca="1" si="49"/>
        <v>31200</v>
      </c>
      <c r="O88" s="155">
        <f t="shared" ref="O88:O96" ca="1" si="50">IF(L88&gt;0,N88*100/L88,0)</f>
        <v>100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7"/>
      <c r="J89" s="617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7"/>
      <c r="J90" s="617"/>
      <c r="K90" s="93"/>
      <c r="L90" s="93">
        <f t="shared" ca="1" si="52"/>
        <v>31200</v>
      </c>
      <c r="M90" s="93">
        <f t="shared" ca="1" si="52"/>
        <v>31200</v>
      </c>
      <c r="N90" s="93">
        <f t="shared" ca="1" si="52"/>
        <v>31200</v>
      </c>
      <c r="O90" s="93">
        <f t="shared" ca="1" si="50"/>
        <v>100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31200</v>
      </c>
      <c r="M91" s="498">
        <f t="shared" ca="1" si="53"/>
        <v>31200</v>
      </c>
      <c r="N91" s="498">
        <f t="shared" ca="1" si="53"/>
        <v>31200</v>
      </c>
      <c r="O91" s="498">
        <f t="shared" ca="1" si="50"/>
        <v>100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IFERROR(__xludf.DUMMYFUNCTION("IMPORTRANGE(""https://docs.google.com/spreadsheets/d/1MeEWN-I1oV_STSDYn1IFDPWt_1FKiwhDph83XaGc0o0/edit?usp=sharing"",""งบพรบ!AQ34"")"),31200)</f>
        <v>31200</v>
      </c>
      <c r="M93" s="93">
        <f ca="1">IFERROR(__xludf.DUMMYFUNCTION("IMPORTRANGE(""https://docs.google.com/spreadsheets/d/1MeEWN-I1oV_STSDYn1IFDPWt_1FKiwhDph83XaGc0o0/edit?usp=sharing"",""งบพรบ!AV34"")"),31200)</f>
        <v>31200</v>
      </c>
      <c r="N93" s="93">
        <f ca="1">IFERROR(__xludf.DUMMYFUNCTION("IMPORTRANGE(""https://docs.google.com/spreadsheets/d/1MeEWN-I1oV_STSDYn1IFDPWt_1FKiwhDph83XaGc0o0/edit?usp=sharing"",""งบพรบ!AX34"")"),31200)</f>
        <v>31200</v>
      </c>
      <c r="O93" s="93">
        <f t="shared" ca="1" si="50"/>
        <v>100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IFERROR(__xludf.DUMMYFUNCTION("IMPORTRANGE(""https://docs.google.com/spreadsheets/d/1MeEWN-I1oV_STSDYn1IFDPWt_1FKiwhDph83XaGc0o0/edit?usp=sharing"",""งบพรบ!AT34"")"),0)</f>
        <v>0</v>
      </c>
      <c r="M96" s="93">
        <f ca="1">IFERROR(__xludf.DUMMYFUNCTION("IMPORTRANGE(""https://docs.google.com/spreadsheets/d/1MeEWN-I1oV_STSDYn1IFDPWt_1FKiwhDph83XaGc0o0/edit?usp=sharing"",""งบพรบ!AW34"")"),0)</f>
        <v>0</v>
      </c>
      <c r="N96" s="93">
        <f ca="1">IFERROR(__xludf.DUMMYFUNCTION("IMPORTRANGE(""https://docs.google.com/spreadsheets/d/1MeEWN-I1oV_STSDYn1IFDPWt_1FKiwhDph83XaGc0o0/edit?usp=sharing"",""งบพรบ!AY34"")"),0)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7" t="s">
        <v>38</v>
      </c>
      <c r="E97" s="173"/>
      <c r="F97" s="173"/>
      <c r="G97" s="174"/>
      <c r="H97" s="762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3" t="s">
        <v>46</v>
      </c>
      <c r="I98" s="270">
        <f ca="1">IFERROR(__xludf.DUMMYFUNCTION("IMPORTRANGE(""https://docs.google.com/spreadsheets/d/1QqKyyYR6Q21VydFLVH3TRQUabQu_ym0Zz7PgGX0-kHA/edit?usp=sharing"",""แผน!K34"")"),0)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3" t="s">
        <v>35</v>
      </c>
      <c r="I99" s="270">
        <f ca="1">IFERROR(__xludf.DUMMYFUNCTION("IMPORTRANGE(""https://docs.google.com/spreadsheets/d/1QqKyyYR6Q21VydFLVH3TRQUabQu_ym0Zz7PgGX0-kHA/edit?usp=sharing"",""แผน!L34"")"),0)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3" t="s">
        <v>49</v>
      </c>
      <c r="I100" s="270">
        <f ca="1">IFERROR(__xludf.DUMMYFUNCTION("IMPORTRANGE(""https://docs.google.com/spreadsheets/d/1QqKyyYR6Q21VydFLVH3TRQUabQu_ym0Zz7PgGX0-kHA/edit?usp=sharing"",""แผน!M34"")"),1)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3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6" t="s">
        <v>47</v>
      </c>
      <c r="F102" s="178"/>
      <c r="G102" s="179"/>
      <c r="H102" s="623" t="s">
        <v>46</v>
      </c>
      <c r="I102" s="270">
        <f ca="1">IFERROR(__xludf.DUMMYFUNCTION("IMPORTRANGE(""https://docs.google.com/spreadsheets/d/1QqKyyYR6Q21VydFLVH3TRQUabQu_ym0Zz7PgGX0-kHA/edit?usp=sharing"",""แผน!N34"")"),0)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3" t="s">
        <v>35</v>
      </c>
      <c r="I103" s="270">
        <f ca="1">IFERROR(__xludf.DUMMYFUNCTION("IMPORTRANGE(""https://docs.google.com/spreadsheets/d/1QqKyyYR6Q21VydFLVH3TRQUabQu_ym0Zz7PgGX0-kHA/edit?usp=sharing"",""แผน!O34"")"),0)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3" t="s">
        <v>35</v>
      </c>
      <c r="I104" s="270">
        <f ca="1">IFERROR(__xludf.DUMMYFUNCTION("IMPORTRANGE(""https://docs.google.com/spreadsheets/d/1QqKyyYR6Q21VydFLVH3TRQUabQu_ym0Zz7PgGX0-kHA/edit?usp=sharing"",""แผน!O34"")"),0)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3" t="s">
        <v>49</v>
      </c>
      <c r="I106" s="270">
        <f ca="1">IFERROR(__xludf.DUMMYFUNCTION("IMPORTRANGE(""https://docs.google.com/spreadsheets/d/1QqKyyYR6Q21VydFLVH3TRQUabQu_ym0Zz7PgGX0-kHA/edit?usp=sharing"",""แผน!P34"")"),0)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3" t="s">
        <v>49</v>
      </c>
      <c r="I107" s="270">
        <f ca="1">IFERROR(__xludf.DUMMYFUNCTION("IMPORTRANGE(""https://docs.google.com/spreadsheets/d/1QqKyyYR6Q21VydFLVH3TRQUabQu_ym0Zz7PgGX0-kHA/edit?usp=sharing"",""แผน!P34"")"),0)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3" t="s">
        <v>49</v>
      </c>
      <c r="I109" s="270">
        <f ca="1">IFERROR(__xludf.DUMMYFUNCTION("IMPORTRANGE(""https://docs.google.com/spreadsheets/d/1QqKyyYR6Q21VydFLVH3TRQUabQu_ym0Zz7PgGX0-kHA/edit?usp=sharing"",""แผน!Q34"")"),1)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3" t="s">
        <v>49</v>
      </c>
      <c r="I110" s="270">
        <f ca="1">IFERROR(__xludf.DUMMYFUNCTION("IMPORTRANGE(""https://docs.google.com/spreadsheets/d/1QqKyyYR6Q21VydFLVH3TRQUabQu_ym0Zz7PgGX0-kHA/edit?usp=sharing"",""แผน!Q34"")"),1)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7" t="s">
        <v>35</v>
      </c>
      <c r="I111" s="193">
        <f ca="1">IFERROR(__xludf.DUMMYFUNCTION("IMPORTRANGE(""https://docs.google.com/spreadsheets/d/1QqKyyYR6Q21VydFLVH3TRQUabQu_ym0Zz7PgGX0-kHA/edit?usp=sharing"",""แผน!R34"")"),0)</f>
        <v>0</v>
      </c>
      <c r="J111" s="681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1">
        <f t="shared" si="59"/>
        <v>1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2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IFERROR(__xludf.DUMMYFUNCTION("IMPORTRANGE(""https://docs.google.com/spreadsheets/d/1QqKyyYR6Q21VydFLVH3TRQUabQu_ym0Zz7PgGX0-kHA/edit?usp=sharing"",""แผน!R34"")"),0)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IFERROR(__xludf.DUMMYFUNCTION("IMPORTRANGE(""https://docs.google.com/spreadsheets/d/1QqKyyYR6Q21VydFLVH3TRQUabQu_ym0Zz7PgGX0-kHA/edit?usp=sharing"",""แผน!R34"")"),0)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IFERROR(__xludf.DUMMYFUNCTION("IMPORTRANGE(""https://docs.google.com/spreadsheets/d/1QqKyyYR6Q21VydFLVH3TRQUabQu_ym0Zz7PgGX0-kHA/edit?usp=sharing"",""แผน!S34"")"),0)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IFERROR(__xludf.DUMMYFUNCTION("IMPORTRANGE(""https://docs.google.com/spreadsheets/d/1QqKyyYR6Q21VydFLVH3TRQUabQu_ym0Zz7PgGX0-kHA/edit?usp=sharing"",""แผน!T34"")"),1)</f>
        <v>1</v>
      </c>
      <c r="J116" s="215">
        <v>1</v>
      </c>
      <c r="K116" s="498">
        <f t="shared" ca="1" si="5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7"/>
      <c r="J120" s="617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7"/>
      <c r="J121" s="617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IFERROR(__xludf.DUMMYFUNCTION("IMPORTRANGE(""https://docs.google.com/spreadsheets/d/1MeEWN-I1oV_STSDYn1IFDPWt_1FKiwhDph83XaGc0o0/edit?usp=sharing"",""งบพรบ!BA34"")"),0)</f>
        <v>0</v>
      </c>
      <c r="M124" s="93">
        <f ca="1">IFERROR(__xludf.DUMMYFUNCTION("IMPORTRANGE(""https://docs.google.com/spreadsheets/d/1MeEWN-I1oV_STSDYn1IFDPWt_1FKiwhDph83XaGc0o0/edit?usp=sharing"",""งบพรบ!BF34"")"),0)</f>
        <v>0</v>
      </c>
      <c r="N124" s="93">
        <f ca="1">IFERROR(__xludf.DUMMYFUNCTION("IMPORTRANGE(""https://docs.google.com/spreadsheets/d/1MeEWN-I1oV_STSDYn1IFDPWt_1FKiwhDph83XaGc0o0/edit?usp=sharing"",""งบพรบ!BH34"")"),0)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IFERROR(__xludf.DUMMYFUNCTION("IMPORTRANGE(""https://docs.google.com/spreadsheets/d/1MeEWN-I1oV_STSDYn1IFDPWt_1FKiwhDph83XaGc0o0/edit?usp=sharing"",""งบพรบ!BD34"")"),0)</f>
        <v>0</v>
      </c>
      <c r="M127" s="93">
        <f ca="1">IFERROR(__xludf.DUMMYFUNCTION("IMPORTRANGE(""https://docs.google.com/spreadsheets/d/1MeEWN-I1oV_STSDYn1IFDPWt_1FKiwhDph83XaGc0o0/edit?usp=sharing"",""งบพรบ!BG34"")"),0)</f>
        <v>0</v>
      </c>
      <c r="N127" s="93">
        <f ca="1">IFERROR(__xludf.DUMMYFUNCTION("IMPORTRANGE(""https://docs.google.com/spreadsheets/d/1MeEWN-I1oV_STSDYn1IFDPWt_1FKiwhDph83XaGc0o0/edit?usp=sharing"",""งบพรบ!BI34"")"),0)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7"/>
      <c r="J133" s="617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7"/>
      <c r="J134" s="617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IFERROR(__xludf.DUMMYFUNCTION("IMPORTRANGE(""https://docs.google.com/spreadsheets/d/1MeEWN-I1oV_STSDYn1IFDPWt_1FKiwhDph83XaGc0o0/edit?usp=sharing"",""งบพรบ!BK34"")"),0)</f>
        <v>0</v>
      </c>
      <c r="M137" s="93">
        <f ca="1">IFERROR(__xludf.DUMMYFUNCTION("IMPORTRANGE(""https://docs.google.com/spreadsheets/d/1MeEWN-I1oV_STSDYn1IFDPWt_1FKiwhDph83XaGc0o0/edit?usp=sharing"",""งบพรบ!BP34"")"),0)</f>
        <v>0</v>
      </c>
      <c r="N137" s="93">
        <f ca="1">IFERROR(__xludf.DUMMYFUNCTION("IMPORTRANGE(""https://docs.google.com/spreadsheets/d/1MeEWN-I1oV_STSDYn1IFDPWt_1FKiwhDph83XaGc0o0/edit?usp=sharing"",""งบพรบ!BR34"")"),0)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IFERROR(__xludf.DUMMYFUNCTION("IMPORTRANGE(""https://docs.google.com/spreadsheets/d/1MeEWN-I1oV_STSDYn1IFDPWt_1FKiwhDph83XaGc0o0/edit?usp=sharing"",""งบพรบ!BN34"")"),0)</f>
        <v>0</v>
      </c>
      <c r="M140" s="93">
        <f ca="1">IFERROR(__xludf.DUMMYFUNCTION("IMPORTRANGE(""https://docs.google.com/spreadsheets/d/1MeEWN-I1oV_STSDYn1IFDPWt_1FKiwhDph83XaGc0o0/edit?usp=sharing"",""งบพรบ!BQ34"")"),0)</f>
        <v>0</v>
      </c>
      <c r="N140" s="93">
        <f ca="1">IFERROR(__xludf.DUMMYFUNCTION("IMPORTRANGE(""https://docs.google.com/spreadsheets/d/1MeEWN-I1oV_STSDYn1IFDPWt_1FKiwhDph83XaGc0o0/edit?usp=sharing"",""งบพรบ!BS34"")"),0)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IFERROR(__xludf.DUMMYFUNCTION("IMPORTRANGE(""https://docs.google.com/spreadsheets/d/1QqKyyYR6Q21VydFLVH3TRQUabQu_ym0Zz7PgGX0-kHA/edit?usp=sharing"",""แผน!U34"")"),0)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IFERROR(__xludf.DUMMYFUNCTION("IMPORTRANGE(""https://docs.google.com/spreadsheets/d/1QqKyyYR6Q21VydFLVH3TRQUabQu_ym0Zz7PgGX0-kHA/edit?usp=sharing"",""แผน!V34"")"),0)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IFERROR(__xludf.DUMMYFUNCTION("IMPORTRANGE(""https://docs.google.com/spreadsheets/d/1QqKyyYR6Q21VydFLVH3TRQUabQu_ym0Zz7PgGX0-kHA/edit?usp=sharing"",""แผน!W34"")"),0)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6720</v>
      </c>
      <c r="N149" s="155">
        <f t="shared" ca="1" si="77"/>
        <v>6720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7"/>
      <c r="J150" s="617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7"/>
      <c r="J151" s="617"/>
      <c r="K151" s="93"/>
      <c r="L151" s="93">
        <f t="shared" ca="1" si="80"/>
        <v>0</v>
      </c>
      <c r="M151" s="93">
        <f t="shared" ca="1" si="80"/>
        <v>6720</v>
      </c>
      <c r="N151" s="93">
        <f t="shared" ca="1" si="80"/>
        <v>6720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6720</v>
      </c>
      <c r="N152" s="498">
        <f t="shared" ca="1" si="81"/>
        <v>6720</v>
      </c>
      <c r="O152" s="498">
        <f t="shared" ca="1" si="78"/>
        <v>0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IFERROR(__xludf.DUMMYFUNCTION("IMPORTRANGE(""https://docs.google.com/spreadsheets/d/1MeEWN-I1oV_STSDYn1IFDPWt_1FKiwhDph83XaGc0o0/edit?usp=sharing"",""งบพรบ!BU34"")"),0)</f>
        <v>0</v>
      </c>
      <c r="M154" s="93">
        <f ca="1">IFERROR(__xludf.DUMMYFUNCTION("IMPORTRANGE(""https://docs.google.com/spreadsheets/d/1MeEWN-I1oV_STSDYn1IFDPWt_1FKiwhDph83XaGc0o0/edit?usp=sharing"",""งบพรบ!BZ34"")"),6720)</f>
        <v>6720</v>
      </c>
      <c r="N154" s="93">
        <f ca="1">IFERROR(__xludf.DUMMYFUNCTION("IMPORTRANGE(""https://docs.google.com/spreadsheets/d/1MeEWN-I1oV_STSDYn1IFDPWt_1FKiwhDph83XaGc0o0/edit?usp=sharing"",""งบพรบ!CB34"")"),6720)</f>
        <v>6720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IFERROR(__xludf.DUMMYFUNCTION("IMPORTRANGE(""https://docs.google.com/spreadsheets/d/1MeEWN-I1oV_STSDYn1IFDPWt_1FKiwhDph83XaGc0o0/edit?usp=sharing"",""งบพรบ!BX34"")"),0)</f>
        <v>0</v>
      </c>
      <c r="M157" s="93">
        <f ca="1">IFERROR(__xludf.DUMMYFUNCTION("IMPORTRANGE(""https://docs.google.com/spreadsheets/d/1MeEWN-I1oV_STSDYn1IFDPWt_1FKiwhDph83XaGc0o0/edit?usp=sharing"",""งบพรบ!CA34"")"),0)</f>
        <v>0</v>
      </c>
      <c r="N157" s="93">
        <f ca="1">IFERROR(__xludf.DUMMYFUNCTION("IMPORTRANGE(""https://docs.google.com/spreadsheets/d/1MeEWN-I1oV_STSDYn1IFDPWt_1FKiwhDph83XaGc0o0/edit?usp=sharing"",""งบพรบ!CC34"")"),0)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IFERROR(__xludf.DUMMYFUNCTION("IMPORTRANGE(""https://docs.google.com/spreadsheets/d/1QqKyyYR6Q21VydFLVH3TRQUabQu_ym0Zz7PgGX0-kHA/edit?usp=sharing"",""แผน!X34"")"),0)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7"/>
      <c r="J160" s="617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45320</v>
      </c>
      <c r="N165" s="155">
        <f t="shared" ca="1" si="84"/>
        <v>45320</v>
      </c>
      <c r="O165" s="155">
        <f t="shared" ref="O165:O173" ca="1" si="85">IF(L165&gt;0,N165*100/L165,0)</f>
        <v>215.29691211401425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7"/>
      <c r="J166" s="617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7"/>
      <c r="J167" s="617"/>
      <c r="K167" s="93"/>
      <c r="L167" s="93">
        <f t="shared" ca="1" si="87"/>
        <v>21050</v>
      </c>
      <c r="M167" s="93">
        <f t="shared" ca="1" si="87"/>
        <v>45320</v>
      </c>
      <c r="N167" s="93">
        <f t="shared" ca="1" si="87"/>
        <v>45320</v>
      </c>
      <c r="O167" s="93">
        <f t="shared" ca="1" si="85"/>
        <v>215.29691211401425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45320</v>
      </c>
      <c r="N168" s="498">
        <f t="shared" ca="1" si="88"/>
        <v>45320</v>
      </c>
      <c r="O168" s="498">
        <f t="shared" ca="1" si="85"/>
        <v>215.29691211401425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IFERROR(__xludf.DUMMYFUNCTION("IMPORTRANGE(""https://docs.google.com/spreadsheets/d/1MeEWN-I1oV_STSDYn1IFDPWt_1FKiwhDph83XaGc0o0/edit?usp=sharing"",""งบพรบ!CE34"")"),21050)</f>
        <v>21050</v>
      </c>
      <c r="M170" s="93">
        <f ca="1">IFERROR(__xludf.DUMMYFUNCTION("IMPORTRANGE(""https://docs.google.com/spreadsheets/d/1MeEWN-I1oV_STSDYn1IFDPWt_1FKiwhDph83XaGc0o0/edit?usp=sharing"",""งบพรบ!CJ34"")"),45320)</f>
        <v>45320</v>
      </c>
      <c r="N170" s="93">
        <f ca="1">IFERROR(__xludf.DUMMYFUNCTION("IMPORTRANGE(""https://docs.google.com/spreadsheets/d/1MeEWN-I1oV_STSDYn1IFDPWt_1FKiwhDph83XaGc0o0/edit?usp=sharing"",""งบพรบ!CL34"")"),45320)</f>
        <v>45320</v>
      </c>
      <c r="O170" s="93">
        <f t="shared" ca="1" si="85"/>
        <v>215.29691211401425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IFERROR(__xludf.DUMMYFUNCTION("IMPORTRANGE(""https://docs.google.com/spreadsheets/d/1MeEWN-I1oV_STSDYn1IFDPWt_1FKiwhDph83XaGc0o0/edit?usp=sharing"",""งบพรบ!CH34"")"),0)</f>
        <v>0</v>
      </c>
      <c r="M173" s="93">
        <f ca="1">IFERROR(__xludf.DUMMYFUNCTION("IMPORTRANGE(""https://docs.google.com/spreadsheets/d/1MeEWN-I1oV_STSDYn1IFDPWt_1FKiwhDph83XaGc0o0/edit?usp=sharing"",""งบพรบ!CK34"")"),0)</f>
        <v>0</v>
      </c>
      <c r="N173" s="93">
        <f ca="1">IFERROR(__xludf.DUMMYFUNCTION("IMPORTRANGE(""https://docs.google.com/spreadsheets/d/1MeEWN-I1oV_STSDYn1IFDPWt_1FKiwhDph83XaGc0o0/edit?usp=sharing"",""งบพรบ!CM34"")"),0)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7" t="s">
        <v>38</v>
      </c>
      <c r="E175" s="173"/>
      <c r="F175" s="173"/>
      <c r="G175" s="174"/>
      <c r="H175" s="76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6" t="s">
        <v>85</v>
      </c>
      <c r="E176" s="178"/>
      <c r="F176" s="178"/>
      <c r="G176" s="179"/>
      <c r="H176" s="623" t="s">
        <v>35</v>
      </c>
      <c r="I176" s="270">
        <f ca="1">IFERROR(__xludf.DUMMYFUNCTION("IMPORTRANGE(""https://docs.google.com/spreadsheets/d/1QqKyyYR6Q21VydFLVH3TRQUabQu_ym0Zz7PgGX0-kHA/edit?usp=sharing"",""แผน!Y34"")"),10)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362500</v>
      </c>
      <c r="M181" s="155">
        <f t="shared" ca="1" si="92"/>
        <v>362500</v>
      </c>
      <c r="N181" s="155">
        <f t="shared" ca="1" si="92"/>
        <v>362500</v>
      </c>
      <c r="O181" s="155">
        <f t="shared" ref="O181:O189" ca="1" si="93">IF(L181&gt;0,N181*100/L181,0)</f>
        <v>100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7"/>
      <c r="J182" s="617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7"/>
      <c r="J183" s="617"/>
      <c r="K183" s="93"/>
      <c r="L183" s="93">
        <f t="shared" ca="1" si="95"/>
        <v>362500</v>
      </c>
      <c r="M183" s="93">
        <f t="shared" ca="1" si="95"/>
        <v>362500</v>
      </c>
      <c r="N183" s="93">
        <f t="shared" ca="1" si="95"/>
        <v>362500</v>
      </c>
      <c r="O183" s="93">
        <f t="shared" ca="1" si="93"/>
        <v>100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362500</v>
      </c>
      <c r="M184" s="498">
        <f t="shared" ca="1" si="96"/>
        <v>362500</v>
      </c>
      <c r="N184" s="498">
        <f t="shared" ca="1" si="96"/>
        <v>362500</v>
      </c>
      <c r="O184" s="498">
        <f t="shared" ca="1" si="93"/>
        <v>100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IFERROR(__xludf.DUMMYFUNCTION("IMPORTRANGE(""https://docs.google.com/spreadsheets/d/1MeEWN-I1oV_STSDYn1IFDPWt_1FKiwhDph83XaGc0o0/edit?usp=sharing"",""งบพรบ!CO34"")"),362500)</f>
        <v>362500</v>
      </c>
      <c r="M186" s="93">
        <f ca="1">IFERROR(__xludf.DUMMYFUNCTION("IMPORTRANGE(""https://docs.google.com/spreadsheets/d/1MeEWN-I1oV_STSDYn1IFDPWt_1FKiwhDph83XaGc0o0/edit?usp=sharing"",""งบพรบ!CT34"")"),362500)</f>
        <v>362500</v>
      </c>
      <c r="N186" s="93">
        <f ca="1">IFERROR(__xludf.DUMMYFUNCTION("IMPORTRANGE(""https://docs.google.com/spreadsheets/d/1MeEWN-I1oV_STSDYn1IFDPWt_1FKiwhDph83XaGc0o0/edit?usp=sharing"",""งบพรบ!CV34"")"),362500)</f>
        <v>362500</v>
      </c>
      <c r="O186" s="93">
        <f t="shared" ca="1" si="93"/>
        <v>100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IFERROR(__xludf.DUMMYFUNCTION("IMPORTRANGE(""https://docs.google.com/spreadsheets/d/1MeEWN-I1oV_STSDYn1IFDPWt_1FKiwhDph83XaGc0o0/edit?usp=sharing"",""งบพรบ!CR34"")"),0)</f>
        <v>0</v>
      </c>
      <c r="M189" s="93">
        <f ca="1">IFERROR(__xludf.DUMMYFUNCTION("IMPORTRANGE(""https://docs.google.com/spreadsheets/d/1MeEWN-I1oV_STSDYn1IFDPWt_1FKiwhDph83XaGc0o0/edit?usp=sharing"",""งบพรบ!CU34"")"),0)</f>
        <v>0</v>
      </c>
      <c r="N189" s="93">
        <f ca="1">IFERROR(__xludf.DUMMYFUNCTION("IMPORTRANGE(""https://docs.google.com/spreadsheets/d/1MeEWN-I1oV_STSDYn1IFDPWt_1FKiwhDph83XaGc0o0/edit?usp=sharing"",""งบพรบ!CW34"")"),0)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8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IFERROR(__xludf.DUMMYFUNCTION("IMPORTRANGE(""https://docs.google.com/spreadsheets/d/1QqKyyYR6Q21VydFLVH3TRQUabQu_ym0Zz7PgGX0-kHA/edit?usp=sharing"",""แผน!Z34"")"),6000)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7" t="s">
        <v>38</v>
      </c>
      <c r="E192" s="173"/>
      <c r="F192" s="173"/>
      <c r="G192" s="174"/>
      <c r="H192" s="762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4" t="s">
        <v>90</v>
      </c>
      <c r="I193" s="270">
        <f ca="1">IFERROR(__xludf.DUMMYFUNCTION("IMPORTRANGE(""https://docs.google.com/spreadsheets/d/1QqKyyYR6Q21VydFLVH3TRQUabQu_ym0Zz7PgGX0-kHA/edit?usp=sharing"",""แผน!AC34"")"),4)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90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90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8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52000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IFERROR(__xludf.DUMMYFUNCTION("IMPORTRANGE(""https://docs.google.com/spreadsheets/d/1QqKyyYR6Q21VydFLVH3TRQUabQu_ym0Zz7PgGX0-kHA/edit?usp=sharing"",""แผน!AE34"")"),4000)</f>
        <v>4000</v>
      </c>
      <c r="M199" s="498"/>
      <c r="N199" s="840">
        <v>4000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3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IFERROR(__xludf.DUMMYFUNCTION("IMPORTRANGE(""https://docs.google.com/spreadsheets/d/1QqKyyYR6Q21VydFLVH3TRQUabQu_ym0Zz7PgGX0-kHA/edit?usp=sharing"",""แผน!AF34"")"),32000)</f>
        <v>32000</v>
      </c>
      <c r="M200" s="498"/>
      <c r="N200" s="840">
        <v>32000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3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IFERROR(__xludf.DUMMYFUNCTION("IMPORTRANGE(""https://docs.google.com/spreadsheets/d/1QqKyyYR6Q21VydFLVH3TRQUabQu_ym0Zz7PgGX0-kHA/edit?usp=sharing"",""แผน!AG34"")"),16000)</f>
        <v>16000</v>
      </c>
      <c r="M201" s="498"/>
      <c r="N201" s="840">
        <v>16000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3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IFERROR(__xludf.DUMMYFUNCTION("IMPORTRANGE(""https://docs.google.com/spreadsheets/d/1QqKyyYR6Q21VydFLVH3TRQUabQu_ym0Zz7PgGX0-kHA/edit?usp=sharing"",""แผน!AH34"")"),0)</f>
        <v>0</v>
      </c>
      <c r="M202" s="498"/>
      <c r="N202" s="840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7" t="s">
        <v>38</v>
      </c>
      <c r="E203" s="173"/>
      <c r="F203" s="173"/>
      <c r="G203" s="174"/>
      <c r="H203" s="76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2" t="s">
        <v>96</v>
      </c>
      <c r="I204" s="270">
        <f ca="1">IFERROR(__xludf.DUMMYFUNCTION("IMPORTRANGE(""https://docs.google.com/spreadsheets/d/1QqKyyYR6Q21VydFLVH3TRQUabQu_ym0Zz7PgGX0-kHA/edit?usp=sharing"",""แผน!AI34"")"),4)</f>
        <v>4</v>
      </c>
      <c r="J204" s="215">
        <v>4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2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2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8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IFERROR(__xludf.DUMMYFUNCTION("IMPORTRANGE(""https://docs.google.com/spreadsheets/d/1QqKyyYR6Q21VydFLVH3TRQUabQu_ym0Zz7PgGX0-kHA/edit?usp=sharing"",""แผน!AK34"")"),0)</f>
        <v>0</v>
      </c>
      <c r="M210" s="498"/>
      <c r="N210" s="840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IFERROR(__xludf.DUMMYFUNCTION("IMPORTRANGE(""https://docs.google.com/spreadsheets/d/1QqKyyYR6Q21VydFLVH3TRQUabQu_ym0Zz7PgGX0-kHA/edit?usp=sharing"",""แผน!AL34"")"),0)</f>
        <v>0</v>
      </c>
      <c r="M211" s="498"/>
      <c r="N211" s="840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IFERROR(__xludf.DUMMYFUNCTION("IMPORTRANGE(""https://docs.google.com/spreadsheets/d/1QqKyyYR6Q21VydFLVH3TRQUabQu_ym0Zz7PgGX0-kHA/edit?usp=sharing"",""แผน!AM34"")"),0)</f>
        <v>0</v>
      </c>
      <c r="M212" s="498"/>
      <c r="N212" s="840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7" t="s">
        <v>38</v>
      </c>
      <c r="E213" s="173"/>
      <c r="F213" s="173"/>
      <c r="G213" s="174"/>
      <c r="H213" s="762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2" t="s">
        <v>96</v>
      </c>
      <c r="I214" s="270">
        <f ca="1">IFERROR(__xludf.DUMMYFUNCTION("IMPORTRANGE(""https://docs.google.com/spreadsheets/d/1QqKyyYR6Q21VydFLVH3TRQUabQu_ym0Zz7PgGX0-kHA/edit?usp=sharing"",""แผน!AN34"")"),0)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2" t="s">
        <v>96</v>
      </c>
      <c r="I215" s="270">
        <f ca="1">IFERROR(__xludf.DUMMYFUNCTION("IMPORTRANGE(""https://docs.google.com/spreadsheets/d/1QqKyyYR6Q21VydFLVH3TRQUabQu_ym0Zz7PgGX0-kHA/edit?usp=sharing"",""แผน!AN34"")"),0)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50000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8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18500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IFERROR(__xludf.DUMMYFUNCTION("IMPORTRANGE(""https://docs.google.com/spreadsheets/d/1QqKyyYR6Q21VydFLVH3TRQUabQu_ym0Zz7PgGX0-kHA/edit?usp=sharing"",""แผน!AP34"")"),5000)</f>
        <v>5000</v>
      </c>
      <c r="M218" s="498"/>
      <c r="N218" s="840">
        <v>5000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IFERROR(__xludf.DUMMYFUNCTION("IMPORTRANGE(""https://docs.google.com/spreadsheets/d/1QqKyyYR6Q21VydFLVH3TRQUabQu_ym0Zz7PgGX0-kHA/edit?usp=sharing"",""แผน!AQ34"")"),13500)</f>
        <v>13500</v>
      </c>
      <c r="M219" s="498"/>
      <c r="N219" s="840">
        <v>13500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IFERROR(__xludf.DUMMYFUNCTION("IMPORTRANGE(""https://docs.google.com/spreadsheets/d/1QqKyyYR6Q21VydFLVH3TRQUabQu_ym0Zz7PgGX0-kHA/edit?usp=sharing"",""แผน!AR34"")"),0)</f>
        <v>0</v>
      </c>
      <c r="M220" s="498"/>
      <c r="N220" s="840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7" t="s">
        <v>38</v>
      </c>
      <c r="E221" s="173"/>
      <c r="F221" s="173"/>
      <c r="G221" s="174"/>
      <c r="H221" s="76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4" t="s">
        <v>109</v>
      </c>
      <c r="I223" s="270">
        <f ca="1">IFERROR(__xludf.DUMMYFUNCTION("IMPORTRANGE(""https://docs.google.com/spreadsheets/d/1QqKyyYR6Q21VydFLVH3TRQUabQu_ym0Zz7PgGX0-kHA/edit?usp=sharing"",""แผน!AT34"")"),50000)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4" t="s">
        <v>109</v>
      </c>
      <c r="I224" s="270">
        <f ca="1">IFERROR(__xludf.DUMMYFUNCTION("IMPORTRANGE(""https://docs.google.com/spreadsheets/d/1QqKyyYR6Q21VydFLVH3TRQUabQu_ym0Zz7PgGX0-kHA/edit?usp=sharing"",""แผน!AT34"")"),50000)</f>
        <v>50000</v>
      </c>
      <c r="J224" s="215">
        <v>50000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4" t="s">
        <v>35</v>
      </c>
      <c r="I225" s="270">
        <f ca="1">IFERROR(__xludf.DUMMYFUNCTION("IMPORTRANGE(""https://docs.google.com/spreadsheets/d/1QqKyyYR6Q21VydFLVH3TRQUabQu_ym0Zz7PgGX0-kHA/edit?usp=sharing"",""แผน!AS34"")"),0)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8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2"/>
      <c r="P227" s="8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7"/>
      <c r="J229" s="617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7"/>
      <c r="J230" s="617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7"/>
      <c r="J231" s="617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7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7">
        <f t="shared" ref="I233:J233" ca="1" si="108">I244+I255</f>
        <v>0</v>
      </c>
      <c r="J233" s="617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7"/>
      <c r="J234" s="617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7">
        <f t="shared" ref="I235:J236" si="109">I246+I257</f>
        <v>0</v>
      </c>
      <c r="J235" s="617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7">
        <f t="shared" si="109"/>
        <v>0</v>
      </c>
      <c r="J236" s="617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IFERROR(__xludf.DUMMYFUNCTION("IMPORTRANGE(""https://docs.google.com/spreadsheets/d/1QqKyyYR6Q21VydFLVH3TRQUabQu_ym0Zz7PgGX0-kHA/edit?usp=sharing"",""แผน!AV34"")"),0)</f>
        <v>0</v>
      </c>
      <c r="M239" s="322"/>
      <c r="N239" s="88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IFERROR(__xludf.DUMMYFUNCTION("IMPORTRANGE(""https://docs.google.com/spreadsheets/d/1QqKyyYR6Q21VydFLVH3TRQUabQu_ym0Zz7PgGX0-kHA/edit?usp=sharing"",""แผน!AW34"")"),0)</f>
        <v>0</v>
      </c>
      <c r="M240" s="322"/>
      <c r="N240" s="88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IFERROR(__xludf.DUMMYFUNCTION("IMPORTRANGE(""https://docs.google.com/spreadsheets/d/1QqKyyYR6Q21VydFLVH3TRQUabQu_ym0Zz7PgGX0-kHA/edit?usp=sharing"",""แผน!AX34"")"),0)</f>
        <v>0</v>
      </c>
      <c r="M241" s="322"/>
      <c r="N241" s="88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IFERROR(__xludf.DUMMYFUNCTION("IMPORTRANGE(""https://docs.google.com/spreadsheets/d/1QqKyyYR6Q21VydFLVH3TRQUabQu_ym0Zz7PgGX0-kHA/edit?usp=sharing"",""แผน!AY34"")"),0)</f>
        <v>0</v>
      </c>
      <c r="M242" s="322"/>
      <c r="N242" s="88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7" t="s">
        <v>38</v>
      </c>
      <c r="E243" s="173"/>
      <c r="F243" s="173"/>
      <c r="G243" s="174"/>
      <c r="H243" s="762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4" t="s">
        <v>35</v>
      </c>
      <c r="I244" s="270">
        <f ca="1">IFERROR(__xludf.DUMMYFUNCTION("IMPORTRANGE(""https://docs.google.com/spreadsheets/d/1QqKyyYR6Q21VydFLVH3TRQUabQu_ym0Zz7PgGX0-kHA/edit?usp=sharing"",""แผน!BE34"")"),0)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4" t="s">
        <v>43</v>
      </c>
      <c r="E245" s="178"/>
      <c r="F245" s="178"/>
      <c r="G245" s="179"/>
      <c r="H245" s="764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4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4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8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IFERROR(__xludf.DUMMYFUNCTION("IMPORTRANGE(""https://docs.google.com/spreadsheets/d/1QqKyyYR6Q21VydFLVH3TRQUabQu_ym0Zz7PgGX0-kHA/edit?usp=sharing"",""แผน!AZ34"")"),0)</f>
        <v>0</v>
      </c>
      <c r="M250" s="322"/>
      <c r="N250" s="88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IFERROR(__xludf.DUMMYFUNCTION("IMPORTRANGE(""https://docs.google.com/spreadsheets/d/1QqKyyYR6Q21VydFLVH3TRQUabQu_ym0Zz7PgGX0-kHA/edit?usp=sharing"",""แผน!BA34"")"),0)</f>
        <v>0</v>
      </c>
      <c r="M251" s="322"/>
      <c r="N251" s="88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IFERROR(__xludf.DUMMYFUNCTION("IMPORTRANGE(""https://docs.google.com/spreadsheets/d/1QqKyyYR6Q21VydFLVH3TRQUabQu_ym0Zz7PgGX0-kHA/edit?usp=sharing"",""แผน!BB34"")"),0)</f>
        <v>0</v>
      </c>
      <c r="M252" s="322"/>
      <c r="N252" s="88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IFERROR(__xludf.DUMMYFUNCTION("IMPORTRANGE(""https://docs.google.com/spreadsheets/d/1QqKyyYR6Q21VydFLVH3TRQUabQu_ym0Zz7PgGX0-kHA/edit?usp=sharing"",""แผน!BC34"")"),0)</f>
        <v>0</v>
      </c>
      <c r="M253" s="322"/>
      <c r="N253" s="88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7" t="s">
        <v>38</v>
      </c>
      <c r="E254" s="173"/>
      <c r="F254" s="173"/>
      <c r="G254" s="174"/>
      <c r="H254" s="762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4" t="s">
        <v>35</v>
      </c>
      <c r="I255" s="270">
        <f ca="1">IFERROR(__xludf.DUMMYFUNCTION("IMPORTRANGE(""https://docs.google.com/spreadsheets/d/1QqKyyYR6Q21VydFLVH3TRQUabQu_ym0Zz7PgGX0-kHA/edit?usp=sharing"",""แผน!BF34"")"),0)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4" t="s">
        <v>43</v>
      </c>
      <c r="E256" s="178"/>
      <c r="F256" s="178"/>
      <c r="G256" s="179"/>
      <c r="H256" s="764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4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4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26900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7"/>
      <c r="J262" s="617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7"/>
      <c r="J263" s="617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26900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26900</v>
      </c>
      <c r="N264" s="498">
        <f t="shared" ca="1" si="120"/>
        <v>26900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IFERROR(__xludf.DUMMYFUNCTION("IMPORTRANGE(""https://docs.google.com/spreadsheets/d/1MeEWN-I1oV_STSDYn1IFDPWt_1FKiwhDph83XaGc0o0/edit?usp=sharing"",""งบพรบ!CY34"")"),26900)</f>
        <v>26900</v>
      </c>
      <c r="M266" s="93">
        <f ca="1">IFERROR(__xludf.DUMMYFUNCTION("IMPORTRANGE(""https://docs.google.com/spreadsheets/d/1MeEWN-I1oV_STSDYn1IFDPWt_1FKiwhDph83XaGc0o0/edit?usp=sharing"",""งบพรบ!DD34"")"),26900)</f>
        <v>26900</v>
      </c>
      <c r="N266" s="93">
        <f ca="1">IFERROR(__xludf.DUMMYFUNCTION("IMPORTRANGE(""https://docs.google.com/spreadsheets/d/1MeEWN-I1oV_STSDYn1IFDPWt_1FKiwhDph83XaGc0o0/edit?usp=sharing"",""งบพรบ!DF34"")"),26900)</f>
        <v>26900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IFERROR(__xludf.DUMMYFUNCTION("IMPORTRANGE(""https://docs.google.com/spreadsheets/d/1MeEWN-I1oV_STSDYn1IFDPWt_1FKiwhDph83XaGc0o0/edit?usp=sharing"",""งบพรบ!DB34"")"),0)</f>
        <v>0</v>
      </c>
      <c r="M269" s="93">
        <f ca="1">IFERROR(__xludf.DUMMYFUNCTION("IMPORTRANGE(""https://docs.google.com/spreadsheets/d/1MeEWN-I1oV_STSDYn1IFDPWt_1FKiwhDph83XaGc0o0/edit?usp=sharing"",""งบพรบ!DE34"")"),0)</f>
        <v>0</v>
      </c>
      <c r="N269" s="93">
        <f ca="1">IFERROR(__xludf.DUMMYFUNCTION("IMPORTRANGE(""https://docs.google.com/spreadsheets/d/1MeEWN-I1oV_STSDYn1IFDPWt_1FKiwhDph83XaGc0o0/edit?usp=sharing"",""งบพรบ!DG34"")"),0)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7" t="s">
        <v>38</v>
      </c>
      <c r="E270" s="173"/>
      <c r="F270" s="173"/>
      <c r="G270" s="174"/>
      <c r="H270" s="76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6">
        <v>0</v>
      </c>
      <c r="J272" s="506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70</v>
      </c>
      <c r="J275" s="406">
        <f t="shared" ca="1" si="122"/>
        <v>70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5">
        <f t="shared" ref="I276:J276" ca="1" si="124">I287</f>
        <v>700</v>
      </c>
      <c r="J276" s="885">
        <f t="shared" si="124"/>
        <v>700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413560</v>
      </c>
      <c r="M277" s="155">
        <f t="shared" ca="1" si="125"/>
        <v>203903</v>
      </c>
      <c r="N277" s="155">
        <f t="shared" ca="1" si="125"/>
        <v>203903</v>
      </c>
      <c r="O277" s="155">
        <f t="shared" ref="O277:O285" ca="1" si="126">IF(L277&gt;0,N277*100/L277,0)</f>
        <v>49.304333107650642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7"/>
      <c r="J278" s="617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7"/>
      <c r="J279" s="617"/>
      <c r="K279" s="93"/>
      <c r="L279" s="93">
        <f t="shared" ca="1" si="128"/>
        <v>413560</v>
      </c>
      <c r="M279" s="93">
        <f t="shared" ca="1" si="128"/>
        <v>203903</v>
      </c>
      <c r="N279" s="93">
        <f t="shared" ca="1" si="128"/>
        <v>203903</v>
      </c>
      <c r="O279" s="93">
        <f t="shared" ca="1" si="126"/>
        <v>49.304333107650642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413560</v>
      </c>
      <c r="M280" s="498">
        <f t="shared" ca="1" si="129"/>
        <v>203903</v>
      </c>
      <c r="N280" s="498">
        <f t="shared" ca="1" si="129"/>
        <v>203903</v>
      </c>
      <c r="O280" s="498">
        <f t="shared" ca="1" si="126"/>
        <v>49.304333107650642</v>
      </c>
      <c r="P280" s="49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IFERROR(__xludf.DUMMYFUNCTION("IMPORTRANGE(""https://docs.google.com/spreadsheets/d/1MeEWN-I1oV_STSDYn1IFDPWt_1FKiwhDph83XaGc0o0/edit?usp=sharing"",""งบพรบ!DI34"")"),413560)</f>
        <v>413560</v>
      </c>
      <c r="M282" s="93">
        <f ca="1">IFERROR(__xludf.DUMMYFUNCTION("IMPORTRANGE(""https://docs.google.com/spreadsheets/d/1MeEWN-I1oV_STSDYn1IFDPWt_1FKiwhDph83XaGc0o0/edit?usp=sharing"",""งบพรบ!DN34"")"),203903)</f>
        <v>203903</v>
      </c>
      <c r="N282" s="93">
        <f ca="1">IFERROR(__xludf.DUMMYFUNCTION("IMPORTRANGE(""https://docs.google.com/spreadsheets/d/1MeEWN-I1oV_STSDYn1IFDPWt_1FKiwhDph83XaGc0o0/edit?usp=sharing"",""งบพรบ!DP34"")"),203903)</f>
        <v>203903</v>
      </c>
      <c r="O282" s="93">
        <f t="shared" ca="1" si="126"/>
        <v>49.304333107650642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IFERROR(__xludf.DUMMYFUNCTION("IMPORTRANGE(""https://docs.google.com/spreadsheets/d/1MeEWN-I1oV_STSDYn1IFDPWt_1FKiwhDph83XaGc0o0/edit?usp=sharing"",""งบพรบ!DL34"")"),0)</f>
        <v>0</v>
      </c>
      <c r="M285" s="93">
        <f ca="1">IFERROR(__xludf.DUMMYFUNCTION("IMPORTRANGE(""https://docs.google.com/spreadsheets/d/1MeEWN-I1oV_STSDYn1IFDPWt_1FKiwhDph83XaGc0o0/edit?usp=sharing"",""งบพรบ!DO34"")"),0)</f>
        <v>0</v>
      </c>
      <c r="N285" s="93">
        <f ca="1">IFERROR(__xludf.DUMMYFUNCTION("IMPORTRANGE(""https://docs.google.com/spreadsheets/d/1MeEWN-I1oV_STSDYn1IFDPWt_1FKiwhDph83XaGc0o0/edit?usp=sharing"",""งบพรบ!DQ34"")"),0)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7" t="s">
        <v>38</v>
      </c>
      <c r="E286" s="173"/>
      <c r="F286" s="173"/>
      <c r="G286" s="174"/>
      <c r="H286" s="76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6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IFERROR(__xludf.DUMMYFUNCTION("IMPORTRANGE(""https://docs.google.com/spreadsheets/d/1QqKyyYR6Q21VydFLVH3TRQUabQu_ym0Zz7PgGX0-kHA/edit?usp=sharing"",""แผน!EC34"")"),700)</f>
        <v>700</v>
      </c>
      <c r="J287" s="215">
        <v>700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6" t="s">
        <v>130</v>
      </c>
      <c r="E288" s="171"/>
      <c r="F288" s="178"/>
      <c r="G288" s="179"/>
      <c r="H288" s="180" t="s">
        <v>35</v>
      </c>
      <c r="I288" s="681">
        <f ca="1">IFERROR(__xludf.DUMMYFUNCTION("IMPORTRANGE(""https://docs.google.com/spreadsheets/d/1QqKyyYR6Q21VydFLVH3TRQUabQu_ym0Zz7PgGX0-kHA/edit?usp=sharing"",""แผน!EB34"")"),70)</f>
        <v>70</v>
      </c>
      <c r="J288" s="681">
        <f ca="1">IF(AND(J291&gt;=I288,J294&gt;=I288),J294,0)</f>
        <v>70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6" t="s">
        <v>132</v>
      </c>
      <c r="F290" s="178"/>
      <c r="G290" s="179"/>
      <c r="H290" s="764" t="s">
        <v>35</v>
      </c>
      <c r="I290" s="184">
        <f ca="1">IFERROR(__xludf.DUMMYFUNCTION("IMPORTRANGE(""https://docs.google.com/spreadsheets/d/1QqKyyYR6Q21VydFLVH3TRQUabQu_ym0Zz7PgGX0-kHA/edit?usp=sharing"",""แผน!EB34"")"),70)</f>
        <v>70</v>
      </c>
      <c r="J290" s="215">
        <v>70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6" t="s">
        <v>133</v>
      </c>
      <c r="F291" s="178"/>
      <c r="G291" s="179"/>
      <c r="H291" s="764" t="s">
        <v>35</v>
      </c>
      <c r="I291" s="184">
        <f ca="1">IFERROR(__xludf.DUMMYFUNCTION("IMPORTRANGE(""https://docs.google.com/spreadsheets/d/1QqKyyYR6Q21VydFLVH3TRQUabQu_ym0Zz7PgGX0-kHA/edit?usp=sharing"",""แผน!EB34"")"),70)</f>
        <v>70</v>
      </c>
      <c r="J291" s="215">
        <v>70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6" t="s">
        <v>132</v>
      </c>
      <c r="F293" s="178"/>
      <c r="G293" s="179"/>
      <c r="H293" s="764" t="s">
        <v>35</v>
      </c>
      <c r="I293" s="184">
        <f ca="1">IFERROR(__xludf.DUMMYFUNCTION("IMPORTRANGE(""https://docs.google.com/spreadsheets/d/1QqKyyYR6Q21VydFLVH3TRQUabQu_ym0Zz7PgGX0-kHA/edit?usp=sharing"",""แผน!EB34"")"),70)</f>
        <v>70</v>
      </c>
      <c r="J293" s="215">
        <v>70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4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IFERROR(__xludf.DUMMYFUNCTION("IMPORTRANGE(""https://docs.google.com/spreadsheets/d/1QqKyyYR6Q21VydFLVH3TRQUabQu_ym0Zz7PgGX0-kHA/edit?usp=sharing"",""แผน!EB34"")"),70)</f>
        <v>70</v>
      </c>
      <c r="J294" s="424">
        <v>70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7"/>
      <c r="J299" s="617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7"/>
      <c r="J300" s="617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IFERROR(__xludf.DUMMYFUNCTION("IMPORTRANGE(""https://docs.google.com/spreadsheets/d/1MeEWN-I1oV_STSDYn1IFDPWt_1FKiwhDph83XaGc0o0/edit?usp=sharing"",""งบพรบ!DS34"")"),0)</f>
        <v>0</v>
      </c>
      <c r="M303" s="93">
        <f ca="1">IFERROR(__xludf.DUMMYFUNCTION("IMPORTRANGE(""https://docs.google.com/spreadsheets/d/1MeEWN-I1oV_STSDYn1IFDPWt_1FKiwhDph83XaGc0o0/edit?usp=sharing"",""งบพรบ!DX34"")"),0)</f>
        <v>0</v>
      </c>
      <c r="N303" s="93">
        <f ca="1">IFERROR(__xludf.DUMMYFUNCTION("IMPORTRANGE(""https://docs.google.com/spreadsheets/d/1MeEWN-I1oV_STSDYn1IFDPWt_1FKiwhDph83XaGc0o0/edit?usp=sharing"",""งบพรบ!DZ34"")"),0)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IFERROR(__xludf.DUMMYFUNCTION("IMPORTRANGE(""https://docs.google.com/spreadsheets/d/1MeEWN-I1oV_STSDYn1IFDPWt_1FKiwhDph83XaGc0o0/edit?usp=sharing"",""งบพรบ!DV34"")"),0)</f>
        <v>0</v>
      </c>
      <c r="M306" s="93">
        <f ca="1">IFERROR(__xludf.DUMMYFUNCTION("IMPORTRANGE(""https://docs.google.com/spreadsheets/d/1MeEWN-I1oV_STSDYn1IFDPWt_1FKiwhDph83XaGc0o0/edit?usp=sharing"",""งบพรบ!DY34"")"),0)</f>
        <v>0</v>
      </c>
      <c r="N306" s="93">
        <f ca="1">IFERROR(__xludf.DUMMYFUNCTION("IMPORTRANGE(""https://docs.google.com/spreadsheets/d/1MeEWN-I1oV_STSDYn1IFDPWt_1FKiwhDph83XaGc0o0/edit?usp=sharing"",""งบพรบ!EA34"")"),0)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7" t="s">
        <v>38</v>
      </c>
      <c r="E307" s="173"/>
      <c r="F307" s="173"/>
      <c r="G307" s="174"/>
      <c r="H307" s="762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4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4" t="s">
        <v>35</v>
      </c>
      <c r="I309" s="270">
        <f ca="1">IFERROR(__xludf.DUMMYFUNCTION("IMPORTRANGE(""https://docs.google.com/spreadsheets/d/1QqKyyYR6Q21VydFLVH3TRQUabQu_ym0Zz7PgGX0-kHA/edit?usp=sharing"",""แผน!ED34"")"),0)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4" t="s">
        <v>35</v>
      </c>
      <c r="I310" s="270">
        <f ca="1">IFERROR(__xludf.DUMMYFUNCTION("IMPORTRANGE(""https://docs.google.com/spreadsheets/d/1QqKyyYR6Q21VydFLVH3TRQUabQu_ym0Zz7PgGX0-kHA/edit?usp=sharing"",""แผน!ED34"")"),0)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4" t="s">
        <v>35</v>
      </c>
      <c r="I311" s="270">
        <f ca="1">IFERROR(__xludf.DUMMYFUNCTION("IMPORTRANGE(""https://docs.google.com/spreadsheets/d/1QqKyyYR6Q21VydFLVH3TRQUabQu_ym0Zz7PgGX0-kHA/edit?usp=sharing"",""แผน!ED34"")"),0)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4" t="s">
        <v>35</v>
      </c>
      <c r="I312" s="270">
        <f ca="1">IFERROR(__xludf.DUMMYFUNCTION("IMPORTRANGE(""https://docs.google.com/spreadsheets/d/1QqKyyYR6Q21VydFLVH3TRQUabQu_ym0Zz7PgGX0-kHA/edit?usp=sharing"",""แผน!EE34"")"),0)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7"/>
      <c r="J316" s="617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7"/>
      <c r="J317" s="617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IFERROR(__xludf.DUMMYFUNCTION("IMPORTRANGE(""https://docs.google.com/spreadsheets/d/1MeEWN-I1oV_STSDYn1IFDPWt_1FKiwhDph83XaGc0o0/edit?usp=sharing"",""งบพรบ!EC34"")"),0)</f>
        <v>0</v>
      </c>
      <c r="M320" s="93">
        <f ca="1">IFERROR(__xludf.DUMMYFUNCTION("IMPORTRANGE(""https://docs.google.com/spreadsheets/d/1MeEWN-I1oV_STSDYn1IFDPWt_1FKiwhDph83XaGc0o0/edit?usp=sharing"",""งบพรบ!EH34"")"),0)</f>
        <v>0</v>
      </c>
      <c r="N320" s="93">
        <f ca="1">IFERROR(__xludf.DUMMYFUNCTION("IMPORTRANGE(""https://docs.google.com/spreadsheets/d/1MeEWN-I1oV_STSDYn1IFDPWt_1FKiwhDph83XaGc0o0/edit?usp=sharing"",""งบพรบ!EJ34"")"),0)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IFERROR(__xludf.DUMMYFUNCTION("IMPORTRANGE(""https://docs.google.com/spreadsheets/d/1MeEWN-I1oV_STSDYn1IFDPWt_1FKiwhDph83XaGc0o0/edit?usp=sharing"",""งบพรบ!EF34"")"),0)</f>
        <v>0</v>
      </c>
      <c r="M323" s="93">
        <f ca="1">IFERROR(__xludf.DUMMYFUNCTION("IMPORTRANGE(""https://docs.google.com/spreadsheets/d/1MeEWN-I1oV_STSDYn1IFDPWt_1FKiwhDph83XaGc0o0/edit?usp=sharing"",""งบพรบ!EI34"")"),0)</f>
        <v>0</v>
      </c>
      <c r="N323" s="93">
        <f ca="1">IFERROR(__xludf.DUMMYFUNCTION("IMPORTRANGE(""https://docs.google.com/spreadsheets/d/1MeEWN-I1oV_STSDYn1IFDPWt_1FKiwhDph83XaGc0o0/edit?usp=sharing"",""งบพรบ!EK34"")"),0)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7" t="s">
        <v>38</v>
      </c>
      <c r="E324" s="173"/>
      <c r="F324" s="173"/>
      <c r="G324" s="174"/>
      <c r="H324" s="762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3" t="s">
        <v>146</v>
      </c>
      <c r="I325" s="270">
        <f ca="1">IFERROR(__xludf.DUMMYFUNCTION("IMPORTRANGE(""https://docs.google.com/spreadsheets/d/1QqKyyYR6Q21VydFLVH3TRQUabQu_ym0Zz7PgGX0-kHA/edit?usp=sharing"",""แผน!EF34"")"),0)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IFERROR(__xludf.DUMMYFUNCTION("IMPORTRANGE(""https://docs.google.com/spreadsheets/d/1QqKyyYR6Q21VydFLVH3TRQUabQu_ym0Zz7PgGX0-kHA/edit?usp=sharing"",""แผน!EG34"")"),3400)</f>
        <v>3400</v>
      </c>
      <c r="J327" s="444">
        <f ca="1">J338+J341+J342+J343</f>
        <v>10921</v>
      </c>
      <c r="K327" s="445">
        <f ca="1">IF(I327&gt;0,J327*100/I327,0)</f>
        <v>321.20588235294116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183000</v>
      </c>
      <c r="M328" s="155">
        <f t="shared" ca="1" si="149"/>
        <v>185500</v>
      </c>
      <c r="N328" s="155">
        <f t="shared" ca="1" si="149"/>
        <v>185500</v>
      </c>
      <c r="O328" s="155">
        <f t="shared" ref="O328:O336" ca="1" si="150">IF(L328&gt;0,N328*100/L328,0)</f>
        <v>101.36612021857924</v>
      </c>
      <c r="P328" s="155">
        <f t="shared" ref="P328:P336" ca="1" si="151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7"/>
      <c r="J329" s="617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7"/>
      <c r="J330" s="617"/>
      <c r="K330" s="93"/>
      <c r="L330" s="93">
        <f t="shared" ca="1" si="152"/>
        <v>183000</v>
      </c>
      <c r="M330" s="93">
        <f t="shared" ca="1" si="152"/>
        <v>185500</v>
      </c>
      <c r="N330" s="93">
        <f t="shared" ca="1" si="152"/>
        <v>185500</v>
      </c>
      <c r="O330" s="93">
        <f t="shared" ca="1" si="150"/>
        <v>101.36612021857924</v>
      </c>
      <c r="P330" s="93">
        <f t="shared" ca="1" si="151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183000</v>
      </c>
      <c r="M331" s="498">
        <f t="shared" ca="1" si="153"/>
        <v>185500</v>
      </c>
      <c r="N331" s="498">
        <f t="shared" ca="1" si="153"/>
        <v>185500</v>
      </c>
      <c r="O331" s="498">
        <f t="shared" ca="1" si="150"/>
        <v>101.36612021857924</v>
      </c>
      <c r="P331" s="498">
        <f t="shared" ca="1" si="151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IFERROR(__xludf.DUMMYFUNCTION("IMPORTRANGE(""https://docs.google.com/spreadsheets/d/1MeEWN-I1oV_STSDYn1IFDPWt_1FKiwhDph83XaGc0o0/edit?usp=sharing"",""งบพรบ!EM34"")"),183000)</f>
        <v>183000</v>
      </c>
      <c r="M333" s="93">
        <f ca="1">IFERROR(__xludf.DUMMYFUNCTION("IMPORTRANGE(""https://docs.google.com/spreadsheets/d/1MeEWN-I1oV_STSDYn1IFDPWt_1FKiwhDph83XaGc0o0/edit?usp=sharing"",""งบพรบ!ER34"")"),185500)</f>
        <v>185500</v>
      </c>
      <c r="N333" s="93">
        <f ca="1">IFERROR(__xludf.DUMMYFUNCTION("IMPORTRANGE(""https://docs.google.com/spreadsheets/d/1MeEWN-I1oV_STSDYn1IFDPWt_1FKiwhDph83XaGc0o0/edit?usp=sharing"",""งบพรบ!ET34"")"),185500)</f>
        <v>185500</v>
      </c>
      <c r="O333" s="93">
        <f t="shared" ca="1" si="150"/>
        <v>101.36612021857924</v>
      </c>
      <c r="P333" s="93">
        <f t="shared" ca="1" si="151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IFERROR(__xludf.DUMMYFUNCTION("IMPORTRANGE(""https://docs.google.com/spreadsheets/d/1MeEWN-I1oV_STSDYn1IFDPWt_1FKiwhDph83XaGc0o0/edit?usp=sharing"",""งบพรบ!EP34"")"),0)</f>
        <v>0</v>
      </c>
      <c r="M336" s="93">
        <f ca="1">IFERROR(__xludf.DUMMYFUNCTION("IMPORTRANGE(""https://docs.google.com/spreadsheets/d/1MeEWN-I1oV_STSDYn1IFDPWt_1FKiwhDph83XaGc0o0/edit?usp=sharing"",""งบพรบ!ES34"")"),0)</f>
        <v>0</v>
      </c>
      <c r="N336" s="93">
        <f ca="1">IFERROR(__xludf.DUMMYFUNCTION("IMPORTRANGE(""https://docs.google.com/spreadsheets/d/1MeEWN-I1oV_STSDYn1IFDPWt_1FKiwhDph83XaGc0o0/edit?usp=sharing"",""งบพรบ!EU34"")"),0)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86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62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IFERROR(__xludf.DUMMYFUNCTION("IMPORTRANGE(""https://docs.google.com/spreadsheets/d/1QqKyyYR6Q21VydFLVH3TRQUabQu_ym0Zz7PgGX0-kHA/edit?usp=sharing"",""แผน!EG34"")"),3400)</f>
        <v>3400</v>
      </c>
      <c r="J338" s="270">
        <f ca="1">IFERROR(__xludf.DUMMYFUNCTION("IMPORTRANGE(""https://docs.google.com/spreadsheets/d/1kVcqe37tkHyjCSG3S0O1AXqVkqjo8mSIZil3BcpIysc/edit?usp=sharing"",""ศูนย์!D34"")"),10434)</f>
        <v>10434</v>
      </c>
      <c r="K338" s="498">
        <f ca="1">IF(I338&gt;0,J338*100/I338,0)</f>
        <v>306.88235294117646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IFERROR(__xludf.DUMMYFUNCTION("IMPORTRANGE(""https://docs.google.com/spreadsheets/d/1QqKyyYR6Q21VydFLVH3TRQUabQu_ym0Zz7PgGX0-kHA/edit?usp=sharing"",""แผน!EH34"")"),10)</f>
        <v>10</v>
      </c>
      <c r="J340" s="270">
        <f ca="1">IFERROR(__xludf.DUMMYFUNCTION("IMPORTRANGE(""https://docs.google.com/spreadsheets/d/1kVcqe37tkHyjCSG3S0O1AXqVkqjo8mSIZil3BcpIysc/edit?usp=sharing"",""ศูนย์!E34"")"),12)</f>
        <v>12</v>
      </c>
      <c r="K340" s="498">
        <f ca="1">IF(I340&gt;0,J340*100/I340,0)</f>
        <v>120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IFERROR(__xludf.DUMMYFUNCTION("IMPORTRANGE(""https://docs.google.com/spreadsheets/d/1kVcqe37tkHyjCSG3S0O1AXqVkqjo8mSIZil3BcpIysc/edit?usp=sharing"",""ศูนย์!F34"")"),459)</f>
        <v>459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IFERROR(__xludf.DUMMYFUNCTION("IMPORTRANGE(""https://docs.google.com/spreadsheets/d/1kVcqe37tkHyjCSG3S0O1AXqVkqjo8mSIZil3BcpIysc/edit?usp=sharing"",""ศูนย์!G34"")"),15)</f>
        <v>15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IFERROR(__xludf.DUMMYFUNCTION("IMPORTRANGE(""https://docs.google.com/spreadsheets/d/1kVcqe37tkHyjCSG3S0O1AXqVkqjo8mSIZil3BcpIysc/edit?usp=sharing"",""ศูนย์!H34"")"),13)</f>
        <v>13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1905220</v>
      </c>
      <c r="M345" s="155">
        <f t="shared" ca="1" si="155"/>
        <v>1925220</v>
      </c>
      <c r="N345" s="155">
        <f t="shared" ca="1" si="155"/>
        <v>1925220</v>
      </c>
      <c r="O345" s="155">
        <f t="shared" ref="O345:O353" ca="1" si="156">IF(L345&gt;0,N345*100/L345,0)</f>
        <v>101.04974753571766</v>
      </c>
      <c r="P345" s="155">
        <f t="shared" ref="P345:P353" ca="1" si="157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7"/>
      <c r="J346" s="617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7"/>
      <c r="J347" s="617"/>
      <c r="K347" s="93"/>
      <c r="L347" s="93">
        <f t="shared" ca="1" si="158"/>
        <v>1905220</v>
      </c>
      <c r="M347" s="93">
        <f t="shared" ca="1" si="158"/>
        <v>1925220</v>
      </c>
      <c r="N347" s="93">
        <f t="shared" ca="1" si="158"/>
        <v>1925220</v>
      </c>
      <c r="O347" s="93">
        <f t="shared" ca="1" si="156"/>
        <v>101.04974753571766</v>
      </c>
      <c r="P347" s="93">
        <f t="shared" ca="1" si="157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1753620</v>
      </c>
      <c r="M348" s="498">
        <f t="shared" ca="1" si="159"/>
        <v>1773620</v>
      </c>
      <c r="N348" s="498">
        <f t="shared" ca="1" si="159"/>
        <v>1773620</v>
      </c>
      <c r="O348" s="498">
        <f t="shared" ca="1" si="156"/>
        <v>101.14049794140122</v>
      </c>
      <c r="P348" s="498">
        <f t="shared" ca="1" si="157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IFERROR(__xludf.DUMMYFUNCTION("IMPORTRANGE(""https://docs.google.com/spreadsheets/d/1MeEWN-I1oV_STSDYn1IFDPWt_1FKiwhDph83XaGc0o0/edit?usp=sharing"",""งบพรบ!EW34"")"),1753620)</f>
        <v>1753620</v>
      </c>
      <c r="M350" s="93">
        <f ca="1">IFERROR(__xludf.DUMMYFUNCTION("IMPORTRANGE(""https://docs.google.com/spreadsheets/d/1MeEWN-I1oV_STSDYn1IFDPWt_1FKiwhDph83XaGc0o0/edit?usp=sharing"",""งบพรบ!FB34"")"),1773620)</f>
        <v>1773620</v>
      </c>
      <c r="N350" s="93">
        <f ca="1">IFERROR(__xludf.DUMMYFUNCTION("IMPORTRANGE(""https://docs.google.com/spreadsheets/d/1MeEWN-I1oV_STSDYn1IFDPWt_1FKiwhDph83XaGc0o0/edit?usp=sharing"",""งบพรบ!FD34"")"),1773620)</f>
        <v>1773620</v>
      </c>
      <c r="O350" s="93">
        <f t="shared" ca="1" si="156"/>
        <v>101.14049794140122</v>
      </c>
      <c r="P350" s="93">
        <f t="shared" ca="1" si="157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151600</v>
      </c>
      <c r="M351" s="498">
        <f t="shared" ca="1" si="160"/>
        <v>151600</v>
      </c>
      <c r="N351" s="498">
        <f t="shared" ca="1" si="160"/>
        <v>151600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IFERROR(__xludf.DUMMYFUNCTION("IMPORTRANGE(""https://docs.google.com/spreadsheets/d/1MeEWN-I1oV_STSDYn1IFDPWt_1FKiwhDph83XaGc0o0/edit?usp=sharing"",""งบพรบ!EZ34"")"),151600)</f>
        <v>151600</v>
      </c>
      <c r="M353" s="93">
        <f ca="1">IFERROR(__xludf.DUMMYFUNCTION("IMPORTRANGE(""https://docs.google.com/spreadsheets/d/1MeEWN-I1oV_STSDYn1IFDPWt_1FKiwhDph83XaGc0o0/edit?usp=sharing"",""งบพรบ!FC34"")"),151600)</f>
        <v>151600</v>
      </c>
      <c r="N353" s="93">
        <f ca="1">IFERROR(__xludf.DUMMYFUNCTION("IMPORTRANGE(""https://docs.google.com/spreadsheets/d/1MeEWN-I1oV_STSDYn1IFDPWt_1FKiwhDph83XaGc0o0/edit?usp=sharing"",""งบพรบ!FE34"")"),151600)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8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IFERROR(__xludf.DUMMYFUNCTION("IMPORTRANGE(""https://docs.google.com/spreadsheets/d/1QqKyyYR6Q21VydFLVH3TRQUabQu_ym0Zz7PgGX0-kHA/edit?usp=sharing"",""แผน!EP34"")"),700)</f>
        <v>700</v>
      </c>
      <c r="J355" s="465">
        <f ca="1">J362</f>
        <v>716</v>
      </c>
      <c r="K355" s="466">
        <f ca="1">IF(I355&gt;0,J355*100/I355,0)</f>
        <v>102.28571428571429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77" t="s">
        <v>38</v>
      </c>
      <c r="E357" s="173"/>
      <c r="F357" s="173"/>
      <c r="G357" s="174"/>
      <c r="H357" s="762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IFERROR(__xludf.DUMMYFUNCTION("IMPORTRANGE(""https://docs.google.com/spreadsheets/d/1XWAQStnk-4SwqDmLtmXYiTMKHgktTP8We1SCoS47DrQ/edit?usp=sharing"",""จัดที่ดิน!W34"")"),810)</f>
        <v>810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IFERROR(__xludf.DUMMYFUNCTION("IMPORTRANGE(""https://docs.google.com/spreadsheets/d/1QqKyyYR6Q21VydFLVH3TRQUabQu_ym0Zz7PgGX0-kHA/edit?usp=sharing"",""แผน!EO34"")"),7000)</f>
        <v>7000</v>
      </c>
      <c r="J359" s="270">
        <f ca="1">IFERROR(__xludf.DUMMYFUNCTION("IMPORTRANGE(""https://docs.google.com/spreadsheets/d/1XWAQStnk-4SwqDmLtmXYiTMKHgktTP8We1SCoS47DrQ/edit?usp=sharing"",""จัดที่ดิน!X34"")"),8615.02)</f>
        <v>8615.02</v>
      </c>
      <c r="K359" s="498">
        <f t="shared" ca="1" si="161"/>
        <v>123.07171428571428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4" t="s">
        <v>35</v>
      </c>
      <c r="I360" s="270">
        <f ca="1">IFERROR(__xludf.DUMMYFUNCTION("IMPORTRANGE(""https://docs.google.com/spreadsheets/d/1QqKyyYR6Q21VydFLVH3TRQUabQu_ym0Zz7PgGX0-kHA/edit?usp=sharing"",""แผน!EP34"")"),700)</f>
        <v>700</v>
      </c>
      <c r="J360" s="270">
        <f ca="1">IFERROR(__xludf.DUMMYFUNCTION("IMPORTRANGE(""https://docs.google.com/spreadsheets/d/1XWAQStnk-4SwqDmLtmXYiTMKHgktTP8We1SCoS47DrQ/edit?usp=sharing"",""จัดที่ดิน!Y34"")"),711)</f>
        <v>711</v>
      </c>
      <c r="K360" s="498">
        <f t="shared" ca="1" si="161"/>
        <v>101.57142857142857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IFERROR(__xludf.DUMMYFUNCTION("IMPORTRANGE(""https://docs.google.com/spreadsheets/d/1XWAQStnk-4SwqDmLtmXYiTMKHgktTP8We1SCoS47DrQ/edit?usp=sharing"",""จัดที่ดิน!Z34"")"),7359.95)</f>
        <v>7359.95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4" t="s">
        <v>35</v>
      </c>
      <c r="I362" s="270">
        <f ca="1">IFERROR(__xludf.DUMMYFUNCTION("IMPORTRANGE(""https://docs.google.com/spreadsheets/d/1QqKyyYR6Q21VydFLVH3TRQUabQu_ym0Zz7PgGX0-kHA/edit?usp=sharing"",""แผน!EP34"")"),700)</f>
        <v>700</v>
      </c>
      <c r="J362" s="270">
        <f ca="1">IFERROR(__xludf.DUMMYFUNCTION("IMPORTRANGE(""https://docs.google.com/spreadsheets/d/1XWAQStnk-4SwqDmLtmXYiTMKHgktTP8We1SCoS47DrQ/edit?usp=sharing"",""จัดที่ดิน!AA34"")"),716)</f>
        <v>716</v>
      </c>
      <c r="K362" s="498">
        <f t="shared" ca="1" si="161"/>
        <v>102.28571428571429</v>
      </c>
      <c r="L362" s="163"/>
      <c r="M362" s="163"/>
      <c r="N362" s="163"/>
      <c r="O362" s="163"/>
      <c r="P362" s="163"/>
    </row>
    <row r="363" spans="1:26" ht="18.75" hidden="1">
      <c r="A363" s="499" t="s">
        <v>169</v>
      </c>
      <c r="B363" s="178"/>
      <c r="C363" s="171"/>
      <c r="D363" s="178"/>
      <c r="E363" s="447"/>
      <c r="F363" s="178"/>
      <c r="G363" s="179"/>
      <c r="H363" s="76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IFERROR(__xludf.DUMMYFUNCTION("IMPORTRANGE(""https://docs.google.com/spreadsheets/d/1XWAQStnk-4SwqDmLtmXYiTMKHgktTP8We1SCoS47DrQ/edit?usp=sharing"",""จัดที่ดิน!AB34"")"),7368.37)</f>
        <v>7368.37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t="shared" ref="I364:J364" ca="1" si="162">I365+I374</f>
        <v>1450</v>
      </c>
      <c r="J364" s="479">
        <f t="shared" ca="1" si="162"/>
        <v>1461</v>
      </c>
      <c r="K364" s="480">
        <f t="shared" ca="1" si="161"/>
        <v>100.75862068965517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IFERROR(__xludf.DUMMYFUNCTION("IMPORTRANGE(""https://docs.google.com/spreadsheets/d/1QqKyyYR6Q21VydFLVH3TRQUabQu_ym0Zz7PgGX0-kHA/edit?usp=sharing"",""แผน!EJ34"")"),100)</f>
        <v>100</v>
      </c>
      <c r="J365" s="491">
        <f ca="1">J372</f>
        <v>104</v>
      </c>
      <c r="K365" s="492">
        <f t="shared" ca="1" si="161"/>
        <v>104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77" t="s">
        <v>38</v>
      </c>
      <c r="E367" s="173"/>
      <c r="F367" s="173"/>
      <c r="G367" s="174"/>
      <c r="H367" s="762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IFERROR(__xludf.DUMMYFUNCTION("IMPORTRANGE(""https://docs.google.com/spreadsheets/d/1XWAQStnk-4SwqDmLtmXYiTMKHgktTP8We1SCoS47DrQ/edit?usp=sharing"",""จัดที่ดิน!E34"")"),179)</f>
        <v>179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IFERROR(__xludf.DUMMYFUNCTION("IMPORTRANGE(""https://docs.google.com/spreadsheets/d/1QqKyyYR6Q21VydFLVH3TRQUabQu_ym0Zz7PgGX0-kHA/edit?usp=sharing"",""แผน!EI34"")"),1000)</f>
        <v>1000</v>
      </c>
      <c r="J369" s="270">
        <f ca="1">IFERROR(__xludf.DUMMYFUNCTION("IMPORTRANGE(""https://docs.google.com/spreadsheets/d/1XWAQStnk-4SwqDmLtmXYiTMKHgktTP8We1SCoS47DrQ/edit?usp=sharing"",""จัดที่ดิน!F34"")"),2196.07)</f>
        <v>2196.0700000000002</v>
      </c>
      <c r="K369" s="498">
        <f t="shared" ca="1" si="163"/>
        <v>219.60700000000003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4" t="s">
        <v>35</v>
      </c>
      <c r="I370" s="270">
        <f ca="1">IFERROR(__xludf.DUMMYFUNCTION("IMPORTRANGE(""https://docs.google.com/spreadsheets/d/1QqKyyYR6Q21VydFLVH3TRQUabQu_ym0Zz7PgGX0-kHA/edit?usp=sharing"",""แผน!EJ34"")"),100)</f>
        <v>100</v>
      </c>
      <c r="J370" s="270">
        <f ca="1">IFERROR(__xludf.DUMMYFUNCTION("IMPORTRANGE(""https://docs.google.com/spreadsheets/d/1XWAQStnk-4SwqDmLtmXYiTMKHgktTP8We1SCoS47DrQ/edit?usp=sharing"",""จัดที่ดิน!G34"")"),98)</f>
        <v>98</v>
      </c>
      <c r="K370" s="498">
        <f t="shared" ca="1" si="163"/>
        <v>98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IFERROR(__xludf.DUMMYFUNCTION("IMPORTRANGE(""https://docs.google.com/spreadsheets/d/1XWAQStnk-4SwqDmLtmXYiTMKHgktTP8We1SCoS47DrQ/edit?usp=sharing"",""จัดที่ดิน!H34"")"),1132.89)</f>
        <v>1132.8900000000001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4" t="s">
        <v>35</v>
      </c>
      <c r="I372" s="270">
        <f ca="1">IFERROR(__xludf.DUMMYFUNCTION("IMPORTRANGE(""https://docs.google.com/spreadsheets/d/1QqKyyYR6Q21VydFLVH3TRQUabQu_ym0Zz7PgGX0-kHA/edit?usp=sharing"",""แผน!EJ34"")"),100)</f>
        <v>100</v>
      </c>
      <c r="J372" s="270">
        <f ca="1">IFERROR(__xludf.DUMMYFUNCTION("IMPORTRANGE(""https://docs.google.com/spreadsheets/d/1XWAQStnk-4SwqDmLtmXYiTMKHgktTP8We1SCoS47DrQ/edit?usp=sharing"",""จัดที่ดิน!I34"")"),104)</f>
        <v>104</v>
      </c>
      <c r="K372" s="498">
        <f t="shared" ca="1" si="163"/>
        <v>104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8"/>
      <c r="C373" s="171"/>
      <c r="D373" s="178"/>
      <c r="E373" s="447"/>
      <c r="F373" s="178"/>
      <c r="G373" s="179"/>
      <c r="H373" s="76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IFERROR(__xludf.DUMMYFUNCTION("IMPORTRANGE(""https://docs.google.com/spreadsheets/d/1XWAQStnk-4SwqDmLtmXYiTMKHgktTP8We1SCoS47DrQ/edit?usp=sharing"",""จัดที่ดิน!J34"")"),1157.79)</f>
        <v>1157.79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IFERROR(__xludf.DUMMYFUNCTION("IMPORTRANGE(""https://docs.google.com/spreadsheets/d/1QqKyyYR6Q21VydFLVH3TRQUabQu_ym0Zz7PgGX0-kHA/edit?usp=sharing"",""แผน!EU34"")"),1350)</f>
        <v>1350</v>
      </c>
      <c r="J374" s="491">
        <f ca="1">J381</f>
        <v>1357</v>
      </c>
      <c r="K374" s="492">
        <f t="shared" ca="1" si="163"/>
        <v>100.51851851851852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77" t="s">
        <v>38</v>
      </c>
      <c r="E376" s="173"/>
      <c r="F376" s="173"/>
      <c r="G376" s="174"/>
      <c r="H376" s="762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IFERROR(__xludf.DUMMYFUNCTION("IMPORTRANGE(""https://docs.google.com/spreadsheets/d/1XWAQStnk-4SwqDmLtmXYiTMKHgktTP8We1SCoS47DrQ/edit?usp=sharing"",""จัดที่ดิน!AH34"")"),631)</f>
        <v>631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IFERROR(__xludf.DUMMYFUNCTION("IMPORTRANGE(""https://docs.google.com/spreadsheets/d/1QqKyyYR6Q21VydFLVH3TRQUabQu_ym0Zz7PgGX0-kHA/edit?usp=sharing"",""แผน!ET34"")"),6000)</f>
        <v>6000</v>
      </c>
      <c r="J378" s="270">
        <f ca="1">IFERROR(__xludf.DUMMYFUNCTION("IMPORTRANGE(""https://docs.google.com/spreadsheets/d/1XWAQStnk-4SwqDmLtmXYiTMKHgktTP8We1SCoS47DrQ/edit?usp=sharing"",""จัดที่ดิน!AI34"")"),6418.95)</f>
        <v>6418.95</v>
      </c>
      <c r="K378" s="498">
        <f t="shared" ca="1" si="164"/>
        <v>106.9825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4" t="s">
        <v>35</v>
      </c>
      <c r="I379" s="270">
        <f ca="1">IFERROR(__xludf.DUMMYFUNCTION("IMPORTRANGE(""https://docs.google.com/spreadsheets/d/1QqKyyYR6Q21VydFLVH3TRQUabQu_ym0Zz7PgGX0-kHA/edit?usp=sharing"",""แผน!EU34"")"),1350)</f>
        <v>1350</v>
      </c>
      <c r="J379" s="270">
        <f ca="1">IFERROR(__xludf.DUMMYFUNCTION("IMPORTRANGE(""https://docs.google.com/spreadsheets/d/1XWAQStnk-4SwqDmLtmXYiTMKHgktTP8We1SCoS47DrQ/edit?usp=sharing"",""จัดที่ดิน!AJ34"")"),1364)</f>
        <v>1364</v>
      </c>
      <c r="K379" s="498">
        <f t="shared" ca="1" si="164"/>
        <v>101.03703703703704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IFERROR(__xludf.DUMMYFUNCTION("IMPORTRANGE(""https://docs.google.com/spreadsheets/d/1XWAQStnk-4SwqDmLtmXYiTMKHgktTP8We1SCoS47DrQ/edit?usp=sharing"",""จัดที่ดิน!AK34"")"),17457.56)</f>
        <v>17457.560000000001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4" t="s">
        <v>35</v>
      </c>
      <c r="I381" s="270">
        <f ca="1">IFERROR(__xludf.DUMMYFUNCTION("IMPORTRANGE(""https://docs.google.com/spreadsheets/d/1QqKyyYR6Q21VydFLVH3TRQUabQu_ym0Zz7PgGX0-kHA/edit?usp=sharing"",""แผน!EU34"")"),1350)</f>
        <v>1350</v>
      </c>
      <c r="J381" s="270">
        <f ca="1">IFERROR(__xludf.DUMMYFUNCTION("IMPORTRANGE(""https://docs.google.com/spreadsheets/d/1XWAQStnk-4SwqDmLtmXYiTMKHgktTP8We1SCoS47DrQ/edit?usp=sharing"",""จัดที่ดิน!AL34"")"),1357)</f>
        <v>1357</v>
      </c>
      <c r="K381" s="498">
        <f t="shared" ca="1" si="164"/>
        <v>100.51851851851852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8"/>
      <c r="C382" s="171"/>
      <c r="D382" s="178"/>
      <c r="E382" s="447"/>
      <c r="F382" s="178"/>
      <c r="G382" s="179"/>
      <c r="H382" s="76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IFERROR(__xludf.DUMMYFUNCTION("IMPORTRANGE(""https://docs.google.com/spreadsheets/d/1XWAQStnk-4SwqDmLtmXYiTMKHgktTP8We1SCoS47DrQ/edit?usp=sharing"",""จัดที่ดิน!AM34"")"),17338.51)</f>
        <v>17338.509999999998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500"/>
      <c r="B383" s="501"/>
      <c r="C383" s="291"/>
      <c r="D383" s="889" t="s">
        <v>170</v>
      </c>
      <c r="E383" s="291"/>
      <c r="F383" s="291"/>
      <c r="G383" s="503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86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62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4" t="s">
        <v>171</v>
      </c>
      <c r="F385" s="381"/>
      <c r="G385" s="382"/>
      <c r="H385" s="505" t="s">
        <v>35</v>
      </c>
      <c r="I385" s="506">
        <f ca="1">IFERROR(__xludf.DUMMYFUNCTION("IMPORTRANGE(""https://docs.google.com/spreadsheets/d/1QqKyyYR6Q21VydFLVH3TRQUabQu_ym0Zz7PgGX0-kHA/edit?usp=sharing"",""แผน!EW34"")"),100)</f>
        <v>100</v>
      </c>
      <c r="J385" s="506">
        <f ca="1">IFERROR(__xludf.DUMMYFUNCTION("IMPORTRANGE(""https://docs.google.com/spreadsheets/d/1XWAQStnk-4SwqDmLtmXYiTMKHgktTP8We1SCoS47DrQ/edit?usp=sharing"",""จัดที่ดิน!AP34"")"),109)</f>
        <v>109</v>
      </c>
      <c r="K385" s="507">
        <f ca="1">IF(I385&gt;0,J385*100/I385,0)</f>
        <v>109</v>
      </c>
      <c r="L385" s="385"/>
      <c r="M385" s="385"/>
      <c r="N385" s="385"/>
      <c r="O385" s="385"/>
      <c r="P385" s="385"/>
    </row>
    <row r="386" spans="1:26" ht="19.5" hidden="1">
      <c r="A386" s="508" t="s">
        <v>172</v>
      </c>
      <c r="B386" s="509"/>
      <c r="C386" s="509"/>
      <c r="D386" s="509"/>
      <c r="E386" s="510"/>
      <c r="F386" s="510"/>
      <c r="G386" s="511"/>
      <c r="H386" s="512"/>
      <c r="I386" s="513"/>
      <c r="J386" s="513"/>
      <c r="K386" s="514"/>
      <c r="L386" s="514"/>
      <c r="M386" s="514"/>
      <c r="N386" s="514"/>
      <c r="O386" s="514"/>
      <c r="P386" s="514"/>
    </row>
    <row r="387" spans="1:26" ht="19.5" hidden="1">
      <c r="A387" s="515" t="s">
        <v>173</v>
      </c>
      <c r="B387" s="516"/>
      <c r="C387" s="516"/>
      <c r="D387" s="517"/>
      <c r="E387" s="516"/>
      <c r="F387" s="516"/>
      <c r="G387" s="516"/>
      <c r="H387" s="518"/>
      <c r="I387" s="519"/>
      <c r="J387" s="519"/>
      <c r="K387" s="520"/>
      <c r="L387" s="520"/>
      <c r="M387" s="520"/>
      <c r="N387" s="520"/>
      <c r="O387" s="520"/>
      <c r="P387" s="520"/>
    </row>
    <row r="388" spans="1:26" ht="19.5" hidden="1">
      <c r="A388" s="521"/>
      <c r="B388" s="522" t="s">
        <v>174</v>
      </c>
      <c r="C388" s="523"/>
      <c r="D388" s="524"/>
      <c r="E388" s="524"/>
      <c r="F388" s="524"/>
      <c r="G388" s="525"/>
      <c r="H388" s="526" t="s">
        <v>66</v>
      </c>
      <c r="I388" s="527">
        <f t="shared" ref="I388:J388" si="165">I400</f>
        <v>0</v>
      </c>
      <c r="J388" s="527">
        <f t="shared" si="165"/>
        <v>0</v>
      </c>
      <c r="K388" s="528">
        <f>IF(I388&gt;0,J388*100/I388,0)</f>
        <v>0</v>
      </c>
      <c r="L388" s="529"/>
      <c r="M388" s="529"/>
      <c r="N388" s="529"/>
      <c r="O388" s="529"/>
      <c r="P388" s="529"/>
    </row>
    <row r="389" spans="1:26" ht="19.5" hidden="1">
      <c r="A389" s="147"/>
      <c r="B389" s="148"/>
      <c r="C389" s="149" t="s">
        <v>16</v>
      </c>
      <c r="D389" s="87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7"/>
      <c r="J390" s="617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7"/>
      <c r="J391" s="617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IFERROR(__xludf.DUMMYFUNCTION("IMPORTRANGE(""https://docs.google.com/spreadsheets/d/1MeEWN-I1oV_STSDYn1IFDPWt_1FKiwhDph83XaGc0o0/edit?usp=sharing"",""งบพรบ!FG34"")"),0)</f>
        <v>0</v>
      </c>
      <c r="M394" s="93">
        <f ca="1">IFERROR(__xludf.DUMMYFUNCTION("IMPORTRANGE(""https://docs.google.com/spreadsheets/d/1MeEWN-I1oV_STSDYn1IFDPWt_1FKiwhDph83XaGc0o0/edit?usp=sharing"",""งบพรบ!FL34"")"),0)</f>
        <v>0</v>
      </c>
      <c r="N394" s="93">
        <f ca="1">IFERROR(__xludf.DUMMYFUNCTION("IMPORTRANGE(""https://docs.google.com/spreadsheets/d/1MeEWN-I1oV_STSDYn1IFDPWt_1FKiwhDph83XaGc0o0/edit?usp=sharing"",""งบพรบ!FN34"")"),0)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IFERROR(__xludf.DUMMYFUNCTION("IMPORTRANGE(""https://docs.google.com/spreadsheets/d/1MeEWN-I1oV_STSDYn1IFDPWt_1FKiwhDph83XaGc0o0/edit?usp=sharing"",""งบพรบ!FJ34"")"),0)</f>
        <v>0</v>
      </c>
      <c r="M397" s="93">
        <f ca="1">IFERROR(__xludf.DUMMYFUNCTION("IMPORTRANGE(""https://docs.google.com/spreadsheets/d/1MeEWN-I1oV_STSDYn1IFDPWt_1FKiwhDph83XaGc0o0/edit?usp=sharing"",""งบพรบ!FM34"")"),0)</f>
        <v>0</v>
      </c>
      <c r="N397" s="93">
        <f ca="1">IFERROR(__xludf.DUMMYFUNCTION("IMPORTRANGE(""https://docs.google.com/spreadsheets/d/1MeEWN-I1oV_STSDYn1IFDPWt_1FKiwhDph83XaGc0o0/edit?usp=sharing"",""งบพรบ!FO34"")"),0)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7" t="s">
        <v>38</v>
      </c>
      <c r="E398" s="173"/>
      <c r="F398" s="173"/>
      <c r="G398" s="174"/>
      <c r="H398" s="762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30"/>
      <c r="B399" s="148"/>
      <c r="C399" s="531"/>
      <c r="D399" s="532" t="s">
        <v>175</v>
      </c>
      <c r="E399" s="415"/>
      <c r="F399" s="148"/>
      <c r="G399" s="151"/>
      <c r="H399" s="533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4"/>
      <c r="M399" s="534"/>
      <c r="N399" s="534"/>
      <c r="O399" s="534"/>
      <c r="P399" s="534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1"/>
      <c r="B401" s="522" t="s">
        <v>177</v>
      </c>
      <c r="C401" s="523"/>
      <c r="D401" s="524"/>
      <c r="E401" s="524"/>
      <c r="F401" s="524"/>
      <c r="G401" s="525"/>
      <c r="H401" s="526" t="s">
        <v>66</v>
      </c>
      <c r="I401" s="527">
        <f t="shared" ref="I401:J401" si="173">I412</f>
        <v>0</v>
      </c>
      <c r="J401" s="527">
        <f t="shared" si="173"/>
        <v>0</v>
      </c>
      <c r="K401" s="528">
        <f t="shared" si="172"/>
        <v>0</v>
      </c>
      <c r="L401" s="529"/>
      <c r="M401" s="529"/>
      <c r="N401" s="529"/>
      <c r="O401" s="529"/>
      <c r="P401" s="529"/>
    </row>
    <row r="402" spans="1:26" ht="19.5" hidden="1">
      <c r="A402" s="147"/>
      <c r="B402" s="148"/>
      <c r="C402" s="149" t="s">
        <v>16</v>
      </c>
      <c r="D402" s="87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7"/>
      <c r="J403" s="617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7"/>
      <c r="J404" s="617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IFERROR(__xludf.DUMMYFUNCTION("IMPORTRANGE(""https://docs.google.com/spreadsheets/d/1MeEWN-I1oV_STSDYn1IFDPWt_1FKiwhDph83XaGc0o0/edit?usp=sharing"",""งบพรบ!FQ34"")"),0)</f>
        <v>0</v>
      </c>
      <c r="M407" s="93">
        <f ca="1">IFERROR(__xludf.DUMMYFUNCTION("IMPORTRANGE(""https://docs.google.com/spreadsheets/d/1MeEWN-I1oV_STSDYn1IFDPWt_1FKiwhDph83XaGc0o0/edit?usp=sharing"",""งบพรบ!FV34"")"),0)</f>
        <v>0</v>
      </c>
      <c r="N407" s="93">
        <f ca="1">IFERROR(__xludf.DUMMYFUNCTION("IMPORTRANGE(""https://docs.google.com/spreadsheets/d/1MeEWN-I1oV_STSDYn1IFDPWt_1FKiwhDph83XaGc0o0/edit?usp=sharing"",""งบพรบ!FX34"")"),0)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IFERROR(__xludf.DUMMYFUNCTION("IMPORTRANGE(""https://docs.google.com/spreadsheets/d/1MeEWN-I1oV_STSDYn1IFDPWt_1FKiwhDph83XaGc0o0/edit?usp=sharing"",""งบพรบ!FT34"")"),0)</f>
        <v>0</v>
      </c>
      <c r="M410" s="93">
        <f ca="1">IFERROR(__xludf.DUMMYFUNCTION("IMPORTRANGE(""https://docs.google.com/spreadsheets/d/1MeEWN-I1oV_STSDYn1IFDPWt_1FKiwhDph83XaGc0o0/edit?usp=sharing"",""งบพรบ!FW34"")"),0)</f>
        <v>0</v>
      </c>
      <c r="N410" s="93">
        <f ca="1">IFERROR(__xludf.DUMMYFUNCTION("IMPORTRANGE(""https://docs.google.com/spreadsheets/d/1MeEWN-I1oV_STSDYn1IFDPWt_1FKiwhDph83XaGc0o0/edit?usp=sharing"",""งบพรบ!FY34"")"),0)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90" t="s">
        <v>38</v>
      </c>
      <c r="E411" s="536"/>
      <c r="F411" s="536"/>
      <c r="G411" s="537"/>
      <c r="H411" s="762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8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9"/>
      <c r="B413" s="540"/>
      <c r="C413" s="540"/>
      <c r="D413" s="541" t="s">
        <v>179</v>
      </c>
      <c r="E413" s="540"/>
      <c r="F413" s="540"/>
      <c r="G413" s="542"/>
      <c r="H413" s="543" t="s">
        <v>180</v>
      </c>
      <c r="I413" s="544">
        <v>0</v>
      </c>
      <c r="J413" s="545">
        <v>0</v>
      </c>
      <c r="K413" s="546">
        <f t="shared" si="180"/>
        <v>0</v>
      </c>
      <c r="L413" s="547"/>
      <c r="M413" s="547"/>
      <c r="N413" s="547"/>
      <c r="O413" s="547"/>
      <c r="P413" s="547"/>
    </row>
    <row r="414" spans="1:26" ht="19.5">
      <c r="A414" s="548" t="s">
        <v>181</v>
      </c>
      <c r="B414" s="549"/>
      <c r="C414" s="549"/>
      <c r="D414" s="549"/>
      <c r="E414" s="549"/>
      <c r="F414" s="549"/>
      <c r="G414" s="550"/>
      <c r="H414" s="551"/>
      <c r="I414" s="552"/>
      <c r="J414" s="552"/>
      <c r="K414" s="553"/>
      <c r="L414" s="554">
        <f t="shared" ref="L414:N414" ca="1" si="181">L419+L444+L467+L502+L523+L544+L629+L655+L685+L737+L754+L770+L786+L805</f>
        <v>2389694</v>
      </c>
      <c r="M414" s="554">
        <f t="shared" ca="1" si="181"/>
        <v>2364918.7999999998</v>
      </c>
      <c r="N414" s="554">
        <f t="shared" si="181"/>
        <v>2364925.4</v>
      </c>
      <c r="O414" s="554">
        <f ca="1">IF(L414&gt;0,N414*100/L414,0)</f>
        <v>98.963524200169559</v>
      </c>
      <c r="P414" s="554">
        <f ca="1">IF(M414&gt;0,N414*100/M414,0)</f>
        <v>100.00027907934937</v>
      </c>
    </row>
    <row r="415" spans="1:26" ht="19.5">
      <c r="A415" s="555" t="s">
        <v>182</v>
      </c>
      <c r="B415" s="556"/>
      <c r="C415" s="556"/>
      <c r="D415" s="556"/>
      <c r="E415" s="556"/>
      <c r="F415" s="556"/>
      <c r="G415" s="556"/>
      <c r="H415" s="557"/>
      <c r="I415" s="558"/>
      <c r="J415" s="558"/>
      <c r="K415" s="559"/>
      <c r="L415" s="560"/>
      <c r="M415" s="560"/>
      <c r="N415" s="560"/>
      <c r="O415" s="560"/>
      <c r="P415" s="560"/>
    </row>
    <row r="416" spans="1:26" ht="19.5">
      <c r="A416" s="555" t="s">
        <v>183</v>
      </c>
      <c r="B416" s="556"/>
      <c r="C416" s="556"/>
      <c r="D416" s="556"/>
      <c r="E416" s="556"/>
      <c r="F416" s="556"/>
      <c r="G416" s="561"/>
      <c r="H416" s="562"/>
      <c r="I416" s="563"/>
      <c r="J416" s="563"/>
      <c r="K416" s="560"/>
      <c r="L416" s="560"/>
      <c r="M416" s="560"/>
      <c r="N416" s="560"/>
      <c r="O416" s="560"/>
      <c r="P416" s="560"/>
    </row>
    <row r="417" spans="1:26" ht="39">
      <c r="A417" s="564">
        <v>1</v>
      </c>
      <c r="B417" s="566" t="s">
        <v>184</v>
      </c>
      <c r="C417" s="566"/>
      <c r="D417" s="567"/>
      <c r="E417" s="567"/>
      <c r="F417" s="567"/>
      <c r="G417" s="568"/>
      <c r="H417" s="569" t="s">
        <v>35</v>
      </c>
      <c r="I417" s="570">
        <f t="shared" ref="I417:J418" ca="1" si="182">I433</f>
        <v>20</v>
      </c>
      <c r="J417" s="570">
        <f t="shared" ca="1" si="182"/>
        <v>20</v>
      </c>
      <c r="K417" s="571">
        <f t="shared" ref="K417:K418" ca="1" si="183">IF(I417&gt;0,J417*100/I417,0)</f>
        <v>100</v>
      </c>
      <c r="L417" s="572"/>
      <c r="M417" s="572"/>
      <c r="N417" s="572"/>
      <c r="O417" s="572"/>
      <c r="P417" s="572"/>
    </row>
    <row r="418" spans="1:26" ht="19.5">
      <c r="A418" s="573"/>
      <c r="B418" s="564"/>
      <c r="C418" s="566"/>
      <c r="D418" s="567"/>
      <c r="E418" s="567"/>
      <c r="F418" s="567"/>
      <c r="G418" s="568"/>
      <c r="H418" s="569" t="s">
        <v>49</v>
      </c>
      <c r="I418" s="570">
        <f t="shared" ca="1" si="182"/>
        <v>1</v>
      </c>
      <c r="J418" s="570">
        <f t="shared" si="182"/>
        <v>1</v>
      </c>
      <c r="K418" s="571">
        <f t="shared" ca="1" si="183"/>
        <v>100</v>
      </c>
      <c r="L418" s="572"/>
      <c r="M418" s="572"/>
      <c r="N418" s="572"/>
      <c r="O418" s="572"/>
      <c r="P418" s="572"/>
    </row>
    <row r="419" spans="1:26" ht="19.5">
      <c r="A419" s="147"/>
      <c r="B419" s="148"/>
      <c r="C419" s="148" t="s">
        <v>16</v>
      </c>
      <c r="D419" s="891" t="s">
        <v>17</v>
      </c>
      <c r="E419" s="862"/>
      <c r="F419" s="86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78660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7"/>
      <c r="J420" s="617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7"/>
      <c r="J421" s="617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78660</v>
      </c>
      <c r="O421" s="93">
        <f t="shared" ca="1" si="185"/>
        <v>100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78660</v>
      </c>
      <c r="N422" s="498">
        <f t="shared" si="188"/>
        <v>78660</v>
      </c>
      <c r="O422" s="498">
        <f t="shared" ca="1" si="185"/>
        <v>100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7"/>
      <c r="J423" s="617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7"/>
      <c r="J424" s="617"/>
      <c r="K424" s="93"/>
      <c r="L424" s="93">
        <f ca="1">IFERROR(__xludf.DUMMYFUNCTION("IMPORTRANGE(""https://docs.google.com/spreadsheets/d/1QqKyyYR6Q21VydFLVH3TRQUabQu_ym0Zz7PgGX0-kHA/edit?usp=sharing"",""แผน!EY34"")"),78660)</f>
        <v>78660</v>
      </c>
      <c r="M424" s="93">
        <f ca="1">L424</f>
        <v>78660</v>
      </c>
      <c r="N424" s="93">
        <f>N425+N426+N427+N428</f>
        <v>78660</v>
      </c>
      <c r="O424" s="93">
        <f t="shared" ca="1" si="185"/>
        <v>100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4"/>
      <c r="B425" s="575"/>
      <c r="C425" s="763"/>
      <c r="D425" s="763"/>
      <c r="E425" s="763"/>
      <c r="F425" s="763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40">
        <v>64100</v>
      </c>
      <c r="O425" s="498"/>
      <c r="P425" s="49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</row>
    <row r="426" spans="1:26" ht="18.75">
      <c r="A426" s="574"/>
      <c r="B426" s="575"/>
      <c r="C426" s="763"/>
      <c r="D426" s="763"/>
      <c r="E426" s="763"/>
      <c r="F426" s="763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40">
        <v>0</v>
      </c>
      <c r="O426" s="498"/>
      <c r="P426" s="49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</row>
    <row r="427" spans="1:26" ht="18.75">
      <c r="A427" s="574"/>
      <c r="B427" s="575"/>
      <c r="C427" s="763"/>
      <c r="D427" s="763"/>
      <c r="E427" s="763"/>
      <c r="F427" s="763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40">
        <v>0</v>
      </c>
      <c r="O427" s="498"/>
      <c r="P427" s="49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40">
        <v>14560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92" t="s">
        <v>38</v>
      </c>
      <c r="E432" s="580"/>
      <c r="F432" s="580"/>
      <c r="G432" s="581"/>
      <c r="H432" s="582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1">
        <f ca="1">I435</f>
        <v>20</v>
      </c>
      <c r="J433" s="681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1">
        <f t="shared" ref="I434:J434" ca="1" si="193">I438+I440</f>
        <v>1</v>
      </c>
      <c r="J434" s="681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3" t="s">
        <v>35</v>
      </c>
      <c r="I435" s="583">
        <f ca="1">IFERROR(__xludf.DUMMYFUNCTION("IMPORTRANGE(""https://docs.google.com/spreadsheets/d/1QqKyyYR6Q21VydFLVH3TRQUabQu_ym0Zz7PgGX0-kHA/edit?usp=sharing"",""แผน!FC34"")"),20)</f>
        <v>20</v>
      </c>
      <c r="J435" s="584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3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3" t="s">
        <v>35</v>
      </c>
      <c r="I437" s="583">
        <f ca="1">IFERROR(__xludf.DUMMYFUNCTION("IMPORTRANGE(""https://docs.google.com/spreadsheets/d/1QqKyyYR6Q21VydFLVH3TRQUabQu_ym0Zz7PgGX0-kHA/edit?usp=sharing"",""แผน!FD34"")"),0)</f>
        <v>0</v>
      </c>
      <c r="J437" s="584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3" t="s">
        <v>49</v>
      </c>
      <c r="I438" s="270">
        <f ca="1">IFERROR(__xludf.DUMMYFUNCTION("IMPORTRANGE(""https://docs.google.com/spreadsheets/d/1QqKyyYR6Q21VydFLVH3TRQUabQu_ym0Zz7PgGX0-kHA/edit?usp=sharing"",""แผน!FE34"")"),0)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3" t="s">
        <v>35</v>
      </c>
      <c r="I439" s="583">
        <f ca="1">IFERROR(__xludf.DUMMYFUNCTION("IMPORTRANGE(""https://docs.google.com/spreadsheets/d/1QqKyyYR6Q21VydFLVH3TRQUabQu_ym0Zz7PgGX0-kHA/edit?usp=sharing"",""แผน!FF34"")"),20)</f>
        <v>20</v>
      </c>
      <c r="J439" s="584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3" t="s">
        <v>49</v>
      </c>
      <c r="I440" s="270">
        <f ca="1">IFERROR(__xludf.DUMMYFUNCTION("IMPORTRANGE(""https://docs.google.com/spreadsheets/d/1QqKyyYR6Q21VydFLVH3TRQUabQu_ym0Zz7PgGX0-kHA/edit?usp=sharing"",""แผน!FG34"")"),1)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3" t="s">
        <v>35</v>
      </c>
      <c r="I441" s="270">
        <f ca="1">IFERROR(__xludf.DUMMYFUNCTION("IMPORTRANGE(""https://docs.google.com/spreadsheets/d/1QqKyyYR6Q21VydFLVH3TRQUabQu_ym0Zz7PgGX0-kHA/edit?usp=sharing"",""แผน!FH34"")"),0)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5">
        <v>2</v>
      </c>
      <c r="B442" s="586" t="s">
        <v>200</v>
      </c>
      <c r="C442" s="587"/>
      <c r="D442" s="587"/>
      <c r="E442" s="587"/>
      <c r="F442" s="587"/>
      <c r="G442" s="588"/>
      <c r="H442" s="589" t="s">
        <v>35</v>
      </c>
      <c r="I442" s="590">
        <f t="shared" ref="I442:J442" ca="1" si="195">I460</f>
        <v>0</v>
      </c>
      <c r="J442" s="590">
        <f t="shared" si="195"/>
        <v>0</v>
      </c>
      <c r="K442" s="591">
        <f t="shared" ca="1" si="194"/>
        <v>0</v>
      </c>
      <c r="L442" s="592"/>
      <c r="M442" s="592"/>
      <c r="N442" s="592"/>
      <c r="O442" s="592"/>
      <c r="P442" s="592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</row>
    <row r="443" spans="1:26" ht="19.5" hidden="1">
      <c r="A443" s="593"/>
      <c r="B443" s="594"/>
      <c r="C443" s="595"/>
      <c r="D443" s="595"/>
      <c r="E443" s="595"/>
      <c r="F443" s="595"/>
      <c r="G443" s="596"/>
      <c r="H443" s="569" t="s">
        <v>46</v>
      </c>
      <c r="I443" s="570">
        <f t="shared" ref="I443:J443" ca="1" si="196">I462</f>
        <v>0</v>
      </c>
      <c r="J443" s="570">
        <f t="shared" si="196"/>
        <v>0</v>
      </c>
      <c r="K443" s="571">
        <f t="shared" ca="1" si="194"/>
        <v>0</v>
      </c>
      <c r="L443" s="572"/>
      <c r="M443" s="572"/>
      <c r="N443" s="572"/>
      <c r="O443" s="572"/>
      <c r="P443" s="572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</row>
    <row r="444" spans="1:26" ht="19.5" hidden="1">
      <c r="A444" s="597"/>
      <c r="B444" s="763"/>
      <c r="C444" s="763" t="s">
        <v>16</v>
      </c>
      <c r="D444" s="863" t="s">
        <v>17</v>
      </c>
      <c r="E444" s="857"/>
      <c r="F444" s="857"/>
      <c r="G444" s="189"/>
      <c r="H444" s="598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</row>
    <row r="445" spans="1:26" ht="18.75" hidden="1">
      <c r="A445" s="599"/>
      <c r="B445" s="759"/>
      <c r="C445" s="759"/>
      <c r="D445" s="720"/>
      <c r="E445" s="759" t="s">
        <v>185</v>
      </c>
      <c r="F445" s="759"/>
      <c r="G445" s="603"/>
      <c r="H445" s="165" t="s">
        <v>12</v>
      </c>
      <c r="I445" s="617"/>
      <c r="J445" s="617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4"/>
      <c r="R445" s="604"/>
      <c r="S445" s="604"/>
      <c r="T445" s="604"/>
      <c r="U445" s="604"/>
      <c r="V445" s="604"/>
      <c r="W445" s="604"/>
      <c r="X445" s="604"/>
      <c r="Y445" s="604"/>
      <c r="Z445" s="604"/>
    </row>
    <row r="446" spans="1:26" ht="18.75" hidden="1">
      <c r="A446" s="599"/>
      <c r="B446" s="607"/>
      <c r="C446" s="759"/>
      <c r="D446" s="720"/>
      <c r="E446" s="759" t="s">
        <v>186</v>
      </c>
      <c r="F446" s="759"/>
      <c r="G446" s="603"/>
      <c r="H446" s="165" t="s">
        <v>12</v>
      </c>
      <c r="I446" s="617"/>
      <c r="J446" s="617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4"/>
      <c r="R446" s="604"/>
      <c r="S446" s="604"/>
      <c r="T446" s="604"/>
      <c r="U446" s="604"/>
      <c r="V446" s="604"/>
      <c r="W446" s="604"/>
      <c r="X446" s="604"/>
      <c r="Y446" s="604"/>
      <c r="Z446" s="604"/>
    </row>
    <row r="447" spans="1:26" ht="18.75" hidden="1">
      <c r="A447" s="597"/>
      <c r="B447" s="575"/>
      <c r="C447" s="763"/>
      <c r="D447" s="606" t="s">
        <v>20</v>
      </c>
      <c r="E447" s="763"/>
      <c r="F447" s="763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</row>
    <row r="448" spans="1:26" ht="18.75" hidden="1">
      <c r="A448" s="599"/>
      <c r="B448" s="607"/>
      <c r="C448" s="759"/>
      <c r="D448" s="720"/>
      <c r="E448" s="759" t="s">
        <v>185</v>
      </c>
      <c r="F448" s="759"/>
      <c r="G448" s="603"/>
      <c r="H448" s="165" t="s">
        <v>12</v>
      </c>
      <c r="I448" s="617"/>
      <c r="J448" s="617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</row>
    <row r="449" spans="1:26" ht="18.75" hidden="1">
      <c r="A449" s="599"/>
      <c r="B449" s="607"/>
      <c r="C449" s="759"/>
      <c r="D449" s="720"/>
      <c r="E449" s="759" t="s">
        <v>186</v>
      </c>
      <c r="F449" s="759"/>
      <c r="G449" s="603"/>
      <c r="H449" s="165" t="s">
        <v>12</v>
      </c>
      <c r="I449" s="617"/>
      <c r="J449" s="617"/>
      <c r="K449" s="93"/>
      <c r="L449" s="93">
        <f ca="1">IFERROR(__xludf.DUMMYFUNCTION("IMPORTRANGE(""https://docs.google.com/spreadsheets/d/1QqKyyYR6Q21VydFLVH3TRQUabQu_ym0Zz7PgGX0-kHA/edit?usp=sharing"",""แผน!FJ34"")"),0)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</row>
    <row r="450" spans="1:26" ht="18.75" hidden="1">
      <c r="A450" s="574"/>
      <c r="B450" s="575"/>
      <c r="C450" s="763"/>
      <c r="D450" s="763"/>
      <c r="E450" s="763"/>
      <c r="F450" s="763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40">
        <v>0</v>
      </c>
      <c r="O450" s="498"/>
      <c r="P450" s="49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</row>
    <row r="451" spans="1:26" ht="18.75" hidden="1">
      <c r="A451" s="574"/>
      <c r="B451" s="575"/>
      <c r="C451" s="763"/>
      <c r="D451" s="763"/>
      <c r="E451" s="763"/>
      <c r="F451" s="763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40">
        <v>0</v>
      </c>
      <c r="O451" s="498"/>
      <c r="P451" s="49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</row>
    <row r="452" spans="1:26" ht="18.75" hidden="1">
      <c r="A452" s="574"/>
      <c r="B452" s="575"/>
      <c r="C452" s="575"/>
      <c r="D452" s="575"/>
      <c r="E452" s="575"/>
      <c r="F452" s="763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40">
        <v>0</v>
      </c>
      <c r="O452" s="498"/>
      <c r="P452" s="49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</row>
    <row r="453" spans="1:26" ht="18.75" hidden="1">
      <c r="A453" s="574"/>
      <c r="B453" s="575"/>
      <c r="C453" s="575"/>
      <c r="D453" s="575"/>
      <c r="E453" s="575"/>
      <c r="F453" s="763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40">
        <v>0</v>
      </c>
      <c r="O453" s="498"/>
      <c r="P453" s="49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</row>
    <row r="454" spans="1:26" ht="18.75" hidden="1">
      <c r="A454" s="597"/>
      <c r="B454" s="575"/>
      <c r="C454" s="575"/>
      <c r="D454" s="606" t="s">
        <v>21</v>
      </c>
      <c r="E454" s="575"/>
      <c r="F454" s="763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</row>
    <row r="455" spans="1:26" ht="18.75" hidden="1">
      <c r="A455" s="599"/>
      <c r="B455" s="607"/>
      <c r="C455" s="607"/>
      <c r="D455" s="607"/>
      <c r="E455" s="607" t="s">
        <v>18</v>
      </c>
      <c r="F455" s="759"/>
      <c r="G455" s="603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4"/>
      <c r="R455" s="604"/>
      <c r="S455" s="604"/>
      <c r="T455" s="604"/>
      <c r="U455" s="604"/>
      <c r="V455" s="604"/>
      <c r="W455" s="604"/>
      <c r="X455" s="604"/>
      <c r="Y455" s="604"/>
      <c r="Z455" s="604"/>
    </row>
    <row r="456" spans="1:26" ht="18.75" hidden="1">
      <c r="A456" s="599"/>
      <c r="B456" s="607"/>
      <c r="C456" s="607"/>
      <c r="D456" s="607"/>
      <c r="E456" s="607" t="s">
        <v>19</v>
      </c>
      <c r="F456" s="759"/>
      <c r="G456" s="603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4"/>
      <c r="R456" s="604"/>
      <c r="S456" s="604"/>
      <c r="T456" s="604"/>
      <c r="U456" s="604"/>
      <c r="V456" s="604"/>
      <c r="W456" s="604"/>
      <c r="X456" s="604"/>
      <c r="Y456" s="604"/>
      <c r="Z456" s="604"/>
    </row>
    <row r="457" spans="1:26" ht="19.5" hidden="1">
      <c r="A457" s="608"/>
      <c r="B457" s="618"/>
      <c r="C457" s="575" t="s">
        <v>16</v>
      </c>
      <c r="D457" s="893" t="s">
        <v>38</v>
      </c>
      <c r="E457" s="611"/>
      <c r="F457" s="761"/>
      <c r="G457" s="613"/>
      <c r="H457" s="762"/>
      <c r="I457" s="270"/>
      <c r="J457" s="270"/>
      <c r="K457" s="498"/>
      <c r="L457" s="498"/>
      <c r="M457" s="498"/>
      <c r="N457" s="498"/>
      <c r="O457" s="498"/>
      <c r="P457" s="49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</row>
    <row r="458" spans="1:26" ht="18.75" hidden="1">
      <c r="A458" s="614"/>
      <c r="B458" s="616"/>
      <c r="C458" s="616"/>
      <c r="D458" s="616" t="s">
        <v>201</v>
      </c>
      <c r="E458" s="616"/>
      <c r="F458" s="720"/>
      <c r="G458" s="366"/>
      <c r="H458" s="370" t="s">
        <v>35</v>
      </c>
      <c r="I458" s="617">
        <v>0</v>
      </c>
      <c r="J458" s="617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4"/>
      <c r="R458" s="604"/>
      <c r="S458" s="604"/>
      <c r="T458" s="604"/>
      <c r="U458" s="604"/>
      <c r="V458" s="604"/>
      <c r="W458" s="604"/>
      <c r="X458" s="604"/>
      <c r="Y458" s="604"/>
      <c r="Z458" s="604"/>
    </row>
    <row r="459" spans="1:26" ht="18.75" hidden="1">
      <c r="A459" s="614"/>
      <c r="B459" s="616"/>
      <c r="C459" s="616"/>
      <c r="D459" s="616" t="s">
        <v>202</v>
      </c>
      <c r="E459" s="616"/>
      <c r="F459" s="720"/>
      <c r="G459" s="366"/>
      <c r="H459" s="370"/>
      <c r="I459" s="617"/>
      <c r="J459" s="617"/>
      <c r="K459" s="93"/>
      <c r="L459" s="93"/>
      <c r="M459" s="93"/>
      <c r="N459" s="93"/>
      <c r="O459" s="93"/>
      <c r="P459" s="93"/>
      <c r="Q459" s="604"/>
      <c r="R459" s="604"/>
      <c r="S459" s="604"/>
      <c r="T459" s="604"/>
      <c r="U459" s="604"/>
      <c r="V459" s="604"/>
      <c r="W459" s="604"/>
      <c r="X459" s="604"/>
      <c r="Y459" s="604"/>
      <c r="Z459" s="604"/>
    </row>
    <row r="460" spans="1:26" ht="18.75" hidden="1">
      <c r="A460" s="608"/>
      <c r="B460" s="618"/>
      <c r="C460" s="618"/>
      <c r="D460" s="618" t="s">
        <v>203</v>
      </c>
      <c r="E460" s="618"/>
      <c r="F460" s="626"/>
      <c r="G460" s="762"/>
      <c r="H460" s="764" t="s">
        <v>35</v>
      </c>
      <c r="I460" s="270">
        <f ca="1">IFERROR(__xludf.DUMMYFUNCTION("IMPORTRANGE(""https://docs.google.com/spreadsheets/d/1QqKyyYR6Q21VydFLVH3TRQUabQu_ym0Zz7PgGX0-kHA/edit?usp=sharing"",""แผน!FN34"")"),0)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</row>
    <row r="461" spans="1:26" ht="18.75" hidden="1">
      <c r="A461" s="608"/>
      <c r="B461" s="618"/>
      <c r="C461" s="618"/>
      <c r="D461" s="618" t="s">
        <v>204</v>
      </c>
      <c r="E461" s="626"/>
      <c r="F461" s="626"/>
      <c r="G461" s="762"/>
      <c r="H461" s="764"/>
      <c r="I461" s="270"/>
      <c r="J461" s="270"/>
      <c r="K461" s="498"/>
      <c r="L461" s="498"/>
      <c r="M461" s="498"/>
      <c r="N461" s="498"/>
      <c r="O461" s="498"/>
      <c r="P461" s="49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</row>
    <row r="462" spans="1:26" ht="18.75" hidden="1">
      <c r="A462" s="608"/>
      <c r="B462" s="618"/>
      <c r="C462" s="618"/>
      <c r="D462" s="618" t="s">
        <v>205</v>
      </c>
      <c r="E462" s="626"/>
      <c r="F462" s="626"/>
      <c r="G462" s="762"/>
      <c r="H462" s="764" t="s">
        <v>46</v>
      </c>
      <c r="I462" s="270">
        <f ca="1">IFERROR(__xludf.DUMMYFUNCTION("IMPORTRANGE(""https://docs.google.com/spreadsheets/d/1QqKyyYR6Q21VydFLVH3TRQUabQu_ym0Zz7PgGX0-kHA/edit?usp=sharing"",""แผน!FO34"")"),0)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</row>
    <row r="463" spans="1:26" ht="18.75" hidden="1">
      <c r="A463" s="608"/>
      <c r="B463" s="618"/>
      <c r="C463" s="618"/>
      <c r="D463" s="618" t="s">
        <v>59</v>
      </c>
      <c r="E463" s="626"/>
      <c r="F463" s="763"/>
      <c r="G463" s="189"/>
      <c r="H463" s="764" t="s">
        <v>46</v>
      </c>
      <c r="I463" s="270">
        <f ca="1">IFERROR(__xludf.DUMMYFUNCTION("IMPORTRANGE(""https://docs.google.com/spreadsheets/d/1QqKyyYR6Q21VydFLVH3TRQUabQu_ym0Zz7PgGX0-kHA/edit?usp=sharing"",""แผน!FO34"")"),0)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</row>
    <row r="464" spans="1:26" ht="19.5" hidden="1">
      <c r="A464" s="608"/>
      <c r="B464" s="618"/>
      <c r="C464" s="618"/>
      <c r="D464" s="618"/>
      <c r="E464" s="626"/>
      <c r="F464" s="626"/>
      <c r="G464" s="620"/>
      <c r="H464" s="764" t="s">
        <v>35</v>
      </c>
      <c r="I464" s="270">
        <f ca="1">IFERROR(__xludf.DUMMYFUNCTION("IMPORTRANGE(""https://docs.google.com/spreadsheets/d/1QqKyyYR6Q21VydFLVH3TRQUabQu_ym0Zz7PgGX0-kHA/edit?usp=sharing"",""แผน!FN34"")"),0)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</row>
    <row r="465" spans="1:26" ht="19.5">
      <c r="A465" s="585">
        <v>3</v>
      </c>
      <c r="B465" s="586" t="s">
        <v>206</v>
      </c>
      <c r="C465" s="587"/>
      <c r="D465" s="587"/>
      <c r="E465" s="587"/>
      <c r="F465" s="587"/>
      <c r="G465" s="588"/>
      <c r="H465" s="589" t="s">
        <v>35</v>
      </c>
      <c r="I465" s="590">
        <f ca="1">IFERROR(__xludf.DUMMYFUNCTION("IMPORTRANGE(""https://docs.google.com/spreadsheets/d/1QqKyyYR6Q21VydFLVH3TRQUabQu_ym0Zz7PgGX0-kHA/edit?usp=sharing"",""แผน!FX34"")"),51)</f>
        <v>51</v>
      </c>
      <c r="J465" s="590">
        <f>J485+J489+J492</f>
        <v>51</v>
      </c>
      <c r="K465" s="591">
        <f t="shared" ref="K465:K466" ca="1" si="205">IF(I465&gt;0,J465*100/I465,0)</f>
        <v>100</v>
      </c>
      <c r="L465" s="592"/>
      <c r="M465" s="592"/>
      <c r="N465" s="592"/>
      <c r="O465" s="592"/>
      <c r="P465" s="592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</row>
    <row r="466" spans="1:26" ht="19.5">
      <c r="A466" s="593"/>
      <c r="B466" s="594"/>
      <c r="C466" s="595"/>
      <c r="D466" s="595"/>
      <c r="E466" s="595"/>
      <c r="F466" s="595"/>
      <c r="G466" s="596"/>
      <c r="H466" s="569" t="s">
        <v>46</v>
      </c>
      <c r="I466" s="570">
        <f ca="1">IFERROR(__xludf.DUMMYFUNCTION("IMPORTRANGE(""https://docs.google.com/spreadsheets/d/1QqKyyYR6Q21VydFLVH3TRQUabQu_ym0Zz7PgGX0-kHA/edit?usp=sharing"",""แผน!FW34"")"),500)</f>
        <v>500</v>
      </c>
      <c r="J466" s="570">
        <f>J495+J498</f>
        <v>500</v>
      </c>
      <c r="K466" s="571">
        <f t="shared" ca="1" si="205"/>
        <v>100</v>
      </c>
      <c r="L466" s="572"/>
      <c r="M466" s="572"/>
      <c r="N466" s="572"/>
      <c r="O466" s="572"/>
      <c r="P466" s="572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</row>
    <row r="467" spans="1:26" ht="19.5">
      <c r="A467" s="597"/>
      <c r="B467" s="763"/>
      <c r="C467" s="763" t="s">
        <v>16</v>
      </c>
      <c r="D467" s="863" t="s">
        <v>17</v>
      </c>
      <c r="E467" s="857"/>
      <c r="F467" s="857"/>
      <c r="G467" s="189"/>
      <c r="H467" s="598" t="s">
        <v>12</v>
      </c>
      <c r="I467" s="270"/>
      <c r="J467" s="270"/>
      <c r="K467" s="498"/>
      <c r="L467" s="195">
        <f t="shared" ref="L467:N467" ca="1" si="206">L468+L469</f>
        <v>403983</v>
      </c>
      <c r="M467" s="195">
        <f t="shared" ca="1" si="206"/>
        <v>410253</v>
      </c>
      <c r="N467" s="195">
        <f t="shared" si="206"/>
        <v>410253</v>
      </c>
      <c r="O467" s="195">
        <f t="shared" ref="O467:O472" ca="1" si="207">IF(L467&gt;0,N467*100/L467,0)</f>
        <v>101.55204550686538</v>
      </c>
      <c r="P467" s="195">
        <f t="shared" ref="P467:P472" ca="1" si="208">IF(M467&gt;0,N467*100/M467,0)</f>
        <v>100</v>
      </c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</row>
    <row r="468" spans="1:26" ht="18.75" hidden="1">
      <c r="A468" s="599"/>
      <c r="B468" s="759"/>
      <c r="C468" s="759"/>
      <c r="D468" s="720"/>
      <c r="E468" s="759" t="s">
        <v>185</v>
      </c>
      <c r="F468" s="759"/>
      <c r="G468" s="603"/>
      <c r="H468" s="165" t="s">
        <v>12</v>
      </c>
      <c r="I468" s="617"/>
      <c r="J468" s="617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4"/>
      <c r="R468" s="604"/>
      <c r="S468" s="604"/>
      <c r="T468" s="604"/>
      <c r="U468" s="604"/>
      <c r="V468" s="604"/>
      <c r="W468" s="604"/>
      <c r="X468" s="604"/>
      <c r="Y468" s="604"/>
      <c r="Z468" s="604"/>
    </row>
    <row r="469" spans="1:26" ht="18.75" hidden="1">
      <c r="A469" s="599"/>
      <c r="B469" s="607"/>
      <c r="C469" s="759"/>
      <c r="D469" s="720"/>
      <c r="E469" s="759" t="s">
        <v>186</v>
      </c>
      <c r="F469" s="759"/>
      <c r="G469" s="603"/>
      <c r="H469" s="165" t="s">
        <v>12</v>
      </c>
      <c r="I469" s="617"/>
      <c r="J469" s="617"/>
      <c r="K469" s="93"/>
      <c r="L469" s="93">
        <f t="shared" ca="1" si="209"/>
        <v>403983</v>
      </c>
      <c r="M469" s="93">
        <f t="shared" ca="1" si="209"/>
        <v>410253</v>
      </c>
      <c r="N469" s="93">
        <f t="shared" si="209"/>
        <v>410253</v>
      </c>
      <c r="O469" s="93">
        <f t="shared" ca="1" si="207"/>
        <v>101.55204550686538</v>
      </c>
      <c r="P469" s="93">
        <f t="shared" ca="1" si="208"/>
        <v>100</v>
      </c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</row>
    <row r="470" spans="1:26" ht="18.75">
      <c r="A470" s="597"/>
      <c r="B470" s="575"/>
      <c r="C470" s="763"/>
      <c r="D470" s="606" t="s">
        <v>20</v>
      </c>
      <c r="E470" s="763"/>
      <c r="F470" s="763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403983</v>
      </c>
      <c r="M470" s="498">
        <f t="shared" ca="1" si="210"/>
        <v>410253</v>
      </c>
      <c r="N470" s="498">
        <f t="shared" si="210"/>
        <v>410253</v>
      </c>
      <c r="O470" s="498">
        <f t="shared" ca="1" si="207"/>
        <v>101.55204550686538</v>
      </c>
      <c r="P470" s="498">
        <f t="shared" ca="1" si="208"/>
        <v>100</v>
      </c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</row>
    <row r="471" spans="1:26" ht="18.75" hidden="1">
      <c r="A471" s="599"/>
      <c r="B471" s="607"/>
      <c r="C471" s="759"/>
      <c r="D471" s="720"/>
      <c r="E471" s="759" t="s">
        <v>185</v>
      </c>
      <c r="F471" s="759"/>
      <c r="G471" s="603"/>
      <c r="H471" s="165" t="s">
        <v>12</v>
      </c>
      <c r="I471" s="617"/>
      <c r="J471" s="617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4"/>
      <c r="R471" s="604"/>
      <c r="S471" s="604"/>
      <c r="T471" s="604"/>
      <c r="U471" s="604"/>
      <c r="V471" s="604"/>
      <c r="W471" s="604"/>
      <c r="X471" s="604"/>
      <c r="Y471" s="604"/>
      <c r="Z471" s="604"/>
    </row>
    <row r="472" spans="1:26" ht="18.75" hidden="1">
      <c r="A472" s="599"/>
      <c r="B472" s="607"/>
      <c r="C472" s="759"/>
      <c r="D472" s="720"/>
      <c r="E472" s="759" t="s">
        <v>186</v>
      </c>
      <c r="F472" s="759"/>
      <c r="G472" s="603"/>
      <c r="H472" s="165" t="s">
        <v>12</v>
      </c>
      <c r="I472" s="617"/>
      <c r="J472" s="617"/>
      <c r="K472" s="93"/>
      <c r="L472" s="93">
        <f ca="1">IFERROR(__xludf.DUMMYFUNCTION("IMPORTRANGE(""https://docs.google.com/spreadsheets/d/1QqKyyYR6Q21VydFLVH3TRQUabQu_ym0Zz7PgGX0-kHA/edit?usp=sharing"",""แผน!FS34"")"),403983)</f>
        <v>403983</v>
      </c>
      <c r="M472" s="93">
        <f ca="1">L472+6270</f>
        <v>410253</v>
      </c>
      <c r="N472" s="93">
        <f>N473+N474+N475+N476</f>
        <v>410253</v>
      </c>
      <c r="O472" s="93">
        <f t="shared" ca="1" si="207"/>
        <v>101.55204550686538</v>
      </c>
      <c r="P472" s="93">
        <f t="shared" ca="1" si="208"/>
        <v>100</v>
      </c>
      <c r="Q472" s="604"/>
      <c r="R472" s="604"/>
      <c r="S472" s="604"/>
      <c r="T472" s="604"/>
      <c r="U472" s="604"/>
      <c r="V472" s="604"/>
      <c r="W472" s="604"/>
      <c r="X472" s="604"/>
      <c r="Y472" s="604"/>
      <c r="Z472" s="604"/>
    </row>
    <row r="473" spans="1:26" ht="18.75">
      <c r="A473" s="574"/>
      <c r="B473" s="575"/>
      <c r="C473" s="763"/>
      <c r="D473" s="763"/>
      <c r="E473" s="763"/>
      <c r="F473" s="763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40">
        <v>0</v>
      </c>
      <c r="O473" s="498"/>
      <c r="P473" s="49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</row>
    <row r="474" spans="1:26" ht="18.75">
      <c r="A474" s="574"/>
      <c r="B474" s="575"/>
      <c r="C474" s="763"/>
      <c r="D474" s="763"/>
      <c r="E474" s="763"/>
      <c r="F474" s="763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40">
        <v>321494</v>
      </c>
      <c r="O474" s="498"/>
      <c r="P474" s="49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</row>
    <row r="475" spans="1:26" ht="18.75">
      <c r="A475" s="574"/>
      <c r="B475" s="575"/>
      <c r="C475" s="575"/>
      <c r="D475" s="575"/>
      <c r="E475" s="575"/>
      <c r="F475" s="763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40">
        <v>0</v>
      </c>
      <c r="O475" s="498"/>
      <c r="P475" s="49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</row>
    <row r="476" spans="1:26" ht="18.75">
      <c r="A476" s="574"/>
      <c r="B476" s="575"/>
      <c r="C476" s="575"/>
      <c r="D476" s="575"/>
      <c r="E476" s="575"/>
      <c r="F476" s="763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40">
        <f>88619+140</f>
        <v>88759</v>
      </c>
      <c r="O476" s="498"/>
      <c r="P476" s="49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</row>
    <row r="477" spans="1:26" ht="18.75">
      <c r="A477" s="597"/>
      <c r="B477" s="575"/>
      <c r="C477" s="575"/>
      <c r="D477" s="606" t="s">
        <v>21</v>
      </c>
      <c r="E477" s="575"/>
      <c r="F477" s="575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</row>
    <row r="478" spans="1:26" ht="18.75" hidden="1">
      <c r="A478" s="599"/>
      <c r="B478" s="607"/>
      <c r="C478" s="607"/>
      <c r="D478" s="607"/>
      <c r="E478" s="607" t="s">
        <v>18</v>
      </c>
      <c r="F478" s="607"/>
      <c r="G478" s="603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4"/>
      <c r="R478" s="604"/>
      <c r="S478" s="604"/>
      <c r="T478" s="604"/>
      <c r="U478" s="604"/>
      <c r="V478" s="604"/>
      <c r="W478" s="604"/>
      <c r="X478" s="604"/>
      <c r="Y478" s="604"/>
      <c r="Z478" s="604"/>
    </row>
    <row r="479" spans="1:26" ht="18.75" hidden="1">
      <c r="A479" s="599"/>
      <c r="B479" s="607"/>
      <c r="C479" s="607"/>
      <c r="D479" s="607"/>
      <c r="E479" s="607" t="s">
        <v>19</v>
      </c>
      <c r="F479" s="607"/>
      <c r="G479" s="603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4"/>
      <c r="R479" s="604"/>
      <c r="S479" s="604"/>
      <c r="T479" s="604"/>
      <c r="U479" s="604"/>
      <c r="V479" s="604"/>
      <c r="W479" s="604"/>
      <c r="X479" s="604"/>
      <c r="Y479" s="604"/>
      <c r="Z479" s="604"/>
    </row>
    <row r="480" spans="1:26" ht="19.5">
      <c r="A480" s="608"/>
      <c r="B480" s="618"/>
      <c r="C480" s="575" t="s">
        <v>16</v>
      </c>
      <c r="D480" s="894" t="s">
        <v>38</v>
      </c>
      <c r="E480" s="611"/>
      <c r="F480" s="761"/>
      <c r="G480" s="613"/>
      <c r="H480" s="762"/>
      <c r="I480" s="270"/>
      <c r="J480" s="270"/>
      <c r="K480" s="498"/>
      <c r="L480" s="498"/>
      <c r="M480" s="498"/>
      <c r="N480" s="498"/>
      <c r="O480" s="498"/>
      <c r="P480" s="49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</row>
    <row r="481" spans="1:26" ht="19.5">
      <c r="A481" s="608"/>
      <c r="B481" s="618"/>
      <c r="C481" s="618"/>
      <c r="D481" s="625" t="s">
        <v>207</v>
      </c>
      <c r="E481" s="618"/>
      <c r="F481" s="618"/>
      <c r="G481" s="762"/>
      <c r="H481" s="189"/>
      <c r="I481" s="270"/>
      <c r="J481" s="270"/>
      <c r="K481" s="498"/>
      <c r="L481" s="498"/>
      <c r="M481" s="498"/>
      <c r="N481" s="498"/>
      <c r="O481" s="498"/>
      <c r="P481" s="49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</row>
    <row r="482" spans="1:26" ht="18.75">
      <c r="A482" s="608"/>
      <c r="B482" s="618"/>
      <c r="C482" s="618"/>
      <c r="D482" s="618"/>
      <c r="E482" s="618" t="s">
        <v>208</v>
      </c>
      <c r="F482" s="618"/>
      <c r="G482" s="762"/>
      <c r="H482" s="189"/>
      <c r="I482" s="270"/>
      <c r="J482" s="270"/>
      <c r="K482" s="498"/>
      <c r="L482" s="498"/>
      <c r="M482" s="498"/>
      <c r="N482" s="498"/>
      <c r="O482" s="498"/>
      <c r="P482" s="49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</row>
    <row r="483" spans="1:26" ht="18.75">
      <c r="A483" s="608"/>
      <c r="B483" s="618"/>
      <c r="C483" s="618"/>
      <c r="D483" s="618"/>
      <c r="E483" s="618"/>
      <c r="F483" s="618" t="s">
        <v>209</v>
      </c>
      <c r="G483" s="762"/>
      <c r="H483" s="623" t="s">
        <v>46</v>
      </c>
      <c r="I483" s="270">
        <f ca="1">IFERROR(__xludf.DUMMYFUNCTION("IMPORTRANGE(""https://docs.google.com/spreadsheets/d/1QqKyyYR6Q21VydFLVH3TRQUabQu_ym0Zz7PgGX0-kHA/edit?usp=sharing"",""แผน!FY34"")"),450)</f>
        <v>450</v>
      </c>
      <c r="J483" s="215">
        <v>450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</row>
    <row r="484" spans="1:26" ht="18.75">
      <c r="A484" s="608"/>
      <c r="B484" s="618"/>
      <c r="C484" s="618"/>
      <c r="D484" s="618"/>
      <c r="E484" s="618"/>
      <c r="F484" s="618" t="s">
        <v>210</v>
      </c>
      <c r="G484" s="762"/>
      <c r="H484" s="623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</row>
    <row r="485" spans="1:26" ht="18.75">
      <c r="A485" s="608"/>
      <c r="B485" s="618"/>
      <c r="C485" s="618"/>
      <c r="D485" s="618"/>
      <c r="E485" s="618"/>
      <c r="F485" s="618" t="s">
        <v>211</v>
      </c>
      <c r="G485" s="762"/>
      <c r="H485" s="623" t="s">
        <v>35</v>
      </c>
      <c r="I485" s="270">
        <f ca="1">IFERROR(__xludf.DUMMYFUNCTION("IMPORTRANGE(""https://docs.google.com/spreadsheets/d/1QqKyyYR6Q21VydFLVH3TRQUabQu_ym0Zz7PgGX0-kHA/edit?usp=sharing"",""แผน!FZ34"")"),45)</f>
        <v>45</v>
      </c>
      <c r="J485" s="215">
        <v>45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</row>
    <row r="486" spans="1:26" ht="18.75">
      <c r="A486" s="608"/>
      <c r="B486" s="618"/>
      <c r="C486" s="618"/>
      <c r="D486" s="618"/>
      <c r="E486" s="618" t="s">
        <v>62</v>
      </c>
      <c r="F486" s="618"/>
      <c r="G486" s="762"/>
      <c r="H486" s="623"/>
      <c r="I486" s="270"/>
      <c r="J486" s="270"/>
      <c r="K486" s="498"/>
      <c r="L486" s="498"/>
      <c r="M486" s="498"/>
      <c r="N486" s="498"/>
      <c r="O486" s="498"/>
      <c r="P486" s="49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</row>
    <row r="487" spans="1:26" ht="18.75">
      <c r="A487" s="608"/>
      <c r="B487" s="618"/>
      <c r="C487" s="618"/>
      <c r="D487" s="618"/>
      <c r="E487" s="618"/>
      <c r="F487" s="618" t="s">
        <v>209</v>
      </c>
      <c r="G487" s="762"/>
      <c r="H487" s="623" t="s">
        <v>46</v>
      </c>
      <c r="I487" s="270">
        <f ca="1">IFERROR(__xludf.DUMMYFUNCTION("IMPORTRANGE(""https://docs.google.com/spreadsheets/d/1QqKyyYR6Q21VydFLVH3TRQUabQu_ym0Zz7PgGX0-kHA/edit?usp=sharing"",""แผน!GA34"")"),50)</f>
        <v>50</v>
      </c>
      <c r="J487" s="215">
        <v>50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</row>
    <row r="488" spans="1:26" ht="18.75">
      <c r="A488" s="608"/>
      <c r="B488" s="618"/>
      <c r="C488" s="618"/>
      <c r="D488" s="618"/>
      <c r="E488" s="618"/>
      <c r="F488" s="618" t="s">
        <v>212</v>
      </c>
      <c r="G488" s="762"/>
      <c r="H488" s="623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</row>
    <row r="489" spans="1:26" ht="18.75">
      <c r="A489" s="608"/>
      <c r="B489" s="618"/>
      <c r="C489" s="618"/>
      <c r="D489" s="618"/>
      <c r="E489" s="618"/>
      <c r="F489" s="618" t="s">
        <v>213</v>
      </c>
      <c r="G489" s="762"/>
      <c r="H489" s="623" t="s">
        <v>35</v>
      </c>
      <c r="I489" s="270">
        <f ca="1">IFERROR(__xludf.DUMMYFUNCTION("IMPORTRANGE(""https://docs.google.com/spreadsheets/d/1QqKyyYR6Q21VydFLVH3TRQUabQu_ym0Zz7PgGX0-kHA/edit?usp=sharing"",""แผน!GB34"")"),5)</f>
        <v>5</v>
      </c>
      <c r="J489" s="215">
        <v>5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</row>
    <row r="490" spans="1:26" ht="18.75">
      <c r="A490" s="608"/>
      <c r="B490" s="618"/>
      <c r="C490" s="618"/>
      <c r="D490" s="618"/>
      <c r="E490" s="618" t="s">
        <v>63</v>
      </c>
      <c r="F490" s="626"/>
      <c r="G490" s="762"/>
      <c r="H490" s="623"/>
      <c r="I490" s="270"/>
      <c r="J490" s="270"/>
      <c r="K490" s="498"/>
      <c r="L490" s="498"/>
      <c r="M490" s="498"/>
      <c r="N490" s="498"/>
      <c r="O490" s="498"/>
      <c r="P490" s="49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</row>
    <row r="491" spans="1:26" ht="18.75">
      <c r="A491" s="608"/>
      <c r="B491" s="618"/>
      <c r="C491" s="618"/>
      <c r="D491" s="618"/>
      <c r="E491" s="618"/>
      <c r="F491" s="618" t="s">
        <v>214</v>
      </c>
      <c r="G491" s="762"/>
      <c r="H491" s="623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</row>
    <row r="492" spans="1:26" ht="18.75">
      <c r="A492" s="608"/>
      <c r="B492" s="618"/>
      <c r="C492" s="618"/>
      <c r="D492" s="618"/>
      <c r="E492" s="618"/>
      <c r="F492" s="618" t="s">
        <v>215</v>
      </c>
      <c r="G492" s="762"/>
      <c r="H492" s="623" t="s">
        <v>35</v>
      </c>
      <c r="I492" s="270">
        <f ca="1">IFERROR(__xludf.DUMMYFUNCTION("IMPORTRANGE(""https://docs.google.com/spreadsheets/d/1QqKyyYR6Q21VydFLVH3TRQUabQu_ym0Zz7PgGX0-kHA/edit?usp=sharing"",""แผน!GC34"")"),1)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</row>
    <row r="493" spans="1:26" ht="19.5">
      <c r="A493" s="608"/>
      <c r="B493" s="618"/>
      <c r="C493" s="618"/>
      <c r="D493" s="625" t="s">
        <v>59</v>
      </c>
      <c r="E493" s="618"/>
      <c r="F493" s="626"/>
      <c r="G493" s="762"/>
      <c r="H493" s="189"/>
      <c r="I493" s="270"/>
      <c r="J493" s="270"/>
      <c r="K493" s="498"/>
      <c r="L493" s="498"/>
      <c r="M493" s="498"/>
      <c r="N493" s="498"/>
      <c r="O493" s="498"/>
      <c r="P493" s="49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</row>
    <row r="494" spans="1:26" ht="18.75">
      <c r="A494" s="608"/>
      <c r="B494" s="618"/>
      <c r="C494" s="618"/>
      <c r="D494" s="618"/>
      <c r="E494" s="618" t="s">
        <v>208</v>
      </c>
      <c r="F494" s="626"/>
      <c r="G494" s="762"/>
      <c r="H494" s="189"/>
      <c r="I494" s="270"/>
      <c r="J494" s="270"/>
      <c r="K494" s="498"/>
      <c r="L494" s="498"/>
      <c r="M494" s="498"/>
      <c r="N494" s="498"/>
      <c r="O494" s="498"/>
      <c r="P494" s="49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</row>
    <row r="495" spans="1:26" ht="18.75">
      <c r="A495" s="608"/>
      <c r="B495" s="618"/>
      <c r="C495" s="618"/>
      <c r="D495" s="618"/>
      <c r="E495" s="618"/>
      <c r="F495" s="626" t="s">
        <v>216</v>
      </c>
      <c r="G495" s="762"/>
      <c r="H495" s="623" t="s">
        <v>46</v>
      </c>
      <c r="I495" s="270">
        <f ca="1">IFERROR(__xludf.DUMMYFUNCTION("IMPORTRANGE(""https://docs.google.com/spreadsheets/d/1QqKyyYR6Q21VydFLVH3TRQUabQu_ym0Zz7PgGX0-kHA/edit?usp=sharing"",""แผน!FY34"")"),450)</f>
        <v>450</v>
      </c>
      <c r="J495" s="215">
        <v>450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</row>
    <row r="496" spans="1:26" ht="18.75">
      <c r="A496" s="608"/>
      <c r="B496" s="618"/>
      <c r="C496" s="618"/>
      <c r="D496" s="618"/>
      <c r="E496" s="618"/>
      <c r="F496" s="626" t="s">
        <v>217</v>
      </c>
      <c r="G496" s="762"/>
      <c r="H496" s="623" t="s">
        <v>46</v>
      </c>
      <c r="I496" s="270"/>
      <c r="J496" s="215"/>
      <c r="K496" s="498"/>
      <c r="L496" s="498"/>
      <c r="M496" s="498"/>
      <c r="N496" s="498"/>
      <c r="O496" s="498"/>
      <c r="P496" s="49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</row>
    <row r="497" spans="1:26" ht="18.75">
      <c r="A497" s="608"/>
      <c r="B497" s="618"/>
      <c r="C497" s="618"/>
      <c r="D497" s="618"/>
      <c r="E497" s="618" t="s">
        <v>62</v>
      </c>
      <c r="F497" s="626"/>
      <c r="G497" s="762"/>
      <c r="H497" s="189"/>
      <c r="I497" s="270"/>
      <c r="J497" s="270"/>
      <c r="K497" s="498"/>
      <c r="L497" s="498"/>
      <c r="M497" s="498"/>
      <c r="N497" s="498"/>
      <c r="O497" s="498"/>
      <c r="P497" s="49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</row>
    <row r="498" spans="1:26" ht="18.75">
      <c r="A498" s="608"/>
      <c r="B498" s="618"/>
      <c r="C498" s="618"/>
      <c r="D498" s="618"/>
      <c r="E498" s="626"/>
      <c r="F498" s="626" t="s">
        <v>218</v>
      </c>
      <c r="G498" s="762"/>
      <c r="H498" s="623" t="s">
        <v>46</v>
      </c>
      <c r="I498" s="270">
        <f ca="1">IFERROR(__xludf.DUMMYFUNCTION("IMPORTRANGE(""https://docs.google.com/spreadsheets/d/1QqKyyYR6Q21VydFLVH3TRQUabQu_ym0Zz7PgGX0-kHA/edit?usp=sharing"",""แผน!GA34"")"),50)</f>
        <v>50</v>
      </c>
      <c r="J498" s="215">
        <v>50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</row>
    <row r="499" spans="1:26" ht="18.75">
      <c r="A499" s="608"/>
      <c r="B499" s="618"/>
      <c r="C499" s="618"/>
      <c r="D499" s="618"/>
      <c r="E499" s="626"/>
      <c r="F499" s="626" t="s">
        <v>219</v>
      </c>
      <c r="G499" s="762"/>
      <c r="H499" s="623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</row>
    <row r="500" spans="1:26" ht="19.5" hidden="1">
      <c r="A500" s="627">
        <v>4</v>
      </c>
      <c r="B500" s="628" t="s">
        <v>220</v>
      </c>
      <c r="C500" s="629"/>
      <c r="D500" s="630"/>
      <c r="E500" s="630"/>
      <c r="F500" s="630"/>
      <c r="G500" s="631"/>
      <c r="H500" s="632" t="s">
        <v>109</v>
      </c>
      <c r="I500" s="633"/>
      <c r="J500" s="633">
        <f t="shared" ref="J500:J501" si="214">J516</f>
        <v>0</v>
      </c>
      <c r="K500" s="634">
        <f t="shared" ref="K500:K501" si="215">IF(I500&gt;0,J500*100/I500,0)</f>
        <v>0</v>
      </c>
      <c r="L500" s="635"/>
      <c r="M500" s="635"/>
      <c r="N500" s="635"/>
      <c r="O500" s="635"/>
      <c r="P500" s="635"/>
      <c r="Q500" s="604"/>
      <c r="R500" s="604"/>
      <c r="S500" s="604"/>
      <c r="T500" s="604"/>
      <c r="U500" s="604"/>
      <c r="V500" s="604"/>
      <c r="W500" s="604"/>
      <c r="X500" s="604"/>
      <c r="Y500" s="604"/>
      <c r="Z500" s="604"/>
    </row>
    <row r="501" spans="1:26" ht="19.5" hidden="1">
      <c r="A501" s="636"/>
      <c r="B501" s="638" t="s">
        <v>221</v>
      </c>
      <c r="C501" s="638"/>
      <c r="D501" s="639"/>
      <c r="E501" s="639"/>
      <c r="F501" s="639"/>
      <c r="G501" s="640"/>
      <c r="H501" s="641" t="s">
        <v>35</v>
      </c>
      <c r="I501" s="642"/>
      <c r="J501" s="642">
        <f t="shared" si="214"/>
        <v>0</v>
      </c>
      <c r="K501" s="643">
        <f t="shared" si="215"/>
        <v>0</v>
      </c>
      <c r="L501" s="644"/>
      <c r="M501" s="644"/>
      <c r="N501" s="644"/>
      <c r="O501" s="644"/>
      <c r="P501" s="64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</row>
    <row r="502" spans="1:26" ht="19.5" hidden="1">
      <c r="A502" s="599"/>
      <c r="B502" s="759"/>
      <c r="C502" s="759" t="s">
        <v>16</v>
      </c>
      <c r="D502" s="864" t="s">
        <v>17</v>
      </c>
      <c r="E502" s="857"/>
      <c r="F502" s="857"/>
      <c r="G502" s="603"/>
      <c r="H502" s="646" t="s">
        <v>12</v>
      </c>
      <c r="I502" s="617"/>
      <c r="J502" s="617"/>
      <c r="K502" s="93"/>
      <c r="L502" s="647">
        <f t="shared" ref="L502:N502" si="216">L503+L504</f>
        <v>0</v>
      </c>
      <c r="M502" s="647">
        <f t="shared" si="216"/>
        <v>0</v>
      </c>
      <c r="N502" s="647">
        <f t="shared" si="216"/>
        <v>0</v>
      </c>
      <c r="O502" s="647">
        <f t="shared" ref="O502:O507" si="217">IF(L502&gt;0,N502*100/L502,0)</f>
        <v>0</v>
      </c>
      <c r="P502" s="647">
        <f t="shared" ref="P502:P507" si="218">IF(M502&gt;0,N502*100/M502,0)</f>
        <v>0</v>
      </c>
      <c r="Q502" s="604"/>
      <c r="R502" s="604"/>
      <c r="S502" s="604"/>
      <c r="T502" s="604"/>
      <c r="U502" s="604"/>
      <c r="V502" s="604"/>
      <c r="W502" s="604"/>
      <c r="X502" s="604"/>
      <c r="Y502" s="604"/>
      <c r="Z502" s="604"/>
    </row>
    <row r="503" spans="1:26" ht="18.75" hidden="1">
      <c r="A503" s="599"/>
      <c r="B503" s="759"/>
      <c r="C503" s="759"/>
      <c r="D503" s="720"/>
      <c r="E503" s="759" t="s">
        <v>185</v>
      </c>
      <c r="F503" s="759"/>
      <c r="G503" s="603"/>
      <c r="H503" s="165" t="s">
        <v>12</v>
      </c>
      <c r="I503" s="617"/>
      <c r="J503" s="617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4"/>
      <c r="R503" s="604"/>
      <c r="S503" s="604"/>
      <c r="T503" s="604"/>
      <c r="U503" s="604"/>
      <c r="V503" s="604"/>
      <c r="W503" s="604"/>
      <c r="X503" s="604"/>
      <c r="Y503" s="604"/>
      <c r="Z503" s="604"/>
    </row>
    <row r="504" spans="1:26" ht="18.75" hidden="1">
      <c r="A504" s="599"/>
      <c r="B504" s="607"/>
      <c r="C504" s="759"/>
      <c r="D504" s="720"/>
      <c r="E504" s="759" t="s">
        <v>186</v>
      </c>
      <c r="F504" s="759"/>
      <c r="G504" s="603"/>
      <c r="H504" s="165" t="s">
        <v>12</v>
      </c>
      <c r="I504" s="617"/>
      <c r="J504" s="617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4"/>
      <c r="R504" s="604"/>
      <c r="S504" s="604"/>
      <c r="T504" s="604"/>
      <c r="U504" s="604"/>
      <c r="V504" s="604"/>
      <c r="W504" s="604"/>
      <c r="X504" s="604"/>
      <c r="Y504" s="604"/>
      <c r="Z504" s="604"/>
    </row>
    <row r="505" spans="1:26" ht="18.75" hidden="1">
      <c r="A505" s="599"/>
      <c r="B505" s="607"/>
      <c r="C505" s="759"/>
      <c r="D505" s="648" t="s">
        <v>20</v>
      </c>
      <c r="E505" s="759"/>
      <c r="F505" s="759"/>
      <c r="G505" s="603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4"/>
      <c r="R505" s="604"/>
      <c r="S505" s="604"/>
      <c r="T505" s="604"/>
      <c r="U505" s="604"/>
      <c r="V505" s="604"/>
      <c r="W505" s="604"/>
      <c r="X505" s="604"/>
      <c r="Y505" s="604"/>
      <c r="Z505" s="604"/>
    </row>
    <row r="506" spans="1:26" ht="18.75" hidden="1">
      <c r="A506" s="599"/>
      <c r="B506" s="607"/>
      <c r="C506" s="759"/>
      <c r="D506" s="720"/>
      <c r="E506" s="759" t="s">
        <v>185</v>
      </c>
      <c r="F506" s="759"/>
      <c r="G506" s="603"/>
      <c r="H506" s="165" t="s">
        <v>12</v>
      </c>
      <c r="I506" s="617"/>
      <c r="J506" s="617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4"/>
      <c r="R506" s="604"/>
      <c r="S506" s="604"/>
      <c r="T506" s="604"/>
      <c r="U506" s="604"/>
      <c r="V506" s="604"/>
      <c r="W506" s="604"/>
      <c r="X506" s="604"/>
      <c r="Y506" s="604"/>
      <c r="Z506" s="604"/>
    </row>
    <row r="507" spans="1:26" ht="18.75" hidden="1">
      <c r="A507" s="599"/>
      <c r="B507" s="607"/>
      <c r="C507" s="759"/>
      <c r="D507" s="720"/>
      <c r="E507" s="759" t="s">
        <v>186</v>
      </c>
      <c r="F507" s="759"/>
      <c r="G507" s="603"/>
      <c r="H507" s="165" t="s">
        <v>12</v>
      </c>
      <c r="I507" s="617"/>
      <c r="J507" s="617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4"/>
      <c r="R507" s="604"/>
      <c r="S507" s="604"/>
      <c r="T507" s="604"/>
      <c r="U507" s="604"/>
      <c r="V507" s="604"/>
      <c r="W507" s="604"/>
      <c r="X507" s="604"/>
      <c r="Y507" s="604"/>
      <c r="Z507" s="604"/>
    </row>
    <row r="508" spans="1:26" ht="18.75" hidden="1">
      <c r="A508" s="649"/>
      <c r="B508" s="607"/>
      <c r="C508" s="759"/>
      <c r="D508" s="759"/>
      <c r="E508" s="759"/>
      <c r="F508" s="759" t="s">
        <v>187</v>
      </c>
      <c r="G508" s="603"/>
      <c r="H508" s="165" t="s">
        <v>12</v>
      </c>
      <c r="I508" s="617"/>
      <c r="J508" s="617"/>
      <c r="K508" s="93"/>
      <c r="L508" s="93"/>
      <c r="M508" s="93"/>
      <c r="N508" s="93">
        <v>0</v>
      </c>
      <c r="O508" s="93"/>
      <c r="P508" s="93"/>
      <c r="Q508" s="604"/>
      <c r="R508" s="604"/>
      <c r="S508" s="604"/>
      <c r="T508" s="604"/>
      <c r="U508" s="604"/>
      <c r="V508" s="604"/>
      <c r="W508" s="604"/>
      <c r="X508" s="604"/>
      <c r="Y508" s="604"/>
      <c r="Z508" s="604"/>
    </row>
    <row r="509" spans="1:26" ht="18.75" hidden="1">
      <c r="A509" s="649"/>
      <c r="B509" s="607"/>
      <c r="C509" s="759"/>
      <c r="D509" s="759"/>
      <c r="E509" s="759"/>
      <c r="F509" s="759" t="s">
        <v>188</v>
      </c>
      <c r="G509" s="603"/>
      <c r="H509" s="165" t="s">
        <v>12</v>
      </c>
      <c r="I509" s="617"/>
      <c r="J509" s="617"/>
      <c r="K509" s="93"/>
      <c r="L509" s="93"/>
      <c r="M509" s="93"/>
      <c r="N509" s="93">
        <v>0</v>
      </c>
      <c r="O509" s="93"/>
      <c r="P509" s="93"/>
      <c r="Q509" s="604"/>
      <c r="R509" s="604"/>
      <c r="S509" s="604"/>
      <c r="T509" s="604"/>
      <c r="U509" s="604"/>
      <c r="V509" s="604"/>
      <c r="W509" s="604"/>
      <c r="X509" s="604"/>
      <c r="Y509" s="604"/>
      <c r="Z509" s="604"/>
    </row>
    <row r="510" spans="1:26" ht="18.75" hidden="1">
      <c r="A510" s="649"/>
      <c r="B510" s="607"/>
      <c r="C510" s="607"/>
      <c r="D510" s="607"/>
      <c r="E510" s="759"/>
      <c r="F510" s="759" t="s">
        <v>189</v>
      </c>
      <c r="G510" s="603"/>
      <c r="H510" s="165" t="s">
        <v>12</v>
      </c>
      <c r="I510" s="617"/>
      <c r="J510" s="617"/>
      <c r="K510" s="93"/>
      <c r="L510" s="93"/>
      <c r="M510" s="93"/>
      <c r="N510" s="93">
        <v>0</v>
      </c>
      <c r="O510" s="93"/>
      <c r="P510" s="93"/>
      <c r="Q510" s="604"/>
      <c r="R510" s="604"/>
      <c r="S510" s="604"/>
      <c r="T510" s="604"/>
      <c r="U510" s="604"/>
      <c r="V510" s="604"/>
      <c r="W510" s="604"/>
      <c r="X510" s="604"/>
      <c r="Y510" s="604"/>
      <c r="Z510" s="604"/>
    </row>
    <row r="511" spans="1:26" ht="18.75" hidden="1">
      <c r="A511" s="649"/>
      <c r="B511" s="607"/>
      <c r="C511" s="607"/>
      <c r="D511" s="607"/>
      <c r="E511" s="759"/>
      <c r="F511" s="759" t="s">
        <v>190</v>
      </c>
      <c r="G511" s="603"/>
      <c r="H511" s="165" t="s">
        <v>12</v>
      </c>
      <c r="I511" s="617"/>
      <c r="J511" s="617"/>
      <c r="K511" s="93"/>
      <c r="L511" s="93"/>
      <c r="M511" s="93"/>
      <c r="N511" s="93">
        <v>0</v>
      </c>
      <c r="O511" s="93"/>
      <c r="P511" s="93"/>
      <c r="Q511" s="604"/>
      <c r="R511" s="604"/>
      <c r="S511" s="604"/>
      <c r="T511" s="604"/>
      <c r="U511" s="604"/>
      <c r="V511" s="604"/>
      <c r="W511" s="604"/>
      <c r="X511" s="604"/>
      <c r="Y511" s="604"/>
      <c r="Z511" s="604"/>
    </row>
    <row r="512" spans="1:26" ht="18.75" hidden="1">
      <c r="A512" s="599"/>
      <c r="B512" s="607"/>
      <c r="C512" s="607"/>
      <c r="D512" s="648" t="s">
        <v>21</v>
      </c>
      <c r="E512" s="607"/>
      <c r="F512" s="759"/>
      <c r="G512" s="603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4"/>
      <c r="R512" s="604"/>
      <c r="S512" s="604"/>
      <c r="T512" s="604"/>
      <c r="U512" s="604"/>
      <c r="V512" s="604"/>
      <c r="W512" s="604"/>
      <c r="X512" s="604"/>
      <c r="Y512" s="604"/>
      <c r="Z512" s="604"/>
    </row>
    <row r="513" spans="1:26" ht="18.75" hidden="1">
      <c r="A513" s="599"/>
      <c r="B513" s="607"/>
      <c r="C513" s="607"/>
      <c r="D513" s="607"/>
      <c r="E513" s="607" t="s">
        <v>18</v>
      </c>
      <c r="F513" s="759"/>
      <c r="G513" s="603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4"/>
      <c r="R513" s="604"/>
      <c r="S513" s="604"/>
      <c r="T513" s="604"/>
      <c r="U513" s="604"/>
      <c r="V513" s="604"/>
      <c r="W513" s="604"/>
      <c r="X513" s="604"/>
      <c r="Y513" s="604"/>
      <c r="Z513" s="604"/>
    </row>
    <row r="514" spans="1:26" ht="18.75" hidden="1">
      <c r="A514" s="599"/>
      <c r="B514" s="607"/>
      <c r="C514" s="607"/>
      <c r="D514" s="759"/>
      <c r="E514" s="607" t="s">
        <v>19</v>
      </c>
      <c r="F514" s="759"/>
      <c r="G514" s="603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4"/>
      <c r="R514" s="604"/>
      <c r="S514" s="604"/>
      <c r="T514" s="604"/>
      <c r="U514" s="604"/>
      <c r="V514" s="604"/>
      <c r="W514" s="604"/>
      <c r="X514" s="604"/>
      <c r="Y514" s="604"/>
      <c r="Z514" s="604"/>
    </row>
    <row r="515" spans="1:26" ht="19.5" hidden="1">
      <c r="A515" s="614"/>
      <c r="B515" s="616"/>
      <c r="C515" s="607" t="s">
        <v>16</v>
      </c>
      <c r="D515" s="895" t="s">
        <v>38</v>
      </c>
      <c r="E515" s="651"/>
      <c r="F515" s="651"/>
      <c r="G515" s="652"/>
      <c r="H515" s="366"/>
      <c r="I515" s="166"/>
      <c r="J515" s="166"/>
      <c r="K515" s="167"/>
      <c r="L515" s="167"/>
      <c r="M515" s="167"/>
      <c r="N515" s="167"/>
      <c r="O515" s="167"/>
      <c r="P515" s="167"/>
      <c r="Q515" s="604"/>
      <c r="R515" s="604"/>
      <c r="S515" s="604"/>
      <c r="T515" s="604"/>
      <c r="U515" s="604"/>
      <c r="V515" s="604"/>
      <c r="W515" s="604"/>
      <c r="X515" s="604"/>
      <c r="Y515" s="604"/>
      <c r="Z515" s="604"/>
    </row>
    <row r="516" spans="1:26" ht="18.75" hidden="1">
      <c r="A516" s="614"/>
      <c r="B516" s="616"/>
      <c r="C516" s="616"/>
      <c r="D516" s="616" t="s">
        <v>222</v>
      </c>
      <c r="E516" s="720"/>
      <c r="F516" s="720"/>
      <c r="G516" s="366"/>
      <c r="H516" s="653" t="s">
        <v>109</v>
      </c>
      <c r="I516" s="617"/>
      <c r="J516" s="617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4"/>
      <c r="R516" s="604"/>
      <c r="S516" s="604"/>
      <c r="T516" s="604"/>
      <c r="U516" s="604"/>
      <c r="V516" s="604"/>
      <c r="W516" s="604"/>
      <c r="X516" s="604"/>
      <c r="Y516" s="604"/>
      <c r="Z516" s="604"/>
    </row>
    <row r="517" spans="1:26" ht="19.5" hidden="1">
      <c r="A517" s="614"/>
      <c r="B517" s="616"/>
      <c r="C517" s="616"/>
      <c r="D517" s="616" t="s">
        <v>223</v>
      </c>
      <c r="E517" s="720"/>
      <c r="F517" s="720"/>
      <c r="G517" s="366"/>
      <c r="H517" s="654" t="s">
        <v>35</v>
      </c>
      <c r="I517" s="655"/>
      <c r="J517" s="655">
        <f>J518+J519</f>
        <v>0</v>
      </c>
      <c r="K517" s="656">
        <f t="shared" si="224"/>
        <v>0</v>
      </c>
      <c r="L517" s="167"/>
      <c r="M517" s="167"/>
      <c r="N517" s="167"/>
      <c r="O517" s="167"/>
      <c r="P517" s="167"/>
      <c r="Q517" s="604"/>
      <c r="R517" s="604"/>
      <c r="S517" s="604"/>
      <c r="T517" s="604"/>
      <c r="U517" s="604"/>
      <c r="V517" s="604"/>
      <c r="W517" s="604"/>
      <c r="X517" s="604"/>
      <c r="Y517" s="604"/>
      <c r="Z517" s="604"/>
    </row>
    <row r="518" spans="1:26" ht="18.75" hidden="1">
      <c r="A518" s="614"/>
      <c r="B518" s="616"/>
      <c r="C518" s="616"/>
      <c r="D518" s="616"/>
      <c r="E518" s="616" t="s">
        <v>224</v>
      </c>
      <c r="F518" s="720"/>
      <c r="G518" s="366"/>
      <c r="H518" s="370" t="s">
        <v>35</v>
      </c>
      <c r="I518" s="617"/>
      <c r="J518" s="617"/>
      <c r="K518" s="167"/>
      <c r="L518" s="167"/>
      <c r="M518" s="167"/>
      <c r="N518" s="167"/>
      <c r="O518" s="167"/>
      <c r="P518" s="167"/>
      <c r="Q518" s="604"/>
      <c r="R518" s="604"/>
      <c r="S518" s="604"/>
      <c r="T518" s="604"/>
      <c r="U518" s="604"/>
      <c r="V518" s="604"/>
      <c r="W518" s="604"/>
      <c r="X518" s="604"/>
      <c r="Y518" s="604"/>
      <c r="Z518" s="604"/>
    </row>
    <row r="519" spans="1:26" ht="18.75" hidden="1">
      <c r="A519" s="614"/>
      <c r="B519" s="616"/>
      <c r="C519" s="616"/>
      <c r="D519" s="616"/>
      <c r="E519" s="616" t="s">
        <v>225</v>
      </c>
      <c r="F519" s="720"/>
      <c r="G519" s="366"/>
      <c r="H519" s="653" t="s">
        <v>35</v>
      </c>
      <c r="I519" s="617"/>
      <c r="J519" s="617"/>
      <c r="K519" s="167"/>
      <c r="L519" s="167"/>
      <c r="M519" s="167"/>
      <c r="N519" s="167"/>
      <c r="O519" s="167"/>
      <c r="P519" s="167"/>
      <c r="Q519" s="604"/>
      <c r="R519" s="604"/>
      <c r="S519" s="604"/>
      <c r="T519" s="604"/>
      <c r="U519" s="604"/>
      <c r="V519" s="604"/>
      <c r="W519" s="604"/>
      <c r="X519" s="604"/>
      <c r="Y519" s="604"/>
      <c r="Z519" s="604"/>
    </row>
    <row r="520" spans="1:26" ht="19.5">
      <c r="A520" s="657" t="s">
        <v>137</v>
      </c>
      <c r="B520" s="658"/>
      <c r="C520" s="658"/>
      <c r="D520" s="659"/>
      <c r="E520" s="659"/>
      <c r="F520" s="659"/>
      <c r="G520" s="660"/>
      <c r="H520" s="661"/>
      <c r="I520" s="662"/>
      <c r="J520" s="662"/>
      <c r="K520" s="663"/>
      <c r="L520" s="663"/>
      <c r="M520" s="663"/>
      <c r="N520" s="663"/>
      <c r="O520" s="663"/>
      <c r="P520" s="663"/>
    </row>
    <row r="521" spans="1:26" ht="19.5" hidden="1">
      <c r="A521" s="664">
        <v>5</v>
      </c>
      <c r="B521" s="665" t="s">
        <v>226</v>
      </c>
      <c r="C521" s="666"/>
      <c r="D521" s="667"/>
      <c r="E521" s="667"/>
      <c r="F521" s="667"/>
      <c r="G521" s="667"/>
      <c r="H521" s="668"/>
      <c r="I521" s="669"/>
      <c r="J521" s="669"/>
      <c r="K521" s="670"/>
      <c r="L521" s="670"/>
      <c r="M521" s="670"/>
      <c r="N521" s="670"/>
      <c r="O521" s="670"/>
      <c r="P521" s="670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</row>
    <row r="522" spans="1:26" ht="19.5" hidden="1">
      <c r="A522" s="671"/>
      <c r="B522" s="672" t="s">
        <v>227</v>
      </c>
      <c r="C522" s="673"/>
      <c r="D522" s="673"/>
      <c r="E522" s="673"/>
      <c r="F522" s="673"/>
      <c r="G522" s="674"/>
      <c r="H522" s="675" t="s">
        <v>35</v>
      </c>
      <c r="I522" s="708">
        <f t="shared" ref="I522:J522" ca="1" si="225">I537</f>
        <v>0</v>
      </c>
      <c r="J522" s="708">
        <f t="shared" ca="1" si="225"/>
        <v>0</v>
      </c>
      <c r="K522" s="677">
        <f ca="1">IF(I522&gt;0,J522*100/I522,0)</f>
        <v>0</v>
      </c>
      <c r="L522" s="678"/>
      <c r="M522" s="678"/>
      <c r="N522" s="678"/>
      <c r="O522" s="678"/>
      <c r="P522" s="6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</row>
    <row r="523" spans="1:26" ht="19.5" hidden="1">
      <c r="A523" s="597"/>
      <c r="B523" s="763"/>
      <c r="C523" s="763" t="s">
        <v>16</v>
      </c>
      <c r="D523" s="863" t="s">
        <v>17</v>
      </c>
      <c r="E523" s="857"/>
      <c r="F523" s="857"/>
      <c r="G523" s="189"/>
      <c r="H523" s="598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</row>
    <row r="524" spans="1:26" ht="18.75" hidden="1">
      <c r="A524" s="599"/>
      <c r="B524" s="759"/>
      <c r="C524" s="759"/>
      <c r="D524" s="720"/>
      <c r="E524" s="759" t="s">
        <v>185</v>
      </c>
      <c r="F524" s="759"/>
      <c r="G524" s="603"/>
      <c r="H524" s="165" t="s">
        <v>12</v>
      </c>
      <c r="I524" s="617"/>
      <c r="J524" s="617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4"/>
      <c r="R524" s="604"/>
      <c r="S524" s="604"/>
      <c r="T524" s="604"/>
      <c r="U524" s="604"/>
      <c r="V524" s="604"/>
      <c r="W524" s="604"/>
      <c r="X524" s="604"/>
      <c r="Y524" s="604"/>
      <c r="Z524" s="604"/>
    </row>
    <row r="525" spans="1:26" ht="18.75" hidden="1">
      <c r="A525" s="599"/>
      <c r="B525" s="607"/>
      <c r="C525" s="759"/>
      <c r="D525" s="720"/>
      <c r="E525" s="759" t="s">
        <v>186</v>
      </c>
      <c r="F525" s="759"/>
      <c r="G525" s="603"/>
      <c r="H525" s="165" t="s">
        <v>12</v>
      </c>
      <c r="I525" s="617"/>
      <c r="J525" s="617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4"/>
      <c r="R525" s="604"/>
      <c r="S525" s="604"/>
      <c r="T525" s="604"/>
      <c r="U525" s="604"/>
      <c r="V525" s="604"/>
      <c r="W525" s="604"/>
      <c r="X525" s="604"/>
      <c r="Y525" s="604"/>
      <c r="Z525" s="604"/>
    </row>
    <row r="526" spans="1:26" ht="18.75" hidden="1">
      <c r="A526" s="597"/>
      <c r="B526" s="575"/>
      <c r="C526" s="763"/>
      <c r="D526" s="606" t="s">
        <v>20</v>
      </c>
      <c r="E526" s="763"/>
      <c r="F526" s="763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</row>
    <row r="527" spans="1:26" ht="18.75" hidden="1">
      <c r="A527" s="599"/>
      <c r="B527" s="607"/>
      <c r="C527" s="759"/>
      <c r="D527" s="720"/>
      <c r="E527" s="759" t="s">
        <v>185</v>
      </c>
      <c r="F527" s="759"/>
      <c r="G527" s="603"/>
      <c r="H527" s="165" t="s">
        <v>12</v>
      </c>
      <c r="I527" s="617"/>
      <c r="J527" s="617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4"/>
      <c r="R527" s="604"/>
      <c r="S527" s="604"/>
      <c r="T527" s="604"/>
      <c r="U527" s="604"/>
      <c r="V527" s="604"/>
      <c r="W527" s="604"/>
      <c r="X527" s="604"/>
      <c r="Y527" s="604"/>
      <c r="Z527" s="604"/>
    </row>
    <row r="528" spans="1:26" ht="18.75" hidden="1">
      <c r="A528" s="599"/>
      <c r="B528" s="607"/>
      <c r="C528" s="759"/>
      <c r="D528" s="720"/>
      <c r="E528" s="759" t="s">
        <v>186</v>
      </c>
      <c r="F528" s="759"/>
      <c r="G528" s="603"/>
      <c r="H528" s="165" t="s">
        <v>12</v>
      </c>
      <c r="I528" s="617"/>
      <c r="J528" s="617"/>
      <c r="K528" s="93"/>
      <c r="L528" s="93">
        <f ca="1">IFERROR(__xludf.DUMMYFUNCTION("IMPORTRANGE(""https://docs.google.com/spreadsheets/d/1QqKyyYR6Q21VydFLVH3TRQUabQu_ym0Zz7PgGX0-kHA/edit?usp=sharing"",""แผน!GQ34"")"),0)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4"/>
      <c r="R528" s="604"/>
      <c r="S528" s="604"/>
      <c r="T528" s="604"/>
      <c r="U528" s="604"/>
      <c r="V528" s="604"/>
      <c r="W528" s="604"/>
      <c r="X528" s="604"/>
      <c r="Y528" s="604"/>
      <c r="Z528" s="604"/>
    </row>
    <row r="529" spans="1:26" ht="18.75" hidden="1">
      <c r="A529" s="574"/>
      <c r="B529" s="575"/>
      <c r="C529" s="763"/>
      <c r="D529" s="763"/>
      <c r="E529" s="763"/>
      <c r="F529" s="763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40">
        <v>0</v>
      </c>
      <c r="O529" s="498"/>
      <c r="P529" s="49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</row>
    <row r="530" spans="1:26" ht="18.75" hidden="1">
      <c r="A530" s="574"/>
      <c r="B530" s="575"/>
      <c r="C530" s="763"/>
      <c r="D530" s="763"/>
      <c r="E530" s="763"/>
      <c r="F530" s="763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40">
        <v>0</v>
      </c>
      <c r="O530" s="498"/>
      <c r="P530" s="49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</row>
    <row r="531" spans="1:26" ht="18.75" hidden="1">
      <c r="A531" s="574"/>
      <c r="B531" s="575"/>
      <c r="C531" s="763"/>
      <c r="D531" s="763"/>
      <c r="E531" s="763"/>
      <c r="F531" s="763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40">
        <v>0</v>
      </c>
      <c r="O531" s="498"/>
      <c r="P531" s="49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</row>
    <row r="532" spans="1:26" ht="18.75" hidden="1">
      <c r="A532" s="574"/>
      <c r="B532" s="575"/>
      <c r="C532" s="763"/>
      <c r="D532" s="763"/>
      <c r="E532" s="763"/>
      <c r="F532" s="763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40">
        <v>0</v>
      </c>
      <c r="O532" s="498"/>
      <c r="P532" s="49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</row>
    <row r="533" spans="1:26" ht="18.75" hidden="1">
      <c r="A533" s="597"/>
      <c r="B533" s="575"/>
      <c r="C533" s="763"/>
      <c r="D533" s="606" t="s">
        <v>21</v>
      </c>
      <c r="E533" s="763"/>
      <c r="F533" s="763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</row>
    <row r="534" spans="1:26" ht="18.75" hidden="1">
      <c r="A534" s="599"/>
      <c r="B534" s="607"/>
      <c r="C534" s="759"/>
      <c r="D534" s="759"/>
      <c r="E534" s="759" t="s">
        <v>18</v>
      </c>
      <c r="F534" s="759"/>
      <c r="G534" s="603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4"/>
      <c r="R534" s="604"/>
      <c r="S534" s="604"/>
      <c r="T534" s="604"/>
      <c r="U534" s="604"/>
      <c r="V534" s="604"/>
      <c r="W534" s="604"/>
      <c r="X534" s="604"/>
      <c r="Y534" s="604"/>
      <c r="Z534" s="604"/>
    </row>
    <row r="535" spans="1:26" ht="18.75" hidden="1">
      <c r="A535" s="599"/>
      <c r="B535" s="607"/>
      <c r="C535" s="759"/>
      <c r="D535" s="759"/>
      <c r="E535" s="759" t="s">
        <v>19</v>
      </c>
      <c r="F535" s="759"/>
      <c r="G535" s="603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4"/>
      <c r="R535" s="604"/>
      <c r="S535" s="604"/>
      <c r="T535" s="604"/>
      <c r="U535" s="604"/>
      <c r="V535" s="604"/>
      <c r="W535" s="604"/>
      <c r="X535" s="604"/>
      <c r="Y535" s="604"/>
      <c r="Z535" s="604"/>
    </row>
    <row r="536" spans="1:26" ht="19.5" hidden="1">
      <c r="A536" s="608"/>
      <c r="B536" s="618"/>
      <c r="C536" s="763" t="s">
        <v>16</v>
      </c>
      <c r="D536" s="896" t="s">
        <v>38</v>
      </c>
      <c r="E536" s="761"/>
      <c r="F536" s="761"/>
      <c r="G536" s="613"/>
      <c r="H536" s="762"/>
      <c r="I536" s="184"/>
      <c r="J536" s="184"/>
      <c r="K536" s="163"/>
      <c r="L536" s="163"/>
      <c r="M536" s="163"/>
      <c r="N536" s="163"/>
      <c r="O536" s="163"/>
      <c r="P536" s="163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</row>
    <row r="537" spans="1:26" ht="19.5" hidden="1">
      <c r="A537" s="574"/>
      <c r="B537" s="575"/>
      <c r="C537" s="763"/>
      <c r="D537" s="763" t="s">
        <v>228</v>
      </c>
      <c r="E537" s="763"/>
      <c r="F537" s="763"/>
      <c r="G537" s="189"/>
      <c r="H537" s="623" t="s">
        <v>35</v>
      </c>
      <c r="I537" s="681">
        <f ca="1">IFERROR(__xludf.DUMMYFUNCTION("IMPORTRANGE(""https://docs.google.com/spreadsheets/d/1QqKyyYR6Q21VydFLVH3TRQUabQu_ym0Zz7PgGX0-kHA/edit?usp=sharing"",""แผน!GU34"")"),0)</f>
        <v>0</v>
      </c>
      <c r="J537" s="681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2"/>
      <c r="R537" s="682"/>
      <c r="S537" s="682"/>
      <c r="T537" s="682"/>
      <c r="U537" s="682"/>
      <c r="V537" s="682"/>
      <c r="W537" s="682"/>
      <c r="X537" s="682"/>
      <c r="Y537" s="682"/>
      <c r="Z537" s="682"/>
    </row>
    <row r="538" spans="1:26" ht="18.75" hidden="1">
      <c r="A538" s="574"/>
      <c r="B538" s="575"/>
      <c r="C538" s="763"/>
      <c r="D538" s="763"/>
      <c r="E538" s="763" t="s">
        <v>229</v>
      </c>
      <c r="F538" s="763"/>
      <c r="G538" s="189"/>
      <c r="H538" s="623" t="s">
        <v>35</v>
      </c>
      <c r="I538" s="270">
        <f ca="1">IFERROR(__xludf.DUMMYFUNCTION("IMPORTRANGE(""https://docs.google.com/spreadsheets/d/1QqKyyYR6Q21VydFLVH3TRQUabQu_ym0Zz7PgGX0-kHA/edit?usp=sharing"",""แผน!GV34"")"),0)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2"/>
      <c r="R538" s="682"/>
      <c r="S538" s="682"/>
      <c r="T538" s="682"/>
      <c r="U538" s="682"/>
      <c r="V538" s="682"/>
      <c r="W538" s="682"/>
      <c r="X538" s="682"/>
      <c r="Y538" s="682"/>
      <c r="Z538" s="682"/>
    </row>
    <row r="539" spans="1:26" ht="18.75" hidden="1">
      <c r="A539" s="574"/>
      <c r="B539" s="575"/>
      <c r="C539" s="763"/>
      <c r="D539" s="763"/>
      <c r="E539" s="763" t="s">
        <v>230</v>
      </c>
      <c r="F539" s="763"/>
      <c r="G539" s="189"/>
      <c r="H539" s="623" t="s">
        <v>35</v>
      </c>
      <c r="I539" s="270">
        <f ca="1">IFERROR(__xludf.DUMMYFUNCTION("IMPORTRANGE(""https://docs.google.com/spreadsheets/d/1QqKyyYR6Q21VydFLVH3TRQUabQu_ym0Zz7PgGX0-kHA/edit?usp=sharing"",""แผน!GW34"")"),0)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2"/>
      <c r="R539" s="682"/>
      <c r="S539" s="682"/>
      <c r="T539" s="682"/>
      <c r="U539" s="682"/>
      <c r="V539" s="682"/>
      <c r="W539" s="682"/>
      <c r="X539" s="682"/>
      <c r="Y539" s="682"/>
      <c r="Z539" s="682"/>
    </row>
    <row r="540" spans="1:26" ht="18.75" hidden="1">
      <c r="A540" s="574"/>
      <c r="B540" s="575"/>
      <c r="C540" s="763"/>
      <c r="D540" s="763"/>
      <c r="E540" s="763" t="s">
        <v>231</v>
      </c>
      <c r="F540" s="763"/>
      <c r="G540" s="189"/>
      <c r="H540" s="623" t="s">
        <v>35</v>
      </c>
      <c r="I540" s="270">
        <f ca="1">IFERROR(__xludf.DUMMYFUNCTION("IMPORTRANGE(""https://docs.google.com/spreadsheets/d/1QqKyyYR6Q21VydFLVH3TRQUabQu_ym0Zz7PgGX0-kHA/edit?usp=sharing"",""แผน!GX34"")"),0)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2"/>
      <c r="R540" s="682"/>
      <c r="S540" s="682"/>
      <c r="T540" s="682"/>
      <c r="U540" s="682"/>
      <c r="V540" s="682"/>
      <c r="W540" s="682"/>
      <c r="X540" s="682"/>
      <c r="Y540" s="682"/>
      <c r="Z540" s="682"/>
    </row>
    <row r="541" spans="1:26" ht="18.75" hidden="1">
      <c r="A541" s="574"/>
      <c r="B541" s="575"/>
      <c r="C541" s="763"/>
      <c r="D541" s="763"/>
      <c r="E541" s="769" t="s">
        <v>232</v>
      </c>
      <c r="F541" s="763"/>
      <c r="G541" s="189"/>
      <c r="H541" s="623" t="s">
        <v>35</v>
      </c>
      <c r="I541" s="270">
        <f ca="1">IFERROR(__xludf.DUMMYFUNCTION("IMPORTRANGE(""https://docs.google.com/spreadsheets/d/1QqKyyYR6Q21VydFLVH3TRQUabQu_ym0Zz7PgGX0-kHA/edit?usp=sharing"",""แผน!GY34"")"),0)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2"/>
      <c r="R541" s="682"/>
      <c r="S541" s="682"/>
      <c r="T541" s="682"/>
      <c r="U541" s="682"/>
      <c r="V541" s="682"/>
      <c r="W541" s="682"/>
      <c r="X541" s="682"/>
      <c r="Y541" s="682"/>
      <c r="Z541" s="682"/>
    </row>
    <row r="542" spans="1:26" ht="18.75" hidden="1">
      <c r="A542" s="574"/>
      <c r="B542" s="575"/>
      <c r="C542" s="763"/>
      <c r="D542" s="763" t="s">
        <v>59</v>
      </c>
      <c r="E542" s="763"/>
      <c r="F542" s="763"/>
      <c r="G542" s="189"/>
      <c r="H542" s="623" t="s">
        <v>35</v>
      </c>
      <c r="I542" s="270">
        <f ca="1">IFERROR(__xludf.DUMMYFUNCTION("IMPORTRANGE(""https://docs.google.com/spreadsheets/d/1QqKyyYR6Q21VydFLVH3TRQUabQu_ym0Zz7PgGX0-kHA/edit?usp=sharing"",""แผน!GZ34"")"),0)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2"/>
      <c r="R542" s="682"/>
      <c r="S542" s="682"/>
      <c r="T542" s="682"/>
      <c r="U542" s="682"/>
      <c r="V542" s="682"/>
      <c r="W542" s="682"/>
      <c r="X542" s="682"/>
      <c r="Y542" s="682"/>
      <c r="Z542" s="682"/>
    </row>
    <row r="543" spans="1:26" ht="19.5">
      <c r="A543" s="664">
        <v>6</v>
      </c>
      <c r="B543" s="685" t="s">
        <v>233</v>
      </c>
      <c r="C543" s="667"/>
      <c r="D543" s="667"/>
      <c r="E543" s="667"/>
      <c r="F543" s="667"/>
      <c r="G543" s="668"/>
      <c r="H543" s="686" t="s">
        <v>46</v>
      </c>
      <c r="I543" s="687">
        <f t="shared" ref="I543:J543" ca="1" si="235">I559</f>
        <v>99295.27</v>
      </c>
      <c r="J543" s="687">
        <f t="shared" si="235"/>
        <v>99294.76</v>
      </c>
      <c r="K543" s="688">
        <f t="shared" ca="1" si="234"/>
        <v>99.999486380368367</v>
      </c>
      <c r="L543" s="670"/>
      <c r="M543" s="670"/>
      <c r="N543" s="670"/>
      <c r="O543" s="670"/>
      <c r="P543" s="670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</row>
    <row r="544" spans="1:26" ht="19.5">
      <c r="A544" s="689"/>
      <c r="B544" s="690"/>
      <c r="C544" s="690" t="s">
        <v>16</v>
      </c>
      <c r="D544" s="897" t="s">
        <v>17</v>
      </c>
      <c r="E544" s="862"/>
      <c r="F544" s="862"/>
      <c r="G544" s="691"/>
      <c r="H544" s="275" t="s">
        <v>12</v>
      </c>
      <c r="I544" s="420"/>
      <c r="J544" s="420"/>
      <c r="K544" s="154"/>
      <c r="L544" s="155">
        <f t="shared" ref="L544:N544" ca="1" si="236">L545+L546</f>
        <v>691681</v>
      </c>
      <c r="M544" s="155">
        <f t="shared" ca="1" si="236"/>
        <v>686193</v>
      </c>
      <c r="N544" s="155">
        <f t="shared" si="236"/>
        <v>686193</v>
      </c>
      <c r="O544" s="155">
        <f t="shared" ref="O544:O549" ca="1" si="237">IF(L544&gt;0,N544*100/L544,0)</f>
        <v>99.206570659017672</v>
      </c>
      <c r="P544" s="155">
        <f t="shared" ref="P544:P549" ca="1" si="238">IF(M544&gt;0,N544*100/M544,0)</f>
        <v>100</v>
      </c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</row>
    <row r="545" spans="1:26" ht="18.75" hidden="1">
      <c r="A545" s="599"/>
      <c r="B545" s="759"/>
      <c r="C545" s="759"/>
      <c r="D545" s="759"/>
      <c r="E545" s="759" t="s">
        <v>185</v>
      </c>
      <c r="F545" s="759"/>
      <c r="G545" s="603"/>
      <c r="H545" s="165" t="s">
        <v>12</v>
      </c>
      <c r="I545" s="617"/>
      <c r="J545" s="617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4"/>
      <c r="R545" s="604"/>
      <c r="S545" s="604"/>
      <c r="T545" s="604"/>
      <c r="U545" s="604"/>
      <c r="V545" s="604"/>
      <c r="W545" s="604"/>
      <c r="X545" s="604"/>
      <c r="Y545" s="604"/>
      <c r="Z545" s="604"/>
    </row>
    <row r="546" spans="1:26" ht="18.75" hidden="1">
      <c r="A546" s="599"/>
      <c r="B546" s="607"/>
      <c r="C546" s="759"/>
      <c r="D546" s="759"/>
      <c r="E546" s="759" t="s">
        <v>186</v>
      </c>
      <c r="F546" s="759"/>
      <c r="G546" s="603"/>
      <c r="H546" s="165" t="s">
        <v>12</v>
      </c>
      <c r="I546" s="617"/>
      <c r="J546" s="617"/>
      <c r="K546" s="93"/>
      <c r="L546" s="93">
        <f t="shared" ca="1" si="239"/>
        <v>691681</v>
      </c>
      <c r="M546" s="93">
        <f t="shared" ca="1" si="240"/>
        <v>686193</v>
      </c>
      <c r="N546" s="93">
        <f t="shared" si="240"/>
        <v>686193</v>
      </c>
      <c r="O546" s="93">
        <f t="shared" ca="1" si="237"/>
        <v>99.206570659017672</v>
      </c>
      <c r="P546" s="93">
        <f t="shared" ca="1" si="238"/>
        <v>100</v>
      </c>
      <c r="Q546" s="604"/>
      <c r="R546" s="604"/>
      <c r="S546" s="604"/>
      <c r="T546" s="604"/>
      <c r="U546" s="604"/>
      <c r="V546" s="604"/>
      <c r="W546" s="604"/>
      <c r="X546" s="604"/>
      <c r="Y546" s="604"/>
      <c r="Z546" s="604"/>
    </row>
    <row r="547" spans="1:26" ht="18.75">
      <c r="A547" s="597"/>
      <c r="B547" s="575"/>
      <c r="C547" s="763"/>
      <c r="D547" s="606" t="s">
        <v>20</v>
      </c>
      <c r="E547" s="763"/>
      <c r="F547" s="763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691681</v>
      </c>
      <c r="M547" s="498">
        <f t="shared" ca="1" si="241"/>
        <v>686193</v>
      </c>
      <c r="N547" s="498">
        <f t="shared" si="241"/>
        <v>686193</v>
      </c>
      <c r="O547" s="498">
        <f t="shared" ca="1" si="237"/>
        <v>99.206570659017672</v>
      </c>
      <c r="P547" s="498">
        <f t="shared" ca="1" si="238"/>
        <v>100</v>
      </c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</row>
    <row r="548" spans="1:26" ht="18.75" hidden="1">
      <c r="A548" s="599"/>
      <c r="B548" s="607"/>
      <c r="C548" s="759"/>
      <c r="D548" s="720"/>
      <c r="E548" s="759" t="s">
        <v>185</v>
      </c>
      <c r="F548" s="759"/>
      <c r="G548" s="603"/>
      <c r="H548" s="165" t="s">
        <v>12</v>
      </c>
      <c r="I548" s="617"/>
      <c r="J548" s="617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4"/>
      <c r="R548" s="604"/>
      <c r="S548" s="604"/>
      <c r="T548" s="604"/>
      <c r="U548" s="604"/>
      <c r="V548" s="604"/>
      <c r="W548" s="604"/>
      <c r="X548" s="604"/>
      <c r="Y548" s="604"/>
      <c r="Z548" s="604"/>
    </row>
    <row r="549" spans="1:26" ht="18.75" hidden="1">
      <c r="A549" s="599"/>
      <c r="B549" s="607"/>
      <c r="C549" s="759"/>
      <c r="D549" s="720"/>
      <c r="E549" s="759" t="s">
        <v>186</v>
      </c>
      <c r="F549" s="759"/>
      <c r="G549" s="603"/>
      <c r="H549" s="165" t="s">
        <v>12</v>
      </c>
      <c r="I549" s="617"/>
      <c r="J549" s="617"/>
      <c r="K549" s="93"/>
      <c r="L549" s="93">
        <f ca="1">IFERROR(__xludf.DUMMYFUNCTION("IMPORTRANGE(""https://docs.google.com/spreadsheets/d/1QqKyyYR6Q21VydFLVH3TRQUabQu_ym0Zz7PgGX0-kHA/edit?usp=sharing"",""แผน!HB34"")"),691681)</f>
        <v>691681</v>
      </c>
      <c r="M549" s="93">
        <f ca="1">L549+3000-8488</f>
        <v>686193</v>
      </c>
      <c r="N549" s="93">
        <f>N550+N551+N552+N553+N554</f>
        <v>686193</v>
      </c>
      <c r="O549" s="93">
        <f t="shared" ca="1" si="237"/>
        <v>99.206570659017672</v>
      </c>
      <c r="P549" s="93">
        <f t="shared" ca="1" si="238"/>
        <v>100</v>
      </c>
      <c r="Q549" s="604"/>
      <c r="R549" s="604"/>
      <c r="S549" s="604"/>
      <c r="T549" s="604"/>
      <c r="U549" s="604"/>
      <c r="V549" s="604"/>
      <c r="W549" s="604"/>
      <c r="X549" s="604"/>
      <c r="Y549" s="604"/>
      <c r="Z549" s="604"/>
    </row>
    <row r="550" spans="1:26" ht="18.75">
      <c r="A550" s="574"/>
      <c r="B550" s="575"/>
      <c r="C550" s="763"/>
      <c r="D550" s="763"/>
      <c r="E550" s="763"/>
      <c r="F550" s="763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40">
        <v>0</v>
      </c>
      <c r="O550" s="498"/>
      <c r="P550" s="49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</row>
    <row r="551" spans="1:26" ht="18.75">
      <c r="A551" s="574"/>
      <c r="B551" s="575"/>
      <c r="C551" s="575"/>
      <c r="D551" s="575"/>
      <c r="E551" s="763"/>
      <c r="F551" s="763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40">
        <v>77408</v>
      </c>
      <c r="O551" s="498"/>
      <c r="P551" s="49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</row>
    <row r="552" spans="1:26" ht="18.75">
      <c r="A552" s="574"/>
      <c r="B552" s="575"/>
      <c r="C552" s="763"/>
      <c r="D552" s="763"/>
      <c r="E552" s="763"/>
      <c r="F552" s="763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40">
        <v>134512</v>
      </c>
      <c r="O552" s="498"/>
      <c r="P552" s="498"/>
      <c r="Q552" s="578"/>
      <c r="R552" s="578"/>
      <c r="S552" s="578"/>
      <c r="T552" s="578"/>
      <c r="U552" s="578"/>
      <c r="V552" s="578"/>
      <c r="W552" s="578"/>
      <c r="X552" s="578"/>
      <c r="Y552" s="578"/>
      <c r="Z552" s="578"/>
    </row>
    <row r="553" spans="1:26" ht="18.75">
      <c r="A553" s="574"/>
      <c r="B553" s="575"/>
      <c r="C553" s="575"/>
      <c r="D553" s="575"/>
      <c r="E553" s="763"/>
      <c r="F553" s="763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40">
        <f>683193+3000-N551-N552</f>
        <v>474273</v>
      </c>
      <c r="O553" s="498"/>
      <c r="P553" s="49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</row>
    <row r="554" spans="1:26" ht="18.75">
      <c r="A554" s="574"/>
      <c r="B554" s="575"/>
      <c r="C554" s="575"/>
      <c r="D554" s="575"/>
      <c r="E554" s="763"/>
      <c r="F554" s="763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40">
        <v>0</v>
      </c>
      <c r="O554" s="498"/>
      <c r="P554" s="49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</row>
    <row r="555" spans="1:26" ht="18.75">
      <c r="A555" s="597"/>
      <c r="B555" s="575"/>
      <c r="C555" s="575"/>
      <c r="D555" s="606" t="s">
        <v>21</v>
      </c>
      <c r="E555" s="763"/>
      <c r="F555" s="763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</row>
    <row r="556" spans="1:26" ht="18.75" hidden="1">
      <c r="A556" s="599"/>
      <c r="B556" s="607"/>
      <c r="C556" s="607"/>
      <c r="D556" s="759"/>
      <c r="E556" s="759" t="s">
        <v>18</v>
      </c>
      <c r="F556" s="759"/>
      <c r="G556" s="603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4"/>
      <c r="R556" s="604"/>
      <c r="S556" s="604"/>
      <c r="T556" s="604"/>
      <c r="U556" s="604"/>
      <c r="V556" s="604"/>
      <c r="W556" s="604"/>
      <c r="X556" s="604"/>
      <c r="Y556" s="604"/>
      <c r="Z556" s="604"/>
    </row>
    <row r="557" spans="1:26" ht="18.75" hidden="1">
      <c r="A557" s="599"/>
      <c r="B557" s="607"/>
      <c r="C557" s="607"/>
      <c r="D557" s="759"/>
      <c r="E557" s="759" t="s">
        <v>19</v>
      </c>
      <c r="F557" s="759"/>
      <c r="G557" s="603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4"/>
      <c r="R557" s="604"/>
      <c r="S557" s="604"/>
      <c r="T557" s="604"/>
      <c r="U557" s="604"/>
      <c r="V557" s="604"/>
      <c r="W557" s="604"/>
      <c r="X557" s="604"/>
      <c r="Y557" s="604"/>
      <c r="Z557" s="604"/>
    </row>
    <row r="558" spans="1:26" ht="19.5">
      <c r="A558" s="608"/>
      <c r="B558" s="618"/>
      <c r="C558" s="575" t="s">
        <v>16</v>
      </c>
      <c r="D558" s="896" t="s">
        <v>38</v>
      </c>
      <c r="E558" s="761"/>
      <c r="F558" s="761"/>
      <c r="G558" s="613"/>
      <c r="H558" s="762"/>
      <c r="I558" s="184"/>
      <c r="J558" s="184"/>
      <c r="K558" s="163"/>
      <c r="L558" s="163"/>
      <c r="M558" s="163"/>
      <c r="N558" s="163"/>
      <c r="O558" s="163"/>
      <c r="P558" s="163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</row>
    <row r="559" spans="1:26" ht="19.5">
      <c r="A559" s="692"/>
      <c r="B559" s="693" t="s">
        <v>235</v>
      </c>
      <c r="C559" s="694"/>
      <c r="D559" s="694"/>
      <c r="E559" s="673"/>
      <c r="F559" s="673"/>
      <c r="G559" s="674"/>
      <c r="H559" s="695" t="s">
        <v>46</v>
      </c>
      <c r="I559" s="708">
        <f t="shared" ref="I559:J559" ca="1" si="245">I576</f>
        <v>99295.27</v>
      </c>
      <c r="J559" s="708">
        <f t="shared" si="245"/>
        <v>99294.76</v>
      </c>
      <c r="K559" s="677">
        <f t="shared" ref="K559:K561" ca="1" si="246">IF(I559&gt;0,J559*100/I559,0)</f>
        <v>99.999486380368367</v>
      </c>
      <c r="L559" s="678"/>
      <c r="M559" s="678"/>
      <c r="N559" s="678"/>
      <c r="O559" s="678"/>
      <c r="P559" s="6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</row>
    <row r="560" spans="1:26" ht="19.5">
      <c r="A560" s="608"/>
      <c r="B560" s="618"/>
      <c r="C560" s="625" t="s">
        <v>236</v>
      </c>
      <c r="D560" s="618"/>
      <c r="E560" s="626"/>
      <c r="F560" s="626"/>
      <c r="G560" s="762"/>
      <c r="H560" s="767" t="s">
        <v>46</v>
      </c>
      <c r="I560" s="193">
        <f ca="1">IFERROR(__xludf.DUMMYFUNCTION("IMPORTRANGE(""https://docs.google.com/spreadsheets/d/1QqKyyYR6Q21VydFLVH3TRQUabQu_ym0Zz7PgGX0-kHA/edit?usp=sharing"",""แผน!HH34"")"),99295.27)</f>
        <v>99295.27</v>
      </c>
      <c r="J560" s="193">
        <f t="shared" ref="J560:J561" si="247">J562+J564+J566</f>
        <v>99295</v>
      </c>
      <c r="K560" s="411">
        <f t="shared" ca="1" si="246"/>
        <v>99.99972808372442</v>
      </c>
      <c r="L560" s="163"/>
      <c r="M560" s="163"/>
      <c r="N560" s="163"/>
      <c r="O560" s="163"/>
      <c r="P560" s="163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</row>
    <row r="561" spans="1:26" ht="19.5">
      <c r="A561" s="608"/>
      <c r="B561" s="618"/>
      <c r="C561" s="618"/>
      <c r="D561" s="626"/>
      <c r="E561" s="626"/>
      <c r="F561" s="626"/>
      <c r="G561" s="762"/>
      <c r="H561" s="767" t="s">
        <v>34</v>
      </c>
      <c r="I561" s="193">
        <f ca="1">IFERROR(__xludf.DUMMYFUNCTION("IMPORTRANGE(""https://docs.google.com/spreadsheets/d/1QqKyyYR6Q21VydFLVH3TRQUabQu_ym0Zz7PgGX0-kHA/edit?usp=sharing"",""แผน!HG34"")"),8010)</f>
        <v>8010</v>
      </c>
      <c r="J561" s="193">
        <f t="shared" si="247"/>
        <v>8010</v>
      </c>
      <c r="K561" s="411">
        <f t="shared" ca="1" si="246"/>
        <v>100</v>
      </c>
      <c r="L561" s="163"/>
      <c r="M561" s="163"/>
      <c r="N561" s="163"/>
      <c r="O561" s="163"/>
      <c r="P561" s="163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</row>
    <row r="562" spans="1:26" ht="18.75">
      <c r="A562" s="608"/>
      <c r="B562" s="618"/>
      <c r="C562" s="618"/>
      <c r="D562" s="626" t="s">
        <v>237</v>
      </c>
      <c r="E562" s="626"/>
      <c r="F562" s="626"/>
      <c r="G562" s="762"/>
      <c r="H562" s="764" t="s">
        <v>46</v>
      </c>
      <c r="I562" s="184"/>
      <c r="J562" s="215">
        <v>88224</v>
      </c>
      <c r="K562" s="163"/>
      <c r="L562" s="163"/>
      <c r="M562" s="163"/>
      <c r="N562" s="163"/>
      <c r="O562" s="163"/>
      <c r="P562" s="163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</row>
    <row r="563" spans="1:26" ht="18.75">
      <c r="A563" s="608"/>
      <c r="B563" s="618"/>
      <c r="C563" s="618"/>
      <c r="D563" s="618"/>
      <c r="E563" s="626"/>
      <c r="F563" s="626"/>
      <c r="G563" s="762"/>
      <c r="H563" s="764" t="s">
        <v>34</v>
      </c>
      <c r="I563" s="184"/>
      <c r="J563" s="215">
        <v>7244</v>
      </c>
      <c r="K563" s="163"/>
      <c r="L563" s="163"/>
      <c r="M563" s="163"/>
      <c r="N563" s="163"/>
      <c r="O563" s="163"/>
      <c r="P563" s="163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</row>
    <row r="564" spans="1:26" ht="18.75">
      <c r="A564" s="608"/>
      <c r="B564" s="618"/>
      <c r="C564" s="618"/>
      <c r="D564" s="626" t="s">
        <v>238</v>
      </c>
      <c r="E564" s="626"/>
      <c r="F564" s="626"/>
      <c r="G564" s="762"/>
      <c r="H564" s="764" t="s">
        <v>46</v>
      </c>
      <c r="I564" s="184"/>
      <c r="J564" s="215">
        <v>8072</v>
      </c>
      <c r="K564" s="163"/>
      <c r="L564" s="163"/>
      <c r="M564" s="163"/>
      <c r="N564" s="163"/>
      <c r="O564" s="163"/>
      <c r="P564" s="163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</row>
    <row r="565" spans="1:26" ht="18.75">
      <c r="A565" s="608"/>
      <c r="B565" s="618"/>
      <c r="C565" s="618"/>
      <c r="D565" s="626"/>
      <c r="E565" s="626"/>
      <c r="F565" s="626"/>
      <c r="G565" s="762"/>
      <c r="H565" s="764" t="s">
        <v>34</v>
      </c>
      <c r="I565" s="184"/>
      <c r="J565" s="215">
        <v>514</v>
      </c>
      <c r="K565" s="163"/>
      <c r="L565" s="163"/>
      <c r="M565" s="163"/>
      <c r="N565" s="163"/>
      <c r="O565" s="163"/>
      <c r="P565" s="163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</row>
    <row r="566" spans="1:26" ht="18.75">
      <c r="A566" s="608"/>
      <c r="B566" s="618"/>
      <c r="C566" s="618"/>
      <c r="D566" s="626" t="s">
        <v>239</v>
      </c>
      <c r="E566" s="626"/>
      <c r="F566" s="626"/>
      <c r="G566" s="762"/>
      <c r="H566" s="764" t="s">
        <v>46</v>
      </c>
      <c r="I566" s="184"/>
      <c r="J566" s="215">
        <v>2999</v>
      </c>
      <c r="K566" s="163"/>
      <c r="L566" s="163"/>
      <c r="M566" s="163"/>
      <c r="N566" s="163"/>
      <c r="O566" s="163"/>
      <c r="P566" s="163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</row>
    <row r="567" spans="1:26" ht="18.75">
      <c r="A567" s="608"/>
      <c r="B567" s="618"/>
      <c r="C567" s="618"/>
      <c r="D567" s="626"/>
      <c r="E567" s="626"/>
      <c r="F567" s="626"/>
      <c r="G567" s="762"/>
      <c r="H567" s="764" t="s">
        <v>34</v>
      </c>
      <c r="I567" s="184"/>
      <c r="J567" s="215">
        <v>252</v>
      </c>
      <c r="K567" s="163"/>
      <c r="L567" s="163"/>
      <c r="M567" s="163"/>
      <c r="N567" s="163"/>
      <c r="O567" s="163"/>
      <c r="P567" s="163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</row>
    <row r="568" spans="1:26" ht="19.5">
      <c r="A568" s="608"/>
      <c r="B568" s="618"/>
      <c r="C568" s="625" t="s">
        <v>240</v>
      </c>
      <c r="D568" s="626"/>
      <c r="E568" s="626"/>
      <c r="F568" s="626"/>
      <c r="G568" s="762"/>
      <c r="H568" s="767" t="s">
        <v>46</v>
      </c>
      <c r="I568" s="193">
        <f ca="1">IFERROR(__xludf.DUMMYFUNCTION("IMPORTRANGE(""https://docs.google.com/spreadsheets/d/1QqKyyYR6Q21VydFLVH3TRQUabQu_ym0Zz7PgGX0-kHA/edit?usp=sharing"",""แผน!HH34"")"),99295.27)</f>
        <v>99295.27</v>
      </c>
      <c r="J568" s="681">
        <f t="shared" ref="J568:J569" si="248">J570+J572+J574</f>
        <v>99295</v>
      </c>
      <c r="K568" s="411">
        <f t="shared" ref="K568:K569" ca="1" si="249">IF(I568&gt;0,J568*100/I568,0)</f>
        <v>99.99972808372442</v>
      </c>
      <c r="L568" s="163"/>
      <c r="M568" s="163"/>
      <c r="N568" s="163"/>
      <c r="O568" s="163"/>
      <c r="P568" s="163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</row>
    <row r="569" spans="1:26" ht="19.5">
      <c r="A569" s="608"/>
      <c r="B569" s="618"/>
      <c r="C569" s="618"/>
      <c r="D569" s="618"/>
      <c r="E569" s="626"/>
      <c r="F569" s="626"/>
      <c r="G569" s="762"/>
      <c r="H569" s="767" t="s">
        <v>34</v>
      </c>
      <c r="I569" s="193">
        <f ca="1">IFERROR(__xludf.DUMMYFUNCTION("IMPORTRANGE(""https://docs.google.com/spreadsheets/d/1QqKyyYR6Q21VydFLVH3TRQUabQu_ym0Zz7PgGX0-kHA/edit?usp=sharing"",""แผน!HG34"")"),8010)</f>
        <v>8010</v>
      </c>
      <c r="J569" s="681">
        <f t="shared" si="248"/>
        <v>8010</v>
      </c>
      <c r="K569" s="411">
        <f t="shared" ca="1" si="249"/>
        <v>100</v>
      </c>
      <c r="L569" s="163"/>
      <c r="M569" s="163"/>
      <c r="N569" s="163"/>
      <c r="O569" s="163"/>
      <c r="P569" s="163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</row>
    <row r="570" spans="1:26" ht="18.75">
      <c r="A570" s="608"/>
      <c r="B570" s="618"/>
      <c r="C570" s="618"/>
      <c r="D570" s="626" t="s">
        <v>241</v>
      </c>
      <c r="E570" s="618"/>
      <c r="F570" s="626"/>
      <c r="G570" s="762"/>
      <c r="H570" s="764" t="s">
        <v>46</v>
      </c>
      <c r="I570" s="184"/>
      <c r="J570" s="215">
        <v>89582</v>
      </c>
      <c r="K570" s="163"/>
      <c r="L570" s="163"/>
      <c r="M570" s="163"/>
      <c r="N570" s="163"/>
      <c r="O570" s="163"/>
      <c r="P570" s="163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</row>
    <row r="571" spans="1:26" ht="18.75">
      <c r="A571" s="608"/>
      <c r="B571" s="618"/>
      <c r="C571" s="618"/>
      <c r="D571" s="618"/>
      <c r="E571" s="626"/>
      <c r="F571" s="626"/>
      <c r="G571" s="762"/>
      <c r="H571" s="764" t="s">
        <v>34</v>
      </c>
      <c r="I571" s="184"/>
      <c r="J571" s="215">
        <v>7321</v>
      </c>
      <c r="K571" s="163"/>
      <c r="L571" s="163"/>
      <c r="M571" s="163"/>
      <c r="N571" s="163"/>
      <c r="O571" s="163"/>
      <c r="P571" s="163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</row>
    <row r="572" spans="1:26" ht="18.75">
      <c r="A572" s="608"/>
      <c r="B572" s="618"/>
      <c r="C572" s="618"/>
      <c r="D572" s="626" t="s">
        <v>242</v>
      </c>
      <c r="E572" s="626"/>
      <c r="F572" s="626"/>
      <c r="G572" s="762"/>
      <c r="H572" s="764" t="s">
        <v>46</v>
      </c>
      <c r="I572" s="184"/>
      <c r="J572" s="215">
        <v>6690</v>
      </c>
      <c r="K572" s="163"/>
      <c r="L572" s="163"/>
      <c r="M572" s="163"/>
      <c r="N572" s="163"/>
      <c r="O572" s="163"/>
      <c r="P572" s="163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</row>
    <row r="573" spans="1:26" ht="18.75">
      <c r="A573" s="608"/>
      <c r="B573" s="618"/>
      <c r="C573" s="618"/>
      <c r="D573" s="626"/>
      <c r="E573" s="626"/>
      <c r="F573" s="626"/>
      <c r="G573" s="762"/>
      <c r="H573" s="764" t="s">
        <v>34</v>
      </c>
      <c r="I573" s="184"/>
      <c r="J573" s="215">
        <v>424</v>
      </c>
      <c r="K573" s="163"/>
      <c r="L573" s="163"/>
      <c r="M573" s="163"/>
      <c r="N573" s="163"/>
      <c r="O573" s="163"/>
      <c r="P573" s="163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</row>
    <row r="574" spans="1:26" ht="18.75">
      <c r="A574" s="608"/>
      <c r="B574" s="618"/>
      <c r="C574" s="618"/>
      <c r="D574" s="626" t="s">
        <v>243</v>
      </c>
      <c r="E574" s="626"/>
      <c r="F574" s="626"/>
      <c r="G574" s="762"/>
      <c r="H574" s="764" t="s">
        <v>46</v>
      </c>
      <c r="I574" s="184"/>
      <c r="J574" s="215">
        <v>3023</v>
      </c>
      <c r="K574" s="163"/>
      <c r="L574" s="163"/>
      <c r="M574" s="163"/>
      <c r="N574" s="163"/>
      <c r="O574" s="163"/>
      <c r="P574" s="163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</row>
    <row r="575" spans="1:26" ht="18.75">
      <c r="A575" s="608"/>
      <c r="B575" s="618"/>
      <c r="C575" s="618"/>
      <c r="D575" s="618"/>
      <c r="E575" s="626"/>
      <c r="F575" s="626"/>
      <c r="G575" s="762"/>
      <c r="H575" s="764" t="s">
        <v>34</v>
      </c>
      <c r="I575" s="184"/>
      <c r="J575" s="215">
        <v>265</v>
      </c>
      <c r="K575" s="163"/>
      <c r="L575" s="163"/>
      <c r="M575" s="163"/>
      <c r="N575" s="163"/>
      <c r="O575" s="163"/>
      <c r="P575" s="163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</row>
    <row r="576" spans="1:26" ht="19.5">
      <c r="A576" s="608"/>
      <c r="B576" s="618"/>
      <c r="C576" s="625" t="s">
        <v>244</v>
      </c>
      <c r="D576" s="618"/>
      <c r="E576" s="618"/>
      <c r="F576" s="626"/>
      <c r="G576" s="762"/>
      <c r="H576" s="767" t="s">
        <v>46</v>
      </c>
      <c r="I576" s="193">
        <f ca="1">IFERROR(__xludf.DUMMYFUNCTION("IMPORTRANGE(""https://docs.google.com/spreadsheets/d/1QqKyyYR6Q21VydFLVH3TRQUabQu_ym0Zz7PgGX0-kHA/edit?usp=sharing"",""แผน!HH34"")"),99295.27)</f>
        <v>99295.27</v>
      </c>
      <c r="J576" s="681">
        <f t="shared" ref="J576:J577" si="250">J578+J580+J582+J588+J590</f>
        <v>99294.76</v>
      </c>
      <c r="K576" s="411">
        <f t="shared" ref="K576:K577" ca="1" si="251">IF(I576&gt;0,J576*100/I576,0)</f>
        <v>99.999486380368367</v>
      </c>
      <c r="L576" s="163"/>
      <c r="M576" s="163"/>
      <c r="N576" s="163"/>
      <c r="O576" s="163"/>
      <c r="P576" s="163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</row>
    <row r="577" spans="1:26" ht="19.5">
      <c r="A577" s="608"/>
      <c r="B577" s="618"/>
      <c r="C577" s="618"/>
      <c r="D577" s="618"/>
      <c r="E577" s="626"/>
      <c r="F577" s="626"/>
      <c r="G577" s="762"/>
      <c r="H577" s="767" t="s">
        <v>34</v>
      </c>
      <c r="I577" s="193">
        <f ca="1">IFERROR(__xludf.DUMMYFUNCTION("IMPORTRANGE(""https://docs.google.com/spreadsheets/d/1QqKyyYR6Q21VydFLVH3TRQUabQu_ym0Zz7PgGX0-kHA/edit?usp=sharing"",""แผน!HG34"")"),8010)</f>
        <v>8010</v>
      </c>
      <c r="J577" s="681">
        <f t="shared" si="250"/>
        <v>8010</v>
      </c>
      <c r="K577" s="411">
        <f t="shared" ca="1" si="251"/>
        <v>100</v>
      </c>
      <c r="L577" s="163"/>
      <c r="M577" s="163"/>
      <c r="N577" s="163"/>
      <c r="O577" s="163"/>
      <c r="P577" s="163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</row>
    <row r="578" spans="1:26" ht="18.75">
      <c r="A578" s="608"/>
      <c r="B578" s="618"/>
      <c r="C578" s="618"/>
      <c r="D578" s="626" t="s">
        <v>245</v>
      </c>
      <c r="E578" s="626"/>
      <c r="F578" s="626"/>
      <c r="G578" s="762"/>
      <c r="H578" s="764" t="s">
        <v>46</v>
      </c>
      <c r="I578" s="184"/>
      <c r="J578" s="215">
        <v>89603.5</v>
      </c>
      <c r="K578" s="163"/>
      <c r="L578" s="163"/>
      <c r="M578" s="163"/>
      <c r="N578" s="163"/>
      <c r="O578" s="163"/>
      <c r="P578" s="163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</row>
    <row r="579" spans="1:26" ht="18.75">
      <c r="A579" s="608"/>
      <c r="B579" s="618"/>
      <c r="C579" s="618"/>
      <c r="D579" s="618"/>
      <c r="E579" s="626"/>
      <c r="F579" s="626"/>
      <c r="G579" s="762"/>
      <c r="H579" s="764" t="s">
        <v>34</v>
      </c>
      <c r="I579" s="184"/>
      <c r="J579" s="215">
        <v>7321</v>
      </c>
      <c r="K579" s="163"/>
      <c r="L579" s="163"/>
      <c r="M579" s="163"/>
      <c r="N579" s="163"/>
      <c r="O579" s="163"/>
      <c r="P579" s="163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</row>
    <row r="580" spans="1:26" ht="18.75">
      <c r="A580" s="608"/>
      <c r="B580" s="618"/>
      <c r="C580" s="618"/>
      <c r="D580" s="626" t="s">
        <v>246</v>
      </c>
      <c r="E580" s="626"/>
      <c r="F580" s="626"/>
      <c r="G580" s="762"/>
      <c r="H580" s="764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</row>
    <row r="581" spans="1:26" ht="18.75">
      <c r="A581" s="608"/>
      <c r="B581" s="618"/>
      <c r="C581" s="618"/>
      <c r="D581" s="618"/>
      <c r="E581" s="626"/>
      <c r="F581" s="626"/>
      <c r="G581" s="762"/>
      <c r="H581" s="764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</row>
    <row r="582" spans="1:26" ht="19.5">
      <c r="A582" s="608"/>
      <c r="B582" s="618"/>
      <c r="C582" s="618"/>
      <c r="D582" s="626" t="s">
        <v>247</v>
      </c>
      <c r="E582" s="626"/>
      <c r="F582" s="626"/>
      <c r="G582" s="762"/>
      <c r="H582" s="764" t="s">
        <v>46</v>
      </c>
      <c r="I582" s="184"/>
      <c r="J582" s="681">
        <f t="shared" ref="J582:J583" si="252">J584+J586</f>
        <v>2884.3850000000002</v>
      </c>
      <c r="K582" s="411"/>
      <c r="L582" s="163"/>
      <c r="M582" s="163"/>
      <c r="N582" s="163"/>
      <c r="O582" s="163"/>
      <c r="P582" s="163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</row>
    <row r="583" spans="1:26" ht="19.5">
      <c r="A583" s="608"/>
      <c r="B583" s="618"/>
      <c r="C583" s="618"/>
      <c r="D583" s="618"/>
      <c r="E583" s="626"/>
      <c r="F583" s="626"/>
      <c r="G583" s="762"/>
      <c r="H583" s="764" t="s">
        <v>34</v>
      </c>
      <c r="I583" s="184"/>
      <c r="J583" s="681">
        <f t="shared" si="252"/>
        <v>255</v>
      </c>
      <c r="K583" s="411"/>
      <c r="L583" s="163"/>
      <c r="M583" s="163"/>
      <c r="N583" s="163"/>
      <c r="O583" s="163"/>
      <c r="P583" s="163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</row>
    <row r="584" spans="1:26" ht="18.75">
      <c r="A584" s="608"/>
      <c r="B584" s="618"/>
      <c r="C584" s="618"/>
      <c r="D584" s="618"/>
      <c r="E584" s="626" t="s">
        <v>248</v>
      </c>
      <c r="F584" s="626"/>
      <c r="G584" s="762"/>
      <c r="H584" s="764" t="s">
        <v>46</v>
      </c>
      <c r="I584" s="184"/>
      <c r="J584" s="215">
        <v>2884.3850000000002</v>
      </c>
      <c r="K584" s="163"/>
      <c r="L584" s="163"/>
      <c r="M584" s="163"/>
      <c r="N584" s="163"/>
      <c r="O584" s="163"/>
      <c r="P584" s="163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</row>
    <row r="585" spans="1:26" ht="18.75">
      <c r="A585" s="608"/>
      <c r="B585" s="618"/>
      <c r="C585" s="618"/>
      <c r="D585" s="618"/>
      <c r="E585" s="626"/>
      <c r="F585" s="626"/>
      <c r="G585" s="762"/>
      <c r="H585" s="764" t="s">
        <v>34</v>
      </c>
      <c r="I585" s="184"/>
      <c r="J585" s="215">
        <v>255</v>
      </c>
      <c r="K585" s="163"/>
      <c r="L585" s="163"/>
      <c r="M585" s="163"/>
      <c r="N585" s="163"/>
      <c r="O585" s="163"/>
      <c r="P585" s="163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</row>
    <row r="586" spans="1:26" ht="18.75">
      <c r="A586" s="608"/>
      <c r="B586" s="618"/>
      <c r="C586" s="618"/>
      <c r="D586" s="618"/>
      <c r="E586" s="626" t="s">
        <v>249</v>
      </c>
      <c r="F586" s="626"/>
      <c r="G586" s="762"/>
      <c r="H586" s="76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</row>
    <row r="587" spans="1:26" ht="18.75">
      <c r="A587" s="608"/>
      <c r="B587" s="618"/>
      <c r="C587" s="618"/>
      <c r="D587" s="618"/>
      <c r="E587" s="618"/>
      <c r="F587" s="626"/>
      <c r="G587" s="762"/>
      <c r="H587" s="76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</row>
    <row r="588" spans="1:26" ht="18.75">
      <c r="A588" s="608"/>
      <c r="B588" s="618"/>
      <c r="C588" s="618"/>
      <c r="D588" s="626" t="s">
        <v>250</v>
      </c>
      <c r="E588" s="626"/>
      <c r="F588" s="626"/>
      <c r="G588" s="762"/>
      <c r="H588" s="764" t="s">
        <v>46</v>
      </c>
      <c r="I588" s="184"/>
      <c r="J588" s="215">
        <v>6806.875</v>
      </c>
      <c r="K588" s="163"/>
      <c r="L588" s="163"/>
      <c r="M588" s="163"/>
      <c r="N588" s="163"/>
      <c r="O588" s="163"/>
      <c r="P588" s="163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</row>
    <row r="589" spans="1:26" ht="18.75">
      <c r="A589" s="608"/>
      <c r="B589" s="618"/>
      <c r="C589" s="618"/>
      <c r="D589" s="618"/>
      <c r="E589" s="618"/>
      <c r="F589" s="626"/>
      <c r="G589" s="762"/>
      <c r="H589" s="764" t="s">
        <v>34</v>
      </c>
      <c r="I589" s="184"/>
      <c r="J589" s="215">
        <v>434</v>
      </c>
      <c r="K589" s="163"/>
      <c r="L589" s="163"/>
      <c r="M589" s="163"/>
      <c r="N589" s="163"/>
      <c r="O589" s="163"/>
      <c r="P589" s="163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</row>
    <row r="590" spans="1:26" ht="18.75">
      <c r="A590" s="608"/>
      <c r="B590" s="618"/>
      <c r="C590" s="618"/>
      <c r="D590" s="626" t="s">
        <v>251</v>
      </c>
      <c r="E590" s="626"/>
      <c r="F590" s="626"/>
      <c r="G590" s="762"/>
      <c r="H590" s="76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</row>
    <row r="591" spans="1:26" ht="18.75">
      <c r="A591" s="696"/>
      <c r="B591" s="697"/>
      <c r="C591" s="697"/>
      <c r="D591" s="697"/>
      <c r="E591" s="578"/>
      <c r="F591" s="578"/>
      <c r="G591" s="698"/>
      <c r="H591" s="699" t="s">
        <v>34</v>
      </c>
      <c r="I591" s="700"/>
      <c r="J591" s="701">
        <v>0</v>
      </c>
      <c r="K591" s="702"/>
      <c r="L591" s="702"/>
      <c r="M591" s="702"/>
      <c r="N591" s="702"/>
      <c r="O591" s="702"/>
      <c r="P591" s="702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</row>
    <row r="592" spans="1:26" ht="19.5">
      <c r="A592" s="692"/>
      <c r="B592" s="693" t="s">
        <v>252</v>
      </c>
      <c r="C592" s="694"/>
      <c r="D592" s="694"/>
      <c r="E592" s="673"/>
      <c r="F592" s="673"/>
      <c r="G592" s="674"/>
      <c r="H592" s="695" t="s">
        <v>46</v>
      </c>
      <c r="I592" s="703">
        <f t="shared" ref="I592:J592" ca="1" si="253">I593</f>
        <v>8081.89</v>
      </c>
      <c r="J592" s="708">
        <f t="shared" si="253"/>
        <v>5429.3575000000001</v>
      </c>
      <c r="K592" s="677">
        <f t="shared" ref="K592:K594" ca="1" si="254">IF(I592&gt;0,J592*100/I592,0)</f>
        <v>67.17930459335625</v>
      </c>
      <c r="L592" s="678"/>
      <c r="M592" s="678"/>
      <c r="N592" s="678"/>
      <c r="O592" s="678"/>
      <c r="P592" s="6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</row>
    <row r="593" spans="1:26" ht="19.5">
      <c r="A593" s="608"/>
      <c r="B593" s="618"/>
      <c r="C593" s="625" t="s">
        <v>253</v>
      </c>
      <c r="D593" s="618"/>
      <c r="E593" s="618"/>
      <c r="F593" s="626"/>
      <c r="G593" s="762"/>
      <c r="H593" s="767" t="s">
        <v>46</v>
      </c>
      <c r="I593" s="704">
        <f ca="1">IFERROR(__xludf.DUMMYFUNCTION("IMPORTRANGE(""https://docs.google.com/spreadsheets/d/1QqKyyYR6Q21VydFLVH3TRQUabQu_ym0Zz7PgGX0-kHA/edit?usp=sharing"",""แผน!HJ34"")"),8081.89)</f>
        <v>8081.89</v>
      </c>
      <c r="J593" s="193">
        <f t="shared" ref="J593:J594" si="255">J595+J603+J609</f>
        <v>5429.3575000000001</v>
      </c>
      <c r="K593" s="411">
        <f t="shared" ca="1" si="254"/>
        <v>67.17930459335625</v>
      </c>
      <c r="L593" s="163"/>
      <c r="M593" s="163"/>
      <c r="N593" s="163"/>
      <c r="O593" s="163"/>
      <c r="P593" s="163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</row>
    <row r="594" spans="1:26" ht="19.5">
      <c r="A594" s="608"/>
      <c r="B594" s="618"/>
      <c r="C594" s="618"/>
      <c r="D594" s="618"/>
      <c r="E594" s="626"/>
      <c r="F594" s="626"/>
      <c r="G594" s="762"/>
      <c r="H594" s="767" t="s">
        <v>34</v>
      </c>
      <c r="I594" s="193">
        <f ca="1">IFERROR(__xludf.DUMMYFUNCTION("IMPORTRANGE(""https://docs.google.com/spreadsheets/d/1QqKyyYR6Q21VydFLVH3TRQUabQu_ym0Zz7PgGX0-kHA/edit?usp=sharing"",""แผน!HI34"")"),699)</f>
        <v>699</v>
      </c>
      <c r="J594" s="193">
        <f t="shared" si="255"/>
        <v>473</v>
      </c>
      <c r="K594" s="411">
        <f t="shared" ca="1" si="254"/>
        <v>67.668097281831194</v>
      </c>
      <c r="L594" s="163"/>
      <c r="M594" s="163"/>
      <c r="N594" s="163"/>
      <c r="O594" s="163"/>
      <c r="P594" s="163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</row>
    <row r="595" spans="1:26" ht="18.75">
      <c r="A595" s="608"/>
      <c r="B595" s="618"/>
      <c r="C595" s="618" t="s">
        <v>254</v>
      </c>
      <c r="D595" s="618"/>
      <c r="E595" s="618"/>
      <c r="F595" s="626"/>
      <c r="G595" s="762"/>
      <c r="H595" s="764" t="s">
        <v>46</v>
      </c>
      <c r="I595" s="184"/>
      <c r="J595" s="184">
        <f t="shared" ref="J595:J596" si="256">J597+J599</f>
        <v>4550.0150000000003</v>
      </c>
      <c r="K595" s="163"/>
      <c r="L595" s="163"/>
      <c r="M595" s="163"/>
      <c r="N595" s="163"/>
      <c r="O595" s="163"/>
      <c r="P595" s="163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</row>
    <row r="596" spans="1:26" ht="18.75">
      <c r="A596" s="608"/>
      <c r="B596" s="618"/>
      <c r="C596" s="618"/>
      <c r="D596" s="618"/>
      <c r="E596" s="626"/>
      <c r="F596" s="626"/>
      <c r="G596" s="762"/>
      <c r="H596" s="764" t="s">
        <v>34</v>
      </c>
      <c r="I596" s="184"/>
      <c r="J596" s="184">
        <f t="shared" si="256"/>
        <v>399</v>
      </c>
      <c r="K596" s="163"/>
      <c r="L596" s="163"/>
      <c r="M596" s="163"/>
      <c r="N596" s="163"/>
      <c r="O596" s="163"/>
      <c r="P596" s="163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</row>
    <row r="597" spans="1:26" ht="18.75">
      <c r="A597" s="608"/>
      <c r="B597" s="618"/>
      <c r="C597" s="618"/>
      <c r="D597" s="746" t="s">
        <v>255</v>
      </c>
      <c r="E597" s="626"/>
      <c r="F597" s="626"/>
      <c r="G597" s="762"/>
      <c r="H597" s="764" t="s">
        <v>46</v>
      </c>
      <c r="I597" s="184"/>
      <c r="J597" s="215">
        <v>4550.0150000000003</v>
      </c>
      <c r="K597" s="163"/>
      <c r="L597" s="163"/>
      <c r="M597" s="163"/>
      <c r="N597" s="163"/>
      <c r="O597" s="163"/>
      <c r="P597" s="163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</row>
    <row r="598" spans="1:26" ht="18.75">
      <c r="A598" s="608"/>
      <c r="B598" s="618"/>
      <c r="C598" s="618"/>
      <c r="D598" s="618"/>
      <c r="E598" s="626"/>
      <c r="F598" s="626"/>
      <c r="G598" s="762"/>
      <c r="H598" s="764" t="s">
        <v>34</v>
      </c>
      <c r="I598" s="270"/>
      <c r="J598" s="215">
        <v>399</v>
      </c>
      <c r="K598" s="163"/>
      <c r="L598" s="163"/>
      <c r="M598" s="163"/>
      <c r="N598" s="163"/>
      <c r="O598" s="163"/>
      <c r="P598" s="163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</row>
    <row r="599" spans="1:26" ht="18.75">
      <c r="A599" s="608"/>
      <c r="B599" s="618"/>
      <c r="C599" s="618"/>
      <c r="D599" s="746" t="s">
        <v>256</v>
      </c>
      <c r="E599" s="626"/>
      <c r="F599" s="626"/>
      <c r="G599" s="762"/>
      <c r="H599" s="764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</row>
    <row r="600" spans="1:26" ht="18.75">
      <c r="A600" s="608"/>
      <c r="B600" s="618"/>
      <c r="C600" s="618"/>
      <c r="D600" s="618"/>
      <c r="E600" s="626"/>
      <c r="F600" s="626"/>
      <c r="G600" s="762"/>
      <c r="H600" s="764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</row>
    <row r="601" spans="1:26" ht="18.75">
      <c r="A601" s="608"/>
      <c r="B601" s="618"/>
      <c r="C601" s="618"/>
      <c r="D601" s="746" t="s">
        <v>257</v>
      </c>
      <c r="E601" s="626"/>
      <c r="F601" s="626"/>
      <c r="G601" s="762"/>
      <c r="H601" s="76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</row>
    <row r="602" spans="1:26" ht="18.75">
      <c r="A602" s="608"/>
      <c r="B602" s="618"/>
      <c r="C602" s="618"/>
      <c r="D602" s="618"/>
      <c r="E602" s="626"/>
      <c r="F602" s="626"/>
      <c r="G602" s="762"/>
      <c r="H602" s="76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</row>
    <row r="603" spans="1:26" ht="18.75">
      <c r="A603" s="608"/>
      <c r="B603" s="618"/>
      <c r="C603" s="705" t="s">
        <v>258</v>
      </c>
      <c r="D603" s="618"/>
      <c r="E603" s="618"/>
      <c r="F603" s="626"/>
      <c r="G603" s="762"/>
      <c r="H603" s="764" t="s">
        <v>46</v>
      </c>
      <c r="I603" s="270"/>
      <c r="J603" s="270">
        <f t="shared" ref="J603:J604" si="257">J605+J607</f>
        <v>879.34249999999997</v>
      </c>
      <c r="K603" s="163"/>
      <c r="L603" s="163"/>
      <c r="M603" s="163"/>
      <c r="N603" s="163"/>
      <c r="O603" s="163"/>
      <c r="P603" s="163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</row>
    <row r="604" spans="1:26" ht="18.75">
      <c r="A604" s="608"/>
      <c r="B604" s="618"/>
      <c r="C604" s="618"/>
      <c r="D604" s="618"/>
      <c r="E604" s="626"/>
      <c r="F604" s="626"/>
      <c r="G604" s="762"/>
      <c r="H604" s="764" t="s">
        <v>34</v>
      </c>
      <c r="I604" s="270"/>
      <c r="J604" s="270">
        <f t="shared" si="257"/>
        <v>74</v>
      </c>
      <c r="K604" s="163"/>
      <c r="L604" s="163"/>
      <c r="M604" s="163"/>
      <c r="N604" s="163"/>
      <c r="O604" s="163"/>
      <c r="P604" s="163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</row>
    <row r="605" spans="1:26" ht="18.75">
      <c r="A605" s="608"/>
      <c r="B605" s="618"/>
      <c r="C605" s="618"/>
      <c r="D605" s="705" t="s">
        <v>259</v>
      </c>
      <c r="E605" s="626"/>
      <c r="F605" s="626"/>
      <c r="G605" s="762"/>
      <c r="H605" s="764" t="s">
        <v>46</v>
      </c>
      <c r="I605" s="270"/>
      <c r="J605" s="215">
        <v>720.46500000000003</v>
      </c>
      <c r="K605" s="163"/>
      <c r="L605" s="163"/>
      <c r="M605" s="163"/>
      <c r="N605" s="163"/>
      <c r="O605" s="163"/>
      <c r="P605" s="163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</row>
    <row r="606" spans="1:26" ht="18.75">
      <c r="A606" s="608"/>
      <c r="B606" s="618"/>
      <c r="C606" s="618"/>
      <c r="D606" s="618"/>
      <c r="E606" s="618"/>
      <c r="F606" s="626"/>
      <c r="G606" s="762"/>
      <c r="H606" s="764" t="s">
        <v>34</v>
      </c>
      <c r="I606" s="270"/>
      <c r="J606" s="215">
        <v>62</v>
      </c>
      <c r="K606" s="163"/>
      <c r="L606" s="163"/>
      <c r="M606" s="163"/>
      <c r="N606" s="163"/>
      <c r="O606" s="163"/>
      <c r="P606" s="163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</row>
    <row r="607" spans="1:26" ht="18.75">
      <c r="A607" s="608"/>
      <c r="B607" s="618"/>
      <c r="C607" s="618"/>
      <c r="D607" s="705" t="s">
        <v>260</v>
      </c>
      <c r="E607" s="618"/>
      <c r="F607" s="626"/>
      <c r="G607" s="762"/>
      <c r="H607" s="764" t="s">
        <v>46</v>
      </c>
      <c r="I607" s="270"/>
      <c r="J607" s="215">
        <v>158.8775</v>
      </c>
      <c r="K607" s="163"/>
      <c r="L607" s="163"/>
      <c r="M607" s="163"/>
      <c r="N607" s="163"/>
      <c r="O607" s="163"/>
      <c r="P607" s="163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</row>
    <row r="608" spans="1:26" ht="18.75">
      <c r="A608" s="608"/>
      <c r="B608" s="618"/>
      <c r="C608" s="618"/>
      <c r="D608" s="618"/>
      <c r="E608" s="626"/>
      <c r="F608" s="626"/>
      <c r="G608" s="762"/>
      <c r="H608" s="764" t="s">
        <v>34</v>
      </c>
      <c r="I608" s="270"/>
      <c r="J608" s="215">
        <v>12</v>
      </c>
      <c r="K608" s="163"/>
      <c r="L608" s="163"/>
      <c r="M608" s="163"/>
      <c r="N608" s="163"/>
      <c r="O608" s="163"/>
      <c r="P608" s="163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</row>
    <row r="609" spans="1:26" ht="18.75">
      <c r="A609" s="608"/>
      <c r="B609" s="618"/>
      <c r="C609" s="618" t="s">
        <v>261</v>
      </c>
      <c r="D609" s="618"/>
      <c r="E609" s="618"/>
      <c r="F609" s="626"/>
      <c r="G609" s="762"/>
      <c r="H609" s="764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</row>
    <row r="610" spans="1:26" ht="18.75">
      <c r="A610" s="608"/>
      <c r="B610" s="618"/>
      <c r="C610" s="618"/>
      <c r="D610" s="618"/>
      <c r="E610" s="626"/>
      <c r="F610" s="626"/>
      <c r="G610" s="762"/>
      <c r="H610" s="764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</row>
    <row r="611" spans="1:26" ht="19.5">
      <c r="A611" s="692"/>
      <c r="B611" s="706" t="s">
        <v>262</v>
      </c>
      <c r="C611" s="694"/>
      <c r="D611" s="694"/>
      <c r="E611" s="673"/>
      <c r="F611" s="673"/>
      <c r="G611" s="674"/>
      <c r="H611" s="707" t="s">
        <v>46</v>
      </c>
      <c r="I611" s="708">
        <v>0</v>
      </c>
      <c r="J611" s="708">
        <f>J614+J616</f>
        <v>0</v>
      </c>
      <c r="K611" s="677">
        <f t="shared" ref="K611:K613" si="258">IF(I611&gt;0,J611*100/I611,0)</f>
        <v>0</v>
      </c>
      <c r="L611" s="678"/>
      <c r="M611" s="678"/>
      <c r="N611" s="678"/>
      <c r="O611" s="678"/>
      <c r="P611" s="6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</row>
    <row r="612" spans="1:26" ht="19.5" hidden="1">
      <c r="A612" s="709"/>
      <c r="B612" s="719"/>
      <c r="C612" s="711" t="s">
        <v>263</v>
      </c>
      <c r="D612" s="719"/>
      <c r="E612" s="719"/>
      <c r="F612" s="712"/>
      <c r="G612" s="713"/>
      <c r="H612" s="714" t="s">
        <v>46</v>
      </c>
      <c r="I612" s="716">
        <v>0</v>
      </c>
      <c r="J612" s="716">
        <f t="shared" ref="J612:J613" si="259">J614+J616</f>
        <v>0</v>
      </c>
      <c r="K612" s="717">
        <f t="shared" si="258"/>
        <v>0</v>
      </c>
      <c r="L612" s="718"/>
      <c r="M612" s="718"/>
      <c r="N612" s="718"/>
      <c r="O612" s="718"/>
      <c r="P612" s="718"/>
      <c r="Q612" s="604"/>
      <c r="R612" s="604"/>
      <c r="S612" s="604"/>
      <c r="T612" s="604"/>
      <c r="U612" s="604"/>
      <c r="V612" s="604"/>
      <c r="W612" s="604"/>
      <c r="X612" s="604"/>
      <c r="Y612" s="604"/>
      <c r="Z612" s="604"/>
    </row>
    <row r="613" spans="1:26" ht="19.5" hidden="1">
      <c r="A613" s="709"/>
      <c r="B613" s="719"/>
      <c r="C613" s="719" t="s">
        <v>264</v>
      </c>
      <c r="D613" s="719"/>
      <c r="E613" s="719"/>
      <c r="F613" s="712"/>
      <c r="G613" s="713"/>
      <c r="H613" s="714" t="s">
        <v>34</v>
      </c>
      <c r="I613" s="716">
        <v>0</v>
      </c>
      <c r="J613" s="716">
        <f t="shared" si="259"/>
        <v>0</v>
      </c>
      <c r="K613" s="717">
        <f t="shared" si="258"/>
        <v>0</v>
      </c>
      <c r="L613" s="718"/>
      <c r="M613" s="718"/>
      <c r="N613" s="718"/>
      <c r="O613" s="718"/>
      <c r="P613" s="718"/>
      <c r="Q613" s="604"/>
      <c r="R613" s="604"/>
      <c r="S613" s="604"/>
      <c r="T613" s="604"/>
      <c r="U613" s="604"/>
      <c r="V613" s="604"/>
      <c r="W613" s="604"/>
      <c r="X613" s="604"/>
      <c r="Y613" s="604"/>
      <c r="Z613" s="604"/>
    </row>
    <row r="614" spans="1:26" ht="18.75" hidden="1">
      <c r="A614" s="614"/>
      <c r="B614" s="616"/>
      <c r="C614" s="616"/>
      <c r="D614" s="720" t="s">
        <v>265</v>
      </c>
      <c r="E614" s="616"/>
      <c r="F614" s="720"/>
      <c r="G614" s="366"/>
      <c r="H614" s="370" t="s">
        <v>46</v>
      </c>
      <c r="I614" s="617"/>
      <c r="J614" s="617">
        <v>0</v>
      </c>
      <c r="K614" s="167"/>
      <c r="L614" s="167"/>
      <c r="M614" s="167"/>
      <c r="N614" s="167"/>
      <c r="O614" s="167"/>
      <c r="P614" s="167"/>
      <c r="Q614" s="604"/>
      <c r="R614" s="604"/>
      <c r="S614" s="604"/>
      <c r="T614" s="604"/>
      <c r="U614" s="604"/>
      <c r="V614" s="604"/>
      <c r="W614" s="604"/>
      <c r="X614" s="604"/>
      <c r="Y614" s="604"/>
      <c r="Z614" s="604"/>
    </row>
    <row r="615" spans="1:26" ht="18.75" hidden="1">
      <c r="A615" s="614"/>
      <c r="B615" s="616"/>
      <c r="C615" s="616"/>
      <c r="D615" s="616"/>
      <c r="E615" s="616"/>
      <c r="F615" s="720"/>
      <c r="G615" s="366"/>
      <c r="H615" s="370" t="s">
        <v>34</v>
      </c>
      <c r="I615" s="617"/>
      <c r="J615" s="617">
        <v>0</v>
      </c>
      <c r="K615" s="167"/>
      <c r="L615" s="167"/>
      <c r="M615" s="167"/>
      <c r="N615" s="167"/>
      <c r="O615" s="167"/>
      <c r="P615" s="167"/>
      <c r="Q615" s="604"/>
      <c r="R615" s="604"/>
      <c r="S615" s="604"/>
      <c r="T615" s="604"/>
      <c r="U615" s="604"/>
      <c r="V615" s="604"/>
      <c r="W615" s="604"/>
      <c r="X615" s="604"/>
      <c r="Y615" s="604"/>
      <c r="Z615" s="604"/>
    </row>
    <row r="616" spans="1:26" ht="18.75" hidden="1">
      <c r="A616" s="614"/>
      <c r="B616" s="616"/>
      <c r="C616" s="616"/>
      <c r="D616" s="721" t="s">
        <v>265</v>
      </c>
      <c r="E616" s="720"/>
      <c r="F616" s="720"/>
      <c r="G616" s="366"/>
      <c r="H616" s="370" t="s">
        <v>46</v>
      </c>
      <c r="I616" s="617"/>
      <c r="J616" s="617">
        <v>0</v>
      </c>
      <c r="K616" s="167"/>
      <c r="L616" s="167"/>
      <c r="M616" s="167"/>
      <c r="N616" s="167"/>
      <c r="O616" s="167"/>
      <c r="P616" s="167"/>
      <c r="Q616" s="604"/>
      <c r="R616" s="604"/>
      <c r="S616" s="604"/>
      <c r="T616" s="604"/>
      <c r="U616" s="604"/>
      <c r="V616" s="604"/>
      <c r="W616" s="604"/>
      <c r="X616" s="604"/>
      <c r="Y616" s="604"/>
      <c r="Z616" s="604"/>
    </row>
    <row r="617" spans="1:26" ht="18.75" hidden="1">
      <c r="A617" s="614"/>
      <c r="B617" s="616"/>
      <c r="C617" s="616"/>
      <c r="D617" s="616"/>
      <c r="E617" s="720"/>
      <c r="F617" s="720"/>
      <c r="G617" s="366"/>
      <c r="H617" s="370" t="s">
        <v>34</v>
      </c>
      <c r="I617" s="617"/>
      <c r="J617" s="617">
        <v>0</v>
      </c>
      <c r="K617" s="167"/>
      <c r="L617" s="167"/>
      <c r="M617" s="167"/>
      <c r="N617" s="167"/>
      <c r="O617" s="167"/>
      <c r="P617" s="167"/>
      <c r="Q617" s="604"/>
      <c r="R617" s="604"/>
      <c r="S617" s="604"/>
      <c r="T617" s="604"/>
      <c r="U617" s="604"/>
      <c r="V617" s="604"/>
      <c r="W617" s="604"/>
      <c r="X617" s="604"/>
      <c r="Y617" s="604"/>
      <c r="Z617" s="604"/>
    </row>
    <row r="618" spans="1:26" ht="18.75" hidden="1">
      <c r="A618" s="614"/>
      <c r="B618" s="616"/>
      <c r="C618" s="616"/>
      <c r="D618" s="721" t="s">
        <v>266</v>
      </c>
      <c r="E618" s="720"/>
      <c r="F618" s="720"/>
      <c r="G618" s="366"/>
      <c r="H618" s="370" t="s">
        <v>46</v>
      </c>
      <c r="I618" s="617"/>
      <c r="J618" s="617">
        <v>0</v>
      </c>
      <c r="K618" s="167"/>
      <c r="L618" s="167"/>
      <c r="M618" s="167"/>
      <c r="N618" s="167"/>
      <c r="O618" s="167"/>
      <c r="P618" s="167"/>
      <c r="Q618" s="604"/>
      <c r="R618" s="604"/>
      <c r="S618" s="604"/>
      <c r="T618" s="604"/>
      <c r="U618" s="604"/>
      <c r="V618" s="604"/>
      <c r="W618" s="604"/>
      <c r="X618" s="604"/>
      <c r="Y618" s="604"/>
      <c r="Z618" s="604"/>
    </row>
    <row r="619" spans="1:26" ht="18.75" hidden="1">
      <c r="A619" s="614"/>
      <c r="B619" s="616"/>
      <c r="C619" s="616"/>
      <c r="D619" s="616"/>
      <c r="E619" s="720"/>
      <c r="F619" s="720"/>
      <c r="G619" s="366"/>
      <c r="H619" s="370" t="s">
        <v>34</v>
      </c>
      <c r="I619" s="617"/>
      <c r="J619" s="617">
        <v>0</v>
      </c>
      <c r="K619" s="167"/>
      <c r="L619" s="167"/>
      <c r="M619" s="167"/>
      <c r="N619" s="167"/>
      <c r="O619" s="167"/>
      <c r="P619" s="167"/>
      <c r="Q619" s="604"/>
      <c r="R619" s="604"/>
      <c r="S619" s="604"/>
      <c r="T619" s="604"/>
      <c r="U619" s="604"/>
      <c r="V619" s="604"/>
      <c r="W619" s="604"/>
      <c r="X619" s="604"/>
      <c r="Y619" s="604"/>
      <c r="Z619" s="604"/>
    </row>
    <row r="620" spans="1:26" ht="19.5">
      <c r="A620" s="722"/>
      <c r="B620" s="731"/>
      <c r="C620" s="724" t="s">
        <v>267</v>
      </c>
      <c r="D620" s="731"/>
      <c r="E620" s="731"/>
      <c r="F620" s="725"/>
      <c r="G620" s="726"/>
      <c r="H620" s="727" t="s">
        <v>46</v>
      </c>
      <c r="I620" s="728">
        <f ca="1">IFERROR(__xludf.DUMMYFUNCTION("IMPORTRANGE(""https://docs.google.com/spreadsheets/d/1QqKyyYR6Q21VydFLVH3TRQUabQu_ym0Zz7PgGX0-kHA/edit?usp=sharing"",""แผน!HL34"")"),121)</f>
        <v>121</v>
      </c>
      <c r="J620" s="728">
        <f t="shared" ref="J620:J621" si="260">J622+J624+J626</f>
        <v>121</v>
      </c>
      <c r="K620" s="729">
        <f t="shared" ref="K620:K621" ca="1" si="261">IF(I620&gt;0,J620*100/I620,0)</f>
        <v>100</v>
      </c>
      <c r="L620" s="730"/>
      <c r="M620" s="730"/>
      <c r="N620" s="730"/>
      <c r="O620" s="730"/>
      <c r="P620" s="730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</row>
    <row r="621" spans="1:26" ht="19.5">
      <c r="A621" s="722"/>
      <c r="B621" s="731"/>
      <c r="C621" s="731" t="s">
        <v>268</v>
      </c>
      <c r="D621" s="731"/>
      <c r="E621" s="731"/>
      <c r="F621" s="725"/>
      <c r="G621" s="726"/>
      <c r="H621" s="727" t="s">
        <v>34</v>
      </c>
      <c r="I621" s="728">
        <f ca="1">IFERROR(__xludf.DUMMYFUNCTION("IMPORTRANGE(""https://docs.google.com/spreadsheets/d/1QqKyyYR6Q21VydFLVH3TRQUabQu_ym0Zz7PgGX0-kHA/edit?usp=sharing"",""แผน!HK34"")"),6)</f>
        <v>6</v>
      </c>
      <c r="J621" s="728">
        <f t="shared" si="260"/>
        <v>6</v>
      </c>
      <c r="K621" s="729">
        <f t="shared" ca="1" si="261"/>
        <v>100</v>
      </c>
      <c r="L621" s="730"/>
      <c r="M621" s="730"/>
      <c r="N621" s="730"/>
      <c r="O621" s="730"/>
      <c r="P621" s="730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</row>
    <row r="622" spans="1:26" ht="18.75">
      <c r="A622" s="608"/>
      <c r="B622" s="618"/>
      <c r="C622" s="618"/>
      <c r="D622" s="746" t="s">
        <v>269</v>
      </c>
      <c r="E622" s="626"/>
      <c r="F622" s="626"/>
      <c r="G622" s="762"/>
      <c r="H622" s="764" t="s">
        <v>46</v>
      </c>
      <c r="I622" s="270"/>
      <c r="J622" s="215">
        <v>32.450000000000003</v>
      </c>
      <c r="K622" s="163"/>
      <c r="L622" s="163"/>
      <c r="M622" s="163"/>
      <c r="N622" s="163"/>
      <c r="O622" s="163"/>
      <c r="P622" s="163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</row>
    <row r="623" spans="1:26" ht="18.75">
      <c r="A623" s="608"/>
      <c r="B623" s="618"/>
      <c r="C623" s="618"/>
      <c r="D623" s="618"/>
      <c r="E623" s="626"/>
      <c r="F623" s="626"/>
      <c r="G623" s="762"/>
      <c r="H623" s="764" t="s">
        <v>34</v>
      </c>
      <c r="I623" s="270"/>
      <c r="J623" s="215">
        <v>3</v>
      </c>
      <c r="K623" s="163"/>
      <c r="L623" s="163"/>
      <c r="M623" s="163"/>
      <c r="N623" s="163"/>
      <c r="O623" s="163"/>
      <c r="P623" s="163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</row>
    <row r="624" spans="1:26" ht="18.75">
      <c r="A624" s="608"/>
      <c r="B624" s="618"/>
      <c r="C624" s="618"/>
      <c r="D624" s="746" t="s">
        <v>265</v>
      </c>
      <c r="E624" s="626"/>
      <c r="F624" s="626"/>
      <c r="G624" s="762"/>
      <c r="H624" s="764" t="s">
        <v>46</v>
      </c>
      <c r="I624" s="270"/>
      <c r="J624" s="215">
        <v>88.55</v>
      </c>
      <c r="K624" s="163"/>
      <c r="L624" s="163"/>
      <c r="M624" s="163"/>
      <c r="N624" s="163"/>
      <c r="O624" s="163"/>
      <c r="P624" s="163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</row>
    <row r="625" spans="1:26" ht="18.75">
      <c r="A625" s="608"/>
      <c r="B625" s="618"/>
      <c r="C625" s="618"/>
      <c r="D625" s="618"/>
      <c r="E625" s="626"/>
      <c r="F625" s="626"/>
      <c r="G625" s="762"/>
      <c r="H625" s="764" t="s">
        <v>34</v>
      </c>
      <c r="I625" s="270"/>
      <c r="J625" s="215">
        <v>3</v>
      </c>
      <c r="K625" s="163"/>
      <c r="L625" s="163"/>
      <c r="M625" s="163"/>
      <c r="N625" s="163"/>
      <c r="O625" s="163"/>
      <c r="P625" s="163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</row>
    <row r="626" spans="1:26" ht="18.75">
      <c r="A626" s="608"/>
      <c r="B626" s="618"/>
      <c r="C626" s="618"/>
      <c r="D626" s="746" t="s">
        <v>270</v>
      </c>
      <c r="E626" s="626"/>
      <c r="F626" s="626"/>
      <c r="G626" s="762"/>
      <c r="H626" s="76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</row>
    <row r="627" spans="1:26" ht="18.75">
      <c r="A627" s="732"/>
      <c r="B627" s="733"/>
      <c r="C627" s="733"/>
      <c r="D627" s="733"/>
      <c r="E627" s="734"/>
      <c r="F627" s="734"/>
      <c r="G627" s="735"/>
      <c r="H627" s="422" t="s">
        <v>34</v>
      </c>
      <c r="I627" s="506"/>
      <c r="J627" s="424">
        <v>0</v>
      </c>
      <c r="K627" s="385"/>
      <c r="L627" s="385"/>
      <c r="M627" s="385"/>
      <c r="N627" s="385"/>
      <c r="O627" s="385"/>
      <c r="P627" s="385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</row>
    <row r="628" spans="1:26" ht="19.5">
      <c r="A628" s="736">
        <v>7</v>
      </c>
      <c r="B628" s="737" t="s">
        <v>271</v>
      </c>
      <c r="C628" s="738"/>
      <c r="D628" s="738"/>
      <c r="E628" s="738"/>
      <c r="F628" s="738"/>
      <c r="G628" s="739"/>
      <c r="H628" s="740" t="s">
        <v>35</v>
      </c>
      <c r="I628" s="741">
        <f t="shared" ref="I628:J628" ca="1" si="262">I651</f>
        <v>1200</v>
      </c>
      <c r="J628" s="741">
        <f t="shared" ca="1" si="262"/>
        <v>1256</v>
      </c>
      <c r="K628" s="742">
        <f ca="1">IF(I628&gt;0,J628*100/I628,0)</f>
        <v>104.66666666666667</v>
      </c>
      <c r="L628" s="743"/>
      <c r="M628" s="743"/>
      <c r="N628" s="743"/>
      <c r="O628" s="743"/>
      <c r="P628" s="743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</row>
    <row r="629" spans="1:26" ht="19.5">
      <c r="A629" s="597"/>
      <c r="B629" s="763"/>
      <c r="C629" s="763" t="s">
        <v>16</v>
      </c>
      <c r="D629" s="863" t="s">
        <v>17</v>
      </c>
      <c r="E629" s="857"/>
      <c r="F629" s="857"/>
      <c r="G629" s="189"/>
      <c r="H629" s="598" t="s">
        <v>12</v>
      </c>
      <c r="I629" s="270"/>
      <c r="J629" s="270"/>
      <c r="K629" s="498"/>
      <c r="L629" s="195">
        <f t="shared" ref="L629:N629" ca="1" si="263">L630+L631</f>
        <v>1142370</v>
      </c>
      <c r="M629" s="195">
        <f t="shared" ca="1" si="263"/>
        <v>1134692.7999999998</v>
      </c>
      <c r="N629" s="195">
        <f t="shared" si="263"/>
        <v>1134699.3999999999</v>
      </c>
      <c r="O629" s="195">
        <f t="shared" ref="O629:O634" ca="1" si="264">IF(L629&gt;0,N629*100/L629,0)</f>
        <v>99.328536288593</v>
      </c>
      <c r="P629" s="195">
        <f t="shared" ref="P629:P634" ca="1" si="265">IF(M629&gt;0,N629*100/M629,0)</f>
        <v>100.00058165522863</v>
      </c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</row>
    <row r="630" spans="1:26" ht="18.75" hidden="1">
      <c r="A630" s="599"/>
      <c r="B630" s="759"/>
      <c r="C630" s="759"/>
      <c r="D630" s="720"/>
      <c r="E630" s="759" t="s">
        <v>185</v>
      </c>
      <c r="F630" s="759"/>
      <c r="G630" s="603"/>
      <c r="H630" s="165" t="s">
        <v>12</v>
      </c>
      <c r="I630" s="617"/>
      <c r="J630" s="617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4"/>
      <c r="R630" s="604"/>
      <c r="S630" s="604"/>
      <c r="T630" s="604"/>
      <c r="U630" s="604"/>
      <c r="V630" s="604"/>
      <c r="W630" s="604"/>
      <c r="X630" s="604"/>
      <c r="Y630" s="604"/>
      <c r="Z630" s="604"/>
    </row>
    <row r="631" spans="1:26" ht="18.75" hidden="1">
      <c r="A631" s="599"/>
      <c r="B631" s="607"/>
      <c r="C631" s="759"/>
      <c r="D631" s="720"/>
      <c r="E631" s="759" t="s">
        <v>186</v>
      </c>
      <c r="F631" s="759"/>
      <c r="G631" s="603"/>
      <c r="H631" s="165" t="s">
        <v>12</v>
      </c>
      <c r="I631" s="617"/>
      <c r="J631" s="617"/>
      <c r="K631" s="93"/>
      <c r="L631" s="93">
        <f t="shared" ca="1" si="266"/>
        <v>1142370</v>
      </c>
      <c r="M631" s="93">
        <f t="shared" ca="1" si="266"/>
        <v>1134692.7999999998</v>
      </c>
      <c r="N631" s="93">
        <f t="shared" si="266"/>
        <v>1134699.3999999999</v>
      </c>
      <c r="O631" s="93">
        <f t="shared" ca="1" si="264"/>
        <v>99.328536288593</v>
      </c>
      <c r="P631" s="93">
        <f t="shared" ca="1" si="265"/>
        <v>100.00058165522863</v>
      </c>
      <c r="Q631" s="604"/>
      <c r="R631" s="604"/>
      <c r="S631" s="604"/>
      <c r="T631" s="604"/>
      <c r="U631" s="604"/>
      <c r="V631" s="604"/>
      <c r="W631" s="604"/>
      <c r="X631" s="604"/>
      <c r="Y631" s="604"/>
      <c r="Z631" s="604"/>
    </row>
    <row r="632" spans="1:26" ht="18.75">
      <c r="A632" s="597"/>
      <c r="B632" s="575"/>
      <c r="C632" s="763"/>
      <c r="D632" s="606" t="s">
        <v>20</v>
      </c>
      <c r="E632" s="763"/>
      <c r="F632" s="763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1142370</v>
      </c>
      <c r="M632" s="498">
        <f t="shared" ca="1" si="267"/>
        <v>1134692.7999999998</v>
      </c>
      <c r="N632" s="498">
        <f t="shared" si="267"/>
        <v>1134699.3999999999</v>
      </c>
      <c r="O632" s="498">
        <f t="shared" ca="1" si="264"/>
        <v>99.328536288593</v>
      </c>
      <c r="P632" s="498">
        <f t="shared" ca="1" si="265"/>
        <v>100.00058165522863</v>
      </c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</row>
    <row r="633" spans="1:26" ht="18.75" hidden="1">
      <c r="A633" s="599"/>
      <c r="B633" s="607"/>
      <c r="C633" s="759"/>
      <c r="D633" s="720"/>
      <c r="E633" s="759" t="s">
        <v>185</v>
      </c>
      <c r="F633" s="759"/>
      <c r="G633" s="603"/>
      <c r="H633" s="165" t="s">
        <v>12</v>
      </c>
      <c r="I633" s="617"/>
      <c r="J633" s="617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4"/>
      <c r="R633" s="604"/>
      <c r="S633" s="604"/>
      <c r="T633" s="604"/>
      <c r="U633" s="604"/>
      <c r="V633" s="604"/>
      <c r="W633" s="604"/>
      <c r="X633" s="604"/>
      <c r="Y633" s="604"/>
      <c r="Z633" s="604"/>
    </row>
    <row r="634" spans="1:26" ht="18.75" hidden="1">
      <c r="A634" s="599"/>
      <c r="B634" s="607"/>
      <c r="C634" s="759"/>
      <c r="D634" s="720"/>
      <c r="E634" s="759" t="s">
        <v>186</v>
      </c>
      <c r="F634" s="759"/>
      <c r="G634" s="603"/>
      <c r="H634" s="165" t="s">
        <v>12</v>
      </c>
      <c r="I634" s="617"/>
      <c r="J634" s="617"/>
      <c r="K634" s="93"/>
      <c r="L634" s="93">
        <f ca="1">IFERROR(__xludf.DUMMYFUNCTION("IMPORTRANGE(""https://docs.google.com/spreadsheets/d/1QqKyyYR6Q21VydFLVH3TRQUabQu_ym0Zz7PgGX0-kHA/edit?usp=sharing"",""แผน!HN34"")"),1142370)</f>
        <v>1142370</v>
      </c>
      <c r="M634" s="93">
        <f ca="1">L634-5930-6.6-1740.6</f>
        <v>1134692.7999999998</v>
      </c>
      <c r="N634" s="93">
        <f>N635+N636+N637+N638</f>
        <v>1134699.3999999999</v>
      </c>
      <c r="O634" s="93">
        <f t="shared" ca="1" si="264"/>
        <v>99.328536288593</v>
      </c>
      <c r="P634" s="93">
        <f t="shared" ca="1" si="265"/>
        <v>100.00058165522863</v>
      </c>
      <c r="Q634" s="604"/>
      <c r="R634" s="604"/>
      <c r="S634" s="604"/>
      <c r="T634" s="604"/>
      <c r="U634" s="604"/>
      <c r="V634" s="604"/>
      <c r="W634" s="604"/>
      <c r="X634" s="604"/>
      <c r="Y634" s="604"/>
      <c r="Z634" s="604"/>
    </row>
    <row r="635" spans="1:26" ht="18.75">
      <c r="A635" s="574"/>
      <c r="B635" s="575"/>
      <c r="C635" s="763"/>
      <c r="D635" s="763"/>
      <c r="E635" s="763"/>
      <c r="F635" s="763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40">
        <v>0</v>
      </c>
      <c r="O635" s="498"/>
      <c r="P635" s="49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</row>
    <row r="636" spans="1:26" ht="18.75">
      <c r="A636" s="574"/>
      <c r="B636" s="575"/>
      <c r="C636" s="763"/>
      <c r="D636" s="763"/>
      <c r="E636" s="763"/>
      <c r="F636" s="763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40">
        <v>75200</v>
      </c>
      <c r="O636" s="498"/>
      <c r="P636" s="49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</row>
    <row r="637" spans="1:26" ht="18.75">
      <c r="A637" s="574"/>
      <c r="B637" s="575"/>
      <c r="C637" s="763"/>
      <c r="D637" s="763"/>
      <c r="E637" s="763"/>
      <c r="F637" s="763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40">
        <v>278336</v>
      </c>
      <c r="O637" s="498"/>
      <c r="P637" s="498"/>
      <c r="Q637" s="578"/>
      <c r="R637" s="578"/>
      <c r="S637" s="578"/>
      <c r="T637" s="578"/>
      <c r="U637" s="578"/>
      <c r="V637" s="578"/>
      <c r="W637" s="578"/>
      <c r="X637" s="578"/>
      <c r="Y637" s="578"/>
      <c r="Z637" s="578"/>
    </row>
    <row r="638" spans="1:26" ht="18.75">
      <c r="A638" s="574"/>
      <c r="B638" s="575"/>
      <c r="C638" s="763"/>
      <c r="D638" s="763"/>
      <c r="E638" s="763"/>
      <c r="F638" s="763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40">
        <f>1134699.4-N636-N637</f>
        <v>781163.39999999991</v>
      </c>
      <c r="O638" s="498"/>
      <c r="P638" s="49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</row>
    <row r="639" spans="1:26" ht="18.75">
      <c r="A639" s="597"/>
      <c r="B639" s="575"/>
      <c r="C639" s="763"/>
      <c r="D639" s="606" t="s">
        <v>21</v>
      </c>
      <c r="E639" s="763"/>
      <c r="F639" s="763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</row>
    <row r="640" spans="1:26" ht="18.75" hidden="1">
      <c r="A640" s="599"/>
      <c r="B640" s="607"/>
      <c r="C640" s="759"/>
      <c r="D640" s="759"/>
      <c r="E640" s="759" t="s">
        <v>18</v>
      </c>
      <c r="F640" s="759"/>
      <c r="G640" s="603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4"/>
      <c r="R640" s="604"/>
      <c r="S640" s="604"/>
      <c r="T640" s="604"/>
      <c r="U640" s="604"/>
      <c r="V640" s="604"/>
      <c r="W640" s="604"/>
      <c r="X640" s="604"/>
      <c r="Y640" s="604"/>
      <c r="Z640" s="604"/>
    </row>
    <row r="641" spans="1:26" ht="18.75" hidden="1">
      <c r="A641" s="599"/>
      <c r="B641" s="607"/>
      <c r="C641" s="759"/>
      <c r="D641" s="759"/>
      <c r="E641" s="759" t="s">
        <v>19</v>
      </c>
      <c r="F641" s="759"/>
      <c r="G641" s="603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4"/>
      <c r="R641" s="604"/>
      <c r="S641" s="604"/>
      <c r="T641" s="604"/>
      <c r="U641" s="604"/>
      <c r="V641" s="604"/>
      <c r="W641" s="604"/>
      <c r="X641" s="604"/>
      <c r="Y641" s="604"/>
      <c r="Z641" s="604"/>
    </row>
    <row r="642" spans="1:26" ht="19.5">
      <c r="A642" s="608"/>
      <c r="B642" s="618"/>
      <c r="C642" s="763" t="s">
        <v>16</v>
      </c>
      <c r="D642" s="896" t="s">
        <v>38</v>
      </c>
      <c r="E642" s="761"/>
      <c r="F642" s="761"/>
      <c r="G642" s="613"/>
      <c r="H642" s="762"/>
      <c r="I642" s="184"/>
      <c r="J642" s="184"/>
      <c r="K642" s="163"/>
      <c r="L642" s="163"/>
      <c r="M642" s="163"/>
      <c r="N642" s="163"/>
      <c r="O642" s="163"/>
      <c r="P642" s="163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</row>
    <row r="643" spans="1:26" ht="18.75">
      <c r="A643" s="744"/>
      <c r="B643" s="575"/>
      <c r="C643" s="763"/>
      <c r="D643" s="626"/>
      <c r="E643" s="746" t="s">
        <v>272</v>
      </c>
      <c r="F643" s="626"/>
      <c r="G643" s="762"/>
      <c r="H643" s="764" t="s">
        <v>273</v>
      </c>
      <c r="I643" s="270">
        <f ca="1">IFERROR(__xludf.DUMMYFUNCTION("IMPORTRANGE(""https://docs.google.com/spreadsheets/d/1QqKyyYR6Q21VydFLVH3TRQUabQu_ym0Zz7PgGX0-kHA/edit?usp=sharing"",""แผน!HR34"")"),0)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</row>
    <row r="644" spans="1:26" ht="18.75">
      <c r="A644" s="744"/>
      <c r="B644" s="575"/>
      <c r="C644" s="763"/>
      <c r="D644" s="626"/>
      <c r="E644" s="746" t="s">
        <v>274</v>
      </c>
      <c r="F644" s="626"/>
      <c r="G644" s="762"/>
      <c r="H644" s="764" t="s">
        <v>275</v>
      </c>
      <c r="I644" s="270">
        <f ca="1">IFERROR(__xludf.DUMMYFUNCTION("IMPORTRANGE(""https://docs.google.com/spreadsheets/d/1QqKyyYR6Q21VydFLVH3TRQUabQu_ym0Zz7PgGX0-kHA/edit?usp=sharing"",""แผน!HR34"")"),0)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</row>
    <row r="645" spans="1:26" ht="18.75">
      <c r="A645" s="744"/>
      <c r="B645" s="575"/>
      <c r="C645" s="763"/>
      <c r="D645" s="626"/>
      <c r="E645" s="746" t="s">
        <v>276</v>
      </c>
      <c r="F645" s="626"/>
      <c r="G645" s="762"/>
      <c r="H645" s="76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IFERROR(__xludf.DUMMYFUNCTION("IMPORTRANGE(""https://docs.google.com/spreadsheets/d/1XWAQStnk-4SwqDmLtmXYiTMKHgktTP8We1SCoS47DrQ/edit?usp=sharing"",""จัดที่ดิน!AS34"")"),1232)</f>
        <v>1232</v>
      </c>
      <c r="K645" s="163">
        <f t="shared" si="271"/>
        <v>0</v>
      </c>
      <c r="L645" s="163"/>
      <c r="M645" s="163"/>
      <c r="N645" s="498"/>
      <c r="O645" s="163"/>
      <c r="P645" s="163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</row>
    <row r="646" spans="1:26" ht="18.75">
      <c r="A646" s="744"/>
      <c r="B646" s="575"/>
      <c r="C646" s="763"/>
      <c r="D646" s="626"/>
      <c r="E646" s="626"/>
      <c r="F646" s="626"/>
      <c r="G646" s="762"/>
      <c r="H646" s="76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IFERROR(__xludf.DUMMYFUNCTION("IMPORTRANGE(""https://docs.google.com/spreadsheets/d/1XWAQStnk-4SwqDmLtmXYiTMKHgktTP8We1SCoS47DrQ/edit?usp=sharing"",""จัดที่ดิน!AT34"")"),731.5)</f>
        <v>731.5</v>
      </c>
      <c r="K646" s="498">
        <f t="shared" si="271"/>
        <v>0</v>
      </c>
      <c r="L646" s="163"/>
      <c r="M646" s="163"/>
      <c r="N646" s="498"/>
      <c r="O646" s="163"/>
      <c r="P646" s="163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</row>
    <row r="647" spans="1:26" ht="18.75">
      <c r="A647" s="744"/>
      <c r="B647" s="575"/>
      <c r="C647" s="763"/>
      <c r="D647" s="626"/>
      <c r="E647" s="746" t="s">
        <v>162</v>
      </c>
      <c r="F647" s="626"/>
      <c r="G647" s="762"/>
      <c r="H647" s="764" t="s">
        <v>35</v>
      </c>
      <c r="I647" s="270">
        <f ca="1">IFERROR(__xludf.DUMMYFUNCTION("IMPORTRANGE(""https://docs.google.com/spreadsheets/d/1QqKyyYR6Q21VydFLVH3TRQUabQu_ym0Zz7PgGX0-kHA/edit?usp=sharing"",""แผน!HS34"")"),1200)</f>
        <v>1200</v>
      </c>
      <c r="J647" s="270">
        <f ca="1">IFERROR(__xludf.DUMMYFUNCTION("IMPORTRANGE(""https://docs.google.com/spreadsheets/d/1XWAQStnk-4SwqDmLtmXYiTMKHgktTP8We1SCoS47DrQ/edit?usp=sharing"",""จัดที่ดิน!AU34"")"),1283)</f>
        <v>1283</v>
      </c>
      <c r="K647" s="163">
        <f t="shared" ca="1" si="271"/>
        <v>106.91666666666667</v>
      </c>
      <c r="L647" s="163"/>
      <c r="M647" s="163"/>
      <c r="N647" s="163"/>
      <c r="O647" s="163"/>
      <c r="P647" s="163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</row>
    <row r="648" spans="1:26" ht="18.75">
      <c r="A648" s="744"/>
      <c r="B648" s="575"/>
      <c r="C648" s="763"/>
      <c r="D648" s="626"/>
      <c r="E648" s="626"/>
      <c r="F648" s="626"/>
      <c r="G648" s="762"/>
      <c r="H648" s="76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IFERROR(__xludf.DUMMYFUNCTION("IMPORTRANGE(""https://docs.google.com/spreadsheets/d/1XWAQStnk-4SwqDmLtmXYiTMKHgktTP8We1SCoS47DrQ/edit?usp=sharing"",""จัดที่ดิน!AV34"")"),748.48)</f>
        <v>748.48</v>
      </c>
      <c r="K648" s="498">
        <f t="shared" si="271"/>
        <v>0</v>
      </c>
      <c r="L648" s="163"/>
      <c r="M648" s="163"/>
      <c r="N648" s="163"/>
      <c r="O648" s="163"/>
      <c r="P648" s="163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</row>
    <row r="649" spans="1:26" ht="18.75">
      <c r="A649" s="744"/>
      <c r="B649" s="575"/>
      <c r="C649" s="763"/>
      <c r="D649" s="626"/>
      <c r="E649" s="746" t="s">
        <v>277</v>
      </c>
      <c r="F649" s="626"/>
      <c r="G649" s="762"/>
      <c r="H649" s="764" t="s">
        <v>35</v>
      </c>
      <c r="I649" s="270">
        <f ca="1">IFERROR(__xludf.DUMMYFUNCTION("IMPORTRANGE(""https://docs.google.com/spreadsheets/d/1QqKyyYR6Q21VydFLVH3TRQUabQu_ym0Zz7PgGX0-kHA/edit?usp=sharing"",""แผน!HS34"")"),1200)</f>
        <v>1200</v>
      </c>
      <c r="J649" s="270">
        <f ca="1">IFERROR(__xludf.DUMMYFUNCTION("IMPORTRANGE(""https://docs.google.com/spreadsheets/d/1XWAQStnk-4SwqDmLtmXYiTMKHgktTP8We1SCoS47DrQ/edit?usp=sharing"",""จัดที่ดิน!AW34"")"),1261)</f>
        <v>1261</v>
      </c>
      <c r="K649" s="163">
        <f t="shared" ca="1" si="271"/>
        <v>105.08333333333333</v>
      </c>
      <c r="L649" s="163"/>
      <c r="M649" s="163"/>
      <c r="N649" s="163"/>
      <c r="O649" s="163"/>
      <c r="P649" s="163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</row>
    <row r="650" spans="1:26" ht="18.75">
      <c r="A650" s="744"/>
      <c r="B650" s="575"/>
      <c r="C650" s="763"/>
      <c r="D650" s="626"/>
      <c r="E650" s="626"/>
      <c r="F650" s="626"/>
      <c r="G650" s="762"/>
      <c r="H650" s="76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IFERROR(__xludf.DUMMYFUNCTION("IMPORTRANGE(""https://docs.google.com/spreadsheets/d/1XWAQStnk-4SwqDmLtmXYiTMKHgktTP8We1SCoS47DrQ/edit?usp=sharing"",""จัดที่ดิน!AX34"")"),739.32)</f>
        <v>739.32</v>
      </c>
      <c r="K650" s="498">
        <f t="shared" si="271"/>
        <v>0</v>
      </c>
      <c r="L650" s="163"/>
      <c r="M650" s="163"/>
      <c r="N650" s="163"/>
      <c r="O650" s="163"/>
      <c r="P650" s="163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</row>
    <row r="651" spans="1:26" ht="18.75">
      <c r="A651" s="744"/>
      <c r="B651" s="575"/>
      <c r="C651" s="763"/>
      <c r="D651" s="626"/>
      <c r="E651" s="746" t="s">
        <v>278</v>
      </c>
      <c r="F651" s="626"/>
      <c r="G651" s="762"/>
      <c r="H651" s="764" t="s">
        <v>35</v>
      </c>
      <c r="I651" s="270">
        <f ca="1">IFERROR(__xludf.DUMMYFUNCTION("IMPORTRANGE(""https://docs.google.com/spreadsheets/d/1QqKyyYR6Q21VydFLVH3TRQUabQu_ym0Zz7PgGX0-kHA/edit?usp=sharing"",""แผน!HS34"")"),1200)</f>
        <v>1200</v>
      </c>
      <c r="J651" s="270">
        <f ca="1">IFERROR(__xludf.DUMMYFUNCTION("IMPORTRANGE(""https://docs.google.com/spreadsheets/d/1XWAQStnk-4SwqDmLtmXYiTMKHgktTP8We1SCoS47DrQ/edit?usp=sharing"",""จัดที่ดิน!AY34"")"),1256)</f>
        <v>1256</v>
      </c>
      <c r="K651" s="163">
        <f t="shared" ca="1" si="271"/>
        <v>104.66666666666667</v>
      </c>
      <c r="L651" s="163"/>
      <c r="M651" s="163"/>
      <c r="N651" s="163"/>
      <c r="O651" s="163"/>
      <c r="P651" s="163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</row>
    <row r="652" spans="1:26" ht="18.75">
      <c r="A652" s="74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8"/>
      <c r="C652" s="749"/>
      <c r="D652" s="734"/>
      <c r="E652" s="734"/>
      <c r="F652" s="734"/>
      <c r="G652" s="735"/>
      <c r="H652" s="505" t="s">
        <v>46</v>
      </c>
      <c r="I652" s="506">
        <v>0</v>
      </c>
      <c r="J652" s="506">
        <f ca="1">IFERROR(__xludf.DUMMYFUNCTION("IMPORTRANGE(""https://docs.google.com/spreadsheets/d/1XWAQStnk-4SwqDmLtmXYiTMKHgktTP8We1SCoS47DrQ/edit?usp=sharing"",""จัดที่ดิน!AZ34"")"),734.03)</f>
        <v>734.03</v>
      </c>
      <c r="K652" s="507">
        <f t="shared" si="271"/>
        <v>0</v>
      </c>
      <c r="L652" s="385"/>
      <c r="M652" s="385"/>
      <c r="N652" s="385"/>
      <c r="O652" s="385"/>
      <c r="P652" s="385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</row>
    <row r="653" spans="1:26" ht="19.5">
      <c r="A653" s="750">
        <v>8</v>
      </c>
      <c r="B653" s="737" t="s">
        <v>279</v>
      </c>
      <c r="C653" s="738"/>
      <c r="D653" s="738"/>
      <c r="E653" s="738"/>
      <c r="F653" s="738"/>
      <c r="G653" s="739"/>
      <c r="H653" s="739"/>
      <c r="I653" s="751"/>
      <c r="J653" s="751"/>
      <c r="K653" s="743"/>
      <c r="L653" s="743"/>
      <c r="M653" s="743"/>
      <c r="N653" s="743"/>
      <c r="O653" s="743"/>
      <c r="P653" s="743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</row>
    <row r="654" spans="1:26" ht="19.5">
      <c r="A654" s="673"/>
      <c r="B654" s="672" t="s">
        <v>280</v>
      </c>
      <c r="C654" s="673"/>
      <c r="D654" s="673"/>
      <c r="E654" s="673"/>
      <c r="F654" s="673"/>
      <c r="G654" s="674"/>
      <c r="H654" s="707" t="s">
        <v>46</v>
      </c>
      <c r="I654" s="708">
        <f t="shared" ref="I654:J654" ca="1" si="272">I669</f>
        <v>100</v>
      </c>
      <c r="J654" s="708">
        <f t="shared" si="272"/>
        <v>0</v>
      </c>
      <c r="K654" s="677">
        <f ca="1">IF(I654&gt;0,J654*100/I654,0)</f>
        <v>0</v>
      </c>
      <c r="L654" s="678"/>
      <c r="M654" s="678"/>
      <c r="N654" s="678"/>
      <c r="O654" s="678"/>
      <c r="P654" s="6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</row>
    <row r="655" spans="1:26" ht="19.5">
      <c r="A655" s="597"/>
      <c r="B655" s="763"/>
      <c r="C655" s="763" t="s">
        <v>16</v>
      </c>
      <c r="D655" s="863" t="s">
        <v>17</v>
      </c>
      <c r="E655" s="857"/>
      <c r="F655" s="857"/>
      <c r="G655" s="189"/>
      <c r="H655" s="598" t="s">
        <v>12</v>
      </c>
      <c r="I655" s="270"/>
      <c r="J655" s="270"/>
      <c r="K655" s="498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15600</v>
      </c>
      <c r="O655" s="195">
        <f t="shared" ref="O655:O660" ca="1" si="274">IF(L655&gt;0,N655*100/L655,0)</f>
        <v>100</v>
      </c>
      <c r="P655" s="195">
        <f t="shared" ref="P655:P660" ca="1" si="275">IF(M655&gt;0,N655*100/M655,0)</f>
        <v>100</v>
      </c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</row>
    <row r="656" spans="1:26" ht="18.75" hidden="1">
      <c r="A656" s="599"/>
      <c r="B656" s="759"/>
      <c r="C656" s="759"/>
      <c r="D656" s="720"/>
      <c r="E656" s="759" t="s">
        <v>185</v>
      </c>
      <c r="F656" s="759"/>
      <c r="G656" s="603"/>
      <c r="H656" s="165" t="s">
        <v>12</v>
      </c>
      <c r="I656" s="617"/>
      <c r="J656" s="617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4"/>
      <c r="R656" s="604"/>
      <c r="S656" s="604"/>
      <c r="T656" s="604"/>
      <c r="U656" s="604"/>
      <c r="V656" s="604"/>
      <c r="W656" s="604"/>
      <c r="X656" s="604"/>
      <c r="Y656" s="604"/>
      <c r="Z656" s="604"/>
    </row>
    <row r="657" spans="1:26" ht="18.75" hidden="1">
      <c r="A657" s="599"/>
      <c r="B657" s="607"/>
      <c r="C657" s="759"/>
      <c r="D657" s="720"/>
      <c r="E657" s="759" t="s">
        <v>186</v>
      </c>
      <c r="F657" s="759"/>
      <c r="G657" s="603"/>
      <c r="H657" s="165" t="s">
        <v>12</v>
      </c>
      <c r="I657" s="617"/>
      <c r="J657" s="617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15600</v>
      </c>
      <c r="O657" s="93">
        <f t="shared" ca="1" si="274"/>
        <v>100</v>
      </c>
      <c r="P657" s="93">
        <f t="shared" ca="1" si="275"/>
        <v>100</v>
      </c>
      <c r="Q657" s="604"/>
      <c r="R657" s="604"/>
      <c r="S657" s="604"/>
      <c r="T657" s="604"/>
      <c r="U657" s="604"/>
      <c r="V657" s="604"/>
      <c r="W657" s="604"/>
      <c r="X657" s="604"/>
      <c r="Y657" s="604"/>
      <c r="Z657" s="604"/>
    </row>
    <row r="658" spans="1:26" ht="18.75">
      <c r="A658" s="597"/>
      <c r="B658" s="575"/>
      <c r="C658" s="763"/>
      <c r="D658" s="606" t="s">
        <v>20</v>
      </c>
      <c r="E658" s="763"/>
      <c r="F658" s="763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15600</v>
      </c>
      <c r="M658" s="498">
        <f t="shared" ca="1" si="277"/>
        <v>15600</v>
      </c>
      <c r="N658" s="498">
        <f t="shared" si="277"/>
        <v>15600</v>
      </c>
      <c r="O658" s="498">
        <f t="shared" ca="1" si="274"/>
        <v>100</v>
      </c>
      <c r="P658" s="498">
        <f t="shared" ca="1" si="275"/>
        <v>100</v>
      </c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</row>
    <row r="659" spans="1:26" ht="18.75" hidden="1">
      <c r="A659" s="599"/>
      <c r="B659" s="607"/>
      <c r="C659" s="759"/>
      <c r="D659" s="720"/>
      <c r="E659" s="759" t="s">
        <v>185</v>
      </c>
      <c r="F659" s="759"/>
      <c r="G659" s="603"/>
      <c r="H659" s="165" t="s">
        <v>12</v>
      </c>
      <c r="I659" s="617"/>
      <c r="J659" s="617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4"/>
      <c r="R659" s="604"/>
      <c r="S659" s="604"/>
      <c r="T659" s="604"/>
      <c r="U659" s="604"/>
      <c r="V659" s="604"/>
      <c r="W659" s="604"/>
      <c r="X659" s="604"/>
      <c r="Y659" s="604"/>
      <c r="Z659" s="604"/>
    </row>
    <row r="660" spans="1:26" ht="18.75" hidden="1">
      <c r="A660" s="599"/>
      <c r="B660" s="607"/>
      <c r="C660" s="759"/>
      <c r="D660" s="720"/>
      <c r="E660" s="759" t="s">
        <v>186</v>
      </c>
      <c r="F660" s="759"/>
      <c r="G660" s="603"/>
      <c r="H660" s="165" t="s">
        <v>12</v>
      </c>
      <c r="I660" s="617"/>
      <c r="J660" s="617"/>
      <c r="K660" s="93"/>
      <c r="L660" s="93">
        <f ca="1">IFERROR(__xludf.DUMMYFUNCTION("IMPORTRANGE(""https://docs.google.com/spreadsheets/d/1QqKyyYR6Q21VydFLVH3TRQUabQu_ym0Zz7PgGX0-kHA/edit?usp=sharing"",""แผน!HV34"")"),15600)</f>
        <v>15600</v>
      </c>
      <c r="M660" s="93">
        <f ca="1">L660</f>
        <v>15600</v>
      </c>
      <c r="N660" s="93">
        <f>N661+N662+N663+N664</f>
        <v>15600</v>
      </c>
      <c r="O660" s="93">
        <f t="shared" ca="1" si="274"/>
        <v>100</v>
      </c>
      <c r="P660" s="93">
        <f t="shared" ca="1" si="275"/>
        <v>100</v>
      </c>
      <c r="Q660" s="604"/>
      <c r="R660" s="604"/>
      <c r="S660" s="604"/>
      <c r="T660" s="604"/>
      <c r="U660" s="604"/>
      <c r="V660" s="604"/>
      <c r="W660" s="604"/>
      <c r="X660" s="604"/>
      <c r="Y660" s="604"/>
      <c r="Z660" s="604"/>
    </row>
    <row r="661" spans="1:26" ht="18.75">
      <c r="A661" s="574"/>
      <c r="B661" s="575"/>
      <c r="C661" s="763"/>
      <c r="D661" s="763"/>
      <c r="E661" s="763"/>
      <c r="F661" s="763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40">
        <v>0</v>
      </c>
      <c r="O661" s="498"/>
      <c r="P661" s="49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</row>
    <row r="662" spans="1:26" ht="18.75">
      <c r="A662" s="574"/>
      <c r="B662" s="575"/>
      <c r="C662" s="763"/>
      <c r="D662" s="763"/>
      <c r="E662" s="763"/>
      <c r="F662" s="763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40">
        <v>10650</v>
      </c>
      <c r="O662" s="498"/>
      <c r="P662" s="49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</row>
    <row r="663" spans="1:26" ht="18.75">
      <c r="A663" s="574"/>
      <c r="B663" s="575"/>
      <c r="C663" s="575"/>
      <c r="D663" s="763"/>
      <c r="E663" s="763"/>
      <c r="F663" s="763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40">
        <v>0</v>
      </c>
      <c r="O663" s="498"/>
      <c r="P663" s="49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</row>
    <row r="664" spans="1:26" ht="18.75">
      <c r="A664" s="574"/>
      <c r="B664" s="575"/>
      <c r="C664" s="575"/>
      <c r="D664" s="575"/>
      <c r="E664" s="763"/>
      <c r="F664" s="763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40">
        <f>2160+360+1940+2160-1670</f>
        <v>4950</v>
      </c>
      <c r="O664" s="498"/>
      <c r="P664" s="49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</row>
    <row r="665" spans="1:26" ht="18.75">
      <c r="A665" s="597"/>
      <c r="B665" s="575"/>
      <c r="C665" s="575"/>
      <c r="D665" s="606" t="s">
        <v>21</v>
      </c>
      <c r="E665" s="763"/>
      <c r="F665" s="763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</row>
    <row r="666" spans="1:26" ht="18.75" hidden="1">
      <c r="A666" s="599"/>
      <c r="B666" s="607"/>
      <c r="C666" s="607"/>
      <c r="D666" s="607"/>
      <c r="E666" s="759" t="s">
        <v>18</v>
      </c>
      <c r="F666" s="759"/>
      <c r="G666" s="603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4"/>
      <c r="R666" s="604"/>
      <c r="S666" s="604"/>
      <c r="T666" s="604"/>
      <c r="U666" s="604"/>
      <c r="V666" s="604"/>
      <c r="W666" s="604"/>
      <c r="X666" s="604"/>
      <c r="Y666" s="604"/>
      <c r="Z666" s="604"/>
    </row>
    <row r="667" spans="1:26" ht="18.75" hidden="1">
      <c r="A667" s="599"/>
      <c r="B667" s="607"/>
      <c r="C667" s="607"/>
      <c r="D667" s="607"/>
      <c r="E667" s="759" t="s">
        <v>19</v>
      </c>
      <c r="F667" s="759"/>
      <c r="G667" s="603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4"/>
      <c r="R667" s="604"/>
      <c r="S667" s="604"/>
      <c r="T667" s="604"/>
      <c r="U667" s="604"/>
      <c r="V667" s="604"/>
      <c r="W667" s="604"/>
      <c r="X667" s="604"/>
      <c r="Y667" s="604"/>
      <c r="Z667" s="604"/>
    </row>
    <row r="668" spans="1:26" ht="19.5">
      <c r="A668" s="608"/>
      <c r="B668" s="618"/>
      <c r="C668" s="575" t="s">
        <v>16</v>
      </c>
      <c r="D668" s="893" t="s">
        <v>38</v>
      </c>
      <c r="E668" s="761"/>
      <c r="F668" s="761"/>
      <c r="G668" s="613"/>
      <c r="H668" s="762"/>
      <c r="I668" s="184"/>
      <c r="J668" s="184"/>
      <c r="K668" s="163"/>
      <c r="L668" s="163"/>
      <c r="M668" s="163"/>
      <c r="N668" s="163"/>
      <c r="O668" s="163"/>
      <c r="P668" s="163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</row>
    <row r="669" spans="1:26" ht="19.5">
      <c r="A669" s="608"/>
      <c r="B669" s="618"/>
      <c r="C669" s="618"/>
      <c r="D669" s="618" t="s">
        <v>281</v>
      </c>
      <c r="E669" s="626"/>
      <c r="F669" s="626"/>
      <c r="G669" s="762"/>
      <c r="H669" s="767" t="s">
        <v>46</v>
      </c>
      <c r="I669" s="681">
        <f ca="1">IFERROR(__xludf.DUMMYFUNCTION("IMPORTRANGE(""https://docs.google.com/spreadsheets/d/1QqKyyYR6Q21VydFLVH3TRQUabQu_ym0Zz7PgGX0-kHA/edit?usp=sharing"",""แผน!IA34"")"),100)</f>
        <v>100</v>
      </c>
      <c r="J669" s="681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</row>
    <row r="670" spans="1:26" ht="18.75">
      <c r="A670" s="608"/>
      <c r="B670" s="618"/>
      <c r="C670" s="618"/>
      <c r="D670" s="618"/>
      <c r="E670" s="626" t="s">
        <v>282</v>
      </c>
      <c r="F670" s="626"/>
      <c r="G670" s="762"/>
      <c r="H670" s="764" t="s">
        <v>66</v>
      </c>
      <c r="I670" s="270">
        <f ca="1">IFERROR(__xludf.DUMMYFUNCTION("IMPORTRANGE(""https://docs.google.com/spreadsheets/d/1QqKyyYR6Q21VydFLVH3TRQUabQu_ym0Zz7PgGX0-kHA/edit?usp=sharing"",""แผน!HZ34"")"),6)</f>
        <v>6</v>
      </c>
      <c r="J670" s="215">
        <v>6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</row>
    <row r="671" spans="1:26" ht="18.75">
      <c r="A671" s="608"/>
      <c r="B671" s="618"/>
      <c r="C671" s="618"/>
      <c r="D671" s="618"/>
      <c r="E671" s="626" t="s">
        <v>283</v>
      </c>
      <c r="F671" s="626"/>
      <c r="G671" s="762"/>
      <c r="H671" s="764" t="s">
        <v>66</v>
      </c>
      <c r="I671" s="270">
        <f ca="1">IFERROR(__xludf.DUMMYFUNCTION("IMPORTRANGE(""https://docs.google.com/spreadsheets/d/1QqKyyYR6Q21VydFLVH3TRQUabQu_ym0Zz7PgGX0-kHA/edit?usp=sharing"",""แผน!HZ34"")"),6)</f>
        <v>6</v>
      </c>
      <c r="J671" s="215">
        <v>6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</row>
    <row r="672" spans="1:26" ht="18.75">
      <c r="A672" s="608"/>
      <c r="B672" s="618"/>
      <c r="C672" s="618"/>
      <c r="D672" s="618"/>
      <c r="E672" s="626" t="s">
        <v>284</v>
      </c>
      <c r="F672" s="626"/>
      <c r="G672" s="762"/>
      <c r="H672" s="764" t="s">
        <v>46</v>
      </c>
      <c r="I672" s="270"/>
      <c r="J672" s="215">
        <v>512</v>
      </c>
      <c r="K672" s="498">
        <f t="shared" ref="K672:K675" ca="1" si="281">IF(I$669&gt;0,J672*100/I$669,0)</f>
        <v>512</v>
      </c>
      <c r="L672" s="163"/>
      <c r="M672" s="163"/>
      <c r="N672" s="163"/>
      <c r="O672" s="163"/>
      <c r="P672" s="163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</row>
    <row r="673" spans="1:26" ht="18.75">
      <c r="A673" s="608"/>
      <c r="B673" s="618"/>
      <c r="C673" s="618"/>
      <c r="D673" s="618"/>
      <c r="E673" s="626" t="s">
        <v>285</v>
      </c>
      <c r="F673" s="626"/>
      <c r="G673" s="762"/>
      <c r="H673" s="764" t="s">
        <v>46</v>
      </c>
      <c r="I673" s="270"/>
      <c r="J673" s="215">
        <v>512</v>
      </c>
      <c r="K673" s="498">
        <f t="shared" ca="1" si="281"/>
        <v>512</v>
      </c>
      <c r="L673" s="163"/>
      <c r="M673" s="163"/>
      <c r="N673" s="163"/>
      <c r="O673" s="163"/>
      <c r="P673" s="163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</row>
    <row r="674" spans="1:26" ht="18.75">
      <c r="A674" s="608"/>
      <c r="B674" s="618"/>
      <c r="C674" s="618"/>
      <c r="D674" s="618"/>
      <c r="E674" s="626" t="s">
        <v>286</v>
      </c>
      <c r="F674" s="626"/>
      <c r="G674" s="762"/>
      <c r="H674" s="764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</row>
    <row r="675" spans="1:26" ht="19.5">
      <c r="A675" s="608"/>
      <c r="B675" s="618"/>
      <c r="C675" s="618"/>
      <c r="D675" s="618"/>
      <c r="E675" s="626" t="s">
        <v>287</v>
      </c>
      <c r="F675" s="626"/>
      <c r="G675" s="762"/>
      <c r="H675" s="764" t="s">
        <v>46</v>
      </c>
      <c r="I675" s="270"/>
      <c r="J675" s="681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</row>
    <row r="676" spans="1:26" ht="18.75">
      <c r="A676" s="608"/>
      <c r="B676" s="618"/>
      <c r="C676" s="618"/>
      <c r="D676" s="618"/>
      <c r="E676" s="626"/>
      <c r="F676" s="626" t="s">
        <v>288</v>
      </c>
      <c r="G676" s="762"/>
      <c r="H676" s="764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</row>
    <row r="677" spans="1:26" ht="18.75">
      <c r="A677" s="608"/>
      <c r="B677" s="618"/>
      <c r="C677" s="618"/>
      <c r="D677" s="618"/>
      <c r="E677" s="626"/>
      <c r="F677" s="626" t="s">
        <v>289</v>
      </c>
      <c r="G677" s="762"/>
      <c r="H677" s="764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</row>
    <row r="678" spans="1:26" ht="19.5">
      <c r="A678" s="608"/>
      <c r="B678" s="618"/>
      <c r="C678" s="618"/>
      <c r="D678" s="618" t="s">
        <v>290</v>
      </c>
      <c r="E678" s="626"/>
      <c r="F678" s="626"/>
      <c r="G678" s="762"/>
      <c r="H678" s="764" t="s">
        <v>46</v>
      </c>
      <c r="I678" s="681">
        <f ca="1">IFERROR(__xludf.DUMMYFUNCTION("IMPORTRANGE(""https://docs.google.com/spreadsheets/d/1QqKyyYR6Q21VydFLVH3TRQUabQu_ym0Zz7PgGX0-kHA/edit?usp=sharing"",""แผน!IB34"")"),0)</f>
        <v>0</v>
      </c>
      <c r="J678" s="681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</row>
    <row r="679" spans="1:26" ht="18.75">
      <c r="A679" s="608"/>
      <c r="B679" s="618"/>
      <c r="C679" s="618"/>
      <c r="D679" s="618"/>
      <c r="E679" s="626" t="s">
        <v>291</v>
      </c>
      <c r="F679" s="626"/>
      <c r="G679" s="762"/>
      <c r="H679" s="764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</row>
    <row r="680" spans="1:26" ht="18.75">
      <c r="A680" s="608"/>
      <c r="B680" s="618"/>
      <c r="C680" s="618"/>
      <c r="D680" s="618"/>
      <c r="E680" s="626"/>
      <c r="F680" s="626" t="s">
        <v>288</v>
      </c>
      <c r="G680" s="762"/>
      <c r="H680" s="764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</row>
    <row r="681" spans="1:26" ht="18.75">
      <c r="A681" s="608"/>
      <c r="B681" s="618"/>
      <c r="C681" s="618"/>
      <c r="D681" s="618"/>
      <c r="E681" s="626"/>
      <c r="F681" s="626" t="s">
        <v>289</v>
      </c>
      <c r="G681" s="762"/>
      <c r="H681" s="764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</row>
    <row r="682" spans="1:26" ht="18.75">
      <c r="A682" s="608"/>
      <c r="B682" s="618"/>
      <c r="C682" s="618"/>
      <c r="D682" s="618"/>
      <c r="E682" s="626" t="s">
        <v>292</v>
      </c>
      <c r="F682" s="626"/>
      <c r="G682" s="762"/>
      <c r="H682" s="764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</row>
    <row r="683" spans="1:26" ht="18.75">
      <c r="A683" s="608"/>
      <c r="B683" s="618"/>
      <c r="C683" s="618"/>
      <c r="D683" s="618"/>
      <c r="E683" s="626"/>
      <c r="F683" s="626" t="s">
        <v>293</v>
      </c>
      <c r="G683" s="762"/>
      <c r="H683" s="764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</row>
    <row r="684" spans="1:26" ht="19.5">
      <c r="A684" s="753"/>
      <c r="B684" s="754" t="s">
        <v>294</v>
      </c>
      <c r="C684" s="753"/>
      <c r="D684" s="753"/>
      <c r="E684" s="753"/>
      <c r="F684" s="753"/>
      <c r="G684" s="755"/>
      <c r="H684" s="755"/>
      <c r="I684" s="756"/>
      <c r="J684" s="756"/>
      <c r="K684" s="757"/>
      <c r="L684" s="757"/>
      <c r="M684" s="757"/>
      <c r="N684" s="757"/>
      <c r="O684" s="757"/>
      <c r="P684" s="757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</row>
    <row r="685" spans="1:26" ht="19.5">
      <c r="A685" s="597"/>
      <c r="B685" s="763"/>
      <c r="C685" s="763" t="s">
        <v>16</v>
      </c>
      <c r="D685" s="863" t="s">
        <v>17</v>
      </c>
      <c r="E685" s="857"/>
      <c r="F685" s="857"/>
      <c r="G685" s="189"/>
      <c r="H685" s="598" t="s">
        <v>12</v>
      </c>
      <c r="I685" s="270"/>
      <c r="J685" s="270"/>
      <c r="K685" s="498"/>
      <c r="L685" s="195">
        <f t="shared" ref="L685:N685" ca="1" si="282">L686+L687</f>
        <v>57400</v>
      </c>
      <c r="M685" s="195">
        <f t="shared" ca="1" si="282"/>
        <v>39520</v>
      </c>
      <c r="N685" s="195">
        <f t="shared" si="282"/>
        <v>39520</v>
      </c>
      <c r="O685" s="195">
        <f t="shared" ref="O685:O688" ca="1" si="283">IF(L685&gt;0,N685*100/L685,0)</f>
        <v>68.850174216027881</v>
      </c>
      <c r="P685" s="195">
        <f t="shared" ref="P685:P688" ca="1" si="284">IF(M685&gt;0,N685*100/M685,0)</f>
        <v>100</v>
      </c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</row>
    <row r="686" spans="1:26" ht="18.75" hidden="1">
      <c r="A686" s="599"/>
      <c r="B686" s="759"/>
      <c r="C686" s="759"/>
      <c r="D686" s="720"/>
      <c r="E686" s="759" t="s">
        <v>185</v>
      </c>
      <c r="F686" s="759"/>
      <c r="G686" s="603"/>
      <c r="H686" s="165" t="s">
        <v>12</v>
      </c>
      <c r="I686" s="617"/>
      <c r="J686" s="617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4"/>
      <c r="R686" s="604"/>
      <c r="S686" s="604"/>
      <c r="T686" s="604"/>
      <c r="U686" s="604"/>
      <c r="V686" s="604"/>
      <c r="W686" s="604"/>
      <c r="X686" s="604"/>
      <c r="Y686" s="604"/>
      <c r="Z686" s="604"/>
    </row>
    <row r="687" spans="1:26" ht="18.75" hidden="1">
      <c r="A687" s="599"/>
      <c r="B687" s="607"/>
      <c r="C687" s="759"/>
      <c r="D687" s="720"/>
      <c r="E687" s="759" t="s">
        <v>186</v>
      </c>
      <c r="F687" s="759"/>
      <c r="G687" s="603"/>
      <c r="H687" s="165" t="s">
        <v>12</v>
      </c>
      <c r="I687" s="617"/>
      <c r="J687" s="617"/>
      <c r="K687" s="93"/>
      <c r="L687" s="93">
        <f t="shared" ca="1" si="285"/>
        <v>57400</v>
      </c>
      <c r="M687" s="93">
        <f t="shared" ca="1" si="285"/>
        <v>39520</v>
      </c>
      <c r="N687" s="93">
        <f t="shared" si="285"/>
        <v>39520</v>
      </c>
      <c r="O687" s="93">
        <f t="shared" ca="1" si="283"/>
        <v>68.850174216027881</v>
      </c>
      <c r="P687" s="93">
        <f t="shared" ca="1" si="284"/>
        <v>100</v>
      </c>
      <c r="Q687" s="604"/>
      <c r="R687" s="604"/>
      <c r="S687" s="604"/>
      <c r="T687" s="604"/>
      <c r="U687" s="604"/>
      <c r="V687" s="604"/>
      <c r="W687" s="604"/>
      <c r="X687" s="604"/>
      <c r="Y687" s="604"/>
      <c r="Z687" s="604"/>
    </row>
    <row r="688" spans="1:26" ht="18.75">
      <c r="A688" s="597"/>
      <c r="B688" s="575"/>
      <c r="C688" s="763"/>
      <c r="D688" s="606" t="s">
        <v>20</v>
      </c>
      <c r="E688" s="763"/>
      <c r="F688" s="763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57400</v>
      </c>
      <c r="M688" s="498">
        <f t="shared" ca="1" si="286"/>
        <v>39520</v>
      </c>
      <c r="N688" s="498">
        <f t="shared" si="286"/>
        <v>39520</v>
      </c>
      <c r="O688" s="498">
        <f t="shared" ca="1" si="283"/>
        <v>68.850174216027881</v>
      </c>
      <c r="P688" s="498">
        <f t="shared" ca="1" si="284"/>
        <v>100</v>
      </c>
      <c r="Q688" s="578"/>
      <c r="R688" s="578"/>
      <c r="S688" s="578"/>
      <c r="T688" s="578"/>
      <c r="U688" s="578"/>
      <c r="V688" s="578"/>
      <c r="W688" s="578"/>
      <c r="X688" s="578"/>
      <c r="Y688" s="578"/>
      <c r="Z688" s="578"/>
    </row>
    <row r="689" spans="1:26" ht="18.75" hidden="1">
      <c r="A689" s="599"/>
      <c r="B689" s="607"/>
      <c r="C689" s="759"/>
      <c r="D689" s="720"/>
      <c r="E689" s="759" t="s">
        <v>185</v>
      </c>
      <c r="F689" s="759"/>
      <c r="G689" s="603"/>
      <c r="H689" s="165" t="s">
        <v>12</v>
      </c>
      <c r="I689" s="617"/>
      <c r="J689" s="617"/>
      <c r="K689" s="93"/>
      <c r="L689" s="93">
        <v>0</v>
      </c>
      <c r="M689" s="93">
        <v>0</v>
      </c>
      <c r="N689" s="93">
        <v>0</v>
      </c>
      <c r="O689" s="93"/>
      <c r="P689" s="93"/>
      <c r="Q689" s="604"/>
      <c r="R689" s="604"/>
      <c r="S689" s="604"/>
      <c r="T689" s="604"/>
      <c r="U689" s="604"/>
      <c r="V689" s="604"/>
      <c r="W689" s="604"/>
      <c r="X689" s="604"/>
      <c r="Y689" s="604"/>
      <c r="Z689" s="604"/>
    </row>
    <row r="690" spans="1:26" ht="18.75" hidden="1">
      <c r="A690" s="599"/>
      <c r="B690" s="607"/>
      <c r="C690" s="759"/>
      <c r="D690" s="720"/>
      <c r="E690" s="759" t="s">
        <v>186</v>
      </c>
      <c r="F690" s="759"/>
      <c r="G690" s="603"/>
      <c r="H690" s="165" t="s">
        <v>12</v>
      </c>
      <c r="I690" s="617"/>
      <c r="J690" s="617"/>
      <c r="K690" s="93"/>
      <c r="L690" s="93">
        <f ca="1">IFERROR(__xludf.DUMMYFUNCTION("IMPORTRANGE(""https://docs.google.com/spreadsheets/d/1QqKyyYR6Q21VydFLVH3TRQUabQu_ym0Zz7PgGX0-kHA/edit?usp=sharing"",""แผน!HW34"")"),57400)</f>
        <v>57400</v>
      </c>
      <c r="M690" s="93">
        <f ca="1">L690-17880</f>
        <v>39520</v>
      </c>
      <c r="N690" s="93">
        <f>N691+N692+N693+N694</f>
        <v>39520</v>
      </c>
      <c r="O690" s="93">
        <f ca="1">IF(L690&gt;0,N690*100/L690,0)</f>
        <v>68.850174216027881</v>
      </c>
      <c r="P690" s="93">
        <f ca="1">IF(M690&gt;0,N690*100/M690,0)</f>
        <v>100</v>
      </c>
      <c r="Q690" s="604"/>
      <c r="R690" s="604"/>
      <c r="S690" s="604"/>
      <c r="T690" s="604"/>
      <c r="U690" s="604"/>
      <c r="V690" s="604"/>
      <c r="W690" s="604"/>
      <c r="X690" s="604"/>
      <c r="Y690" s="604"/>
      <c r="Z690" s="604"/>
    </row>
    <row r="691" spans="1:26" ht="18.75">
      <c r="A691" s="574"/>
      <c r="B691" s="575"/>
      <c r="C691" s="763"/>
      <c r="D691" s="763"/>
      <c r="E691" s="763"/>
      <c r="F691" s="763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40">
        <v>0</v>
      </c>
      <c r="O691" s="498"/>
      <c r="P691" s="49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</row>
    <row r="692" spans="1:26" ht="18.75">
      <c r="A692" s="574"/>
      <c r="B692" s="575"/>
      <c r="C692" s="763"/>
      <c r="D692" s="763"/>
      <c r="E692" s="763"/>
      <c r="F692" s="763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40">
        <v>19490</v>
      </c>
      <c r="O692" s="498"/>
      <c r="P692" s="49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</row>
    <row r="693" spans="1:26" ht="18.75">
      <c r="A693" s="574"/>
      <c r="B693" s="575"/>
      <c r="C693" s="763"/>
      <c r="D693" s="763"/>
      <c r="E693" s="763"/>
      <c r="F693" s="763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40">
        <v>0</v>
      </c>
      <c r="O693" s="498"/>
      <c r="P693" s="49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</row>
    <row r="694" spans="1:26" ht="18.75">
      <c r="A694" s="574"/>
      <c r="B694" s="575"/>
      <c r="C694" s="763"/>
      <c r="D694" s="763"/>
      <c r="E694" s="763"/>
      <c r="F694" s="763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40">
        <v>20030</v>
      </c>
      <c r="O694" s="498"/>
      <c r="P694" s="49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</row>
    <row r="695" spans="1:26" ht="18.75">
      <c r="A695" s="597"/>
      <c r="B695" s="575"/>
      <c r="C695" s="763"/>
      <c r="D695" s="606" t="s">
        <v>21</v>
      </c>
      <c r="E695" s="763"/>
      <c r="F695" s="763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</row>
    <row r="696" spans="1:26" ht="18.75" hidden="1">
      <c r="A696" s="599"/>
      <c r="B696" s="607"/>
      <c r="C696" s="759"/>
      <c r="D696" s="759"/>
      <c r="E696" s="759" t="s">
        <v>18</v>
      </c>
      <c r="F696" s="759"/>
      <c r="G696" s="603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4"/>
      <c r="R696" s="604"/>
      <c r="S696" s="604"/>
      <c r="T696" s="604"/>
      <c r="U696" s="604"/>
      <c r="V696" s="604"/>
      <c r="W696" s="604"/>
      <c r="X696" s="604"/>
      <c r="Y696" s="604"/>
      <c r="Z696" s="604"/>
    </row>
    <row r="697" spans="1:26" ht="18.75" hidden="1">
      <c r="A697" s="599"/>
      <c r="B697" s="607"/>
      <c r="C697" s="759"/>
      <c r="D697" s="759"/>
      <c r="E697" s="759" t="s">
        <v>19</v>
      </c>
      <c r="F697" s="759"/>
      <c r="G697" s="603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4"/>
      <c r="R697" s="604"/>
      <c r="S697" s="604"/>
      <c r="T697" s="604"/>
      <c r="U697" s="604"/>
      <c r="V697" s="604"/>
      <c r="W697" s="604"/>
      <c r="X697" s="604"/>
      <c r="Y697" s="604"/>
      <c r="Z697" s="604"/>
    </row>
    <row r="698" spans="1:26" ht="19.5">
      <c r="A698" s="608"/>
      <c r="B698" s="618"/>
      <c r="C698" s="763" t="s">
        <v>16</v>
      </c>
      <c r="D698" s="898" t="s">
        <v>38</v>
      </c>
      <c r="E698" s="761"/>
      <c r="F698" s="761"/>
      <c r="G698" s="613"/>
      <c r="H698" s="762"/>
      <c r="I698" s="184"/>
      <c r="J698" s="184"/>
      <c r="K698" s="163"/>
      <c r="L698" s="163"/>
      <c r="M698" s="163"/>
      <c r="N698" s="163"/>
      <c r="O698" s="163"/>
      <c r="P698" s="163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</row>
    <row r="699" spans="1:26" ht="18.75">
      <c r="A699" s="744"/>
      <c r="B699" s="763"/>
      <c r="C699" s="763"/>
      <c r="D699" s="763" t="s">
        <v>295</v>
      </c>
      <c r="E699" s="763"/>
      <c r="F699" s="763"/>
      <c r="G699" s="189"/>
      <c r="H699" s="764" t="s">
        <v>46</v>
      </c>
      <c r="I699" s="765">
        <f ca="1">IFERROR(__xludf.DUMMYFUNCTION("IMPORTRANGE(""https://docs.google.com/spreadsheets/d/1QqKyyYR6Q21VydFLVH3TRQUabQu_ym0Zz7PgGX0-kHA/edit?usp=sharing"",""แผน!IC34"")"),0)</f>
        <v>0</v>
      </c>
      <c r="J699" s="270">
        <f ca="1">IFERROR(__xludf.DUMMYFUNCTION("IMPORTRANGE(""https://docs.google.com/spreadsheets/d/1XWAQStnk-4SwqDmLtmXYiTMKHgktTP8We1SCoS47DrQ/edit?usp=sharing"",""จัดที่ดิน!BB34"")"),0)</f>
        <v>0</v>
      </c>
      <c r="K699" s="498">
        <f t="shared" ref="K699:K701" ca="1" si="290">IF(I699&gt;0,J699*100/I699,0)</f>
        <v>0</v>
      </c>
      <c r="L699" s="498"/>
      <c r="M699" s="189"/>
      <c r="N699" s="766"/>
      <c r="O699" s="498"/>
      <c r="P699" s="49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</row>
    <row r="700" spans="1:26" ht="18.75">
      <c r="A700" s="744"/>
      <c r="B700" s="763"/>
      <c r="C700" s="763"/>
      <c r="D700" s="763" t="s">
        <v>296</v>
      </c>
      <c r="E700" s="763"/>
      <c r="F700" s="763"/>
      <c r="G700" s="189"/>
      <c r="H700" s="764" t="s">
        <v>35</v>
      </c>
      <c r="I700" s="765">
        <f ca="1">IFERROR(__xludf.DUMMYFUNCTION("IMPORTRANGE(""https://docs.google.com/spreadsheets/d/1QqKyyYR6Q21VydFLVH3TRQUabQu_ym0Zz7PgGX0-kHA/edit?usp=sharing"",""แผน!ID34"")"),23)</f>
        <v>23</v>
      </c>
      <c r="J700" s="270">
        <f ca="1">IFERROR(__xludf.DUMMYFUNCTION("IMPORTRANGE(""https://docs.google.com/spreadsheets/d/1XWAQStnk-4SwqDmLtmXYiTMKHgktTP8We1SCoS47DrQ/edit?usp=sharing"",""จัดที่ดิน!BD34"")"),65)</f>
        <v>65</v>
      </c>
      <c r="K700" s="498">
        <f t="shared" ca="1" si="290"/>
        <v>282.60869565217394</v>
      </c>
      <c r="L700" s="498"/>
      <c r="M700" s="189"/>
      <c r="N700" s="766"/>
      <c r="O700" s="498"/>
      <c r="P700" s="49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</row>
    <row r="701" spans="1:26" ht="19.5">
      <c r="A701" s="744"/>
      <c r="B701" s="763"/>
      <c r="C701" s="763"/>
      <c r="D701" s="763" t="s">
        <v>297</v>
      </c>
      <c r="E701" s="763"/>
      <c r="F701" s="763"/>
      <c r="G701" s="189"/>
      <c r="H701" s="767" t="s">
        <v>46</v>
      </c>
      <c r="I701" s="768">
        <f ca="1">IFERROR(__xludf.DUMMYFUNCTION("IMPORTRANGE(""https://docs.google.com/spreadsheets/d/1QqKyyYR6Q21VydFLVH3TRQUabQu_ym0Zz7PgGX0-kHA/edit?usp=sharing"",""แผน!IE34"")"),1368)</f>
        <v>1368</v>
      </c>
      <c r="J701" s="681">
        <f>J704+J707</f>
        <v>666</v>
      </c>
      <c r="K701" s="195">
        <f t="shared" ca="1" si="290"/>
        <v>48.684210526315788</v>
      </c>
      <c r="L701" s="498"/>
      <c r="M701" s="189"/>
      <c r="N701" s="766"/>
      <c r="O701" s="498"/>
      <c r="P701" s="49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</row>
    <row r="702" spans="1:26" ht="18.75">
      <c r="A702" s="744"/>
      <c r="B702" s="763"/>
      <c r="C702" s="763"/>
      <c r="D702" s="763"/>
      <c r="E702" s="763" t="s">
        <v>298</v>
      </c>
      <c r="F702" s="763"/>
      <c r="G702" s="189"/>
      <c r="H702" s="764" t="s">
        <v>35</v>
      </c>
      <c r="I702" s="765"/>
      <c r="J702" s="215">
        <v>2</v>
      </c>
      <c r="K702" s="498"/>
      <c r="L702" s="498"/>
      <c r="M702" s="189"/>
      <c r="N702" s="766"/>
      <c r="O702" s="498"/>
      <c r="P702" s="49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</row>
    <row r="703" spans="1:26" ht="18.75">
      <c r="A703" s="744"/>
      <c r="B703" s="763"/>
      <c r="C703" s="763"/>
      <c r="D703" s="763"/>
      <c r="E703" s="763"/>
      <c r="F703" s="763"/>
      <c r="G703" s="189"/>
      <c r="H703" s="764" t="s">
        <v>34</v>
      </c>
      <c r="I703" s="765"/>
      <c r="J703" s="215">
        <v>2</v>
      </c>
      <c r="K703" s="498"/>
      <c r="L703" s="498"/>
      <c r="M703" s="189"/>
      <c r="N703" s="766"/>
      <c r="O703" s="498"/>
      <c r="P703" s="49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</row>
    <row r="704" spans="1:26" ht="18.75">
      <c r="A704" s="744"/>
      <c r="B704" s="763"/>
      <c r="C704" s="763"/>
      <c r="D704" s="763"/>
      <c r="E704" s="763"/>
      <c r="F704" s="763"/>
      <c r="G704" s="189"/>
      <c r="H704" s="764" t="s">
        <v>46</v>
      </c>
      <c r="I704" s="765">
        <f ca="1">IFERROR(__xludf.DUMMYFUNCTION("IMPORTRANGE(""https://docs.google.com/spreadsheets/d/1QqKyyYR6Q21VydFLVH3TRQUabQu_ym0Zz7PgGX0-kHA/edit?usp=sharing"",""แผน!IF34"")"),36)</f>
        <v>36</v>
      </c>
      <c r="J704" s="215">
        <v>24</v>
      </c>
      <c r="K704" s="498"/>
      <c r="L704" s="498"/>
      <c r="M704" s="189"/>
      <c r="N704" s="766"/>
      <c r="O704" s="498"/>
      <c r="P704" s="49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</row>
    <row r="705" spans="1:26" ht="18.75">
      <c r="A705" s="744"/>
      <c r="B705" s="763"/>
      <c r="C705" s="763"/>
      <c r="D705" s="763"/>
      <c r="E705" s="763" t="s">
        <v>299</v>
      </c>
      <c r="F705" s="763"/>
      <c r="G705" s="189"/>
      <c r="H705" s="764" t="s">
        <v>35</v>
      </c>
      <c r="I705" s="765"/>
      <c r="J705" s="215">
        <v>54</v>
      </c>
      <c r="K705" s="498"/>
      <c r="L705" s="498"/>
      <c r="M705" s="189"/>
      <c r="N705" s="766"/>
      <c r="O705" s="498"/>
      <c r="P705" s="49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</row>
    <row r="706" spans="1:26" ht="18.75">
      <c r="A706" s="744"/>
      <c r="B706" s="763"/>
      <c r="C706" s="763"/>
      <c r="D706" s="763"/>
      <c r="E706" s="763"/>
      <c r="F706" s="763"/>
      <c r="G706" s="189"/>
      <c r="H706" s="764" t="s">
        <v>34</v>
      </c>
      <c r="I706" s="765"/>
      <c r="J706" s="215">
        <v>56</v>
      </c>
      <c r="K706" s="498"/>
      <c r="L706" s="498"/>
      <c r="M706" s="189"/>
      <c r="N706" s="766"/>
      <c r="O706" s="498"/>
      <c r="P706" s="49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</row>
    <row r="707" spans="1:26" ht="18.75">
      <c r="A707" s="744"/>
      <c r="B707" s="763"/>
      <c r="C707" s="763"/>
      <c r="D707" s="763"/>
      <c r="E707" s="763"/>
      <c r="F707" s="763"/>
      <c r="G707" s="189"/>
      <c r="H707" s="764" t="s">
        <v>46</v>
      </c>
      <c r="I707" s="765">
        <f ca="1">IFERROR(__xludf.DUMMYFUNCTION("IMPORTRANGE(""https://docs.google.com/spreadsheets/d/1QqKyyYR6Q21VydFLVH3TRQUabQu_ym0Zz7PgGX0-kHA/edit?usp=sharing"",""แผน!IG34"")"),1332)</f>
        <v>1332</v>
      </c>
      <c r="J707" s="215">
        <v>642</v>
      </c>
      <c r="K707" s="498"/>
      <c r="L707" s="498"/>
      <c r="M707" s="189"/>
      <c r="N707" s="766"/>
      <c r="O707" s="498"/>
      <c r="P707" s="49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</row>
    <row r="708" spans="1:26" ht="19.5">
      <c r="A708" s="744"/>
      <c r="B708" s="763"/>
      <c r="C708" s="763"/>
      <c r="D708" s="769" t="s">
        <v>300</v>
      </c>
      <c r="E708" s="763"/>
      <c r="F708" s="763"/>
      <c r="G708" s="189"/>
      <c r="H708" s="767" t="s">
        <v>46</v>
      </c>
      <c r="I708" s="768">
        <f ca="1">IFERROR(__xludf.DUMMYFUNCTION("IMPORTRANGE(""https://docs.google.com/spreadsheets/d/1QqKyyYR6Q21VydFLVH3TRQUabQu_ym0Zz7PgGX0-kHA/edit?usp=sharing"",""แผน!IH34"")"),84)</f>
        <v>84</v>
      </c>
      <c r="J708" s="681">
        <f>J714+J717</f>
        <v>67</v>
      </c>
      <c r="K708" s="195">
        <f ca="1">IF(I708&gt;0,J708*100/I708,0)</f>
        <v>79.761904761904759</v>
      </c>
      <c r="L708" s="498"/>
      <c r="M708" s="189"/>
      <c r="N708" s="766"/>
      <c r="O708" s="498"/>
      <c r="P708" s="49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</row>
    <row r="709" spans="1:26" ht="18.75">
      <c r="A709" s="744"/>
      <c r="B709" s="763"/>
      <c r="C709" s="763"/>
      <c r="D709" s="763"/>
      <c r="E709" s="763" t="s">
        <v>301</v>
      </c>
      <c r="F709" s="763"/>
      <c r="G709" s="189"/>
      <c r="H709" s="764" t="s">
        <v>34</v>
      </c>
      <c r="I709" s="765"/>
      <c r="J709" s="215">
        <v>2</v>
      </c>
      <c r="K709" s="498"/>
      <c r="L709" s="766"/>
      <c r="M709" s="189"/>
      <c r="N709" s="766"/>
      <c r="O709" s="498"/>
      <c r="P709" s="49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</row>
    <row r="710" spans="1:26" ht="18.75">
      <c r="A710" s="744"/>
      <c r="B710" s="763"/>
      <c r="C710" s="763"/>
      <c r="D710" s="763"/>
      <c r="E710" s="763"/>
      <c r="F710" s="763"/>
      <c r="G710" s="189"/>
      <c r="H710" s="764" t="s">
        <v>46</v>
      </c>
      <c r="I710" s="765"/>
      <c r="J710" s="215">
        <v>67</v>
      </c>
      <c r="K710" s="498"/>
      <c r="L710" s="766"/>
      <c r="M710" s="189"/>
      <c r="N710" s="766"/>
      <c r="O710" s="498"/>
      <c r="P710" s="49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</row>
    <row r="711" spans="1:26" ht="18.75">
      <c r="A711" s="744"/>
      <c r="B711" s="763"/>
      <c r="C711" s="763"/>
      <c r="D711" s="763"/>
      <c r="E711" s="763" t="s">
        <v>302</v>
      </c>
      <c r="F711" s="763"/>
      <c r="G711" s="189"/>
      <c r="H711" s="762"/>
      <c r="I711" s="765"/>
      <c r="J711" s="270"/>
      <c r="K711" s="498"/>
      <c r="L711" s="766"/>
      <c r="M711" s="189"/>
      <c r="N711" s="766"/>
      <c r="O711" s="498"/>
      <c r="P711" s="49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</row>
    <row r="712" spans="1:26" ht="18.75">
      <c r="A712" s="744"/>
      <c r="B712" s="763"/>
      <c r="C712" s="763"/>
      <c r="D712" s="763"/>
      <c r="E712" s="763"/>
      <c r="F712" s="763" t="s">
        <v>303</v>
      </c>
      <c r="G712" s="189"/>
      <c r="H712" s="764" t="s">
        <v>35</v>
      </c>
      <c r="I712" s="765"/>
      <c r="J712" s="215">
        <v>4</v>
      </c>
      <c r="K712" s="498"/>
      <c r="L712" s="766"/>
      <c r="M712" s="189"/>
      <c r="N712" s="766"/>
      <c r="O712" s="498"/>
      <c r="P712" s="49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</row>
    <row r="713" spans="1:26" ht="18.75">
      <c r="A713" s="744"/>
      <c r="B713" s="763"/>
      <c r="C713" s="763"/>
      <c r="D713" s="763"/>
      <c r="E713" s="763"/>
      <c r="F713" s="763"/>
      <c r="G713" s="189"/>
      <c r="H713" s="764" t="s">
        <v>34</v>
      </c>
      <c r="I713" s="765"/>
      <c r="J713" s="215">
        <v>4</v>
      </c>
      <c r="K713" s="498"/>
      <c r="L713" s="766"/>
      <c r="M713" s="189"/>
      <c r="N713" s="766"/>
      <c r="O713" s="498"/>
      <c r="P713" s="49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</row>
    <row r="714" spans="1:26" ht="18.75">
      <c r="A714" s="744"/>
      <c r="B714" s="763"/>
      <c r="C714" s="763"/>
      <c r="D714" s="763"/>
      <c r="E714" s="763"/>
      <c r="F714" s="763"/>
      <c r="G714" s="189"/>
      <c r="H714" s="764" t="s">
        <v>46</v>
      </c>
      <c r="I714" s="765"/>
      <c r="J714" s="215">
        <v>67</v>
      </c>
      <c r="K714" s="498"/>
      <c r="L714" s="766"/>
      <c r="M714" s="189"/>
      <c r="N714" s="766"/>
      <c r="O714" s="498"/>
      <c r="P714" s="49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</row>
    <row r="715" spans="1:26" ht="18.75">
      <c r="A715" s="744"/>
      <c r="B715" s="763"/>
      <c r="C715" s="763"/>
      <c r="D715" s="763"/>
      <c r="E715" s="763"/>
      <c r="F715" s="763" t="s">
        <v>304</v>
      </c>
      <c r="G715" s="189"/>
      <c r="H715" s="764" t="s">
        <v>35</v>
      </c>
      <c r="I715" s="765"/>
      <c r="J715" s="215">
        <v>0</v>
      </c>
      <c r="K715" s="498"/>
      <c r="L715" s="766"/>
      <c r="M715" s="189"/>
      <c r="N715" s="766"/>
      <c r="O715" s="498"/>
      <c r="P715" s="49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</row>
    <row r="716" spans="1:26" ht="18.75">
      <c r="A716" s="744"/>
      <c r="B716" s="763"/>
      <c r="C716" s="763"/>
      <c r="D716" s="763"/>
      <c r="E716" s="763"/>
      <c r="F716" s="763"/>
      <c r="G716" s="189"/>
      <c r="H716" s="764" t="s">
        <v>34</v>
      </c>
      <c r="I716" s="765"/>
      <c r="J716" s="215">
        <v>0</v>
      </c>
      <c r="K716" s="498"/>
      <c r="L716" s="766"/>
      <c r="M716" s="189"/>
      <c r="N716" s="766"/>
      <c r="O716" s="498"/>
      <c r="P716" s="49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</row>
    <row r="717" spans="1:26" ht="18.75">
      <c r="A717" s="744"/>
      <c r="B717" s="763"/>
      <c r="C717" s="763"/>
      <c r="D717" s="763"/>
      <c r="E717" s="763"/>
      <c r="F717" s="763"/>
      <c r="G717" s="189"/>
      <c r="H717" s="764" t="s">
        <v>46</v>
      </c>
      <c r="I717" s="765"/>
      <c r="J717" s="215">
        <v>0</v>
      </c>
      <c r="K717" s="498"/>
      <c r="L717" s="766"/>
      <c r="M717" s="189"/>
      <c r="N717" s="766"/>
      <c r="O717" s="498"/>
      <c r="P717" s="49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</row>
    <row r="718" spans="1:26" ht="18.75">
      <c r="A718" s="744"/>
      <c r="B718" s="763"/>
      <c r="C718" s="763"/>
      <c r="D718" s="763" t="s">
        <v>305</v>
      </c>
      <c r="E718" s="763"/>
      <c r="F718" s="763"/>
      <c r="G718" s="189"/>
      <c r="H718" s="764" t="s">
        <v>35</v>
      </c>
      <c r="I718" s="765"/>
      <c r="J718" s="270">
        <f ca="1">IFERROR(__xludf.DUMMYFUNCTION("IMPORTRANGE(""https://docs.google.com/spreadsheets/d/1XWAQStnk-4SwqDmLtmXYiTMKHgktTP8We1SCoS47DrQ/edit?usp=sharing"",""จัดที่ดิน!BF34"")"),0)</f>
        <v>0</v>
      </c>
      <c r="K718" s="498"/>
      <c r="L718" s="498"/>
      <c r="M718" s="189"/>
      <c r="N718" s="766"/>
      <c r="O718" s="498"/>
      <c r="P718" s="49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</row>
    <row r="719" spans="1:26" ht="18.75">
      <c r="A719" s="744"/>
      <c r="B719" s="763"/>
      <c r="C719" s="763"/>
      <c r="D719" s="763"/>
      <c r="E719" s="763"/>
      <c r="F719" s="763"/>
      <c r="G719" s="189"/>
      <c r="H719" s="764" t="s">
        <v>34</v>
      </c>
      <c r="I719" s="765"/>
      <c r="J719" s="270">
        <f ca="1">IFERROR(__xludf.DUMMYFUNCTION("IMPORTRANGE(""https://docs.google.com/spreadsheets/d/1XWAQStnk-4SwqDmLtmXYiTMKHgktTP8We1SCoS47DrQ/edit?usp=sharing"",""จัดที่ดิน!BG34"")"),0)</f>
        <v>0</v>
      </c>
      <c r="K719" s="498"/>
      <c r="L719" s="766"/>
      <c r="M719" s="189"/>
      <c r="N719" s="766"/>
      <c r="O719" s="498"/>
      <c r="P719" s="49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</row>
    <row r="720" spans="1:26" ht="18.75">
      <c r="A720" s="744"/>
      <c r="B720" s="763"/>
      <c r="C720" s="763"/>
      <c r="D720" s="763"/>
      <c r="E720" s="763"/>
      <c r="F720" s="763"/>
      <c r="G720" s="189"/>
      <c r="H720" s="764" t="s">
        <v>46</v>
      </c>
      <c r="I720" s="765">
        <f ca="1">IFERROR(__xludf.DUMMYFUNCTION("IMPORTRANGE(""https://docs.google.com/spreadsheets/d/1QqKyyYR6Q21VydFLVH3TRQUabQu_ym0Zz7PgGX0-kHA/edit?usp=sharing"",""แผน!II34"")"),0)</f>
        <v>0</v>
      </c>
      <c r="J720" s="270">
        <f ca="1">IFERROR(__xludf.DUMMYFUNCTION("IMPORTRANGE(""https://docs.google.com/spreadsheets/d/1XWAQStnk-4SwqDmLtmXYiTMKHgktTP8We1SCoS47DrQ/edit?usp=sharing"",""จัดที่ดิน!BH34"")"),0)</f>
        <v>0</v>
      </c>
      <c r="K720" s="498">
        <f t="shared" ref="K720:K723" ca="1" si="291">IF(I720&gt;0,J720*100/I720,0)</f>
        <v>0</v>
      </c>
      <c r="L720" s="766"/>
      <c r="M720" s="189"/>
      <c r="N720" s="766"/>
      <c r="O720" s="498"/>
      <c r="P720" s="49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</row>
    <row r="721" spans="1:26" ht="19.5">
      <c r="A721" s="744"/>
      <c r="B721" s="763"/>
      <c r="C721" s="763"/>
      <c r="D721" s="763" t="s">
        <v>306</v>
      </c>
      <c r="E721" s="763"/>
      <c r="F721" s="763"/>
      <c r="G721" s="189"/>
      <c r="H721" s="767" t="s">
        <v>35</v>
      </c>
      <c r="I721" s="768">
        <f ca="1">IFERROR(__xludf.DUMMYFUNCTION("IMPORTRANGE(""https://docs.google.com/spreadsheets/d/1QqKyyYR6Q21VydFLVH3TRQUabQu_ym0Zz7PgGX0-kHA/edit?usp=sharing"",""แผน!IJ34"")"),45)</f>
        <v>45</v>
      </c>
      <c r="J721" s="681">
        <f ca="1">J723+J726</f>
        <v>0</v>
      </c>
      <c r="K721" s="195">
        <f t="shared" ca="1" si="291"/>
        <v>0</v>
      </c>
      <c r="L721" s="766"/>
      <c r="M721" s="189"/>
      <c r="N721" s="766"/>
      <c r="O721" s="498"/>
      <c r="P721" s="49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</row>
    <row r="722" spans="1:26" ht="19.5">
      <c r="A722" s="744"/>
      <c r="B722" s="763"/>
      <c r="C722" s="763"/>
      <c r="D722" s="763"/>
      <c r="E722" s="763"/>
      <c r="F722" s="763"/>
      <c r="G722" s="189"/>
      <c r="H722" s="767" t="s">
        <v>46</v>
      </c>
      <c r="I722" s="768">
        <f ca="1">IFERROR(__xludf.DUMMYFUNCTION("IMPORTRANGE(""https://docs.google.com/spreadsheets/d/1QqKyyYR6Q21VydFLVH3TRQUabQu_ym0Zz7PgGX0-kHA/edit?usp=sharing"",""แผน!IK34"")"),540)</f>
        <v>540</v>
      </c>
      <c r="J722" s="681">
        <f ca="1">J725+J728</f>
        <v>0</v>
      </c>
      <c r="K722" s="195">
        <f t="shared" ca="1" si="291"/>
        <v>0</v>
      </c>
      <c r="L722" s="498"/>
      <c r="M722" s="189"/>
      <c r="N722" s="766"/>
      <c r="O722" s="498"/>
      <c r="P722" s="49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</row>
    <row r="723" spans="1:26" ht="18.75">
      <c r="A723" s="744"/>
      <c r="B723" s="763"/>
      <c r="C723" s="763"/>
      <c r="D723" s="763"/>
      <c r="E723" s="763" t="s">
        <v>307</v>
      </c>
      <c r="F723" s="763"/>
      <c r="G723" s="189"/>
      <c r="H723" s="764" t="s">
        <v>35</v>
      </c>
      <c r="I723" s="765">
        <f ca="1">IFERROR(__xludf.DUMMYFUNCTION("IMPORTRANGE(""https://docs.google.com/spreadsheets/d/1QqKyyYR6Q21VydFLVH3TRQUabQu_ym0Zz7PgGX0-kHA/edit?usp=sharing"",""แผน!IL34"")"),45)</f>
        <v>45</v>
      </c>
      <c r="J723" s="270">
        <f ca="1">IFERROR(__xludf.DUMMYFUNCTION("IMPORTRANGE(""https://docs.google.com/spreadsheets/d/1XWAQStnk-4SwqDmLtmXYiTMKHgktTP8We1SCoS47DrQ/edit?usp=sharing"",""จัดที่ดิน!BM34"")"),0)</f>
        <v>0</v>
      </c>
      <c r="K723" s="498">
        <f t="shared" ca="1" si="291"/>
        <v>0</v>
      </c>
      <c r="L723" s="498"/>
      <c r="M723" s="189"/>
      <c r="N723" s="766"/>
      <c r="O723" s="498"/>
      <c r="P723" s="49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</row>
    <row r="724" spans="1:26" ht="18.75">
      <c r="A724" s="744"/>
      <c r="B724" s="763"/>
      <c r="C724" s="763"/>
      <c r="D724" s="763"/>
      <c r="E724" s="763"/>
      <c r="F724" s="763"/>
      <c r="G724" s="189"/>
      <c r="H724" s="764" t="s">
        <v>34</v>
      </c>
      <c r="I724" s="765"/>
      <c r="J724" s="270">
        <f ca="1">IFERROR(__xludf.DUMMYFUNCTION("IMPORTRANGE(""https://docs.google.com/spreadsheets/d/1XWAQStnk-4SwqDmLtmXYiTMKHgktTP8We1SCoS47DrQ/edit?usp=sharing"",""จัดที่ดิน!BN34"")"),0)</f>
        <v>0</v>
      </c>
      <c r="K724" s="498"/>
      <c r="L724" s="766"/>
      <c r="M724" s="189"/>
      <c r="N724" s="766"/>
      <c r="O724" s="498"/>
      <c r="P724" s="49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</row>
    <row r="725" spans="1:26" ht="18.75">
      <c r="A725" s="744"/>
      <c r="B725" s="763"/>
      <c r="C725" s="763"/>
      <c r="D725" s="763"/>
      <c r="E725" s="763"/>
      <c r="F725" s="763"/>
      <c r="G725" s="189"/>
      <c r="H725" s="764" t="s">
        <v>46</v>
      </c>
      <c r="I725" s="765">
        <f ca="1">IFERROR(__xludf.DUMMYFUNCTION("IMPORTRANGE(""https://docs.google.com/spreadsheets/d/1QqKyyYR6Q21VydFLVH3TRQUabQu_ym0Zz7PgGX0-kHA/edit?usp=sharing"",""แผน!IM34"")"),540)</f>
        <v>540</v>
      </c>
      <c r="J725" s="270">
        <f ca="1">IFERROR(__xludf.DUMMYFUNCTION("IMPORTRANGE(""https://docs.google.com/spreadsheets/d/1XWAQStnk-4SwqDmLtmXYiTMKHgktTP8We1SCoS47DrQ/edit?usp=sharing"",""จัดที่ดิน!BO34"")"),0)</f>
        <v>0</v>
      </c>
      <c r="K725" s="498">
        <f t="shared" ref="K725:K726" ca="1" si="292">IF(I725&gt;0,J725*100/I725,0)</f>
        <v>0</v>
      </c>
      <c r="L725" s="766"/>
      <c r="M725" s="189"/>
      <c r="N725" s="766"/>
      <c r="O725" s="498"/>
      <c r="P725" s="49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</row>
    <row r="726" spans="1:26" ht="18.75">
      <c r="A726" s="744"/>
      <c r="B726" s="763"/>
      <c r="C726" s="763"/>
      <c r="D726" s="763"/>
      <c r="E726" s="763" t="s">
        <v>308</v>
      </c>
      <c r="F726" s="763"/>
      <c r="G726" s="189"/>
      <c r="H726" s="764" t="s">
        <v>35</v>
      </c>
      <c r="I726" s="765">
        <f ca="1">IFERROR(__xludf.DUMMYFUNCTION("IMPORTRANGE(""https://docs.google.com/spreadsheets/d/1QqKyyYR6Q21VydFLVH3TRQUabQu_ym0Zz7PgGX0-kHA/edit?usp=sharing"",""แผน!IN34"")"),0)</f>
        <v>0</v>
      </c>
      <c r="J726" s="270">
        <f ca="1">IFERROR(__xludf.DUMMYFUNCTION("IMPORTRANGE(""https://docs.google.com/spreadsheets/d/1XWAQStnk-4SwqDmLtmXYiTMKHgktTP8We1SCoS47DrQ/edit?usp=sharing"",""จัดที่ดิน!BR34"")"),0)</f>
        <v>0</v>
      </c>
      <c r="K726" s="498">
        <f t="shared" ca="1" si="292"/>
        <v>0</v>
      </c>
      <c r="L726" s="498"/>
      <c r="M726" s="189"/>
      <c r="N726" s="766"/>
      <c r="O726" s="498"/>
      <c r="P726" s="49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</row>
    <row r="727" spans="1:26" ht="18.75">
      <c r="A727" s="744"/>
      <c r="B727" s="763"/>
      <c r="C727" s="763"/>
      <c r="D727" s="763"/>
      <c r="E727" s="763"/>
      <c r="F727" s="763"/>
      <c r="G727" s="189"/>
      <c r="H727" s="764" t="s">
        <v>34</v>
      </c>
      <c r="I727" s="765"/>
      <c r="J727" s="270">
        <f ca="1">IFERROR(__xludf.DUMMYFUNCTION("IMPORTRANGE(""https://docs.google.com/spreadsheets/d/1XWAQStnk-4SwqDmLtmXYiTMKHgktTP8We1SCoS47DrQ/edit?usp=sharing"",""จัดที่ดิน!BS34"")"),0)</f>
        <v>0</v>
      </c>
      <c r="K727" s="498"/>
      <c r="L727" s="766"/>
      <c r="M727" s="189"/>
      <c r="N727" s="766"/>
      <c r="O727" s="498"/>
      <c r="P727" s="49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</row>
    <row r="728" spans="1:26" ht="18.75">
      <c r="A728" s="744"/>
      <c r="B728" s="763"/>
      <c r="C728" s="763"/>
      <c r="D728" s="763"/>
      <c r="E728" s="763"/>
      <c r="F728" s="763"/>
      <c r="G728" s="189"/>
      <c r="H728" s="764" t="s">
        <v>46</v>
      </c>
      <c r="I728" s="765">
        <f ca="1">IFERROR(__xludf.DUMMYFUNCTION("IMPORTRANGE(""https://docs.google.com/spreadsheets/d/1QqKyyYR6Q21VydFLVH3TRQUabQu_ym0Zz7PgGX0-kHA/edit?usp=sharing"",""แผน!IO34"")"),0)</f>
        <v>0</v>
      </c>
      <c r="J728" s="270">
        <f ca="1">IFERROR(__xludf.DUMMYFUNCTION("IMPORTRANGE(""https://docs.google.com/spreadsheets/d/1XWAQStnk-4SwqDmLtmXYiTMKHgktTP8We1SCoS47DrQ/edit?usp=sharing"",""จัดที่ดิน!BT34"")"),0)</f>
        <v>0</v>
      </c>
      <c r="K728" s="498">
        <f t="shared" ref="K728:K729" ca="1" si="293">IF(I728&gt;0,J728*100/I728,0)</f>
        <v>0</v>
      </c>
      <c r="L728" s="766"/>
      <c r="M728" s="189"/>
      <c r="N728" s="766"/>
      <c r="O728" s="498"/>
      <c r="P728" s="49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</row>
    <row r="729" spans="1:26" ht="19.5">
      <c r="A729" s="744"/>
      <c r="B729" s="763"/>
      <c r="C729" s="763"/>
      <c r="D729" s="763" t="s">
        <v>309</v>
      </c>
      <c r="E729" s="763"/>
      <c r="F729" s="763"/>
      <c r="G729" s="189"/>
      <c r="H729" s="767" t="s">
        <v>46</v>
      </c>
      <c r="I729" s="768">
        <f ca="1">IFERROR(__xludf.DUMMYFUNCTION("IMPORTRANGE(""https://docs.google.com/spreadsheets/d/1QqKyyYR6Q21VydFLVH3TRQUabQu_ym0Zz7PgGX0-kHA/edit?usp=sharing"",""แผน!IP34"")"),192)</f>
        <v>192</v>
      </c>
      <c r="J729" s="681">
        <f>J732+J735</f>
        <v>194</v>
      </c>
      <c r="K729" s="195">
        <f t="shared" ca="1" si="293"/>
        <v>101.04166666666667</v>
      </c>
      <c r="L729" s="498"/>
      <c r="M729" s="189"/>
      <c r="N729" s="766"/>
      <c r="O729" s="498"/>
      <c r="P729" s="49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</row>
    <row r="730" spans="1:26" ht="18.75">
      <c r="A730" s="744"/>
      <c r="B730" s="763"/>
      <c r="C730" s="763"/>
      <c r="D730" s="763"/>
      <c r="E730" s="763" t="s">
        <v>310</v>
      </c>
      <c r="F730" s="763"/>
      <c r="G730" s="189"/>
      <c r="H730" s="764" t="s">
        <v>35</v>
      </c>
      <c r="I730" s="765"/>
      <c r="J730" s="215">
        <v>4</v>
      </c>
      <c r="K730" s="498"/>
      <c r="L730" s="766"/>
      <c r="M730" s="498"/>
      <c r="N730" s="766"/>
      <c r="O730" s="498"/>
      <c r="P730" s="49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</row>
    <row r="731" spans="1:26" ht="18.75">
      <c r="A731" s="744"/>
      <c r="B731" s="763"/>
      <c r="C731" s="763"/>
      <c r="D731" s="763"/>
      <c r="E731" s="763"/>
      <c r="F731" s="763"/>
      <c r="G731" s="189"/>
      <c r="H731" s="764" t="s">
        <v>34</v>
      </c>
      <c r="I731" s="765"/>
      <c r="J731" s="215">
        <v>4</v>
      </c>
      <c r="K731" s="498"/>
      <c r="L731" s="766"/>
      <c r="M731" s="498"/>
      <c r="N731" s="766"/>
      <c r="O731" s="498"/>
      <c r="P731" s="49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</row>
    <row r="732" spans="1:26" ht="18.75">
      <c r="A732" s="744"/>
      <c r="B732" s="763"/>
      <c r="C732" s="763"/>
      <c r="D732" s="763"/>
      <c r="E732" s="763"/>
      <c r="F732" s="763"/>
      <c r="G732" s="189"/>
      <c r="H732" s="764" t="s">
        <v>46</v>
      </c>
      <c r="I732" s="765"/>
      <c r="J732" s="215">
        <v>40</v>
      </c>
      <c r="K732" s="498"/>
      <c r="L732" s="766"/>
      <c r="M732" s="498"/>
      <c r="N732" s="766"/>
      <c r="O732" s="498"/>
      <c r="P732" s="49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</row>
    <row r="733" spans="1:26" ht="18.75">
      <c r="A733" s="744"/>
      <c r="B733" s="763"/>
      <c r="C733" s="763"/>
      <c r="D733" s="763"/>
      <c r="E733" s="763" t="s">
        <v>311</v>
      </c>
      <c r="F733" s="763"/>
      <c r="G733" s="189"/>
      <c r="H733" s="764" t="s">
        <v>35</v>
      </c>
      <c r="I733" s="765"/>
      <c r="J733" s="215">
        <v>14</v>
      </c>
      <c r="K733" s="498"/>
      <c r="L733" s="766"/>
      <c r="M733" s="498"/>
      <c r="N733" s="766"/>
      <c r="O733" s="498"/>
      <c r="P733" s="49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</row>
    <row r="734" spans="1:26" ht="18.75">
      <c r="A734" s="744"/>
      <c r="B734" s="763"/>
      <c r="C734" s="763"/>
      <c r="D734" s="763"/>
      <c r="E734" s="763"/>
      <c r="F734" s="763"/>
      <c r="G734" s="189"/>
      <c r="H734" s="764" t="s">
        <v>34</v>
      </c>
      <c r="I734" s="765"/>
      <c r="J734" s="215">
        <v>14</v>
      </c>
      <c r="K734" s="498"/>
      <c r="L734" s="766"/>
      <c r="M734" s="498"/>
      <c r="N734" s="766"/>
      <c r="O734" s="498"/>
      <c r="P734" s="49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</row>
    <row r="735" spans="1:26" ht="19.5">
      <c r="A735" s="770"/>
      <c r="B735" s="771" t="s">
        <v>312</v>
      </c>
      <c r="C735" s="734"/>
      <c r="D735" s="734"/>
      <c r="E735" s="734"/>
      <c r="F735" s="734"/>
      <c r="G735" s="735"/>
      <c r="H735" s="422" t="s">
        <v>46</v>
      </c>
      <c r="I735" s="772"/>
      <c r="J735" s="424">
        <v>154</v>
      </c>
      <c r="K735" s="507"/>
      <c r="L735" s="773"/>
      <c r="M735" s="507"/>
      <c r="N735" s="773"/>
      <c r="O735" s="507"/>
      <c r="P735" s="507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</row>
    <row r="736" spans="1:26" ht="19.5" hidden="1">
      <c r="A736" s="774">
        <v>9</v>
      </c>
      <c r="B736" s="775" t="s">
        <v>313</v>
      </c>
      <c r="C736" s="776"/>
      <c r="D736" s="776"/>
      <c r="E736" s="776"/>
      <c r="F736" s="776"/>
      <c r="G736" s="777"/>
      <c r="H736" s="778" t="s">
        <v>46</v>
      </c>
      <c r="I736" s="779"/>
      <c r="J736" s="779">
        <f>J751</f>
        <v>0</v>
      </c>
      <c r="K736" s="780">
        <f>IF(I736&gt;0,J736*100/I736,0)</f>
        <v>0</v>
      </c>
      <c r="L736" s="781"/>
      <c r="M736" s="781"/>
      <c r="N736" s="781"/>
      <c r="O736" s="781"/>
      <c r="P736" s="781"/>
      <c r="Q736" s="604"/>
      <c r="R736" s="604"/>
      <c r="S736" s="604"/>
      <c r="T736" s="604"/>
      <c r="U736" s="604"/>
      <c r="V736" s="604"/>
      <c r="W736" s="604"/>
      <c r="X736" s="604"/>
      <c r="Y736" s="604"/>
      <c r="Z736" s="604"/>
    </row>
    <row r="737" spans="1:26" ht="19.5" hidden="1">
      <c r="A737" s="599"/>
      <c r="B737" s="759"/>
      <c r="C737" s="759" t="s">
        <v>16</v>
      </c>
      <c r="D737" s="864" t="s">
        <v>17</v>
      </c>
      <c r="E737" s="857"/>
      <c r="F737" s="857"/>
      <c r="G737" s="603"/>
      <c r="H737" s="646" t="s">
        <v>12</v>
      </c>
      <c r="I737" s="617"/>
      <c r="J737" s="617"/>
      <c r="K737" s="93"/>
      <c r="L737" s="647">
        <f t="shared" ref="L737:N737" si="294">L738+L739</f>
        <v>0</v>
      </c>
      <c r="M737" s="647">
        <f t="shared" si="294"/>
        <v>0</v>
      </c>
      <c r="N737" s="647">
        <f t="shared" si="294"/>
        <v>0</v>
      </c>
      <c r="O737" s="647">
        <f t="shared" ref="O737:O742" si="295">IF(L737&gt;0,N737*100/L737,0)</f>
        <v>0</v>
      </c>
      <c r="P737" s="647">
        <f t="shared" ref="P737:P742" si="296">IF(M737&gt;0,N737*100/M737,0)</f>
        <v>0</v>
      </c>
      <c r="Q737" s="604"/>
      <c r="R737" s="604"/>
      <c r="S737" s="604"/>
      <c r="T737" s="604"/>
      <c r="U737" s="604"/>
      <c r="V737" s="604"/>
      <c r="W737" s="604"/>
      <c r="X737" s="604"/>
      <c r="Y737" s="604"/>
      <c r="Z737" s="604"/>
    </row>
    <row r="738" spans="1:26" ht="18.75" hidden="1">
      <c r="A738" s="599"/>
      <c r="B738" s="759"/>
      <c r="C738" s="759"/>
      <c r="D738" s="720"/>
      <c r="E738" s="759" t="s">
        <v>185</v>
      </c>
      <c r="F738" s="759"/>
      <c r="G738" s="603"/>
      <c r="H738" s="165" t="s">
        <v>12</v>
      </c>
      <c r="I738" s="617"/>
      <c r="J738" s="617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4"/>
      <c r="R738" s="604"/>
      <c r="S738" s="604"/>
      <c r="T738" s="604"/>
      <c r="U738" s="604"/>
      <c r="V738" s="604"/>
      <c r="W738" s="604"/>
      <c r="X738" s="604"/>
      <c r="Y738" s="604"/>
      <c r="Z738" s="604"/>
    </row>
    <row r="739" spans="1:26" ht="18.75" hidden="1">
      <c r="A739" s="599"/>
      <c r="B739" s="607"/>
      <c r="C739" s="759"/>
      <c r="D739" s="720"/>
      <c r="E739" s="759" t="s">
        <v>186</v>
      </c>
      <c r="F739" s="759"/>
      <c r="G739" s="603"/>
      <c r="H739" s="165" t="s">
        <v>12</v>
      </c>
      <c r="I739" s="617"/>
      <c r="J739" s="617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4"/>
      <c r="R739" s="604"/>
      <c r="S739" s="604"/>
      <c r="T739" s="604"/>
      <c r="U739" s="604"/>
      <c r="V739" s="604"/>
      <c r="W739" s="604"/>
      <c r="X739" s="604"/>
      <c r="Y739" s="604"/>
      <c r="Z739" s="604"/>
    </row>
    <row r="740" spans="1:26" ht="19.5" hidden="1">
      <c r="A740" s="599"/>
      <c r="B740" s="607"/>
      <c r="C740" s="759"/>
      <c r="D740" s="645" t="s">
        <v>20</v>
      </c>
      <c r="E740" s="759"/>
      <c r="F740" s="759"/>
      <c r="G740" s="603"/>
      <c r="H740" s="646" t="s">
        <v>12</v>
      </c>
      <c r="I740" s="166"/>
      <c r="J740" s="166"/>
      <c r="K740" s="167"/>
      <c r="L740" s="647">
        <f t="shared" ref="L740:N740" si="298">L741+L742</f>
        <v>0</v>
      </c>
      <c r="M740" s="647">
        <f t="shared" si="298"/>
        <v>0</v>
      </c>
      <c r="N740" s="647">
        <f t="shared" si="298"/>
        <v>0</v>
      </c>
      <c r="O740" s="647">
        <f t="shared" si="295"/>
        <v>0</v>
      </c>
      <c r="P740" s="647">
        <f t="shared" si="296"/>
        <v>0</v>
      </c>
      <c r="Q740" s="604"/>
      <c r="R740" s="604"/>
      <c r="S740" s="604"/>
      <c r="T740" s="604"/>
      <c r="U740" s="604"/>
      <c r="V740" s="604"/>
      <c r="W740" s="604"/>
      <c r="X740" s="604"/>
      <c r="Y740" s="604"/>
      <c r="Z740" s="604"/>
    </row>
    <row r="741" spans="1:26" ht="18.75" hidden="1">
      <c r="A741" s="599"/>
      <c r="B741" s="607"/>
      <c r="C741" s="759"/>
      <c r="D741" s="720"/>
      <c r="E741" s="759" t="s">
        <v>185</v>
      </c>
      <c r="F741" s="759"/>
      <c r="G741" s="603"/>
      <c r="H741" s="165" t="s">
        <v>12</v>
      </c>
      <c r="I741" s="617"/>
      <c r="J741" s="617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4"/>
      <c r="R741" s="604"/>
      <c r="S741" s="604"/>
      <c r="T741" s="604"/>
      <c r="U741" s="604"/>
      <c r="V741" s="604"/>
      <c r="W741" s="604"/>
      <c r="X741" s="604"/>
      <c r="Y741" s="604"/>
      <c r="Z741" s="604"/>
    </row>
    <row r="742" spans="1:26" ht="18.75" hidden="1">
      <c r="A742" s="599"/>
      <c r="B742" s="607"/>
      <c r="C742" s="759"/>
      <c r="D742" s="720"/>
      <c r="E742" s="759" t="s">
        <v>186</v>
      </c>
      <c r="F742" s="759"/>
      <c r="G742" s="603"/>
      <c r="H742" s="165" t="s">
        <v>12</v>
      </c>
      <c r="I742" s="617"/>
      <c r="J742" s="617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4"/>
      <c r="R742" s="604"/>
      <c r="S742" s="604"/>
      <c r="T742" s="604"/>
      <c r="U742" s="604"/>
      <c r="V742" s="604"/>
      <c r="W742" s="604"/>
      <c r="X742" s="604"/>
      <c r="Y742" s="604"/>
      <c r="Z742" s="604"/>
    </row>
    <row r="743" spans="1:26" ht="18.75" hidden="1">
      <c r="A743" s="649"/>
      <c r="B743" s="607"/>
      <c r="C743" s="759"/>
      <c r="D743" s="759"/>
      <c r="E743" s="759"/>
      <c r="F743" s="759" t="s">
        <v>187</v>
      </c>
      <c r="G743" s="603"/>
      <c r="H743" s="165" t="s">
        <v>12</v>
      </c>
      <c r="I743" s="617"/>
      <c r="J743" s="617"/>
      <c r="K743" s="93"/>
      <c r="L743" s="93"/>
      <c r="M743" s="93"/>
      <c r="N743" s="93"/>
      <c r="O743" s="93"/>
      <c r="P743" s="93"/>
      <c r="Q743" s="604"/>
      <c r="R743" s="604"/>
      <c r="S743" s="604"/>
      <c r="T743" s="604"/>
      <c r="U743" s="604"/>
      <c r="V743" s="604"/>
      <c r="W743" s="604"/>
      <c r="X743" s="604"/>
      <c r="Y743" s="604"/>
      <c r="Z743" s="604"/>
    </row>
    <row r="744" spans="1:26" ht="18.75" hidden="1">
      <c r="A744" s="649"/>
      <c r="B744" s="607"/>
      <c r="C744" s="759"/>
      <c r="D744" s="759"/>
      <c r="E744" s="759"/>
      <c r="F744" s="759" t="s">
        <v>188</v>
      </c>
      <c r="G744" s="603"/>
      <c r="H744" s="165" t="s">
        <v>12</v>
      </c>
      <c r="I744" s="617"/>
      <c r="J744" s="617"/>
      <c r="K744" s="93"/>
      <c r="L744" s="93"/>
      <c r="M744" s="93"/>
      <c r="N744" s="93"/>
      <c r="O744" s="93"/>
      <c r="P744" s="93"/>
      <c r="Q744" s="604"/>
      <c r="R744" s="604"/>
      <c r="S744" s="604"/>
      <c r="T744" s="604"/>
      <c r="U744" s="604"/>
      <c r="V744" s="604"/>
      <c r="W744" s="604"/>
      <c r="X744" s="604"/>
      <c r="Y744" s="604"/>
      <c r="Z744" s="604"/>
    </row>
    <row r="745" spans="1:26" ht="18.75" hidden="1">
      <c r="A745" s="649"/>
      <c r="B745" s="607"/>
      <c r="C745" s="759"/>
      <c r="D745" s="759"/>
      <c r="E745" s="759"/>
      <c r="F745" s="759" t="s">
        <v>189</v>
      </c>
      <c r="G745" s="603"/>
      <c r="H745" s="165" t="s">
        <v>12</v>
      </c>
      <c r="I745" s="617"/>
      <c r="J745" s="617"/>
      <c r="K745" s="93"/>
      <c r="L745" s="93"/>
      <c r="M745" s="93"/>
      <c r="N745" s="93"/>
      <c r="O745" s="93"/>
      <c r="P745" s="93"/>
      <c r="Q745" s="604"/>
      <c r="R745" s="604"/>
      <c r="S745" s="604"/>
      <c r="T745" s="604"/>
      <c r="U745" s="604"/>
      <c r="V745" s="604"/>
      <c r="W745" s="604"/>
      <c r="X745" s="604"/>
      <c r="Y745" s="604"/>
      <c r="Z745" s="604"/>
    </row>
    <row r="746" spans="1:26" ht="18.75" hidden="1">
      <c r="A746" s="649"/>
      <c r="B746" s="607"/>
      <c r="C746" s="759"/>
      <c r="D746" s="759"/>
      <c r="E746" s="759"/>
      <c r="F746" s="759" t="s">
        <v>190</v>
      </c>
      <c r="G746" s="603"/>
      <c r="H746" s="165" t="s">
        <v>12</v>
      </c>
      <c r="I746" s="617"/>
      <c r="J746" s="617"/>
      <c r="K746" s="93"/>
      <c r="L746" s="93"/>
      <c r="M746" s="93"/>
      <c r="N746" s="93"/>
      <c r="O746" s="93"/>
      <c r="P746" s="93"/>
      <c r="Q746" s="604"/>
      <c r="R746" s="604"/>
      <c r="S746" s="604"/>
      <c r="T746" s="604"/>
      <c r="U746" s="604"/>
      <c r="V746" s="604"/>
      <c r="W746" s="604"/>
      <c r="X746" s="604"/>
      <c r="Y746" s="604"/>
      <c r="Z746" s="604"/>
    </row>
    <row r="747" spans="1:26" ht="19.5" hidden="1">
      <c r="A747" s="599"/>
      <c r="B747" s="607"/>
      <c r="C747" s="759"/>
      <c r="D747" s="645" t="s">
        <v>21</v>
      </c>
      <c r="E747" s="759"/>
      <c r="F747" s="759"/>
      <c r="G747" s="603"/>
      <c r="H747" s="783" t="s">
        <v>12</v>
      </c>
      <c r="I747" s="166"/>
      <c r="J747" s="166"/>
      <c r="K747" s="167"/>
      <c r="L747" s="647">
        <f t="shared" ref="L747:N747" si="299">L748+L749</f>
        <v>0</v>
      </c>
      <c r="M747" s="647">
        <f t="shared" si="299"/>
        <v>0</v>
      </c>
      <c r="N747" s="647">
        <f t="shared" si="299"/>
        <v>0</v>
      </c>
      <c r="O747" s="647">
        <f t="shared" ref="O747:O749" si="300">IF(L747&gt;0,N747*100/L747,0)</f>
        <v>0</v>
      </c>
      <c r="P747" s="647">
        <f t="shared" ref="P747:P749" si="301">IF(M747&gt;0,N747*100/M747,0)</f>
        <v>0</v>
      </c>
      <c r="Q747" s="604"/>
      <c r="R747" s="604"/>
      <c r="S747" s="604"/>
      <c r="T747" s="604"/>
      <c r="U747" s="604"/>
      <c r="V747" s="604"/>
      <c r="W747" s="604"/>
      <c r="X747" s="604"/>
      <c r="Y747" s="604"/>
      <c r="Z747" s="604"/>
    </row>
    <row r="748" spans="1:26" ht="18.75" hidden="1">
      <c r="A748" s="599"/>
      <c r="B748" s="607"/>
      <c r="C748" s="759"/>
      <c r="D748" s="759"/>
      <c r="E748" s="759" t="s">
        <v>18</v>
      </c>
      <c r="F748" s="759"/>
      <c r="G748" s="603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4"/>
      <c r="R748" s="604"/>
      <c r="S748" s="604"/>
      <c r="T748" s="604"/>
      <c r="U748" s="604"/>
      <c r="V748" s="604"/>
      <c r="W748" s="604"/>
      <c r="X748" s="604"/>
      <c r="Y748" s="604"/>
      <c r="Z748" s="604"/>
    </row>
    <row r="749" spans="1:26" ht="18.75" hidden="1">
      <c r="A749" s="599"/>
      <c r="B749" s="607"/>
      <c r="C749" s="759"/>
      <c r="D749" s="759"/>
      <c r="E749" s="759" t="s">
        <v>19</v>
      </c>
      <c r="F749" s="759"/>
      <c r="G749" s="603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4"/>
      <c r="R749" s="604"/>
      <c r="S749" s="604"/>
      <c r="T749" s="604"/>
      <c r="U749" s="604"/>
      <c r="V749" s="604"/>
      <c r="W749" s="604"/>
      <c r="X749" s="604"/>
      <c r="Y749" s="604"/>
      <c r="Z749" s="604"/>
    </row>
    <row r="750" spans="1:26" ht="19.5" hidden="1">
      <c r="A750" s="614"/>
      <c r="B750" s="616"/>
      <c r="C750" s="759" t="s">
        <v>16</v>
      </c>
      <c r="D750" s="899" t="s">
        <v>38</v>
      </c>
      <c r="E750" s="651"/>
      <c r="F750" s="651"/>
      <c r="G750" s="652"/>
      <c r="H750" s="366"/>
      <c r="I750" s="166"/>
      <c r="J750" s="166"/>
      <c r="K750" s="167"/>
      <c r="L750" s="167"/>
      <c r="M750" s="167"/>
      <c r="N750" s="167"/>
      <c r="O750" s="167"/>
      <c r="P750" s="167"/>
      <c r="Q750" s="604"/>
      <c r="R750" s="604"/>
      <c r="S750" s="604"/>
      <c r="T750" s="604"/>
      <c r="U750" s="604"/>
      <c r="V750" s="604"/>
      <c r="W750" s="604"/>
      <c r="X750" s="604"/>
      <c r="Y750" s="604"/>
      <c r="Z750" s="604"/>
    </row>
    <row r="751" spans="1:26" ht="18.75" hidden="1">
      <c r="A751" s="649"/>
      <c r="B751" s="607"/>
      <c r="C751" s="759"/>
      <c r="D751" s="759"/>
      <c r="E751" s="759" t="s">
        <v>314</v>
      </c>
      <c r="F751" s="759"/>
      <c r="G751" s="603"/>
      <c r="H751" s="165" t="s">
        <v>46</v>
      </c>
      <c r="I751" s="617"/>
      <c r="J751" s="617"/>
      <c r="K751" s="93"/>
      <c r="L751" s="93"/>
      <c r="M751" s="93"/>
      <c r="N751" s="93"/>
      <c r="O751" s="93"/>
      <c r="P751" s="93"/>
      <c r="Q751" s="604"/>
      <c r="R751" s="604"/>
      <c r="S751" s="604"/>
      <c r="T751" s="604"/>
      <c r="U751" s="604"/>
      <c r="V751" s="604"/>
      <c r="W751" s="604"/>
      <c r="X751" s="604"/>
      <c r="Y751" s="604"/>
      <c r="Z751" s="604"/>
    </row>
    <row r="752" spans="1:26" ht="18.75" hidden="1">
      <c r="A752" s="649"/>
      <c r="B752" s="607"/>
      <c r="C752" s="759"/>
      <c r="D752" s="759"/>
      <c r="E752" s="759"/>
      <c r="F752" s="759"/>
      <c r="G752" s="603"/>
      <c r="H752" s="165" t="s">
        <v>315</v>
      </c>
      <c r="I752" s="617"/>
      <c r="J752" s="617"/>
      <c r="K752" s="93"/>
      <c r="L752" s="93"/>
      <c r="M752" s="93"/>
      <c r="N752" s="93"/>
      <c r="O752" s="93"/>
      <c r="P752" s="93"/>
      <c r="Q752" s="604"/>
      <c r="R752" s="604"/>
      <c r="S752" s="604"/>
      <c r="T752" s="604"/>
      <c r="U752" s="604"/>
      <c r="V752" s="604"/>
      <c r="W752" s="604"/>
      <c r="X752" s="604"/>
      <c r="Y752" s="604"/>
      <c r="Z752" s="604"/>
    </row>
    <row r="753" spans="1:26" ht="19.5" hidden="1">
      <c r="A753" s="785">
        <v>10</v>
      </c>
      <c r="B753" s="786" t="s">
        <v>316</v>
      </c>
      <c r="C753" s="787"/>
      <c r="D753" s="787"/>
      <c r="E753" s="787"/>
      <c r="F753" s="787"/>
      <c r="G753" s="788"/>
      <c r="H753" s="789" t="s">
        <v>46</v>
      </c>
      <c r="I753" s="790"/>
      <c r="J753" s="790">
        <f>J768</f>
        <v>0</v>
      </c>
      <c r="K753" s="791">
        <f>IF(I753&gt;0,J753*100/I753,0)</f>
        <v>0</v>
      </c>
      <c r="L753" s="792"/>
      <c r="M753" s="792"/>
      <c r="N753" s="792"/>
      <c r="O753" s="792"/>
      <c r="P753" s="792"/>
      <c r="Q753" s="604"/>
      <c r="R753" s="604"/>
      <c r="S753" s="604"/>
      <c r="T753" s="604"/>
      <c r="U753" s="604"/>
      <c r="V753" s="604"/>
      <c r="W753" s="604"/>
      <c r="X753" s="604"/>
      <c r="Y753" s="604"/>
      <c r="Z753" s="604"/>
    </row>
    <row r="754" spans="1:26" ht="19.5" hidden="1">
      <c r="A754" s="599"/>
      <c r="B754" s="759"/>
      <c r="C754" s="759" t="s">
        <v>16</v>
      </c>
      <c r="D754" s="864" t="s">
        <v>17</v>
      </c>
      <c r="E754" s="857"/>
      <c r="F754" s="857"/>
      <c r="G754" s="603"/>
      <c r="H754" s="646" t="s">
        <v>12</v>
      </c>
      <c r="I754" s="617"/>
      <c r="J754" s="617"/>
      <c r="K754" s="93"/>
      <c r="L754" s="647">
        <f t="shared" ref="L754:N754" si="302">L755+L756</f>
        <v>0</v>
      </c>
      <c r="M754" s="647">
        <f t="shared" si="302"/>
        <v>0</v>
      </c>
      <c r="N754" s="647">
        <f t="shared" si="302"/>
        <v>0</v>
      </c>
      <c r="O754" s="647">
        <f t="shared" ref="O754:O759" si="303">IF(L754&gt;0,N754*100/L754,0)</f>
        <v>0</v>
      </c>
      <c r="P754" s="647">
        <f t="shared" ref="P754:P759" si="304">IF(M754&gt;0,N754*100/M754,0)</f>
        <v>0</v>
      </c>
      <c r="Q754" s="604"/>
      <c r="R754" s="604"/>
      <c r="S754" s="604"/>
      <c r="T754" s="604"/>
      <c r="U754" s="604"/>
      <c r="V754" s="604"/>
      <c r="W754" s="604"/>
      <c r="X754" s="604"/>
      <c r="Y754" s="604"/>
      <c r="Z754" s="604"/>
    </row>
    <row r="755" spans="1:26" ht="18.75" hidden="1">
      <c r="A755" s="599"/>
      <c r="B755" s="759"/>
      <c r="C755" s="759"/>
      <c r="D755" s="720"/>
      <c r="E755" s="759" t="s">
        <v>185</v>
      </c>
      <c r="F755" s="759"/>
      <c r="G755" s="603"/>
      <c r="H755" s="165" t="s">
        <v>12</v>
      </c>
      <c r="I755" s="617"/>
      <c r="J755" s="617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4"/>
      <c r="R755" s="604"/>
      <c r="S755" s="604"/>
      <c r="T755" s="604"/>
      <c r="U755" s="604"/>
      <c r="V755" s="604"/>
      <c r="W755" s="604"/>
      <c r="X755" s="604"/>
      <c r="Y755" s="604"/>
      <c r="Z755" s="604"/>
    </row>
    <row r="756" spans="1:26" ht="18.75" hidden="1">
      <c r="A756" s="599"/>
      <c r="B756" s="607"/>
      <c r="C756" s="759"/>
      <c r="D756" s="720"/>
      <c r="E756" s="759" t="s">
        <v>186</v>
      </c>
      <c r="F756" s="759"/>
      <c r="G756" s="603"/>
      <c r="H756" s="165" t="s">
        <v>12</v>
      </c>
      <c r="I756" s="617"/>
      <c r="J756" s="617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4"/>
      <c r="R756" s="604"/>
      <c r="S756" s="604"/>
      <c r="T756" s="604"/>
      <c r="U756" s="604"/>
      <c r="V756" s="604"/>
      <c r="W756" s="604"/>
      <c r="X756" s="604"/>
      <c r="Y756" s="604"/>
      <c r="Z756" s="604"/>
    </row>
    <row r="757" spans="1:26" ht="19.5" hidden="1">
      <c r="A757" s="599"/>
      <c r="B757" s="607"/>
      <c r="C757" s="759"/>
      <c r="D757" s="645" t="s">
        <v>20</v>
      </c>
      <c r="E757" s="759"/>
      <c r="F757" s="759"/>
      <c r="G757" s="603"/>
      <c r="H757" s="646" t="s">
        <v>12</v>
      </c>
      <c r="I757" s="166"/>
      <c r="J757" s="166"/>
      <c r="K757" s="167"/>
      <c r="L757" s="647">
        <f t="shared" ref="L757:N757" si="306">L758+L759</f>
        <v>0</v>
      </c>
      <c r="M757" s="647">
        <f t="shared" si="306"/>
        <v>0</v>
      </c>
      <c r="N757" s="647">
        <f t="shared" si="306"/>
        <v>0</v>
      </c>
      <c r="O757" s="647">
        <f t="shared" si="303"/>
        <v>0</v>
      </c>
      <c r="P757" s="647">
        <f t="shared" si="304"/>
        <v>0</v>
      </c>
      <c r="Q757" s="604"/>
      <c r="R757" s="604"/>
      <c r="S757" s="604"/>
      <c r="T757" s="604"/>
      <c r="U757" s="604"/>
      <c r="V757" s="604"/>
      <c r="W757" s="604"/>
      <c r="X757" s="604"/>
      <c r="Y757" s="604"/>
      <c r="Z757" s="604"/>
    </row>
    <row r="758" spans="1:26" ht="18.75" hidden="1">
      <c r="A758" s="599"/>
      <c r="B758" s="607"/>
      <c r="C758" s="759"/>
      <c r="D758" s="720"/>
      <c r="E758" s="759" t="s">
        <v>185</v>
      </c>
      <c r="F758" s="759"/>
      <c r="G758" s="603"/>
      <c r="H758" s="165" t="s">
        <v>12</v>
      </c>
      <c r="I758" s="617"/>
      <c r="J758" s="617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4"/>
      <c r="R758" s="604"/>
      <c r="S758" s="604"/>
      <c r="T758" s="604"/>
      <c r="U758" s="604"/>
      <c r="V758" s="604"/>
      <c r="W758" s="604"/>
      <c r="X758" s="604"/>
      <c r="Y758" s="604"/>
      <c r="Z758" s="604"/>
    </row>
    <row r="759" spans="1:26" ht="18.75" hidden="1">
      <c r="A759" s="599"/>
      <c r="B759" s="607"/>
      <c r="C759" s="759"/>
      <c r="D759" s="720"/>
      <c r="E759" s="759" t="s">
        <v>186</v>
      </c>
      <c r="F759" s="759"/>
      <c r="G759" s="603"/>
      <c r="H759" s="165" t="s">
        <v>12</v>
      </c>
      <c r="I759" s="617"/>
      <c r="J759" s="617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4"/>
      <c r="R759" s="604"/>
      <c r="S759" s="604"/>
      <c r="T759" s="604"/>
      <c r="U759" s="604"/>
      <c r="V759" s="604"/>
      <c r="W759" s="604"/>
      <c r="X759" s="604"/>
      <c r="Y759" s="604"/>
      <c r="Z759" s="604"/>
    </row>
    <row r="760" spans="1:26" ht="18.75" hidden="1">
      <c r="A760" s="649"/>
      <c r="B760" s="607"/>
      <c r="C760" s="759"/>
      <c r="D760" s="759"/>
      <c r="E760" s="759"/>
      <c r="F760" s="759" t="s">
        <v>187</v>
      </c>
      <c r="G760" s="603"/>
      <c r="H760" s="165" t="s">
        <v>12</v>
      </c>
      <c r="I760" s="617"/>
      <c r="J760" s="617"/>
      <c r="K760" s="93"/>
      <c r="L760" s="93"/>
      <c r="M760" s="93"/>
      <c r="N760" s="93"/>
      <c r="O760" s="93"/>
      <c r="P760" s="93"/>
      <c r="Q760" s="604"/>
      <c r="R760" s="604"/>
      <c r="S760" s="604"/>
      <c r="T760" s="604"/>
      <c r="U760" s="604"/>
      <c r="V760" s="604"/>
      <c r="W760" s="604"/>
      <c r="X760" s="604"/>
      <c r="Y760" s="604"/>
      <c r="Z760" s="604"/>
    </row>
    <row r="761" spans="1:26" ht="18.75" hidden="1">
      <c r="A761" s="649"/>
      <c r="B761" s="607"/>
      <c r="C761" s="759"/>
      <c r="D761" s="759"/>
      <c r="E761" s="759"/>
      <c r="F761" s="759" t="s">
        <v>188</v>
      </c>
      <c r="G761" s="603"/>
      <c r="H761" s="165" t="s">
        <v>12</v>
      </c>
      <c r="I761" s="617"/>
      <c r="J761" s="617"/>
      <c r="K761" s="93"/>
      <c r="L761" s="93"/>
      <c r="M761" s="93"/>
      <c r="N761" s="93"/>
      <c r="O761" s="93"/>
      <c r="P761" s="93"/>
      <c r="Q761" s="604"/>
      <c r="R761" s="604"/>
      <c r="S761" s="604"/>
      <c r="T761" s="604"/>
      <c r="U761" s="604"/>
      <c r="V761" s="604"/>
      <c r="W761" s="604"/>
      <c r="X761" s="604"/>
      <c r="Y761" s="604"/>
      <c r="Z761" s="604"/>
    </row>
    <row r="762" spans="1:26" ht="18.75" hidden="1">
      <c r="A762" s="649"/>
      <c r="B762" s="607"/>
      <c r="C762" s="759"/>
      <c r="D762" s="759"/>
      <c r="E762" s="759"/>
      <c r="F762" s="759" t="s">
        <v>189</v>
      </c>
      <c r="G762" s="603"/>
      <c r="H762" s="165" t="s">
        <v>12</v>
      </c>
      <c r="I762" s="617"/>
      <c r="J762" s="617"/>
      <c r="K762" s="93"/>
      <c r="L762" s="93"/>
      <c r="M762" s="93"/>
      <c r="N762" s="93"/>
      <c r="O762" s="93"/>
      <c r="P762" s="93"/>
      <c r="Q762" s="604"/>
      <c r="R762" s="604"/>
      <c r="S762" s="604"/>
      <c r="T762" s="604"/>
      <c r="U762" s="604"/>
      <c r="V762" s="604"/>
      <c r="W762" s="604"/>
      <c r="X762" s="604"/>
      <c r="Y762" s="604"/>
      <c r="Z762" s="604"/>
    </row>
    <row r="763" spans="1:26" ht="18.75" hidden="1">
      <c r="A763" s="649"/>
      <c r="B763" s="607"/>
      <c r="C763" s="759"/>
      <c r="D763" s="759"/>
      <c r="E763" s="759"/>
      <c r="F763" s="759" t="s">
        <v>190</v>
      </c>
      <c r="G763" s="603"/>
      <c r="H763" s="165" t="s">
        <v>12</v>
      </c>
      <c r="I763" s="617"/>
      <c r="J763" s="617"/>
      <c r="K763" s="93"/>
      <c r="L763" s="93"/>
      <c r="M763" s="93"/>
      <c r="N763" s="93"/>
      <c r="O763" s="93"/>
      <c r="P763" s="93"/>
      <c r="Q763" s="604"/>
      <c r="R763" s="604"/>
      <c r="S763" s="604"/>
      <c r="T763" s="604"/>
      <c r="U763" s="604"/>
      <c r="V763" s="604"/>
      <c r="W763" s="604"/>
      <c r="X763" s="604"/>
      <c r="Y763" s="604"/>
      <c r="Z763" s="604"/>
    </row>
    <row r="764" spans="1:26" ht="19.5" hidden="1">
      <c r="A764" s="599"/>
      <c r="B764" s="607"/>
      <c r="C764" s="759"/>
      <c r="D764" s="645" t="s">
        <v>21</v>
      </c>
      <c r="E764" s="759"/>
      <c r="F764" s="759"/>
      <c r="G764" s="603"/>
      <c r="H764" s="783" t="s">
        <v>12</v>
      </c>
      <c r="I764" s="166"/>
      <c r="J764" s="166"/>
      <c r="K764" s="167"/>
      <c r="L764" s="647">
        <f t="shared" ref="L764:N764" si="307">L765+L766</f>
        <v>0</v>
      </c>
      <c r="M764" s="647">
        <f t="shared" si="307"/>
        <v>0</v>
      </c>
      <c r="N764" s="647">
        <f t="shared" si="307"/>
        <v>0</v>
      </c>
      <c r="O764" s="647">
        <f t="shared" ref="O764:O766" si="308">IF(L764&gt;0,N764*100/L764,0)</f>
        <v>0</v>
      </c>
      <c r="P764" s="647">
        <f t="shared" ref="P764:P766" si="309">IF(M764&gt;0,N764*100/M764,0)</f>
        <v>0</v>
      </c>
      <c r="Q764" s="604"/>
      <c r="R764" s="604"/>
      <c r="S764" s="604"/>
      <c r="T764" s="604"/>
      <c r="U764" s="604"/>
      <c r="V764" s="604"/>
      <c r="W764" s="604"/>
      <c r="X764" s="604"/>
      <c r="Y764" s="604"/>
      <c r="Z764" s="604"/>
    </row>
    <row r="765" spans="1:26" ht="18.75" hidden="1">
      <c r="A765" s="599"/>
      <c r="B765" s="607"/>
      <c r="C765" s="759"/>
      <c r="D765" s="759"/>
      <c r="E765" s="759" t="s">
        <v>18</v>
      </c>
      <c r="F765" s="759"/>
      <c r="G765" s="603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4"/>
      <c r="R765" s="604"/>
      <c r="S765" s="604"/>
      <c r="T765" s="604"/>
      <c r="U765" s="604"/>
      <c r="V765" s="604"/>
      <c r="W765" s="604"/>
      <c r="X765" s="604"/>
      <c r="Y765" s="604"/>
      <c r="Z765" s="604"/>
    </row>
    <row r="766" spans="1:26" ht="18.75" hidden="1">
      <c r="A766" s="599"/>
      <c r="B766" s="607"/>
      <c r="C766" s="759"/>
      <c r="D766" s="759"/>
      <c r="E766" s="759" t="s">
        <v>19</v>
      </c>
      <c r="F766" s="759"/>
      <c r="G766" s="603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4"/>
      <c r="R766" s="604"/>
      <c r="S766" s="604"/>
      <c r="T766" s="604"/>
      <c r="U766" s="604"/>
      <c r="V766" s="604"/>
      <c r="W766" s="604"/>
      <c r="X766" s="604"/>
      <c r="Y766" s="604"/>
      <c r="Z766" s="604"/>
    </row>
    <row r="767" spans="1:26" ht="19.5" hidden="1">
      <c r="A767" s="614"/>
      <c r="B767" s="616"/>
      <c r="C767" s="759" t="s">
        <v>16</v>
      </c>
      <c r="D767" s="899" t="s">
        <v>38</v>
      </c>
      <c r="E767" s="651"/>
      <c r="F767" s="651"/>
      <c r="G767" s="652"/>
      <c r="H767" s="366"/>
      <c r="I767" s="166"/>
      <c r="J767" s="166"/>
      <c r="K767" s="167"/>
      <c r="L767" s="167"/>
      <c r="M767" s="167"/>
      <c r="N767" s="167"/>
      <c r="O767" s="167"/>
      <c r="P767" s="167"/>
      <c r="Q767" s="604"/>
      <c r="R767" s="604"/>
      <c r="S767" s="604"/>
      <c r="T767" s="604"/>
      <c r="U767" s="604"/>
      <c r="V767" s="604"/>
      <c r="W767" s="604"/>
      <c r="X767" s="604"/>
      <c r="Y767" s="604"/>
      <c r="Z767" s="604"/>
    </row>
    <row r="768" spans="1:26" ht="18.75" hidden="1">
      <c r="A768" s="649"/>
      <c r="B768" s="607"/>
      <c r="C768" s="759"/>
      <c r="D768" s="759"/>
      <c r="E768" s="759" t="s">
        <v>317</v>
      </c>
      <c r="F768" s="759"/>
      <c r="G768" s="603"/>
      <c r="H768" s="165" t="s">
        <v>46</v>
      </c>
      <c r="I768" s="617"/>
      <c r="J768" s="617"/>
      <c r="K768" s="93"/>
      <c r="L768" s="93"/>
      <c r="M768" s="93"/>
      <c r="N768" s="93"/>
      <c r="O768" s="93"/>
      <c r="P768" s="93"/>
      <c r="Q768" s="604"/>
      <c r="R768" s="604"/>
      <c r="S768" s="604"/>
      <c r="T768" s="604"/>
      <c r="U768" s="604"/>
      <c r="V768" s="604"/>
      <c r="W768" s="604"/>
      <c r="X768" s="604"/>
      <c r="Y768" s="604"/>
      <c r="Z768" s="604"/>
    </row>
    <row r="769" spans="1:26" ht="19.5" hidden="1">
      <c r="A769" s="793">
        <v>11</v>
      </c>
      <c r="B769" s="794" t="s">
        <v>318</v>
      </c>
      <c r="C769" s="795"/>
      <c r="D769" s="795"/>
      <c r="E769" s="795"/>
      <c r="F769" s="795"/>
      <c r="G769" s="796"/>
      <c r="H769" s="797" t="s">
        <v>46</v>
      </c>
      <c r="I769" s="798"/>
      <c r="J769" s="798">
        <f>J784</f>
        <v>0</v>
      </c>
      <c r="K769" s="799">
        <f>IF(I769&gt;0,J769*100/I769,0)</f>
        <v>0</v>
      </c>
      <c r="L769" s="800"/>
      <c r="M769" s="800"/>
      <c r="N769" s="800"/>
      <c r="O769" s="800"/>
      <c r="P769" s="800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</row>
    <row r="770" spans="1:26" ht="19.5" hidden="1">
      <c r="A770" s="599"/>
      <c r="B770" s="759"/>
      <c r="C770" s="759" t="s">
        <v>16</v>
      </c>
      <c r="D770" s="864" t="s">
        <v>17</v>
      </c>
      <c r="E770" s="857"/>
      <c r="F770" s="857"/>
      <c r="G770" s="603"/>
      <c r="H770" s="646" t="s">
        <v>12</v>
      </c>
      <c r="I770" s="617"/>
      <c r="J770" s="617"/>
      <c r="K770" s="93"/>
      <c r="L770" s="647">
        <f t="shared" ref="L770:N770" si="310">L771+L772</f>
        <v>0</v>
      </c>
      <c r="M770" s="647">
        <f t="shared" si="310"/>
        <v>0</v>
      </c>
      <c r="N770" s="647">
        <f t="shared" si="310"/>
        <v>0</v>
      </c>
      <c r="O770" s="647">
        <f t="shared" ref="O770:O775" si="311">IF(L770&gt;0,N770*100/L770,0)</f>
        <v>0</v>
      </c>
      <c r="P770" s="647">
        <f t="shared" ref="P770:P775" si="312">IF(M770&gt;0,N770*100/M770,0)</f>
        <v>0</v>
      </c>
      <c r="Q770" s="604"/>
      <c r="R770" s="604"/>
      <c r="S770" s="604"/>
      <c r="T770" s="604"/>
      <c r="U770" s="604"/>
      <c r="V770" s="604"/>
      <c r="W770" s="604"/>
      <c r="X770" s="604"/>
      <c r="Y770" s="604"/>
      <c r="Z770" s="604"/>
    </row>
    <row r="771" spans="1:26" ht="18.75" hidden="1">
      <c r="A771" s="599"/>
      <c r="B771" s="759"/>
      <c r="C771" s="759"/>
      <c r="D771" s="720"/>
      <c r="E771" s="759" t="s">
        <v>185</v>
      </c>
      <c r="F771" s="759"/>
      <c r="G771" s="603"/>
      <c r="H771" s="165" t="s">
        <v>12</v>
      </c>
      <c r="I771" s="617"/>
      <c r="J771" s="617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4"/>
      <c r="R771" s="604"/>
      <c r="S771" s="604"/>
      <c r="T771" s="604"/>
      <c r="U771" s="604"/>
      <c r="V771" s="604"/>
      <c r="W771" s="604"/>
      <c r="X771" s="604"/>
      <c r="Y771" s="604"/>
      <c r="Z771" s="604"/>
    </row>
    <row r="772" spans="1:26" ht="18.75" hidden="1">
      <c r="A772" s="599"/>
      <c r="B772" s="607"/>
      <c r="C772" s="759"/>
      <c r="D772" s="720"/>
      <c r="E772" s="759" t="s">
        <v>186</v>
      </c>
      <c r="F772" s="759"/>
      <c r="G772" s="603"/>
      <c r="H772" s="165" t="s">
        <v>12</v>
      </c>
      <c r="I772" s="617"/>
      <c r="J772" s="617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4"/>
      <c r="R772" s="604"/>
      <c r="S772" s="604"/>
      <c r="T772" s="604"/>
      <c r="U772" s="604"/>
      <c r="V772" s="604"/>
      <c r="W772" s="604"/>
      <c r="X772" s="604"/>
      <c r="Y772" s="604"/>
      <c r="Z772" s="604"/>
    </row>
    <row r="773" spans="1:26" ht="19.5" hidden="1">
      <c r="A773" s="599"/>
      <c r="B773" s="607"/>
      <c r="C773" s="759"/>
      <c r="D773" s="645" t="s">
        <v>20</v>
      </c>
      <c r="E773" s="759"/>
      <c r="F773" s="759"/>
      <c r="G773" s="603"/>
      <c r="H773" s="646" t="s">
        <v>12</v>
      </c>
      <c r="I773" s="166"/>
      <c r="J773" s="166"/>
      <c r="K773" s="167"/>
      <c r="L773" s="647">
        <f t="shared" ref="L773:N773" si="314">L774+L775</f>
        <v>0</v>
      </c>
      <c r="M773" s="647">
        <f t="shared" si="314"/>
        <v>0</v>
      </c>
      <c r="N773" s="647">
        <f t="shared" si="314"/>
        <v>0</v>
      </c>
      <c r="O773" s="647">
        <f t="shared" si="311"/>
        <v>0</v>
      </c>
      <c r="P773" s="647">
        <f t="shared" si="312"/>
        <v>0</v>
      </c>
      <c r="Q773" s="604"/>
      <c r="R773" s="604"/>
      <c r="S773" s="604"/>
      <c r="T773" s="604"/>
      <c r="U773" s="604"/>
      <c r="V773" s="604"/>
      <c r="W773" s="604"/>
      <c r="X773" s="604"/>
      <c r="Y773" s="604"/>
      <c r="Z773" s="604"/>
    </row>
    <row r="774" spans="1:26" ht="18.75" hidden="1">
      <c r="A774" s="599"/>
      <c r="B774" s="607"/>
      <c r="C774" s="759"/>
      <c r="D774" s="720"/>
      <c r="E774" s="759" t="s">
        <v>185</v>
      </c>
      <c r="F774" s="759"/>
      <c r="G774" s="603"/>
      <c r="H774" s="165" t="s">
        <v>12</v>
      </c>
      <c r="I774" s="617"/>
      <c r="J774" s="617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4"/>
      <c r="R774" s="604"/>
      <c r="S774" s="604"/>
      <c r="T774" s="604"/>
      <c r="U774" s="604"/>
      <c r="V774" s="604"/>
      <c r="W774" s="604"/>
      <c r="X774" s="604"/>
      <c r="Y774" s="604"/>
      <c r="Z774" s="604"/>
    </row>
    <row r="775" spans="1:26" ht="18.75" hidden="1">
      <c r="A775" s="599"/>
      <c r="B775" s="607"/>
      <c r="C775" s="759"/>
      <c r="D775" s="720"/>
      <c r="E775" s="759" t="s">
        <v>186</v>
      </c>
      <c r="F775" s="759"/>
      <c r="G775" s="603"/>
      <c r="H775" s="165" t="s">
        <v>12</v>
      </c>
      <c r="I775" s="617"/>
      <c r="J775" s="617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4"/>
      <c r="R775" s="604"/>
      <c r="S775" s="604"/>
      <c r="T775" s="604"/>
      <c r="U775" s="604"/>
      <c r="V775" s="604"/>
      <c r="W775" s="604"/>
      <c r="X775" s="604"/>
      <c r="Y775" s="604"/>
      <c r="Z775" s="604"/>
    </row>
    <row r="776" spans="1:26" ht="18.75" hidden="1">
      <c r="A776" s="649"/>
      <c r="B776" s="607"/>
      <c r="C776" s="759"/>
      <c r="D776" s="759"/>
      <c r="E776" s="759"/>
      <c r="F776" s="759" t="s">
        <v>187</v>
      </c>
      <c r="G776" s="603"/>
      <c r="H776" s="165" t="s">
        <v>12</v>
      </c>
      <c r="I776" s="617"/>
      <c r="J776" s="617"/>
      <c r="K776" s="93"/>
      <c r="L776" s="93"/>
      <c r="M776" s="93"/>
      <c r="N776" s="93"/>
      <c r="O776" s="93"/>
      <c r="P776" s="93"/>
      <c r="Q776" s="604"/>
      <c r="R776" s="604"/>
      <c r="S776" s="604"/>
      <c r="T776" s="604"/>
      <c r="U776" s="604"/>
      <c r="V776" s="604"/>
      <c r="W776" s="604"/>
      <c r="X776" s="604"/>
      <c r="Y776" s="604"/>
      <c r="Z776" s="604"/>
    </row>
    <row r="777" spans="1:26" ht="18.75" hidden="1">
      <c r="A777" s="649"/>
      <c r="B777" s="607"/>
      <c r="C777" s="759"/>
      <c r="D777" s="759"/>
      <c r="E777" s="759"/>
      <c r="F777" s="759" t="s">
        <v>188</v>
      </c>
      <c r="G777" s="603"/>
      <c r="H777" s="165" t="s">
        <v>12</v>
      </c>
      <c r="I777" s="617"/>
      <c r="J777" s="617"/>
      <c r="K777" s="93"/>
      <c r="L777" s="93"/>
      <c r="M777" s="93"/>
      <c r="N777" s="93"/>
      <c r="O777" s="93"/>
      <c r="P777" s="93"/>
      <c r="Q777" s="604"/>
      <c r="R777" s="604"/>
      <c r="S777" s="604"/>
      <c r="T777" s="604"/>
      <c r="U777" s="604"/>
      <c r="V777" s="604"/>
      <c r="W777" s="604"/>
      <c r="X777" s="604"/>
      <c r="Y777" s="604"/>
      <c r="Z777" s="604"/>
    </row>
    <row r="778" spans="1:26" ht="18.75" hidden="1">
      <c r="A778" s="649"/>
      <c r="B778" s="607"/>
      <c r="C778" s="759"/>
      <c r="D778" s="759"/>
      <c r="E778" s="759"/>
      <c r="F778" s="759" t="s">
        <v>189</v>
      </c>
      <c r="G778" s="603"/>
      <c r="H778" s="165" t="s">
        <v>12</v>
      </c>
      <c r="I778" s="617"/>
      <c r="J778" s="617"/>
      <c r="K778" s="93"/>
      <c r="L778" s="93"/>
      <c r="M778" s="93"/>
      <c r="N778" s="93"/>
      <c r="O778" s="93"/>
      <c r="P778" s="93"/>
      <c r="Q778" s="604"/>
      <c r="R778" s="604"/>
      <c r="S778" s="604"/>
      <c r="T778" s="604"/>
      <c r="U778" s="604"/>
      <c r="V778" s="604"/>
      <c r="W778" s="604"/>
      <c r="X778" s="604"/>
      <c r="Y778" s="604"/>
      <c r="Z778" s="604"/>
    </row>
    <row r="779" spans="1:26" ht="18.75" hidden="1">
      <c r="A779" s="649"/>
      <c r="B779" s="607"/>
      <c r="C779" s="759"/>
      <c r="D779" s="759"/>
      <c r="E779" s="759"/>
      <c r="F779" s="759" t="s">
        <v>190</v>
      </c>
      <c r="G779" s="603"/>
      <c r="H779" s="165" t="s">
        <v>12</v>
      </c>
      <c r="I779" s="617"/>
      <c r="J779" s="617"/>
      <c r="K779" s="93"/>
      <c r="L779" s="93"/>
      <c r="M779" s="93"/>
      <c r="N779" s="93"/>
      <c r="O779" s="93"/>
      <c r="P779" s="93"/>
      <c r="Q779" s="604"/>
      <c r="R779" s="604"/>
      <c r="S779" s="604"/>
      <c r="T779" s="604"/>
      <c r="U779" s="604"/>
      <c r="V779" s="604"/>
      <c r="W779" s="604"/>
      <c r="X779" s="604"/>
      <c r="Y779" s="604"/>
      <c r="Z779" s="604"/>
    </row>
    <row r="780" spans="1:26" ht="19.5" hidden="1">
      <c r="A780" s="599"/>
      <c r="B780" s="607"/>
      <c r="C780" s="759"/>
      <c r="D780" s="645" t="s">
        <v>21</v>
      </c>
      <c r="E780" s="759"/>
      <c r="F780" s="759"/>
      <c r="G780" s="603"/>
      <c r="H780" s="783" t="s">
        <v>12</v>
      </c>
      <c r="I780" s="166"/>
      <c r="J780" s="166"/>
      <c r="K780" s="167"/>
      <c r="L780" s="647">
        <f t="shared" ref="L780:N780" si="315">L781+L782</f>
        <v>0</v>
      </c>
      <c r="M780" s="647">
        <f t="shared" si="315"/>
        <v>0</v>
      </c>
      <c r="N780" s="647">
        <f t="shared" si="315"/>
        <v>0</v>
      </c>
      <c r="O780" s="647">
        <f t="shared" ref="O780:O782" si="316">IF(L780&gt;0,N780*100/L780,0)</f>
        <v>0</v>
      </c>
      <c r="P780" s="647">
        <f t="shared" ref="P780:P782" si="317">IF(M780&gt;0,N780*100/M780,0)</f>
        <v>0</v>
      </c>
      <c r="Q780" s="604"/>
      <c r="R780" s="604"/>
      <c r="S780" s="604"/>
      <c r="T780" s="604"/>
      <c r="U780" s="604"/>
      <c r="V780" s="604"/>
      <c r="W780" s="604"/>
      <c r="X780" s="604"/>
      <c r="Y780" s="604"/>
      <c r="Z780" s="604"/>
    </row>
    <row r="781" spans="1:26" ht="18.75" hidden="1">
      <c r="A781" s="599"/>
      <c r="B781" s="607"/>
      <c r="C781" s="759"/>
      <c r="D781" s="759"/>
      <c r="E781" s="759" t="s">
        <v>18</v>
      </c>
      <c r="F781" s="759"/>
      <c r="G781" s="603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4"/>
      <c r="R781" s="604"/>
      <c r="S781" s="604"/>
      <c r="T781" s="604"/>
      <c r="U781" s="604"/>
      <c r="V781" s="604"/>
      <c r="W781" s="604"/>
      <c r="X781" s="604"/>
      <c r="Y781" s="604"/>
      <c r="Z781" s="604"/>
    </row>
    <row r="782" spans="1:26" ht="18.75" hidden="1">
      <c r="A782" s="599"/>
      <c r="B782" s="607"/>
      <c r="C782" s="759"/>
      <c r="D782" s="759"/>
      <c r="E782" s="759" t="s">
        <v>19</v>
      </c>
      <c r="F782" s="759"/>
      <c r="G782" s="603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4"/>
      <c r="R782" s="604"/>
      <c r="S782" s="604"/>
      <c r="T782" s="604"/>
      <c r="U782" s="604"/>
      <c r="V782" s="604"/>
      <c r="W782" s="604"/>
      <c r="X782" s="604"/>
      <c r="Y782" s="604"/>
      <c r="Z782" s="604"/>
    </row>
    <row r="783" spans="1:26" ht="19.5" hidden="1">
      <c r="A783" s="614"/>
      <c r="B783" s="616"/>
      <c r="C783" s="759" t="s">
        <v>16</v>
      </c>
      <c r="D783" s="899" t="s">
        <v>38</v>
      </c>
      <c r="E783" s="651"/>
      <c r="F783" s="651"/>
      <c r="G783" s="652"/>
      <c r="H783" s="801"/>
      <c r="I783" s="166"/>
      <c r="J783" s="166"/>
      <c r="K783" s="167"/>
      <c r="L783" s="167"/>
      <c r="M783" s="167"/>
      <c r="N783" s="167"/>
      <c r="O783" s="167"/>
      <c r="P783" s="167"/>
      <c r="Q783" s="604"/>
      <c r="R783" s="604"/>
      <c r="S783" s="604"/>
      <c r="T783" s="604"/>
      <c r="U783" s="604"/>
      <c r="V783" s="604"/>
      <c r="W783" s="604"/>
      <c r="X783" s="604"/>
      <c r="Y783" s="604"/>
      <c r="Z783" s="604"/>
    </row>
    <row r="784" spans="1:26" ht="18.75" hidden="1">
      <c r="A784" s="649"/>
      <c r="B784" s="607"/>
      <c r="C784" s="759"/>
      <c r="D784" s="759"/>
      <c r="E784" s="759" t="s">
        <v>319</v>
      </c>
      <c r="F784" s="759"/>
      <c r="G784" s="603"/>
      <c r="H784" s="165" t="s">
        <v>46</v>
      </c>
      <c r="I784" s="617"/>
      <c r="J784" s="617"/>
      <c r="K784" s="93"/>
      <c r="L784" s="93"/>
      <c r="M784" s="93"/>
      <c r="N784" s="93"/>
      <c r="O784" s="93"/>
      <c r="P784" s="93"/>
      <c r="Q784" s="604"/>
      <c r="R784" s="604"/>
      <c r="S784" s="604"/>
      <c r="T784" s="604"/>
      <c r="U784" s="604"/>
      <c r="V784" s="604"/>
      <c r="W784" s="604"/>
      <c r="X784" s="604"/>
      <c r="Y784" s="604"/>
      <c r="Z784" s="604"/>
    </row>
    <row r="785" spans="1:26" ht="19.5" hidden="1">
      <c r="A785" s="802">
        <v>12</v>
      </c>
      <c r="B785" s="803" t="s">
        <v>320</v>
      </c>
      <c r="C785" s="804"/>
      <c r="D785" s="804"/>
      <c r="E785" s="804"/>
      <c r="F785" s="804"/>
      <c r="G785" s="805"/>
      <c r="H785" s="900" t="s">
        <v>46</v>
      </c>
      <c r="I785" s="901">
        <f t="shared" ref="I785:J785" ca="1" si="318">I800</f>
        <v>0</v>
      </c>
      <c r="J785" s="902">
        <f t="shared" ca="1" si="318"/>
        <v>0</v>
      </c>
      <c r="K785" s="903">
        <f ca="1">IF(I785&gt;0,J785*100/I785,0)</f>
        <v>0</v>
      </c>
      <c r="L785" s="809"/>
      <c r="M785" s="809"/>
      <c r="N785" s="809"/>
      <c r="O785" s="809"/>
      <c r="P785" s="809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</row>
    <row r="786" spans="1:26" ht="19.5" hidden="1">
      <c r="A786" s="597"/>
      <c r="B786" s="575"/>
      <c r="C786" s="763" t="s">
        <v>16</v>
      </c>
      <c r="D786" s="863" t="s">
        <v>17</v>
      </c>
      <c r="E786" s="857"/>
      <c r="F786" s="857"/>
      <c r="G786" s="189"/>
      <c r="H786" s="598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</row>
    <row r="787" spans="1:26" ht="18.75" hidden="1">
      <c r="A787" s="599"/>
      <c r="B787" s="607"/>
      <c r="C787" s="759"/>
      <c r="D787" s="720"/>
      <c r="E787" s="759" t="s">
        <v>185</v>
      </c>
      <c r="F787" s="759"/>
      <c r="G787" s="603"/>
      <c r="H787" s="165" t="s">
        <v>12</v>
      </c>
      <c r="I787" s="617"/>
      <c r="J787" s="617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4"/>
      <c r="R787" s="604"/>
      <c r="S787" s="604"/>
      <c r="T787" s="604"/>
      <c r="U787" s="604"/>
      <c r="V787" s="604"/>
      <c r="W787" s="604"/>
      <c r="X787" s="604"/>
      <c r="Y787" s="604"/>
      <c r="Z787" s="604"/>
    </row>
    <row r="788" spans="1:26" ht="18.75" hidden="1">
      <c r="A788" s="599"/>
      <c r="B788" s="607"/>
      <c r="C788" s="607"/>
      <c r="D788" s="616"/>
      <c r="E788" s="759" t="s">
        <v>186</v>
      </c>
      <c r="F788" s="759"/>
      <c r="G788" s="603"/>
      <c r="H788" s="165" t="s">
        <v>12</v>
      </c>
      <c r="I788" s="617"/>
      <c r="J788" s="617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4"/>
      <c r="R788" s="604"/>
      <c r="S788" s="604"/>
      <c r="T788" s="604"/>
      <c r="U788" s="604"/>
      <c r="V788" s="604"/>
      <c r="W788" s="604"/>
      <c r="X788" s="604"/>
      <c r="Y788" s="604"/>
      <c r="Z788" s="604"/>
    </row>
    <row r="789" spans="1:26" ht="18.75" hidden="1">
      <c r="A789" s="597"/>
      <c r="B789" s="575"/>
      <c r="C789" s="575"/>
      <c r="D789" s="606" t="s">
        <v>20</v>
      </c>
      <c r="E789" s="763"/>
      <c r="F789" s="763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</row>
    <row r="790" spans="1:26" ht="18.75" hidden="1">
      <c r="A790" s="599"/>
      <c r="B790" s="607"/>
      <c r="C790" s="607"/>
      <c r="D790" s="616"/>
      <c r="E790" s="759" t="s">
        <v>185</v>
      </c>
      <c r="F790" s="759"/>
      <c r="G790" s="603"/>
      <c r="H790" s="165" t="s">
        <v>12</v>
      </c>
      <c r="I790" s="617"/>
      <c r="J790" s="617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4"/>
      <c r="R790" s="604"/>
      <c r="S790" s="604"/>
      <c r="T790" s="604"/>
      <c r="U790" s="604"/>
      <c r="V790" s="604"/>
      <c r="W790" s="604"/>
      <c r="X790" s="604"/>
      <c r="Y790" s="604"/>
      <c r="Z790" s="604"/>
    </row>
    <row r="791" spans="1:26" ht="18.75" hidden="1">
      <c r="A791" s="599"/>
      <c r="B791" s="607"/>
      <c r="C791" s="607"/>
      <c r="D791" s="616"/>
      <c r="E791" s="759" t="s">
        <v>186</v>
      </c>
      <c r="F791" s="759"/>
      <c r="G791" s="603"/>
      <c r="H791" s="165" t="s">
        <v>12</v>
      </c>
      <c r="I791" s="617"/>
      <c r="J791" s="617"/>
      <c r="K791" s="93"/>
      <c r="L791" s="93">
        <f ca="1">IFERROR(__xludf.DUMMYFUNCTION("IMPORTRANGE(""https://docs.google.com/spreadsheets/d/1QqKyyYR6Q21VydFLVH3TRQUabQu_ym0Zz7PgGX0-kHA/edit?usp=sharing"",""แผน!JJ34"")"),0)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4"/>
      <c r="R791" s="604"/>
      <c r="S791" s="604"/>
      <c r="T791" s="604"/>
      <c r="U791" s="604"/>
      <c r="V791" s="604"/>
      <c r="W791" s="604"/>
      <c r="X791" s="604"/>
      <c r="Y791" s="604"/>
      <c r="Z791" s="604"/>
    </row>
    <row r="792" spans="1:26" ht="18.75" hidden="1">
      <c r="A792" s="574"/>
      <c r="B792" s="575"/>
      <c r="C792" s="763"/>
      <c r="D792" s="763"/>
      <c r="E792" s="763"/>
      <c r="F792" s="763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40">
        <v>0</v>
      </c>
      <c r="O792" s="498"/>
      <c r="P792" s="49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</row>
    <row r="793" spans="1:26" ht="18.75" hidden="1">
      <c r="A793" s="574"/>
      <c r="B793" s="575"/>
      <c r="C793" s="763"/>
      <c r="D793" s="763"/>
      <c r="E793" s="763"/>
      <c r="F793" s="763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40">
        <v>0</v>
      </c>
      <c r="O793" s="498"/>
      <c r="P793" s="49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</row>
    <row r="794" spans="1:26" ht="18.75" hidden="1">
      <c r="A794" s="574"/>
      <c r="B794" s="575"/>
      <c r="C794" s="763"/>
      <c r="D794" s="763"/>
      <c r="E794" s="763"/>
      <c r="F794" s="763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40">
        <v>0</v>
      </c>
      <c r="O794" s="498"/>
      <c r="P794" s="49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</row>
    <row r="795" spans="1:26" ht="18.75" hidden="1">
      <c r="A795" s="574"/>
      <c r="B795" s="575"/>
      <c r="C795" s="763"/>
      <c r="D795" s="763"/>
      <c r="E795" s="763"/>
      <c r="F795" s="763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40">
        <v>0</v>
      </c>
      <c r="O795" s="498"/>
      <c r="P795" s="49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</row>
    <row r="796" spans="1:26" ht="18.75" hidden="1">
      <c r="A796" s="597"/>
      <c r="B796" s="575"/>
      <c r="C796" s="763"/>
      <c r="D796" s="606" t="s">
        <v>21</v>
      </c>
      <c r="E796" s="763"/>
      <c r="F796" s="763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</row>
    <row r="797" spans="1:26" ht="18.75" hidden="1">
      <c r="A797" s="599"/>
      <c r="B797" s="607"/>
      <c r="C797" s="759"/>
      <c r="D797" s="759"/>
      <c r="E797" s="759" t="s">
        <v>18</v>
      </c>
      <c r="F797" s="759"/>
      <c r="G797" s="603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4"/>
      <c r="R797" s="604"/>
      <c r="S797" s="604"/>
      <c r="T797" s="604"/>
      <c r="U797" s="604"/>
      <c r="V797" s="604"/>
      <c r="W797" s="604"/>
      <c r="X797" s="604"/>
      <c r="Y797" s="604"/>
      <c r="Z797" s="604"/>
    </row>
    <row r="798" spans="1:26" ht="18.75" hidden="1">
      <c r="A798" s="599"/>
      <c r="B798" s="607"/>
      <c r="C798" s="759"/>
      <c r="D798" s="759"/>
      <c r="E798" s="759" t="s">
        <v>19</v>
      </c>
      <c r="F798" s="759"/>
      <c r="G798" s="603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4"/>
      <c r="R798" s="604"/>
      <c r="S798" s="604"/>
      <c r="T798" s="604"/>
      <c r="U798" s="604"/>
      <c r="V798" s="604"/>
      <c r="W798" s="604"/>
      <c r="X798" s="604"/>
      <c r="Y798" s="604"/>
      <c r="Z798" s="604"/>
    </row>
    <row r="799" spans="1:26" ht="19.5" hidden="1">
      <c r="A799" s="608"/>
      <c r="B799" s="618"/>
      <c r="C799" s="763" t="s">
        <v>16</v>
      </c>
      <c r="D799" s="898" t="s">
        <v>38</v>
      </c>
      <c r="E799" s="761"/>
      <c r="F799" s="761"/>
      <c r="G799" s="613"/>
      <c r="H799" s="904"/>
      <c r="I799" s="184"/>
      <c r="J799" s="184"/>
      <c r="K799" s="163"/>
      <c r="L799" s="163"/>
      <c r="M799" s="163"/>
      <c r="N799" s="163"/>
      <c r="O799" s="163"/>
      <c r="P799" s="163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</row>
    <row r="800" spans="1:26" ht="18.75" hidden="1">
      <c r="A800" s="608"/>
      <c r="B800" s="618"/>
      <c r="C800" s="618"/>
      <c r="D800" s="618"/>
      <c r="E800" s="626"/>
      <c r="F800" s="626" t="s">
        <v>321</v>
      </c>
      <c r="G800" s="762"/>
      <c r="H800" s="185" t="s">
        <v>46</v>
      </c>
      <c r="I800" s="184">
        <f ca="1">IFERROR(__xludf.DUMMYFUNCTION("IMPORTRANGE(""https://docs.google.com/spreadsheets/d/1QqKyyYR6Q21VydFLVH3TRQUabQu_ym0Zz7PgGX0-kHA/edit?usp=sharing"",""แผน!JN34"")"),0)</f>
        <v>0</v>
      </c>
      <c r="J800" s="184">
        <f ca="1">IFERROR(__xludf.DUMMYFUNCTION("IMPORTRANGE(""https://docs.google.com/spreadsheets/d/1MaWodYyGHDf7siQLGxnXhG4mBNTNIuy296niS2xXulU/edit?usp=sharing"",""RTK!H34"")"),0)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</row>
    <row r="801" spans="1:26" ht="18.75" hidden="1">
      <c r="A801" s="608"/>
      <c r="B801" s="618"/>
      <c r="C801" s="618"/>
      <c r="D801" s="618"/>
      <c r="E801" s="626"/>
      <c r="F801" s="626"/>
      <c r="G801" s="762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IFERROR(__xludf.DUMMYFUNCTION("IMPORTRANGE(""https://docs.google.com/spreadsheets/d/1MaWodYyGHDf7siQLGxnXhG4mBNTNIuy296niS2xXulU/edit?usp=sharing"",""RTK!I34"")"),0)</f>
        <v>0</v>
      </c>
      <c r="K801" s="498"/>
      <c r="L801" s="498"/>
      <c r="M801" s="498"/>
      <c r="N801" s="498"/>
      <c r="O801" s="163"/>
      <c r="P801" s="163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</row>
    <row r="802" spans="1:26" ht="18.75" hidden="1">
      <c r="A802" s="614"/>
      <c r="B802" s="616"/>
      <c r="C802" s="616"/>
      <c r="D802" s="616"/>
      <c r="E802" s="720"/>
      <c r="F802" s="720" t="s">
        <v>322</v>
      </c>
      <c r="G802" s="366"/>
      <c r="H802" s="653" t="s">
        <v>46</v>
      </c>
      <c r="I802" s="166"/>
      <c r="J802" s="617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4"/>
      <c r="R802" s="604"/>
      <c r="S802" s="604"/>
      <c r="T802" s="604"/>
      <c r="U802" s="604"/>
      <c r="V802" s="604"/>
      <c r="W802" s="604"/>
      <c r="X802" s="604"/>
      <c r="Y802" s="604"/>
      <c r="Z802" s="604"/>
    </row>
    <row r="803" spans="1:26" ht="18.75" hidden="1">
      <c r="A803" s="614"/>
      <c r="B803" s="616"/>
      <c r="C803" s="616"/>
      <c r="D803" s="616"/>
      <c r="E803" s="720"/>
      <c r="F803" s="720"/>
      <c r="G803" s="366"/>
      <c r="H803" s="653" t="s">
        <v>34</v>
      </c>
      <c r="I803" s="166"/>
      <c r="J803" s="617">
        <v>0</v>
      </c>
      <c r="K803" s="167"/>
      <c r="L803" s="167"/>
      <c r="M803" s="167"/>
      <c r="N803" s="167"/>
      <c r="O803" s="167"/>
      <c r="P803" s="167"/>
      <c r="Q803" s="604"/>
      <c r="R803" s="604"/>
      <c r="S803" s="604"/>
      <c r="T803" s="604"/>
      <c r="U803" s="604"/>
      <c r="V803" s="604"/>
      <c r="W803" s="604"/>
      <c r="X803" s="604"/>
      <c r="Y803" s="604"/>
      <c r="Z803" s="604"/>
    </row>
    <row r="804" spans="1:26" ht="19.5" hidden="1">
      <c r="A804" s="793">
        <v>13</v>
      </c>
      <c r="B804" s="794" t="s">
        <v>323</v>
      </c>
      <c r="C804" s="795"/>
      <c r="D804" s="825"/>
      <c r="E804" s="795"/>
      <c r="F804" s="795"/>
      <c r="G804" s="796"/>
      <c r="H804" s="797" t="s">
        <v>46</v>
      </c>
      <c r="I804" s="798"/>
      <c r="J804" s="798">
        <f>J819</f>
        <v>0</v>
      </c>
      <c r="K804" s="799">
        <f>IF(I804&gt;0,J804*100/I804,0)</f>
        <v>0</v>
      </c>
      <c r="L804" s="800"/>
      <c r="M804" s="800"/>
      <c r="N804" s="800"/>
      <c r="O804" s="800"/>
      <c r="P804" s="800"/>
      <c r="Q804" s="604"/>
      <c r="R804" s="604"/>
      <c r="S804" s="604"/>
      <c r="T804" s="604"/>
      <c r="U804" s="604"/>
      <c r="V804" s="604"/>
      <c r="W804" s="604"/>
      <c r="X804" s="604"/>
      <c r="Y804" s="604"/>
      <c r="Z804" s="604"/>
    </row>
    <row r="805" spans="1:26" ht="19.5" hidden="1">
      <c r="A805" s="599"/>
      <c r="B805" s="759"/>
      <c r="C805" s="759" t="s">
        <v>16</v>
      </c>
      <c r="D805" s="864" t="s">
        <v>17</v>
      </c>
      <c r="E805" s="857"/>
      <c r="F805" s="857"/>
      <c r="G805" s="603"/>
      <c r="H805" s="646" t="s">
        <v>12</v>
      </c>
      <c r="I805" s="617"/>
      <c r="J805" s="617"/>
      <c r="K805" s="93"/>
      <c r="L805" s="647">
        <f t="shared" ref="L805:N805" si="327">L806+L807</f>
        <v>0</v>
      </c>
      <c r="M805" s="647">
        <f t="shared" si="327"/>
        <v>0</v>
      </c>
      <c r="N805" s="647">
        <f t="shared" si="327"/>
        <v>0</v>
      </c>
      <c r="O805" s="647">
        <f t="shared" ref="O805:O810" si="328">IF(L805&gt;0,N805*100/L805,0)</f>
        <v>0</v>
      </c>
      <c r="P805" s="647">
        <f t="shared" ref="P805:P810" si="329">IF(M805&gt;0,N805*100/M805,0)</f>
        <v>0</v>
      </c>
      <c r="Q805" s="604"/>
      <c r="R805" s="604"/>
      <c r="S805" s="604"/>
      <c r="T805" s="604"/>
      <c r="U805" s="604"/>
      <c r="V805" s="604"/>
      <c r="W805" s="604"/>
      <c r="X805" s="604"/>
      <c r="Y805" s="604"/>
      <c r="Z805" s="604"/>
    </row>
    <row r="806" spans="1:26" ht="18.75" hidden="1">
      <c r="A806" s="599"/>
      <c r="B806" s="759"/>
      <c r="C806" s="759"/>
      <c r="D806" s="616"/>
      <c r="E806" s="759" t="s">
        <v>185</v>
      </c>
      <c r="F806" s="759"/>
      <c r="G806" s="603"/>
      <c r="H806" s="165" t="s">
        <v>12</v>
      </c>
      <c r="I806" s="617"/>
      <c r="J806" s="617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4"/>
      <c r="R806" s="604"/>
      <c r="S806" s="604"/>
      <c r="T806" s="604"/>
      <c r="U806" s="604"/>
      <c r="V806" s="604"/>
      <c r="W806" s="604"/>
      <c r="X806" s="604"/>
      <c r="Y806" s="604"/>
      <c r="Z806" s="604"/>
    </row>
    <row r="807" spans="1:26" ht="18.75" hidden="1">
      <c r="A807" s="599"/>
      <c r="B807" s="759"/>
      <c r="C807" s="759"/>
      <c r="D807" s="616"/>
      <c r="E807" s="759" t="s">
        <v>186</v>
      </c>
      <c r="F807" s="759"/>
      <c r="G807" s="603"/>
      <c r="H807" s="165" t="s">
        <v>12</v>
      </c>
      <c r="I807" s="617"/>
      <c r="J807" s="617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4"/>
      <c r="R807" s="604"/>
      <c r="S807" s="604"/>
      <c r="T807" s="604"/>
      <c r="U807" s="604"/>
      <c r="V807" s="604"/>
      <c r="W807" s="604"/>
      <c r="X807" s="604"/>
      <c r="Y807" s="604"/>
      <c r="Z807" s="604"/>
    </row>
    <row r="808" spans="1:26" ht="19.5" hidden="1">
      <c r="A808" s="599"/>
      <c r="B808" s="607"/>
      <c r="C808" s="759"/>
      <c r="D808" s="905" t="s">
        <v>20</v>
      </c>
      <c r="E808" s="857"/>
      <c r="F808" s="857"/>
      <c r="G808" s="603"/>
      <c r="H808" s="646" t="s">
        <v>12</v>
      </c>
      <c r="I808" s="166"/>
      <c r="J808" s="166"/>
      <c r="K808" s="167"/>
      <c r="L808" s="647">
        <f t="shared" ref="L808:N808" si="331">L809+L810</f>
        <v>0</v>
      </c>
      <c r="M808" s="647">
        <f t="shared" si="331"/>
        <v>0</v>
      </c>
      <c r="N808" s="647">
        <f t="shared" si="331"/>
        <v>0</v>
      </c>
      <c r="O808" s="647">
        <f t="shared" si="328"/>
        <v>0</v>
      </c>
      <c r="P808" s="647">
        <f t="shared" si="329"/>
        <v>0</v>
      </c>
      <c r="Q808" s="604"/>
      <c r="R808" s="604"/>
      <c r="S808" s="604"/>
      <c r="T808" s="604"/>
      <c r="U808" s="604"/>
      <c r="V808" s="604"/>
      <c r="W808" s="604"/>
      <c r="X808" s="604"/>
      <c r="Y808" s="604"/>
      <c r="Z808" s="604"/>
    </row>
    <row r="809" spans="1:26" ht="18.75" hidden="1">
      <c r="A809" s="599"/>
      <c r="B809" s="759"/>
      <c r="C809" s="759"/>
      <c r="D809" s="616"/>
      <c r="E809" s="759" t="s">
        <v>185</v>
      </c>
      <c r="F809" s="759"/>
      <c r="G809" s="603"/>
      <c r="H809" s="165" t="s">
        <v>12</v>
      </c>
      <c r="I809" s="617"/>
      <c r="J809" s="617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4"/>
      <c r="R809" s="604"/>
      <c r="S809" s="604"/>
      <c r="T809" s="604"/>
      <c r="U809" s="604"/>
      <c r="V809" s="604"/>
      <c r="W809" s="604"/>
      <c r="X809" s="604"/>
      <c r="Y809" s="604"/>
      <c r="Z809" s="604"/>
    </row>
    <row r="810" spans="1:26" ht="18.75" hidden="1">
      <c r="A810" s="599"/>
      <c r="B810" s="759"/>
      <c r="C810" s="759"/>
      <c r="D810" s="616"/>
      <c r="E810" s="759" t="s">
        <v>186</v>
      </c>
      <c r="F810" s="759"/>
      <c r="G810" s="603"/>
      <c r="H810" s="165" t="s">
        <v>12</v>
      </c>
      <c r="I810" s="617"/>
      <c r="J810" s="617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4"/>
      <c r="R810" s="604"/>
      <c r="S810" s="604"/>
      <c r="T810" s="604"/>
      <c r="U810" s="604"/>
      <c r="V810" s="604"/>
      <c r="W810" s="604"/>
      <c r="X810" s="604"/>
      <c r="Y810" s="604"/>
      <c r="Z810" s="604"/>
    </row>
    <row r="811" spans="1:26" ht="18.75" hidden="1">
      <c r="A811" s="649"/>
      <c r="B811" s="607"/>
      <c r="C811" s="759"/>
      <c r="D811" s="607"/>
      <c r="E811" s="759"/>
      <c r="F811" s="759" t="s">
        <v>187</v>
      </c>
      <c r="G811" s="603"/>
      <c r="H811" s="165" t="s">
        <v>12</v>
      </c>
      <c r="I811" s="617"/>
      <c r="J811" s="617"/>
      <c r="K811" s="93"/>
      <c r="L811" s="93"/>
      <c r="M811" s="93"/>
      <c r="N811" s="93"/>
      <c r="O811" s="93"/>
      <c r="P811" s="93"/>
      <c r="Q811" s="604"/>
      <c r="R811" s="604"/>
      <c r="S811" s="604"/>
      <c r="T811" s="604"/>
      <c r="U811" s="604"/>
      <c r="V811" s="604"/>
      <c r="W811" s="604"/>
      <c r="X811" s="604"/>
      <c r="Y811" s="604"/>
      <c r="Z811" s="604"/>
    </row>
    <row r="812" spans="1:26" ht="18.75" hidden="1">
      <c r="A812" s="649"/>
      <c r="B812" s="607"/>
      <c r="C812" s="759"/>
      <c r="D812" s="607"/>
      <c r="E812" s="759"/>
      <c r="F812" s="759" t="s">
        <v>188</v>
      </c>
      <c r="G812" s="603"/>
      <c r="H812" s="165" t="s">
        <v>12</v>
      </c>
      <c r="I812" s="617"/>
      <c r="J812" s="617"/>
      <c r="K812" s="93"/>
      <c r="L812" s="93"/>
      <c r="M812" s="93"/>
      <c r="N812" s="93"/>
      <c r="O812" s="93"/>
      <c r="P812" s="93"/>
      <c r="Q812" s="604"/>
      <c r="R812" s="604"/>
      <c r="S812" s="604"/>
      <c r="T812" s="604"/>
      <c r="U812" s="604"/>
      <c r="V812" s="604"/>
      <c r="W812" s="604"/>
      <c r="X812" s="604"/>
      <c r="Y812" s="604"/>
      <c r="Z812" s="604"/>
    </row>
    <row r="813" spans="1:26" ht="18.75" hidden="1">
      <c r="A813" s="649"/>
      <c r="B813" s="607"/>
      <c r="C813" s="759"/>
      <c r="D813" s="607"/>
      <c r="E813" s="759"/>
      <c r="F813" s="759" t="s">
        <v>189</v>
      </c>
      <c r="G813" s="603"/>
      <c r="H813" s="165" t="s">
        <v>12</v>
      </c>
      <c r="I813" s="617"/>
      <c r="J813" s="617"/>
      <c r="K813" s="93"/>
      <c r="L813" s="93"/>
      <c r="M813" s="93"/>
      <c r="N813" s="93"/>
      <c r="O813" s="93"/>
      <c r="P813" s="93"/>
      <c r="Q813" s="604"/>
      <c r="R813" s="604"/>
      <c r="S813" s="604"/>
      <c r="T813" s="604"/>
      <c r="U813" s="604"/>
      <c r="V813" s="604"/>
      <c r="W813" s="604"/>
      <c r="X813" s="604"/>
      <c r="Y813" s="604"/>
      <c r="Z813" s="604"/>
    </row>
    <row r="814" spans="1:26" ht="18.75" hidden="1">
      <c r="A814" s="649"/>
      <c r="B814" s="607"/>
      <c r="C814" s="759"/>
      <c r="D814" s="607"/>
      <c r="E814" s="759"/>
      <c r="F814" s="759" t="s">
        <v>190</v>
      </c>
      <c r="G814" s="603"/>
      <c r="H814" s="165" t="s">
        <v>12</v>
      </c>
      <c r="I814" s="617"/>
      <c r="J814" s="617"/>
      <c r="K814" s="93"/>
      <c r="L814" s="93"/>
      <c r="M814" s="93"/>
      <c r="N814" s="93"/>
      <c r="O814" s="93"/>
      <c r="P814" s="93"/>
      <c r="Q814" s="604"/>
      <c r="R814" s="604"/>
      <c r="S814" s="604"/>
      <c r="T814" s="604"/>
      <c r="U814" s="604"/>
      <c r="V814" s="604"/>
      <c r="W814" s="604"/>
      <c r="X814" s="604"/>
      <c r="Y814" s="604"/>
      <c r="Z814" s="604"/>
    </row>
    <row r="815" spans="1:26" ht="19.5" hidden="1">
      <c r="A815" s="599"/>
      <c r="B815" s="607"/>
      <c r="C815" s="759"/>
      <c r="D815" s="905" t="s">
        <v>21</v>
      </c>
      <c r="E815" s="857"/>
      <c r="F815" s="857"/>
      <c r="G815" s="603"/>
      <c r="H815" s="783" t="s">
        <v>12</v>
      </c>
      <c r="I815" s="166"/>
      <c r="J815" s="166"/>
      <c r="K815" s="167"/>
      <c r="L815" s="647">
        <f t="shared" ref="L815:N815" si="332">L816+L817</f>
        <v>0</v>
      </c>
      <c r="M815" s="647">
        <f t="shared" si="332"/>
        <v>0</v>
      </c>
      <c r="N815" s="647">
        <f t="shared" si="332"/>
        <v>0</v>
      </c>
      <c r="O815" s="647">
        <f t="shared" ref="O815:O817" si="333">IF(L815&gt;0,N815*100/L815,0)</f>
        <v>0</v>
      </c>
      <c r="P815" s="647">
        <f t="shared" ref="P815:P817" si="334">IF(M815&gt;0,N815*100/M815,0)</f>
        <v>0</v>
      </c>
      <c r="Q815" s="604"/>
      <c r="R815" s="604"/>
      <c r="S815" s="604"/>
      <c r="T815" s="604"/>
      <c r="U815" s="604"/>
      <c r="V815" s="604"/>
      <c r="W815" s="604"/>
      <c r="X815" s="604"/>
      <c r="Y815" s="604"/>
      <c r="Z815" s="604"/>
    </row>
    <row r="816" spans="1:26" ht="18.75" hidden="1">
      <c r="A816" s="599"/>
      <c r="B816" s="607"/>
      <c r="C816" s="759"/>
      <c r="D816" s="607"/>
      <c r="E816" s="759" t="s">
        <v>18</v>
      </c>
      <c r="F816" s="759"/>
      <c r="G816" s="603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4"/>
      <c r="R816" s="604"/>
      <c r="S816" s="604"/>
      <c r="T816" s="604"/>
      <c r="U816" s="604"/>
      <c r="V816" s="604"/>
      <c r="W816" s="604"/>
      <c r="X816" s="604"/>
      <c r="Y816" s="604"/>
      <c r="Z816" s="604"/>
    </row>
    <row r="817" spans="1:26" ht="18.75" hidden="1">
      <c r="A817" s="599"/>
      <c r="B817" s="607"/>
      <c r="C817" s="759"/>
      <c r="D817" s="607"/>
      <c r="E817" s="759" t="s">
        <v>19</v>
      </c>
      <c r="F817" s="759"/>
      <c r="G817" s="603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4"/>
      <c r="R817" s="604"/>
      <c r="S817" s="604"/>
      <c r="T817" s="604"/>
      <c r="U817" s="604"/>
      <c r="V817" s="604"/>
      <c r="W817" s="604"/>
      <c r="X817" s="604"/>
      <c r="Y817" s="604"/>
      <c r="Z817" s="604"/>
    </row>
    <row r="818" spans="1:26" ht="19.5" hidden="1">
      <c r="A818" s="614"/>
      <c r="B818" s="616"/>
      <c r="C818" s="759" t="s">
        <v>16</v>
      </c>
      <c r="D818" s="906" t="s">
        <v>38</v>
      </c>
      <c r="E818" s="651"/>
      <c r="F818" s="651"/>
      <c r="G818" s="652"/>
      <c r="H818" s="366"/>
      <c r="I818" s="166"/>
      <c r="J818" s="166"/>
      <c r="K818" s="167"/>
      <c r="L818" s="167"/>
      <c r="M818" s="167"/>
      <c r="N818" s="167"/>
      <c r="O818" s="167"/>
      <c r="P818" s="167"/>
      <c r="Q818" s="604"/>
      <c r="R818" s="604"/>
      <c r="S818" s="604"/>
      <c r="T818" s="604"/>
      <c r="U818" s="604"/>
      <c r="V818" s="604"/>
      <c r="W818" s="604"/>
      <c r="X818" s="604"/>
      <c r="Y818" s="604"/>
      <c r="Z818" s="604"/>
    </row>
    <row r="819" spans="1:26" ht="19.5" hidden="1" thickBot="1">
      <c r="A819" s="827"/>
      <c r="B819" s="828"/>
      <c r="C819" s="830"/>
      <c r="D819" s="828"/>
      <c r="E819" s="830" t="s">
        <v>324</v>
      </c>
      <c r="F819" s="830"/>
      <c r="G819" s="831"/>
      <c r="H819" s="832" t="s">
        <v>46</v>
      </c>
      <c r="I819" s="833"/>
      <c r="J819" s="833"/>
      <c r="K819" s="834"/>
      <c r="L819" s="834"/>
      <c r="M819" s="834"/>
      <c r="N819" s="834"/>
      <c r="O819" s="834"/>
      <c r="P819" s="834"/>
      <c r="Q819" s="604"/>
      <c r="R819" s="604"/>
      <c r="S819" s="604"/>
      <c r="T819" s="604"/>
      <c r="U819" s="604"/>
      <c r="V819" s="604"/>
      <c r="W819" s="604"/>
      <c r="X819" s="604"/>
      <c r="Y819" s="604"/>
      <c r="Z819" s="604"/>
    </row>
    <row r="820" spans="1:26" ht="19.5">
      <c r="A820" s="907" t="s">
        <v>337</v>
      </c>
      <c r="B820" s="908"/>
      <c r="C820" s="908"/>
      <c r="D820" s="909"/>
      <c r="E820" s="908"/>
      <c r="F820" s="908"/>
      <c r="G820" s="910"/>
      <c r="H820" s="91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912"/>
      <c r="J820" s="912"/>
      <c r="K820" s="913"/>
      <c r="L820" s="913"/>
      <c r="M820" s="913"/>
      <c r="N820" s="913"/>
      <c r="O820" s="913"/>
      <c r="P820" s="913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</row>
    <row r="821" spans="1:26" ht="18.75">
      <c r="A821" s="744"/>
      <c r="B821" s="763" t="s">
        <v>326</v>
      </c>
      <c r="C821" s="763"/>
      <c r="D821" s="575"/>
      <c r="E821" s="763"/>
      <c r="F821" s="763"/>
      <c r="G821" s="189"/>
      <c r="H821" s="623" t="s">
        <v>12</v>
      </c>
      <c r="I821" s="270">
        <f ca="1">IFERROR(__xludf.DUMMYFUNCTION("IMPORTRANGE(""https://docs.google.com/spreadsheets/d/19vJNZY_5yjcGF2XGBMNZRCAIB0Kwfpjp8YEOfu-bneM/edit?usp=sharing"",""งานกองทุน!D34"")"),3188183.56)</f>
        <v>3188183.56</v>
      </c>
      <c r="J821" s="270">
        <f ca="1">IFERROR(__xludf.DUMMYFUNCTION("IMPORTRANGE(""https://docs.google.com/spreadsheets/d/19vJNZY_5yjcGF2XGBMNZRCAIB0Kwfpjp8YEOfu-bneM/edit?usp=sharing"",""งานกองทุน!F34"")"),2793252.05)</f>
        <v>2793252.05</v>
      </c>
      <c r="K821" s="498">
        <f t="shared" ref="K821:K828" ca="1" si="335">IF(I821&gt;0,J821*100/I821,0)</f>
        <v>87.612648313135395</v>
      </c>
      <c r="L821" s="498"/>
      <c r="M821" s="498"/>
      <c r="N821" s="498"/>
      <c r="O821" s="498"/>
      <c r="P821" s="49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</row>
    <row r="822" spans="1:26" ht="18.75">
      <c r="A822" s="744"/>
      <c r="B822" s="763"/>
      <c r="C822" s="763"/>
      <c r="D822" s="575"/>
      <c r="E822" s="763"/>
      <c r="F822" s="763"/>
      <c r="G822" s="189"/>
      <c r="H822" s="623" t="s">
        <v>35</v>
      </c>
      <c r="I822" s="270">
        <f ca="1">IFERROR(__xludf.DUMMYFUNCTION("IMPORTRANGE(""https://docs.google.com/spreadsheets/d/19vJNZY_5yjcGF2XGBMNZRCAIB0Kwfpjp8YEOfu-bneM/edit?usp=sharing"",""งานกองทุน!C34"")"),96)</f>
        <v>96</v>
      </c>
      <c r="J822" s="270">
        <f ca="1">IFERROR(__xludf.DUMMYFUNCTION("IMPORTRANGE(""https://docs.google.com/spreadsheets/d/19vJNZY_5yjcGF2XGBMNZRCAIB0Kwfpjp8YEOfu-bneM/edit?usp=sharing"",""งานกองทุน!E34"")"),100)</f>
        <v>100</v>
      </c>
      <c r="K822" s="498">
        <f t="shared" ca="1" si="335"/>
        <v>104.16666666666667</v>
      </c>
      <c r="L822" s="498"/>
      <c r="M822" s="498"/>
      <c r="N822" s="498"/>
      <c r="O822" s="498"/>
      <c r="P822" s="49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</row>
    <row r="823" spans="1:26" ht="18.75">
      <c r="A823" s="744"/>
      <c r="B823" s="763" t="s">
        <v>327</v>
      </c>
      <c r="C823" s="763"/>
      <c r="D823" s="575"/>
      <c r="E823" s="763"/>
      <c r="F823" s="763"/>
      <c r="G823" s="189"/>
      <c r="H823" s="623" t="s">
        <v>12</v>
      </c>
      <c r="I823" s="270">
        <f ca="1">IFERROR(__xludf.DUMMYFUNCTION("IMPORTRANGE(""https://docs.google.com/spreadsheets/d/19vJNZY_5yjcGF2XGBMNZRCAIB0Kwfpjp8YEOfu-bneM/edit?usp=sharing"",""งานกองทุน!I34"")"),8042768.23)</f>
        <v>8042768.2300000004</v>
      </c>
      <c r="J823" s="270">
        <f ca="1">IFERROR(__xludf.DUMMYFUNCTION("IMPORTRANGE(""https://docs.google.com/spreadsheets/d/19vJNZY_5yjcGF2XGBMNZRCAIB0Kwfpjp8YEOfu-bneM/edit?usp=sharing"",""งานกองทุน!K34"")"),675372.34)</f>
        <v>675372.34</v>
      </c>
      <c r="K823" s="498">
        <f t="shared" ca="1" si="335"/>
        <v>8.3972622446189771</v>
      </c>
      <c r="L823" s="498"/>
      <c r="M823" s="498"/>
      <c r="N823" s="498"/>
      <c r="O823" s="498"/>
      <c r="P823" s="49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</row>
    <row r="824" spans="1:26" ht="18.75">
      <c r="A824" s="744"/>
      <c r="B824" s="763"/>
      <c r="C824" s="763"/>
      <c r="D824" s="575"/>
      <c r="E824" s="763"/>
      <c r="F824" s="763"/>
      <c r="G824" s="189"/>
      <c r="H824" s="623" t="s">
        <v>35</v>
      </c>
      <c r="I824" s="270">
        <f ca="1">IFERROR(__xludf.DUMMYFUNCTION("IMPORTRANGE(""https://docs.google.com/spreadsheets/d/19vJNZY_5yjcGF2XGBMNZRCAIB0Kwfpjp8YEOfu-bneM/edit?usp=sharing"",""งานกองทุน!H34"")"),335)</f>
        <v>335</v>
      </c>
      <c r="J824" s="270">
        <f ca="1">IFERROR(__xludf.DUMMYFUNCTION("IMPORTRANGE(""https://docs.google.com/spreadsheets/d/19vJNZY_5yjcGF2XGBMNZRCAIB0Kwfpjp8YEOfu-bneM/edit?usp=sharing"",""งานกองทุน!J34"")"),157)</f>
        <v>157</v>
      </c>
      <c r="K824" s="498">
        <f t="shared" ca="1" si="335"/>
        <v>46.865671641791046</v>
      </c>
      <c r="L824" s="498"/>
      <c r="M824" s="498"/>
      <c r="N824" s="498"/>
      <c r="O824" s="498"/>
      <c r="P824" s="49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</row>
    <row r="825" spans="1:26" ht="18.75">
      <c r="A825" s="744"/>
      <c r="B825" s="763" t="s">
        <v>328</v>
      </c>
      <c r="C825" s="763"/>
      <c r="D825" s="575"/>
      <c r="E825" s="763"/>
      <c r="F825" s="763"/>
      <c r="G825" s="189"/>
      <c r="H825" s="623" t="s">
        <v>12</v>
      </c>
      <c r="I825" s="270">
        <f ca="1">IFERROR(__xludf.DUMMYFUNCTION("IMPORTRANGE(""https://docs.google.com/spreadsheets/d/19vJNZY_5yjcGF2XGBMNZRCAIB0Kwfpjp8YEOfu-bneM/edit?usp=sharing"",""งานกองทุน!N34"")"),756051.39)</f>
        <v>756051.39</v>
      </c>
      <c r="J825" s="270">
        <f ca="1">IFERROR(__xludf.DUMMYFUNCTION("IMPORTRANGE(""https://docs.google.com/spreadsheets/d/19vJNZY_5yjcGF2XGBMNZRCAIB0Kwfpjp8YEOfu-bneM/edit?usp=sharing"",""งานกองทุน!P34"")"),61435.21)</f>
        <v>61435.21</v>
      </c>
      <c r="K825" s="498">
        <f t="shared" ca="1" si="335"/>
        <v>8.1257981682964697</v>
      </c>
      <c r="L825" s="498"/>
      <c r="M825" s="498"/>
      <c r="N825" s="498"/>
      <c r="O825" s="498"/>
      <c r="P825" s="49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</row>
    <row r="826" spans="1:26" ht="18.75">
      <c r="A826" s="744"/>
      <c r="B826" s="763"/>
      <c r="C826" s="763"/>
      <c r="D826" s="575"/>
      <c r="E826" s="763"/>
      <c r="F826" s="763"/>
      <c r="G826" s="189"/>
      <c r="H826" s="623" t="s">
        <v>35</v>
      </c>
      <c r="I826" s="270">
        <f ca="1">IFERROR(__xludf.DUMMYFUNCTION("IMPORTRANGE(""https://docs.google.com/spreadsheets/d/19vJNZY_5yjcGF2XGBMNZRCAIB0Kwfpjp8YEOfu-bneM/edit?usp=sharing"",""งานกองทุน!M34"")"),67)</f>
        <v>67</v>
      </c>
      <c r="J826" s="270">
        <f ca="1">IFERROR(__xludf.DUMMYFUNCTION("IMPORTRANGE(""https://docs.google.com/spreadsheets/d/19vJNZY_5yjcGF2XGBMNZRCAIB0Kwfpjp8YEOfu-bneM/edit?usp=sharing"",""งานกองทุน!O34"")"),16)</f>
        <v>16</v>
      </c>
      <c r="K826" s="498">
        <f t="shared" ca="1" si="335"/>
        <v>23.880597014925375</v>
      </c>
      <c r="L826" s="498"/>
      <c r="M826" s="498"/>
      <c r="N826" s="498"/>
      <c r="O826" s="498"/>
      <c r="P826" s="49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</row>
    <row r="827" spans="1:26" ht="18.75">
      <c r="A827" s="744"/>
      <c r="B827" s="763" t="s">
        <v>329</v>
      </c>
      <c r="C827" s="763"/>
      <c r="D827" s="575"/>
      <c r="E827" s="763"/>
      <c r="F827" s="763"/>
      <c r="G827" s="189"/>
      <c r="H827" s="623" t="s">
        <v>12</v>
      </c>
      <c r="I827" s="270">
        <f ca="1">IFERROR(__xludf.DUMMYFUNCTION("IMPORTRANGE(""https://docs.google.com/spreadsheets/d/19vJNZY_5yjcGF2XGBMNZRCAIB0Kwfpjp8YEOfu-bneM/edit?usp=sharing"",""งานกองทุน!S34"")"),3930000)</f>
        <v>3930000</v>
      </c>
      <c r="J827" s="270">
        <f ca="1">IFERROR(__xludf.DUMMYFUNCTION("IMPORTRANGE(""https://docs.google.com/spreadsheets/d/19vJNZY_5yjcGF2XGBMNZRCAIB0Kwfpjp8YEOfu-bneM/edit?usp=sharing"",""งานกองทุน!U34"")"),3930000)</f>
        <v>3930000</v>
      </c>
      <c r="K827" s="498">
        <f t="shared" ca="1" si="335"/>
        <v>100</v>
      </c>
      <c r="L827" s="498"/>
      <c r="M827" s="498"/>
      <c r="N827" s="498"/>
      <c r="O827" s="498"/>
      <c r="P827" s="49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</row>
    <row r="828" spans="1:26" ht="18.75">
      <c r="A828" s="841"/>
      <c r="B828" s="749"/>
      <c r="C828" s="749"/>
      <c r="D828" s="748"/>
      <c r="E828" s="749"/>
      <c r="F828" s="749"/>
      <c r="G828" s="842"/>
      <c r="H828" s="843" t="s">
        <v>35</v>
      </c>
      <c r="I828" s="506">
        <f ca="1">IFERROR(__xludf.DUMMYFUNCTION("IMPORTRANGE(""https://docs.google.com/spreadsheets/d/19vJNZY_5yjcGF2XGBMNZRCAIB0Kwfpjp8YEOfu-bneM/edit?usp=sharing"",""งานกองทุน!R34"")"),157)</f>
        <v>157</v>
      </c>
      <c r="J828" s="506">
        <f ca="1">IFERROR(__xludf.DUMMYFUNCTION("IMPORTRANGE(""https://docs.google.com/spreadsheets/d/19vJNZY_5yjcGF2XGBMNZRCAIB0Kwfpjp8YEOfu-bneM/edit?usp=sharing"",""งานกองทุน!T34"")"),116)</f>
        <v>116</v>
      </c>
      <c r="K828" s="507">
        <f t="shared" ca="1" si="335"/>
        <v>73.885350318471339</v>
      </c>
      <c r="L828" s="507"/>
      <c r="M828" s="507"/>
      <c r="N828" s="507"/>
      <c r="O828" s="507"/>
      <c r="P828" s="507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030BE-DF54-4C2A-BA82-B33B642BD0B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339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364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5367869</v>
      </c>
      <c r="M8" s="22">
        <f t="shared" ca="1" si="0"/>
        <v>5165706.3499999996</v>
      </c>
      <c r="N8" s="22">
        <f t="shared" ca="1" si="0"/>
        <v>5196006.3499999996</v>
      </c>
      <c r="O8" s="22">
        <f t="shared" ref="O8:O16" ca="1" si="1">IF(L8&gt;0,N8*100/L8,0)</f>
        <v>96.798307671070205</v>
      </c>
      <c r="P8" s="22">
        <f t="shared" ref="P8:P16" ca="1" si="2">IF(M8&gt;0,N8*100/M8,0)</f>
        <v>100.58656063560407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5367869</v>
      </c>
      <c r="M10" s="30">
        <f t="shared" ca="1" si="3"/>
        <v>5165706.3499999996</v>
      </c>
      <c r="N10" s="30">
        <f t="shared" ca="1" si="3"/>
        <v>5196006.3499999996</v>
      </c>
      <c r="O10" s="30">
        <f t="shared" ca="1" si="1"/>
        <v>96.798307671070205</v>
      </c>
      <c r="P10" s="30">
        <f t="shared" ca="1" si="2"/>
        <v>100.58656063560407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3" t="s">
        <v>12</v>
      </c>
      <c r="I11" s="270"/>
      <c r="J11" s="270"/>
      <c r="K11" s="498"/>
      <c r="L11" s="498">
        <f t="shared" ref="L11:N11" ca="1" si="4">L12+L13</f>
        <v>5192469</v>
      </c>
      <c r="M11" s="498">
        <f t="shared" ca="1" si="4"/>
        <v>5004306.3499999996</v>
      </c>
      <c r="N11" s="498">
        <f t="shared" ca="1" si="4"/>
        <v>5004306.3499999996</v>
      </c>
      <c r="O11" s="498">
        <f t="shared" ca="1" si="1"/>
        <v>96.376239318905888</v>
      </c>
      <c r="P11" s="498">
        <f t="shared" ca="1" si="2"/>
        <v>100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7"/>
      <c r="J12" s="617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7"/>
      <c r="J13" s="617"/>
      <c r="K13" s="93"/>
      <c r="L13" s="93">
        <f t="shared" ca="1" si="5"/>
        <v>5192469</v>
      </c>
      <c r="M13" s="93">
        <f t="shared" ca="1" si="5"/>
        <v>5004306.3499999996</v>
      </c>
      <c r="N13" s="93">
        <f t="shared" ca="1" si="5"/>
        <v>5004306.3499999996</v>
      </c>
      <c r="O13" s="93">
        <f t="shared" ca="1" si="1"/>
        <v>96.376239318905888</v>
      </c>
      <c r="P13" s="93">
        <f t="shared" ca="1" si="2"/>
        <v>100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3" t="s">
        <v>12</v>
      </c>
      <c r="I14" s="270"/>
      <c r="J14" s="270"/>
      <c r="K14" s="498"/>
      <c r="L14" s="498">
        <f t="shared" ref="L14:N14" ca="1" si="6">L15+L16</f>
        <v>175400</v>
      </c>
      <c r="M14" s="498">
        <f t="shared" ca="1" si="6"/>
        <v>161400</v>
      </c>
      <c r="N14" s="498">
        <f t="shared" ca="1" si="6"/>
        <v>191700</v>
      </c>
      <c r="O14" s="498">
        <f t="shared" ca="1" si="1"/>
        <v>109.29304446978335</v>
      </c>
      <c r="P14" s="498">
        <f t="shared" ca="1" si="2"/>
        <v>118.77323420074349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7"/>
      <c r="J15" s="617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175400</v>
      </c>
      <c r="M16" s="52">
        <f t="shared" ca="1" si="7"/>
        <v>161400</v>
      </c>
      <c r="N16" s="52">
        <f t="shared" ca="1" si="7"/>
        <v>191700</v>
      </c>
      <c r="O16" s="52">
        <f t="shared" ca="1" si="1"/>
        <v>109.29304446978335</v>
      </c>
      <c r="P16" s="52">
        <f t="shared" ca="1" si="2"/>
        <v>118.77323420074349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3362475</v>
      </c>
      <c r="M18" s="22">
        <f t="shared" ca="1" si="8"/>
        <v>3566331.73</v>
      </c>
      <c r="N18" s="22">
        <f t="shared" ca="1" si="8"/>
        <v>3596631.73</v>
      </c>
      <c r="O18" s="22">
        <f t="shared" ref="O18:O26" ca="1" si="9">IF(L18&gt;0,N18*100/L18,0)</f>
        <v>106.96382069755165</v>
      </c>
      <c r="P18" s="22">
        <f t="shared" ref="P18:P26" ca="1" si="10">IF(M18&gt;0,N18*100/M18,0)</f>
        <v>100.84961249524592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3362475</v>
      </c>
      <c r="M20" s="30">
        <f t="shared" ca="1" si="11"/>
        <v>3566331.73</v>
      </c>
      <c r="N20" s="30">
        <f t="shared" ca="1" si="11"/>
        <v>3596631.73</v>
      </c>
      <c r="O20" s="30">
        <f t="shared" ca="1" si="9"/>
        <v>106.96382069755165</v>
      </c>
      <c r="P20" s="30">
        <f t="shared" ca="1" si="10"/>
        <v>100.84961249524592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3" t="s">
        <v>12</v>
      </c>
      <c r="I21" s="270"/>
      <c r="J21" s="270"/>
      <c r="K21" s="498"/>
      <c r="L21" s="498">
        <f t="shared" ref="L21:N21" ca="1" si="12">L22+L23</f>
        <v>3187075</v>
      </c>
      <c r="M21" s="498">
        <f t="shared" ca="1" si="12"/>
        <v>3404931.73</v>
      </c>
      <c r="N21" s="498">
        <f t="shared" ca="1" si="12"/>
        <v>3404931.73</v>
      </c>
      <c r="O21" s="498">
        <f t="shared" ca="1" si="9"/>
        <v>106.83563235882431</v>
      </c>
      <c r="P21" s="498">
        <f t="shared" ca="1" si="10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7"/>
      <c r="J22" s="617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7"/>
      <c r="J23" s="617"/>
      <c r="K23" s="93"/>
      <c r="L23" s="93">
        <f t="shared" ca="1" si="13"/>
        <v>3187075</v>
      </c>
      <c r="M23" s="93">
        <f t="shared" ca="1" si="13"/>
        <v>3404931.73</v>
      </c>
      <c r="N23" s="93">
        <f t="shared" ca="1" si="13"/>
        <v>3404931.73</v>
      </c>
      <c r="O23" s="93">
        <f t="shared" ca="1" si="9"/>
        <v>106.83563235882431</v>
      </c>
      <c r="P23" s="93">
        <f t="shared" ca="1" si="10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3" t="s">
        <v>12</v>
      </c>
      <c r="I24" s="270"/>
      <c r="J24" s="270"/>
      <c r="K24" s="498"/>
      <c r="L24" s="498">
        <f t="shared" ref="L24:N24" ca="1" si="14">L25+L26</f>
        <v>175400</v>
      </c>
      <c r="M24" s="498">
        <f t="shared" ca="1" si="14"/>
        <v>161400</v>
      </c>
      <c r="N24" s="498">
        <f t="shared" ca="1" si="14"/>
        <v>191700</v>
      </c>
      <c r="O24" s="498">
        <f t="shared" ca="1" si="9"/>
        <v>109.29304446978335</v>
      </c>
      <c r="P24" s="498">
        <f t="shared" ca="1" si="10"/>
        <v>118.77323420074349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7"/>
      <c r="J25" s="617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175400</v>
      </c>
      <c r="M26" s="52">
        <f t="shared" ca="1" si="15"/>
        <v>161400</v>
      </c>
      <c r="N26" s="52">
        <f t="shared" ca="1" si="15"/>
        <v>191700</v>
      </c>
      <c r="O26" s="52">
        <f t="shared" ca="1" si="9"/>
        <v>109.29304446978335</v>
      </c>
      <c r="P26" s="52">
        <f t="shared" ca="1" si="10"/>
        <v>118.77323420074349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2005394</v>
      </c>
      <c r="M28" s="22">
        <f t="shared" ca="1" si="16"/>
        <v>1599374.62</v>
      </c>
      <c r="N28" s="22">
        <f t="shared" si="16"/>
        <v>1599374.62</v>
      </c>
      <c r="O28" s="22">
        <f t="shared" ref="O28:O37" ca="1" si="17">IF(L28&gt;0,N28*100/L28,0)</f>
        <v>79.753635445204281</v>
      </c>
      <c r="P28" s="22">
        <f t="shared" ref="P28:P37" ca="1" si="18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2005394</v>
      </c>
      <c r="M30" s="30">
        <f t="shared" ca="1" si="19"/>
        <v>1599374.62</v>
      </c>
      <c r="N30" s="30">
        <f t="shared" si="19"/>
        <v>1599374.62</v>
      </c>
      <c r="O30" s="30">
        <f t="shared" ca="1" si="17"/>
        <v>79.753635445204281</v>
      </c>
      <c r="P30" s="30">
        <f t="shared" ca="1" si="18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3" t="s">
        <v>12</v>
      </c>
      <c r="I31" s="270"/>
      <c r="J31" s="270"/>
      <c r="K31" s="498"/>
      <c r="L31" s="498">
        <f t="shared" ref="L31:N31" ca="1" si="20">L32+L33</f>
        <v>2005394</v>
      </c>
      <c r="M31" s="498">
        <f t="shared" ca="1" si="20"/>
        <v>1599374.62</v>
      </c>
      <c r="N31" s="498">
        <f t="shared" si="20"/>
        <v>1599374.62</v>
      </c>
      <c r="O31" s="498">
        <f t="shared" ca="1" si="17"/>
        <v>79.753635445204281</v>
      </c>
      <c r="P31" s="498">
        <f t="shared" ca="1" si="18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7"/>
      <c r="J32" s="617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7"/>
      <c r="J33" s="617"/>
      <c r="K33" s="93"/>
      <c r="L33" s="93">
        <f t="shared" ca="1" si="21"/>
        <v>2005394</v>
      </c>
      <c r="M33" s="93">
        <f t="shared" ca="1" si="21"/>
        <v>1599374.62</v>
      </c>
      <c r="N33" s="93">
        <f t="shared" si="21"/>
        <v>1599374.62</v>
      </c>
      <c r="O33" s="93">
        <f t="shared" ca="1" si="17"/>
        <v>79.753635445204281</v>
      </c>
      <c r="P33" s="93">
        <f t="shared" ca="1" si="18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3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7"/>
      <c r="J35" s="617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7" t="s">
        <v>24</v>
      </c>
      <c r="B37" s="868"/>
      <c r="C37" s="868"/>
      <c r="D37" s="868"/>
      <c r="E37" s="868"/>
      <c r="F37" s="868"/>
      <c r="G37" s="869"/>
      <c r="H37" s="870"/>
      <c r="I37" s="871"/>
      <c r="J37" s="871"/>
      <c r="K37" s="872"/>
      <c r="L37" s="873">
        <f t="shared" ref="L37:N37" ca="1" si="24">L41+L53+L66+L88+L119+L132+L149+L165+L181+L261+L277+L298+L315+L328+L345+L389+L402</f>
        <v>3362475</v>
      </c>
      <c r="M37" s="873">
        <f t="shared" ca="1" si="24"/>
        <v>3566331.73</v>
      </c>
      <c r="N37" s="873">
        <f t="shared" ca="1" si="24"/>
        <v>3596631.73</v>
      </c>
      <c r="O37" s="873">
        <f t="shared" ca="1" si="17"/>
        <v>106.96382069755165</v>
      </c>
      <c r="P37" s="873">
        <f t="shared" ca="1" si="18"/>
        <v>100.84961249524592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432900</v>
      </c>
      <c r="M41" s="85">
        <f t="shared" ca="1" si="25"/>
        <v>492756.56</v>
      </c>
      <c r="N41" s="85">
        <f t="shared" ca="1" si="25"/>
        <v>492756.56</v>
      </c>
      <c r="O41" s="85">
        <f t="shared" ref="O41:O49" ca="1" si="26">IF(L41&gt;0,N41*100/L41,0)</f>
        <v>113.82687918687918</v>
      </c>
      <c r="P41" s="85">
        <f t="shared" ref="P41:P49" ca="1" si="27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432900</v>
      </c>
      <c r="M43" s="92">
        <f t="shared" ca="1" si="28"/>
        <v>492756.56</v>
      </c>
      <c r="N43" s="92">
        <f t="shared" ca="1" si="28"/>
        <v>492756.56</v>
      </c>
      <c r="O43" s="92">
        <f t="shared" ca="1" si="26"/>
        <v>113.82687918687918</v>
      </c>
      <c r="P43" s="92">
        <f t="shared" ca="1" si="27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3" t="s">
        <v>12</v>
      </c>
      <c r="I44" s="270"/>
      <c r="J44" s="270"/>
      <c r="K44" s="498"/>
      <c r="L44" s="498">
        <f t="shared" ref="L44:N44" ca="1" si="29">L45+L46</f>
        <v>432900</v>
      </c>
      <c r="M44" s="498">
        <f t="shared" ca="1" si="29"/>
        <v>492756.56</v>
      </c>
      <c r="N44" s="498">
        <f t="shared" ca="1" si="29"/>
        <v>492756.56</v>
      </c>
      <c r="O44" s="498">
        <f t="shared" ca="1" si="26"/>
        <v>113.82687918687918</v>
      </c>
      <c r="P44" s="498">
        <f t="shared" ca="1" si="27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7"/>
      <c r="J45" s="617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7"/>
      <c r="J46" s="617"/>
      <c r="K46" s="93"/>
      <c r="L46" s="93">
        <f ca="1">IFERROR(__xludf.DUMMYFUNCTION("IMPORTRANGE(""https://docs.google.com/spreadsheets/d/1MeEWN-I1oV_STSDYn1IFDPWt_1FKiwhDph83XaGc0o0/edit?usp=sharing"",""งบพรบ!M35"")"),432900)</f>
        <v>432900</v>
      </c>
      <c r="M46" s="93">
        <f ca="1">IFERROR(__xludf.DUMMYFUNCTION("IMPORTRANGE(""https://docs.google.com/spreadsheets/d/1MeEWN-I1oV_STSDYn1IFDPWt_1FKiwhDph83XaGc0o0/edit?usp=sharing"",""งบพรบ!R35"")"),492756.56)</f>
        <v>492756.56</v>
      </c>
      <c r="N46" s="93">
        <f ca="1">IFERROR(__xludf.DUMMYFUNCTION("IMPORTRANGE(""https://docs.google.com/spreadsheets/d/1MeEWN-I1oV_STSDYn1IFDPWt_1FKiwhDph83XaGc0o0/edit?usp=sharing"",""งบพรบ!T35"")"),492756.56)</f>
        <v>492756.56</v>
      </c>
      <c r="O46" s="93">
        <f t="shared" ca="1" si="26"/>
        <v>113.82687918687918</v>
      </c>
      <c r="P46" s="93">
        <f t="shared" ca="1" si="27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3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7"/>
      <c r="J48" s="617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IFERROR(__xludf.DUMMYFUNCTION("IMPORTRANGE(""https://docs.google.com/spreadsheets/d/1MeEWN-I1oV_STSDYn1IFDPWt_1FKiwhDph83XaGc0o0/edit?usp=sharing"",""งบพรบ!P35"")"),0)</f>
        <v>0</v>
      </c>
      <c r="M49" s="52">
        <f ca="1">IFERROR(__xludf.DUMMYFUNCTION("IMPORTRANGE(""https://docs.google.com/spreadsheets/d/1MeEWN-I1oV_STSDYn1IFDPWt_1FKiwhDph83XaGc0o0/edit?usp=sharing"",""งบพรบ!S35"")"),0)</f>
        <v>0</v>
      </c>
      <c r="N49" s="52">
        <f ca="1">IFERROR(__xludf.DUMMYFUNCTION("IMPORTRANGE(""https://docs.google.com/spreadsheets/d/1MeEWN-I1oV_STSDYn1IFDPWt_1FKiwhDph83XaGc0o0/edit?usp=sharing"",""งบพรบ!U35"")"),0)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673900</v>
      </c>
      <c r="M53" s="116">
        <f t="shared" ca="1" si="31"/>
        <v>685640.17</v>
      </c>
      <c r="N53" s="116">
        <f t="shared" ca="1" si="31"/>
        <v>715940.17</v>
      </c>
      <c r="O53" s="116">
        <f t="shared" ref="O53:O61" ca="1" si="32">IF(L53&gt;0,N53*100/L53,0)</f>
        <v>106.2383395162487</v>
      </c>
      <c r="P53" s="116">
        <f t="shared" ref="P53:P61" ca="1" si="33">IF(M53&gt;0,N53*100/M53,0)</f>
        <v>104.41922765406233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673900</v>
      </c>
      <c r="M55" s="123">
        <f t="shared" ca="1" si="34"/>
        <v>685640.17</v>
      </c>
      <c r="N55" s="123">
        <f t="shared" ca="1" si="34"/>
        <v>715940.17</v>
      </c>
      <c r="O55" s="123">
        <f t="shared" ca="1" si="32"/>
        <v>106.2383395162487</v>
      </c>
      <c r="P55" s="123">
        <f t="shared" ca="1" si="33"/>
        <v>104.41922765406233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3" t="s">
        <v>12</v>
      </c>
      <c r="I56" s="270"/>
      <c r="J56" s="270"/>
      <c r="K56" s="498"/>
      <c r="L56" s="498">
        <f t="shared" ref="L56:N56" ca="1" si="35">L57+L58</f>
        <v>634100</v>
      </c>
      <c r="M56" s="498">
        <f t="shared" ca="1" si="35"/>
        <v>655640.17000000004</v>
      </c>
      <c r="N56" s="498">
        <f t="shared" ca="1" si="35"/>
        <v>655640.17000000004</v>
      </c>
      <c r="O56" s="498">
        <f t="shared" ca="1" si="32"/>
        <v>103.39696735530674</v>
      </c>
      <c r="P56" s="498">
        <f t="shared" ca="1" si="33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7"/>
      <c r="J57" s="617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7"/>
      <c r="J58" s="617"/>
      <c r="K58" s="93"/>
      <c r="L58" s="93">
        <f ca="1">IFERROR(__xludf.DUMMYFUNCTION("IMPORTRANGE(""https://docs.google.com/spreadsheets/d/1MeEWN-I1oV_STSDYn1IFDPWt_1FKiwhDph83XaGc0o0/edit?usp=sharing"",""งบพรบ!W35"")"),634100)</f>
        <v>634100</v>
      </c>
      <c r="M58" s="93">
        <f ca="1">IFERROR(__xludf.DUMMYFUNCTION("IMPORTRANGE(""https://docs.google.com/spreadsheets/d/1MeEWN-I1oV_STSDYn1IFDPWt_1FKiwhDph83XaGc0o0/edit?usp=sharing"",""งบพรบ!AB35"")"),655640.17)</f>
        <v>655640.17000000004</v>
      </c>
      <c r="N58" s="93">
        <f ca="1">IFERROR(__xludf.DUMMYFUNCTION("IMPORTRANGE(""https://docs.google.com/spreadsheets/d/1MeEWN-I1oV_STSDYn1IFDPWt_1FKiwhDph83XaGc0o0/edit?usp=sharing"",""งบพรบ!AD35"")"),655640.17)</f>
        <v>655640.17000000004</v>
      </c>
      <c r="O58" s="93">
        <f t="shared" ca="1" si="32"/>
        <v>103.39696735530674</v>
      </c>
      <c r="P58" s="93">
        <f t="shared" ca="1" si="33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3" t="s">
        <v>12</v>
      </c>
      <c r="I59" s="270"/>
      <c r="J59" s="270"/>
      <c r="K59" s="498"/>
      <c r="L59" s="498">
        <f t="shared" ref="L59:N59" ca="1" si="36">L60+L61</f>
        <v>39800</v>
      </c>
      <c r="M59" s="498">
        <f t="shared" ca="1" si="36"/>
        <v>30000</v>
      </c>
      <c r="N59" s="498">
        <f t="shared" ca="1" si="36"/>
        <v>60300</v>
      </c>
      <c r="O59" s="498">
        <f t="shared" ca="1" si="32"/>
        <v>151.5075376884422</v>
      </c>
      <c r="P59" s="498">
        <f t="shared" ca="1" si="33"/>
        <v>201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7"/>
      <c r="J60" s="617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IFERROR(__xludf.DUMMYFUNCTION("IMPORTRANGE(""https://docs.google.com/spreadsheets/d/1MeEWN-I1oV_STSDYn1IFDPWt_1FKiwhDph83XaGc0o0/edit?usp=sharing"",""งบพรบ!Z35"")"),39800)</f>
        <v>39800</v>
      </c>
      <c r="M61" s="52">
        <f ca="1">IFERROR(__xludf.DUMMYFUNCTION("IMPORTRANGE(""https://docs.google.com/spreadsheets/d/1MeEWN-I1oV_STSDYn1IFDPWt_1FKiwhDph83XaGc0o0/edit?usp=sharing"",""งบพรบ!AC35"")"),30000)</f>
        <v>30000</v>
      </c>
      <c r="N61" s="52">
        <f ca="1">IFERROR(__xludf.DUMMYFUNCTION("IMPORTRANGE(""https://docs.google.com/spreadsheets/d/1MeEWN-I1oV_STSDYn1IFDPWt_1FKiwhDph83XaGc0o0/edit?usp=sharing"",""งบพรบ!AE35"")"),60300)</f>
        <v>60300</v>
      </c>
      <c r="O61" s="52">
        <f t="shared" ca="1" si="32"/>
        <v>151.5075376884422</v>
      </c>
      <c r="P61" s="52">
        <f t="shared" ca="1" si="33"/>
        <v>201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50</v>
      </c>
      <c r="J65" s="144">
        <f t="shared" si="37"/>
        <v>50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885100</v>
      </c>
      <c r="M66" s="155">
        <f t="shared" ca="1" si="39"/>
        <v>901760</v>
      </c>
      <c r="N66" s="155">
        <f t="shared" ca="1" si="39"/>
        <v>901760</v>
      </c>
      <c r="O66" s="155">
        <f t="shared" ref="O66:O74" ca="1" si="40">IF(L66&gt;0,N66*100/L66,0)</f>
        <v>101.88227318947011</v>
      </c>
      <c r="P66" s="155">
        <f t="shared" ref="P66:P74" ca="1" si="41">IF(M66&gt;0,N66*100/M66,0)</f>
        <v>100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7"/>
      <c r="J67" s="617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7"/>
      <c r="J68" s="617"/>
      <c r="K68" s="93"/>
      <c r="L68" s="93">
        <f t="shared" ca="1" si="42"/>
        <v>885100</v>
      </c>
      <c r="M68" s="93">
        <f t="shared" ca="1" si="42"/>
        <v>901760</v>
      </c>
      <c r="N68" s="93">
        <f t="shared" ca="1" si="42"/>
        <v>901760</v>
      </c>
      <c r="O68" s="93">
        <f t="shared" ca="1" si="40"/>
        <v>101.88227318947011</v>
      </c>
      <c r="P68" s="93">
        <f t="shared" ca="1" si="41"/>
        <v>100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885100</v>
      </c>
      <c r="M69" s="498">
        <f t="shared" ca="1" si="43"/>
        <v>901760</v>
      </c>
      <c r="N69" s="498">
        <f t="shared" ca="1" si="43"/>
        <v>901760</v>
      </c>
      <c r="O69" s="498">
        <f t="shared" ca="1" si="40"/>
        <v>101.88227318947011</v>
      </c>
      <c r="P69" s="498">
        <f t="shared" ca="1" si="41"/>
        <v>100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IFERROR(__xludf.DUMMYFUNCTION("IMPORTRANGE(""https://docs.google.com/spreadsheets/d/1MeEWN-I1oV_STSDYn1IFDPWt_1FKiwhDph83XaGc0o0/edit?usp=sharing"",""งบพรบ!AG35"")"),885100)</f>
        <v>885100</v>
      </c>
      <c r="M71" s="93">
        <f ca="1">IFERROR(__xludf.DUMMYFUNCTION("IMPORTRANGE(""https://docs.google.com/spreadsheets/d/1MeEWN-I1oV_STSDYn1IFDPWt_1FKiwhDph83XaGc0o0/edit?usp=sharing"",""งบพรบ!AL35"")"),901760)</f>
        <v>901760</v>
      </c>
      <c r="N71" s="93">
        <f ca="1">IFERROR(__xludf.DUMMYFUNCTION("IMPORTRANGE(""https://docs.google.com/spreadsheets/d/1MeEWN-I1oV_STSDYn1IFDPWt_1FKiwhDph83XaGc0o0/edit?usp=sharing"",""งบพรบ!AN35"")"),901760)</f>
        <v>901760</v>
      </c>
      <c r="O71" s="93">
        <f t="shared" ca="1" si="40"/>
        <v>101.88227318947011</v>
      </c>
      <c r="P71" s="93">
        <f t="shared" ca="1" si="41"/>
        <v>100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IFERROR(__xludf.DUMMYFUNCTION("IMPORTRANGE(""https://docs.google.com/spreadsheets/d/1MeEWN-I1oV_STSDYn1IFDPWt_1FKiwhDph83XaGc0o0/edit?usp=sharing"",""งบพรบ!AJ35"")"),0)</f>
        <v>0</v>
      </c>
      <c r="M74" s="93">
        <f ca="1">IFERROR(__xludf.DUMMYFUNCTION("IMPORTRANGE(""https://docs.google.com/spreadsheets/d/1MeEWN-I1oV_STSDYn1IFDPWt_1FKiwhDph83XaGc0o0/edit?usp=sharing"",""งบพรบ!AM35"")"),0)</f>
        <v>0</v>
      </c>
      <c r="N74" s="93">
        <f ca="1">IFERROR(__xludf.DUMMYFUNCTION("IMPORTRANGE(""https://docs.google.com/spreadsheets/d/1MeEWN-I1oV_STSDYn1IFDPWt_1FKiwhDph83XaGc0o0/edit?usp=sharing"",""งบพรบ!AO35"")"),0)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7" t="s">
        <v>38</v>
      </c>
      <c r="E75" s="173"/>
      <c r="F75" s="173"/>
      <c r="G75" s="174"/>
      <c r="H75" s="76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50</v>
      </c>
      <c r="J77" s="270">
        <f t="shared" si="45"/>
        <v>50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4" t="s">
        <v>34</v>
      </c>
      <c r="I78" s="184">
        <f ca="1">IFERROR(__xludf.DUMMYFUNCTION("IMPORTRANGE(""https://docs.google.com/spreadsheets/d/1QqKyyYR6Q21VydFLVH3TRQUabQu_ym0Zz7PgGX0-kHA/edit?usp=sharing"",""แผน!H35"")"),0)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4" t="s">
        <v>35</v>
      </c>
      <c r="I79" s="184">
        <f ca="1">IFERROR(__xludf.DUMMYFUNCTION("IMPORTRANGE(""https://docs.google.com/spreadsheets/d/1QqKyyYR6Q21VydFLVH3TRQUabQu_ym0Zz7PgGX0-kHA/edit?usp=sharing"",""แผน!I35"")"),0)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4" t="s">
        <v>34</v>
      </c>
      <c r="I80" s="184">
        <f ca="1">IFERROR(__xludf.DUMMYFUNCTION("IMPORTRANGE(""https://docs.google.com/spreadsheets/d/1QqKyyYR6Q21VydFLVH3TRQUabQu_ym0Zz7PgGX0-kHA/edit?usp=sharing"",""แผน!F35"")"),0)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4" t="s">
        <v>35</v>
      </c>
      <c r="I81" s="184">
        <f ca="1">IFERROR(__xludf.DUMMYFUNCTION("IMPORTRANGE(""https://docs.google.com/spreadsheets/d/1QqKyyYR6Q21VydFLVH3TRQUabQu_ym0Zz7PgGX0-kHA/edit?usp=sharing"",""แผน!G35"")"),0)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4" t="s">
        <v>34</v>
      </c>
      <c r="I82" s="184">
        <f ca="1">IFERROR(__xludf.DUMMYFUNCTION("IMPORTRANGE(""https://docs.google.com/spreadsheets/d/1QqKyyYR6Q21VydFLVH3TRQUabQu_ym0Zz7PgGX0-kHA/edit?usp=sharing"",""แผน!D35"")"),1)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4" t="s">
        <v>35</v>
      </c>
      <c r="I83" s="184">
        <f ca="1">IFERROR(__xludf.DUMMYFUNCTION("IMPORTRANGE(""https://docs.google.com/spreadsheets/d/1QqKyyYR6Q21VydFLVH3TRQUabQu_ym0Zz7PgGX0-kHA/edit?usp=sharing"",""แผน!E35"")"),50)</f>
        <v>50</v>
      </c>
      <c r="J83" s="215">
        <v>50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IFERROR(__xludf.DUMMYFUNCTION("IMPORTRANGE(""https://docs.google.com/spreadsheets/d/1QqKyyYR6Q21VydFLVH3TRQUabQu_ym0Zz7PgGX0-kHA/edit?usp=sharing"",""แผน!J35"")"),1)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85840</v>
      </c>
      <c r="N88" s="155">
        <f t="shared" ca="1" si="49"/>
        <v>85840</v>
      </c>
      <c r="O88" s="155">
        <f t="shared" ref="O88:O96" ca="1" si="50">IF(L88&gt;0,N88*100/L88,0)</f>
        <v>100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7"/>
      <c r="J89" s="617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7"/>
      <c r="J90" s="617"/>
      <c r="K90" s="93"/>
      <c r="L90" s="93">
        <f t="shared" ca="1" si="52"/>
        <v>85840</v>
      </c>
      <c r="M90" s="93">
        <f t="shared" ca="1" si="52"/>
        <v>85840</v>
      </c>
      <c r="N90" s="93">
        <f t="shared" ca="1" si="52"/>
        <v>85840</v>
      </c>
      <c r="O90" s="93">
        <f t="shared" ca="1" si="50"/>
        <v>100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85840</v>
      </c>
      <c r="M91" s="498">
        <f t="shared" ca="1" si="53"/>
        <v>85840</v>
      </c>
      <c r="N91" s="498">
        <f t="shared" ca="1" si="53"/>
        <v>85840</v>
      </c>
      <c r="O91" s="498">
        <f t="shared" ca="1" si="50"/>
        <v>100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IFERROR(__xludf.DUMMYFUNCTION("IMPORTRANGE(""https://docs.google.com/spreadsheets/d/1MeEWN-I1oV_STSDYn1IFDPWt_1FKiwhDph83XaGc0o0/edit?usp=sharing"",""งบพรบ!AQ35"")"),85840)</f>
        <v>85840</v>
      </c>
      <c r="M93" s="93">
        <f ca="1">IFERROR(__xludf.DUMMYFUNCTION("IMPORTRANGE(""https://docs.google.com/spreadsheets/d/1MeEWN-I1oV_STSDYn1IFDPWt_1FKiwhDph83XaGc0o0/edit?usp=sharing"",""งบพรบ!AV35"")"),85840)</f>
        <v>85840</v>
      </c>
      <c r="N93" s="93">
        <f ca="1">IFERROR(__xludf.DUMMYFUNCTION("IMPORTRANGE(""https://docs.google.com/spreadsheets/d/1MeEWN-I1oV_STSDYn1IFDPWt_1FKiwhDph83XaGc0o0/edit?usp=sharing"",""งบพรบ!AX35"")"),85840)</f>
        <v>85840</v>
      </c>
      <c r="O93" s="93">
        <f t="shared" ca="1" si="50"/>
        <v>100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IFERROR(__xludf.DUMMYFUNCTION("IMPORTRANGE(""https://docs.google.com/spreadsheets/d/1MeEWN-I1oV_STSDYn1IFDPWt_1FKiwhDph83XaGc0o0/edit?usp=sharing"",""งบพรบ!AT35"")"),0)</f>
        <v>0</v>
      </c>
      <c r="M96" s="93">
        <f ca="1">IFERROR(__xludf.DUMMYFUNCTION("IMPORTRANGE(""https://docs.google.com/spreadsheets/d/1MeEWN-I1oV_STSDYn1IFDPWt_1FKiwhDph83XaGc0o0/edit?usp=sharing"",""งบพรบ!AW35"")"),0)</f>
        <v>0</v>
      </c>
      <c r="N96" s="93">
        <f ca="1">IFERROR(__xludf.DUMMYFUNCTION("IMPORTRANGE(""https://docs.google.com/spreadsheets/d/1MeEWN-I1oV_STSDYn1IFDPWt_1FKiwhDph83XaGc0o0/edit?usp=sharing"",""งบพรบ!AY35"")"),0)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7" t="s">
        <v>38</v>
      </c>
      <c r="E97" s="173"/>
      <c r="F97" s="173"/>
      <c r="G97" s="174"/>
      <c r="H97" s="762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3" t="s">
        <v>46</v>
      </c>
      <c r="I98" s="270">
        <f ca="1">IFERROR(__xludf.DUMMYFUNCTION("IMPORTRANGE(""https://docs.google.com/spreadsheets/d/1QqKyyYR6Q21VydFLVH3TRQUabQu_ym0Zz7PgGX0-kHA/edit?usp=sharing"",""แผน!K35"")"),30)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3" t="s">
        <v>35</v>
      </c>
      <c r="I99" s="270">
        <f ca="1">IFERROR(__xludf.DUMMYFUNCTION("IMPORTRANGE(""https://docs.google.com/spreadsheets/d/1QqKyyYR6Q21VydFLVH3TRQUabQu_ym0Zz7PgGX0-kHA/edit?usp=sharing"",""แผน!L35"")"),10)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3" t="s">
        <v>49</v>
      </c>
      <c r="I100" s="270">
        <f ca="1">IFERROR(__xludf.DUMMYFUNCTION("IMPORTRANGE(""https://docs.google.com/spreadsheets/d/1QqKyyYR6Q21VydFLVH3TRQUabQu_ym0Zz7PgGX0-kHA/edit?usp=sharing"",""แผน!M35"")"),2)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3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6" t="s">
        <v>47</v>
      </c>
      <c r="F102" s="178"/>
      <c r="G102" s="179"/>
      <c r="H102" s="623" t="s">
        <v>46</v>
      </c>
      <c r="I102" s="270">
        <f ca="1">IFERROR(__xludf.DUMMYFUNCTION("IMPORTRANGE(""https://docs.google.com/spreadsheets/d/1QqKyyYR6Q21VydFLVH3TRQUabQu_ym0Zz7PgGX0-kHA/edit?usp=sharing"",""แผน!N35"")"),30)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3" t="s">
        <v>35</v>
      </c>
      <c r="I103" s="270">
        <f ca="1">IFERROR(__xludf.DUMMYFUNCTION("IMPORTRANGE(""https://docs.google.com/spreadsheets/d/1QqKyyYR6Q21VydFLVH3TRQUabQu_ym0Zz7PgGX0-kHA/edit?usp=sharing"",""แผน!O35"")"),10)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3" t="s">
        <v>35</v>
      </c>
      <c r="I104" s="270">
        <f ca="1">IFERROR(__xludf.DUMMYFUNCTION("IMPORTRANGE(""https://docs.google.com/spreadsheets/d/1QqKyyYR6Q21VydFLVH3TRQUabQu_ym0Zz7PgGX0-kHA/edit?usp=sharing"",""แผน!O35"")"),10)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3" t="s">
        <v>49</v>
      </c>
      <c r="I106" s="270">
        <f ca="1">IFERROR(__xludf.DUMMYFUNCTION("IMPORTRANGE(""https://docs.google.com/spreadsheets/d/1QqKyyYR6Q21VydFLVH3TRQUabQu_ym0Zz7PgGX0-kHA/edit?usp=sharing"",""แผน!P35"")"),1)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3" t="s">
        <v>49</v>
      </c>
      <c r="I107" s="270">
        <f ca="1">IFERROR(__xludf.DUMMYFUNCTION("IMPORTRANGE(""https://docs.google.com/spreadsheets/d/1QqKyyYR6Q21VydFLVH3TRQUabQu_ym0Zz7PgGX0-kHA/edit?usp=sharing"",""แผน!P35"")"),1)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3" t="s">
        <v>49</v>
      </c>
      <c r="I109" s="270">
        <f ca="1">IFERROR(__xludf.DUMMYFUNCTION("IMPORTRANGE(""https://docs.google.com/spreadsheets/d/1QqKyyYR6Q21VydFLVH3TRQUabQu_ym0Zz7PgGX0-kHA/edit?usp=sharing"",""แผน!Q35"")"),1)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3" t="s">
        <v>49</v>
      </c>
      <c r="I110" s="270">
        <f ca="1">IFERROR(__xludf.DUMMYFUNCTION("IMPORTRANGE(""https://docs.google.com/spreadsheets/d/1QqKyyYR6Q21VydFLVH3TRQUabQu_ym0Zz7PgGX0-kHA/edit?usp=sharing"",""แผน!Q35"")"),1)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7" t="s">
        <v>35</v>
      </c>
      <c r="I111" s="193">
        <f ca="1">IFERROR(__xludf.DUMMYFUNCTION("IMPORTRANGE(""https://docs.google.com/spreadsheets/d/1QqKyyYR6Q21VydFLVH3TRQUabQu_ym0Zz7PgGX0-kHA/edit?usp=sharing"",""แผน!R35"")"),10)</f>
        <v>10</v>
      </c>
      <c r="J111" s="681">
        <f>J114</f>
        <v>10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1">
        <f t="shared" si="59"/>
        <v>2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2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IFERROR(__xludf.DUMMYFUNCTION("IMPORTRANGE(""https://docs.google.com/spreadsheets/d/1QqKyyYR6Q21VydFLVH3TRQUabQu_ym0Zz7PgGX0-kHA/edit?usp=sharing"",""แผน!R35"")"),10)</f>
        <v>10</v>
      </c>
      <c r="J113" s="215">
        <v>10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IFERROR(__xludf.DUMMYFUNCTION("IMPORTRANGE(""https://docs.google.com/spreadsheets/d/1QqKyyYR6Q21VydFLVH3TRQUabQu_ym0Zz7PgGX0-kHA/edit?usp=sharing"",""แผน!R35"")"),10)</f>
        <v>10</v>
      </c>
      <c r="J114" s="215">
        <v>10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IFERROR(__xludf.DUMMYFUNCTION("IMPORTRANGE(""https://docs.google.com/spreadsheets/d/1QqKyyYR6Q21VydFLVH3TRQUabQu_ym0Zz7PgGX0-kHA/edit?usp=sharing"",""แผน!S35"")"),1)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IFERROR(__xludf.DUMMYFUNCTION("IMPORTRANGE(""https://docs.google.com/spreadsheets/d/1QqKyyYR6Q21VydFLVH3TRQUabQu_ym0Zz7PgGX0-kHA/edit?usp=sharing"",""แผน!T35"")"),1)</f>
        <v>1</v>
      </c>
      <c r="J116" s="215">
        <v>1</v>
      </c>
      <c r="K116" s="498">
        <f t="shared" ca="1" si="5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7"/>
      <c r="J120" s="617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7"/>
      <c r="J121" s="617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IFERROR(__xludf.DUMMYFUNCTION("IMPORTRANGE(""https://docs.google.com/spreadsheets/d/1MeEWN-I1oV_STSDYn1IFDPWt_1FKiwhDph83XaGc0o0/edit?usp=sharing"",""งบพรบ!BA35"")"),0)</f>
        <v>0</v>
      </c>
      <c r="M124" s="93">
        <f ca="1">IFERROR(__xludf.DUMMYFUNCTION("IMPORTRANGE(""https://docs.google.com/spreadsheets/d/1MeEWN-I1oV_STSDYn1IFDPWt_1FKiwhDph83XaGc0o0/edit?usp=sharing"",""งบพรบ!BF35"")"),0)</f>
        <v>0</v>
      </c>
      <c r="N124" s="93">
        <f ca="1">IFERROR(__xludf.DUMMYFUNCTION("IMPORTRANGE(""https://docs.google.com/spreadsheets/d/1MeEWN-I1oV_STSDYn1IFDPWt_1FKiwhDph83XaGc0o0/edit?usp=sharing"",""งบพรบ!BH35"")"),0)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IFERROR(__xludf.DUMMYFUNCTION("IMPORTRANGE(""https://docs.google.com/spreadsheets/d/1MeEWN-I1oV_STSDYn1IFDPWt_1FKiwhDph83XaGc0o0/edit?usp=sharing"",""งบพรบ!BD35"")"),0)</f>
        <v>0</v>
      </c>
      <c r="M127" s="93">
        <f ca="1">IFERROR(__xludf.DUMMYFUNCTION("IMPORTRANGE(""https://docs.google.com/spreadsheets/d/1MeEWN-I1oV_STSDYn1IFDPWt_1FKiwhDph83XaGc0o0/edit?usp=sharing"",""งบพรบ!BG35"")"),0)</f>
        <v>0</v>
      </c>
      <c r="N127" s="93">
        <f ca="1">IFERROR(__xludf.DUMMYFUNCTION("IMPORTRANGE(""https://docs.google.com/spreadsheets/d/1MeEWN-I1oV_STSDYn1IFDPWt_1FKiwhDph83XaGc0o0/edit?usp=sharing"",""งบพรบ!BI35"")"),0)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7"/>
      <c r="J133" s="617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7"/>
      <c r="J134" s="617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IFERROR(__xludf.DUMMYFUNCTION("IMPORTRANGE(""https://docs.google.com/spreadsheets/d/1MeEWN-I1oV_STSDYn1IFDPWt_1FKiwhDph83XaGc0o0/edit?usp=sharing"",""งบพรบ!BK35"")"),0)</f>
        <v>0</v>
      </c>
      <c r="M137" s="93">
        <f ca="1">IFERROR(__xludf.DUMMYFUNCTION("IMPORTRANGE(""https://docs.google.com/spreadsheets/d/1MeEWN-I1oV_STSDYn1IFDPWt_1FKiwhDph83XaGc0o0/edit?usp=sharing"",""งบพรบ!BP35"")"),0)</f>
        <v>0</v>
      </c>
      <c r="N137" s="93">
        <f ca="1">IFERROR(__xludf.DUMMYFUNCTION("IMPORTRANGE(""https://docs.google.com/spreadsheets/d/1MeEWN-I1oV_STSDYn1IFDPWt_1FKiwhDph83XaGc0o0/edit?usp=sharing"",""งบพรบ!BR35"")"),0)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IFERROR(__xludf.DUMMYFUNCTION("IMPORTRANGE(""https://docs.google.com/spreadsheets/d/1MeEWN-I1oV_STSDYn1IFDPWt_1FKiwhDph83XaGc0o0/edit?usp=sharing"",""งบพรบ!BN35"")"),0)</f>
        <v>0</v>
      </c>
      <c r="M140" s="93">
        <f ca="1">IFERROR(__xludf.DUMMYFUNCTION("IMPORTRANGE(""https://docs.google.com/spreadsheets/d/1MeEWN-I1oV_STSDYn1IFDPWt_1FKiwhDph83XaGc0o0/edit?usp=sharing"",""งบพรบ!BQ35"")"),0)</f>
        <v>0</v>
      </c>
      <c r="N140" s="93">
        <f ca="1">IFERROR(__xludf.DUMMYFUNCTION("IMPORTRANGE(""https://docs.google.com/spreadsheets/d/1MeEWN-I1oV_STSDYn1IFDPWt_1FKiwhDph83XaGc0o0/edit?usp=sharing"",""งบพรบ!BS35"")"),0)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IFERROR(__xludf.DUMMYFUNCTION("IMPORTRANGE(""https://docs.google.com/spreadsheets/d/1QqKyyYR6Q21VydFLVH3TRQUabQu_ym0Zz7PgGX0-kHA/edit?usp=sharing"",""แผน!U35"")"),0)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IFERROR(__xludf.DUMMYFUNCTION("IMPORTRANGE(""https://docs.google.com/spreadsheets/d/1QqKyyYR6Q21VydFLVH3TRQUabQu_ym0Zz7PgGX0-kHA/edit?usp=sharing"",""แผน!V35"")"),0)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IFERROR(__xludf.DUMMYFUNCTION("IMPORTRANGE(""https://docs.google.com/spreadsheets/d/1QqKyyYR6Q21VydFLVH3TRQUabQu_ym0Zz7PgGX0-kHA/edit?usp=sharing"",""แผน!W35"")"),0)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7"/>
      <c r="J150" s="617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7"/>
      <c r="J151" s="617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IFERROR(__xludf.DUMMYFUNCTION("IMPORTRANGE(""https://docs.google.com/spreadsheets/d/1MeEWN-I1oV_STSDYn1IFDPWt_1FKiwhDph83XaGc0o0/edit?usp=sharing"",""งบพรบ!BU35"")"),0)</f>
        <v>0</v>
      </c>
      <c r="M154" s="93">
        <f ca="1">IFERROR(__xludf.DUMMYFUNCTION("IMPORTRANGE(""https://docs.google.com/spreadsheets/d/1MeEWN-I1oV_STSDYn1IFDPWt_1FKiwhDph83XaGc0o0/edit?usp=sharing"",""งบพรบ!BZ35"")"),0)</f>
        <v>0</v>
      </c>
      <c r="N154" s="93">
        <f ca="1">IFERROR(__xludf.DUMMYFUNCTION("IMPORTRANGE(""https://docs.google.com/spreadsheets/d/1MeEWN-I1oV_STSDYn1IFDPWt_1FKiwhDph83XaGc0o0/edit?usp=sharing"",""งบพรบ!CB35"")"),0)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IFERROR(__xludf.DUMMYFUNCTION("IMPORTRANGE(""https://docs.google.com/spreadsheets/d/1MeEWN-I1oV_STSDYn1IFDPWt_1FKiwhDph83XaGc0o0/edit?usp=sharing"",""งบพรบ!BX35"")"),0)</f>
        <v>0</v>
      </c>
      <c r="M157" s="93">
        <f ca="1">IFERROR(__xludf.DUMMYFUNCTION("IMPORTRANGE(""https://docs.google.com/spreadsheets/d/1MeEWN-I1oV_STSDYn1IFDPWt_1FKiwhDph83XaGc0o0/edit?usp=sharing"",""งบพรบ!CA35"")"),0)</f>
        <v>0</v>
      </c>
      <c r="N157" s="93">
        <f ca="1">IFERROR(__xludf.DUMMYFUNCTION("IMPORTRANGE(""https://docs.google.com/spreadsheets/d/1MeEWN-I1oV_STSDYn1IFDPWt_1FKiwhDph83XaGc0o0/edit?usp=sharing"",""งบพรบ!CC35"")"),0)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IFERROR(__xludf.DUMMYFUNCTION("IMPORTRANGE(""https://docs.google.com/spreadsheets/d/1QqKyyYR6Q21VydFLVH3TRQUabQu_ym0Zz7PgGX0-kHA/edit?usp=sharing"",""แผน!X35"")"),0)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7"/>
      <c r="J160" s="617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38755</v>
      </c>
      <c r="N165" s="155">
        <f t="shared" ca="1" si="84"/>
        <v>38755</v>
      </c>
      <c r="O165" s="155">
        <f t="shared" ref="O165:O173" ca="1" si="85">IF(L165&gt;0,N165*100/L165,0)</f>
        <v>175.71979143051462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7"/>
      <c r="J166" s="617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7"/>
      <c r="J167" s="617"/>
      <c r="K167" s="93"/>
      <c r="L167" s="93">
        <f t="shared" ca="1" si="87"/>
        <v>22055</v>
      </c>
      <c r="M167" s="93">
        <f t="shared" ca="1" si="87"/>
        <v>38755</v>
      </c>
      <c r="N167" s="93">
        <f t="shared" ca="1" si="87"/>
        <v>38755</v>
      </c>
      <c r="O167" s="93">
        <f t="shared" ca="1" si="85"/>
        <v>175.71979143051462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38755</v>
      </c>
      <c r="N168" s="498">
        <f t="shared" ca="1" si="88"/>
        <v>38755</v>
      </c>
      <c r="O168" s="498">
        <f t="shared" ca="1" si="85"/>
        <v>175.71979143051462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IFERROR(__xludf.DUMMYFUNCTION("IMPORTRANGE(""https://docs.google.com/spreadsheets/d/1MeEWN-I1oV_STSDYn1IFDPWt_1FKiwhDph83XaGc0o0/edit?usp=sharing"",""งบพรบ!CE35"")"),22055)</f>
        <v>22055</v>
      </c>
      <c r="M170" s="93">
        <f ca="1">IFERROR(__xludf.DUMMYFUNCTION("IMPORTRANGE(""https://docs.google.com/spreadsheets/d/1MeEWN-I1oV_STSDYn1IFDPWt_1FKiwhDph83XaGc0o0/edit?usp=sharing"",""งบพรบ!CJ35"")"),38755)</f>
        <v>38755</v>
      </c>
      <c r="N170" s="93">
        <f ca="1">IFERROR(__xludf.DUMMYFUNCTION("IMPORTRANGE(""https://docs.google.com/spreadsheets/d/1MeEWN-I1oV_STSDYn1IFDPWt_1FKiwhDph83XaGc0o0/edit?usp=sharing"",""งบพรบ!CL35"")"),38755)</f>
        <v>38755</v>
      </c>
      <c r="O170" s="93">
        <f t="shared" ca="1" si="85"/>
        <v>175.71979143051462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IFERROR(__xludf.DUMMYFUNCTION("IMPORTRANGE(""https://docs.google.com/spreadsheets/d/1MeEWN-I1oV_STSDYn1IFDPWt_1FKiwhDph83XaGc0o0/edit?usp=sharing"",""งบพรบ!CH35"")"),0)</f>
        <v>0</v>
      </c>
      <c r="M173" s="93">
        <f ca="1">IFERROR(__xludf.DUMMYFUNCTION("IMPORTRANGE(""https://docs.google.com/spreadsheets/d/1MeEWN-I1oV_STSDYn1IFDPWt_1FKiwhDph83XaGc0o0/edit?usp=sharing"",""งบพรบ!CK35"")"),0)</f>
        <v>0</v>
      </c>
      <c r="N173" s="93">
        <f ca="1">IFERROR(__xludf.DUMMYFUNCTION("IMPORTRANGE(""https://docs.google.com/spreadsheets/d/1MeEWN-I1oV_STSDYn1IFDPWt_1FKiwhDph83XaGc0o0/edit?usp=sharing"",""งบพรบ!CM35"")"),0)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7" t="s">
        <v>38</v>
      </c>
      <c r="E175" s="173"/>
      <c r="F175" s="173"/>
      <c r="G175" s="174"/>
      <c r="H175" s="76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6" t="s">
        <v>85</v>
      </c>
      <c r="E176" s="178"/>
      <c r="F176" s="178"/>
      <c r="G176" s="179"/>
      <c r="H176" s="623" t="s">
        <v>35</v>
      </c>
      <c r="I176" s="270">
        <f ca="1">IFERROR(__xludf.DUMMYFUNCTION("IMPORTRANGE(""https://docs.google.com/spreadsheets/d/1QqKyyYR6Q21VydFLVH3TRQUabQu_ym0Zz7PgGX0-kHA/edit?usp=sharing"",""แผน!Y35"")"),11)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65500</v>
      </c>
      <c r="M181" s="155">
        <f t="shared" ca="1" si="92"/>
        <v>65500</v>
      </c>
      <c r="N181" s="155">
        <f t="shared" ca="1" si="92"/>
        <v>65500</v>
      </c>
      <c r="O181" s="155">
        <f t="shared" ref="O181:O189" ca="1" si="93">IF(L181&gt;0,N181*100/L181,0)</f>
        <v>100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7"/>
      <c r="J182" s="617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7"/>
      <c r="J183" s="617"/>
      <c r="K183" s="93"/>
      <c r="L183" s="93">
        <f t="shared" ca="1" si="95"/>
        <v>65500</v>
      </c>
      <c r="M183" s="93">
        <f t="shared" ca="1" si="95"/>
        <v>65500</v>
      </c>
      <c r="N183" s="93">
        <f t="shared" ca="1" si="95"/>
        <v>65500</v>
      </c>
      <c r="O183" s="93">
        <f t="shared" ca="1" si="93"/>
        <v>100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65500</v>
      </c>
      <c r="M184" s="498">
        <f t="shared" ca="1" si="96"/>
        <v>65500</v>
      </c>
      <c r="N184" s="498">
        <f t="shared" ca="1" si="96"/>
        <v>65500</v>
      </c>
      <c r="O184" s="498">
        <f t="shared" ca="1" si="93"/>
        <v>100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IFERROR(__xludf.DUMMYFUNCTION("IMPORTRANGE(""https://docs.google.com/spreadsheets/d/1MeEWN-I1oV_STSDYn1IFDPWt_1FKiwhDph83XaGc0o0/edit?usp=sharing"",""งบพรบ!CO35"")"),65500)</f>
        <v>65500</v>
      </c>
      <c r="M186" s="93">
        <f ca="1">IFERROR(__xludf.DUMMYFUNCTION("IMPORTRANGE(""https://docs.google.com/spreadsheets/d/1MeEWN-I1oV_STSDYn1IFDPWt_1FKiwhDph83XaGc0o0/edit?usp=sharing"",""งบพรบ!CT35"")"),65500)</f>
        <v>65500</v>
      </c>
      <c r="N186" s="93">
        <f ca="1">IFERROR(__xludf.DUMMYFUNCTION("IMPORTRANGE(""https://docs.google.com/spreadsheets/d/1MeEWN-I1oV_STSDYn1IFDPWt_1FKiwhDph83XaGc0o0/edit?usp=sharing"",""งบพรบ!CV35"")"),65500)</f>
        <v>65500</v>
      </c>
      <c r="O186" s="93">
        <f t="shared" ca="1" si="93"/>
        <v>100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IFERROR(__xludf.DUMMYFUNCTION("IMPORTRANGE(""https://docs.google.com/spreadsheets/d/1MeEWN-I1oV_STSDYn1IFDPWt_1FKiwhDph83XaGc0o0/edit?usp=sharing"",""งบพรบ!CR35"")"),0)</f>
        <v>0</v>
      </c>
      <c r="M189" s="93">
        <f ca="1">IFERROR(__xludf.DUMMYFUNCTION("IMPORTRANGE(""https://docs.google.com/spreadsheets/d/1MeEWN-I1oV_STSDYn1IFDPWt_1FKiwhDph83XaGc0o0/edit?usp=sharing"",""งบพรบ!CU35"")"),0)</f>
        <v>0</v>
      </c>
      <c r="N189" s="93">
        <f ca="1">IFERROR(__xludf.DUMMYFUNCTION("IMPORTRANGE(""https://docs.google.com/spreadsheets/d/1MeEWN-I1oV_STSDYn1IFDPWt_1FKiwhDph83XaGc0o0/edit?usp=sharing"",""งบพรบ!CW35"")"),0)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8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IFERROR(__xludf.DUMMYFUNCTION("IMPORTRANGE(""https://docs.google.com/spreadsheets/d/1QqKyyYR6Q21VydFLVH3TRQUabQu_ym0Zz7PgGX0-kHA/edit?usp=sharing"",""แผน!Z35"")"),6000)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7" t="s">
        <v>38</v>
      </c>
      <c r="E192" s="173"/>
      <c r="F192" s="173"/>
      <c r="G192" s="174"/>
      <c r="H192" s="762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4" t="s">
        <v>90</v>
      </c>
      <c r="I193" s="270">
        <f ca="1">IFERROR(__xludf.DUMMYFUNCTION("IMPORTRANGE(""https://docs.google.com/spreadsheets/d/1QqKyyYR6Q21VydFLVH3TRQUabQu_ym0Zz7PgGX0-kHA/edit?usp=sharing"",""แผน!AC35"")"),4)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126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126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8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IFERROR(__xludf.DUMMYFUNCTION("IMPORTRANGE(""https://docs.google.com/spreadsheets/d/1QqKyyYR6Q21VydFLVH3TRQUabQu_ym0Zz7PgGX0-kHA/edit?usp=sharing"",""แผน!AE35"")"),3000)</f>
        <v>3000</v>
      </c>
      <c r="M199" s="498"/>
      <c r="N199" s="840">
        <v>3000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3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IFERROR(__xludf.DUMMYFUNCTION("IMPORTRANGE(""https://docs.google.com/spreadsheets/d/1QqKyyYR6Q21VydFLVH3TRQUabQu_ym0Zz7PgGX0-kHA/edit?usp=sharing"",""แผน!AF35"")"),24000)</f>
        <v>24000</v>
      </c>
      <c r="M200" s="498"/>
      <c r="N200" s="840">
        <v>24000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3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IFERROR(__xludf.DUMMYFUNCTION("IMPORTRANGE(""https://docs.google.com/spreadsheets/d/1QqKyyYR6Q21VydFLVH3TRQUabQu_ym0Zz7PgGX0-kHA/edit?usp=sharing"",""แผน!AG35"")"),12000)</f>
        <v>12000</v>
      </c>
      <c r="M201" s="498"/>
      <c r="N201" s="840">
        <v>12000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3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IFERROR(__xludf.DUMMYFUNCTION("IMPORTRANGE(""https://docs.google.com/spreadsheets/d/1QqKyyYR6Q21VydFLVH3TRQUabQu_ym0Zz7PgGX0-kHA/edit?usp=sharing"",""แผน!AH35"")"),0)</f>
        <v>0</v>
      </c>
      <c r="M202" s="498"/>
      <c r="N202" s="840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7" t="s">
        <v>38</v>
      </c>
      <c r="E203" s="173"/>
      <c r="F203" s="173"/>
      <c r="G203" s="174"/>
      <c r="H203" s="76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2" t="s">
        <v>96</v>
      </c>
      <c r="I204" s="270">
        <f ca="1">IFERROR(__xludf.DUMMYFUNCTION("IMPORTRANGE(""https://docs.google.com/spreadsheets/d/1QqKyyYR6Q21VydFLVH3TRQUabQu_ym0Zz7PgGX0-kHA/edit?usp=sharing"",""แผน!AI35"")"),3)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2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2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8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IFERROR(__xludf.DUMMYFUNCTION("IMPORTRANGE(""https://docs.google.com/spreadsheets/d/1QqKyyYR6Q21VydFLVH3TRQUabQu_ym0Zz7PgGX0-kHA/edit?usp=sharing"",""แผน!AK35"")"),1000)</f>
        <v>1000</v>
      </c>
      <c r="M210" s="498"/>
      <c r="N210" s="840">
        <v>1000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IFERROR(__xludf.DUMMYFUNCTION("IMPORTRANGE(""https://docs.google.com/spreadsheets/d/1QqKyyYR6Q21VydFLVH3TRQUabQu_ym0Zz7PgGX0-kHA/edit?usp=sharing"",""แผน!AL35"")"),5000)</f>
        <v>5000</v>
      </c>
      <c r="M211" s="498"/>
      <c r="N211" s="840">
        <v>5000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IFERROR(__xludf.DUMMYFUNCTION("IMPORTRANGE(""https://docs.google.com/spreadsheets/d/1QqKyyYR6Q21VydFLVH3TRQUabQu_ym0Zz7PgGX0-kHA/edit?usp=sharing"",""แผน!AM35"")"),8000)</f>
        <v>8000</v>
      </c>
      <c r="M212" s="498"/>
      <c r="N212" s="840">
        <v>8000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7" t="s">
        <v>38</v>
      </c>
      <c r="E213" s="173"/>
      <c r="F213" s="173"/>
      <c r="G213" s="174"/>
      <c r="H213" s="762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2" t="s">
        <v>96</v>
      </c>
      <c r="I214" s="270">
        <f ca="1">IFERROR(__xludf.DUMMYFUNCTION("IMPORTRANGE(""https://docs.google.com/spreadsheets/d/1QqKyyYR6Q21VydFLVH3TRQUabQu_ym0Zz7PgGX0-kHA/edit?usp=sharing"",""แผน!AN35"")"),1)</f>
        <v>1</v>
      </c>
      <c r="J214" s="215">
        <v>1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2" t="s">
        <v>96</v>
      </c>
      <c r="I215" s="270">
        <f ca="1">IFERROR(__xludf.DUMMYFUNCTION("IMPORTRANGE(""https://docs.google.com/spreadsheets/d/1QqKyyYR6Q21VydFLVH3TRQUabQu_ym0Zz7PgGX0-kHA/edit?usp=sharing"",""แผน!AN35"")"),1)</f>
        <v>1</v>
      </c>
      <c r="J215" s="215">
        <v>1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10000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8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6500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IFERROR(__xludf.DUMMYFUNCTION("IMPORTRANGE(""https://docs.google.com/spreadsheets/d/1QqKyyYR6Q21VydFLVH3TRQUabQu_ym0Zz7PgGX0-kHA/edit?usp=sharing"",""แผน!AP35"")"),3000)</f>
        <v>3000</v>
      </c>
      <c r="M218" s="498"/>
      <c r="N218" s="840">
        <v>3000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IFERROR(__xludf.DUMMYFUNCTION("IMPORTRANGE(""https://docs.google.com/spreadsheets/d/1QqKyyYR6Q21VydFLVH3TRQUabQu_ym0Zz7PgGX0-kHA/edit?usp=sharing"",""แผน!AQ35"")"),3500)</f>
        <v>3500</v>
      </c>
      <c r="M219" s="498"/>
      <c r="N219" s="840">
        <v>3500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IFERROR(__xludf.DUMMYFUNCTION("IMPORTRANGE(""https://docs.google.com/spreadsheets/d/1QqKyyYR6Q21VydFLVH3TRQUabQu_ym0Zz7PgGX0-kHA/edit?usp=sharing"",""แผน!AR35"")"),0)</f>
        <v>0</v>
      </c>
      <c r="M220" s="498"/>
      <c r="N220" s="840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7" t="s">
        <v>38</v>
      </c>
      <c r="E221" s="173"/>
      <c r="F221" s="173"/>
      <c r="G221" s="174"/>
      <c r="H221" s="76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4" t="s">
        <v>109</v>
      </c>
      <c r="I223" s="270">
        <f ca="1">IFERROR(__xludf.DUMMYFUNCTION("IMPORTRANGE(""https://docs.google.com/spreadsheets/d/1QqKyyYR6Q21VydFLVH3TRQUabQu_ym0Zz7PgGX0-kHA/edit?usp=sharing"",""แผน!AT35"")"),10000)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4" t="s">
        <v>109</v>
      </c>
      <c r="I224" s="270">
        <f ca="1">IFERROR(__xludf.DUMMYFUNCTION("IMPORTRANGE(""https://docs.google.com/spreadsheets/d/1QqKyyYR6Q21VydFLVH3TRQUabQu_ym0Zz7PgGX0-kHA/edit?usp=sharing"",""แผน!AT35"")"),10000)</f>
        <v>10000</v>
      </c>
      <c r="J224" s="215">
        <v>10000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4" t="s">
        <v>35</v>
      </c>
      <c r="I225" s="270">
        <f ca="1">IFERROR(__xludf.DUMMYFUNCTION("IMPORTRANGE(""https://docs.google.com/spreadsheets/d/1QqKyyYR6Q21VydFLVH3TRQUabQu_ym0Zz7PgGX0-kHA/edit?usp=sharing"",""แผน!AS35"")"),0)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8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2"/>
      <c r="P227" s="8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7"/>
      <c r="J229" s="617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7"/>
      <c r="J230" s="617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7"/>
      <c r="J231" s="617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7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7">
        <f t="shared" ref="I233:J233" ca="1" si="108">I244+I255</f>
        <v>0</v>
      </c>
      <c r="J233" s="617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7"/>
      <c r="J234" s="617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7">
        <f t="shared" ref="I235:J236" si="109">I246+I257</f>
        <v>0</v>
      </c>
      <c r="J235" s="617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7">
        <f t="shared" si="109"/>
        <v>0</v>
      </c>
      <c r="J236" s="617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IFERROR(__xludf.DUMMYFUNCTION("IMPORTRANGE(""https://docs.google.com/spreadsheets/d/1QqKyyYR6Q21VydFLVH3TRQUabQu_ym0Zz7PgGX0-kHA/edit?usp=sharing"",""แผน!AV35"")"),0)</f>
        <v>0</v>
      </c>
      <c r="M239" s="322"/>
      <c r="N239" s="88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IFERROR(__xludf.DUMMYFUNCTION("IMPORTRANGE(""https://docs.google.com/spreadsheets/d/1QqKyyYR6Q21VydFLVH3TRQUabQu_ym0Zz7PgGX0-kHA/edit?usp=sharing"",""แผน!AW35"")"),0)</f>
        <v>0</v>
      </c>
      <c r="M240" s="322"/>
      <c r="N240" s="88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IFERROR(__xludf.DUMMYFUNCTION("IMPORTRANGE(""https://docs.google.com/spreadsheets/d/1QqKyyYR6Q21VydFLVH3TRQUabQu_ym0Zz7PgGX0-kHA/edit?usp=sharing"",""แผน!AX35"")"),0)</f>
        <v>0</v>
      </c>
      <c r="M241" s="322"/>
      <c r="N241" s="88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IFERROR(__xludf.DUMMYFUNCTION("IMPORTRANGE(""https://docs.google.com/spreadsheets/d/1QqKyyYR6Q21VydFLVH3TRQUabQu_ym0Zz7PgGX0-kHA/edit?usp=sharing"",""แผน!AY35"")"),0)</f>
        <v>0</v>
      </c>
      <c r="M242" s="322"/>
      <c r="N242" s="88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7" t="s">
        <v>38</v>
      </c>
      <c r="E243" s="173"/>
      <c r="F243" s="173"/>
      <c r="G243" s="174"/>
      <c r="H243" s="762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4" t="s">
        <v>35</v>
      </c>
      <c r="I244" s="270">
        <f ca="1">IFERROR(__xludf.DUMMYFUNCTION("IMPORTRANGE(""https://docs.google.com/spreadsheets/d/1QqKyyYR6Q21VydFLVH3TRQUabQu_ym0Zz7PgGX0-kHA/edit?usp=sharing"",""แผน!BE35"")"),0)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4" t="s">
        <v>43</v>
      </c>
      <c r="E245" s="178"/>
      <c r="F245" s="178"/>
      <c r="G245" s="179"/>
      <c r="H245" s="764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4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4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8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IFERROR(__xludf.DUMMYFUNCTION("IMPORTRANGE(""https://docs.google.com/spreadsheets/d/1QqKyyYR6Q21VydFLVH3TRQUabQu_ym0Zz7PgGX0-kHA/edit?usp=sharing"",""แผน!AZ35"")"),0)</f>
        <v>0</v>
      </c>
      <c r="M250" s="322"/>
      <c r="N250" s="88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IFERROR(__xludf.DUMMYFUNCTION("IMPORTRANGE(""https://docs.google.com/spreadsheets/d/1QqKyyYR6Q21VydFLVH3TRQUabQu_ym0Zz7PgGX0-kHA/edit?usp=sharing"",""แผน!BA35"")"),0)</f>
        <v>0</v>
      </c>
      <c r="M251" s="322"/>
      <c r="N251" s="88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IFERROR(__xludf.DUMMYFUNCTION("IMPORTRANGE(""https://docs.google.com/spreadsheets/d/1QqKyyYR6Q21VydFLVH3TRQUabQu_ym0Zz7PgGX0-kHA/edit?usp=sharing"",""แผน!BB35"")"),0)</f>
        <v>0</v>
      </c>
      <c r="M252" s="322"/>
      <c r="N252" s="88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IFERROR(__xludf.DUMMYFUNCTION("IMPORTRANGE(""https://docs.google.com/spreadsheets/d/1QqKyyYR6Q21VydFLVH3TRQUabQu_ym0Zz7PgGX0-kHA/edit?usp=sharing"",""แผน!BC35"")"),0)</f>
        <v>0</v>
      </c>
      <c r="M253" s="322"/>
      <c r="N253" s="88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7" t="s">
        <v>38</v>
      </c>
      <c r="E254" s="173"/>
      <c r="F254" s="173"/>
      <c r="G254" s="174"/>
      <c r="H254" s="762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4" t="s">
        <v>35</v>
      </c>
      <c r="I255" s="270">
        <f ca="1">IFERROR(__xludf.DUMMYFUNCTION("IMPORTRANGE(""https://docs.google.com/spreadsheets/d/1QqKyyYR6Q21VydFLVH3TRQUabQu_ym0Zz7PgGX0-kHA/edit?usp=sharing"",""แผน!BF35"")"),0)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4" t="s">
        <v>43</v>
      </c>
      <c r="E256" s="178"/>
      <c r="F256" s="178"/>
      <c r="G256" s="179"/>
      <c r="H256" s="764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4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4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169900</v>
      </c>
      <c r="M261" s="155">
        <f t="shared" ca="1" si="116"/>
        <v>169900</v>
      </c>
      <c r="N261" s="155">
        <f t="shared" ca="1" si="116"/>
        <v>169900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7"/>
      <c r="J262" s="617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7"/>
      <c r="J263" s="617"/>
      <c r="K263" s="93"/>
      <c r="L263" s="93">
        <f t="shared" ca="1" si="119"/>
        <v>169900</v>
      </c>
      <c r="M263" s="93">
        <f t="shared" ca="1" si="119"/>
        <v>169900</v>
      </c>
      <c r="N263" s="93">
        <f t="shared" ca="1" si="119"/>
        <v>169900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169900</v>
      </c>
      <c r="M264" s="498">
        <f t="shared" ca="1" si="120"/>
        <v>169900</v>
      </c>
      <c r="N264" s="498">
        <f t="shared" ca="1" si="120"/>
        <v>169900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IFERROR(__xludf.DUMMYFUNCTION("IMPORTRANGE(""https://docs.google.com/spreadsheets/d/1MeEWN-I1oV_STSDYn1IFDPWt_1FKiwhDph83XaGc0o0/edit?usp=sharing"",""งบพรบ!CY35"")"),169900)</f>
        <v>169900</v>
      </c>
      <c r="M266" s="93">
        <f ca="1">IFERROR(__xludf.DUMMYFUNCTION("IMPORTRANGE(""https://docs.google.com/spreadsheets/d/1MeEWN-I1oV_STSDYn1IFDPWt_1FKiwhDph83XaGc0o0/edit?usp=sharing"",""งบพรบ!DD35"")"),169900)</f>
        <v>169900</v>
      </c>
      <c r="N266" s="93">
        <f ca="1">IFERROR(__xludf.DUMMYFUNCTION("IMPORTRANGE(""https://docs.google.com/spreadsheets/d/1MeEWN-I1oV_STSDYn1IFDPWt_1FKiwhDph83XaGc0o0/edit?usp=sharing"",""งบพรบ!DF35"")"),169900)</f>
        <v>169900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IFERROR(__xludf.DUMMYFUNCTION("IMPORTRANGE(""https://docs.google.com/spreadsheets/d/1MeEWN-I1oV_STSDYn1IFDPWt_1FKiwhDph83XaGc0o0/edit?usp=sharing"",""งบพรบ!DB35"")"),0)</f>
        <v>0</v>
      </c>
      <c r="M269" s="93">
        <f ca="1">IFERROR(__xludf.DUMMYFUNCTION("IMPORTRANGE(""https://docs.google.com/spreadsheets/d/1MeEWN-I1oV_STSDYn1IFDPWt_1FKiwhDph83XaGc0o0/edit?usp=sharing"",""งบพรบ!DE35"")"),0)</f>
        <v>0</v>
      </c>
      <c r="N269" s="93">
        <f ca="1">IFERROR(__xludf.DUMMYFUNCTION("IMPORTRANGE(""https://docs.google.com/spreadsheets/d/1MeEWN-I1oV_STSDYn1IFDPWt_1FKiwhDph83XaGc0o0/edit?usp=sharing"",""งบพรบ!DG35"")"),0)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7" t="s">
        <v>38</v>
      </c>
      <c r="E270" s="173"/>
      <c r="F270" s="173"/>
      <c r="G270" s="174"/>
      <c r="H270" s="76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6">
        <v>0</v>
      </c>
      <c r="J272" s="506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5">
        <f t="shared" ref="I276:J276" ca="1" si="124">I287</f>
        <v>100</v>
      </c>
      <c r="J276" s="885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41010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7"/>
      <c r="J278" s="617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7"/>
      <c r="J279" s="617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41010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41010</v>
      </c>
      <c r="M280" s="498">
        <f t="shared" ca="1" si="129"/>
        <v>41010</v>
      </c>
      <c r="N280" s="498">
        <f t="shared" ca="1" si="129"/>
        <v>41010</v>
      </c>
      <c r="O280" s="498">
        <f t="shared" ca="1" si="126"/>
        <v>100</v>
      </c>
      <c r="P280" s="49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IFERROR(__xludf.DUMMYFUNCTION("IMPORTRANGE(""https://docs.google.com/spreadsheets/d/1MeEWN-I1oV_STSDYn1IFDPWt_1FKiwhDph83XaGc0o0/edit?usp=sharing"",""งบพรบ!DI35"")"),41010)</f>
        <v>41010</v>
      </c>
      <c r="M282" s="93">
        <f ca="1">IFERROR(__xludf.DUMMYFUNCTION("IMPORTRANGE(""https://docs.google.com/spreadsheets/d/1MeEWN-I1oV_STSDYn1IFDPWt_1FKiwhDph83XaGc0o0/edit?usp=sharing"",""งบพรบ!DN35"")"),41010)</f>
        <v>41010</v>
      </c>
      <c r="N282" s="93">
        <f ca="1">IFERROR(__xludf.DUMMYFUNCTION("IMPORTRANGE(""https://docs.google.com/spreadsheets/d/1MeEWN-I1oV_STSDYn1IFDPWt_1FKiwhDph83XaGc0o0/edit?usp=sharing"",""งบพรบ!DP35"")"),41010)</f>
        <v>41010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IFERROR(__xludf.DUMMYFUNCTION("IMPORTRANGE(""https://docs.google.com/spreadsheets/d/1MeEWN-I1oV_STSDYn1IFDPWt_1FKiwhDph83XaGc0o0/edit?usp=sharing"",""งบพรบ!DL35"")"),0)</f>
        <v>0</v>
      </c>
      <c r="M285" s="93">
        <f ca="1">IFERROR(__xludf.DUMMYFUNCTION("IMPORTRANGE(""https://docs.google.com/spreadsheets/d/1MeEWN-I1oV_STSDYn1IFDPWt_1FKiwhDph83XaGc0o0/edit?usp=sharing"",""งบพรบ!DO35"")"),0)</f>
        <v>0</v>
      </c>
      <c r="N285" s="93">
        <f ca="1">IFERROR(__xludf.DUMMYFUNCTION("IMPORTRANGE(""https://docs.google.com/spreadsheets/d/1MeEWN-I1oV_STSDYn1IFDPWt_1FKiwhDph83XaGc0o0/edit?usp=sharing"",""งบพรบ!DQ35"")"),0)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7" t="s">
        <v>38</v>
      </c>
      <c r="E286" s="173"/>
      <c r="F286" s="173"/>
      <c r="G286" s="174"/>
      <c r="H286" s="76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6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IFERROR(__xludf.DUMMYFUNCTION("IMPORTRANGE(""https://docs.google.com/spreadsheets/d/1QqKyyYR6Q21VydFLVH3TRQUabQu_ym0Zz7PgGX0-kHA/edit?usp=sharing"",""แผน!EC35"")"),100)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6" t="s">
        <v>130</v>
      </c>
      <c r="E288" s="171"/>
      <c r="F288" s="178"/>
      <c r="G288" s="179"/>
      <c r="H288" s="180" t="s">
        <v>35</v>
      </c>
      <c r="I288" s="681">
        <f ca="1">IFERROR(__xludf.DUMMYFUNCTION("IMPORTRANGE(""https://docs.google.com/spreadsheets/d/1QqKyyYR6Q21VydFLVH3TRQUabQu_ym0Zz7PgGX0-kHA/edit?usp=sharing"",""แผน!EB35"")"),10)</f>
        <v>10</v>
      </c>
      <c r="J288" s="681">
        <f ca="1">IF(AND(J291&gt;=I288,J294&gt;=I288),J294,0)</f>
        <v>10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6" t="s">
        <v>132</v>
      </c>
      <c r="F290" s="178"/>
      <c r="G290" s="179"/>
      <c r="H290" s="764" t="s">
        <v>35</v>
      </c>
      <c r="I290" s="184">
        <f ca="1">IFERROR(__xludf.DUMMYFUNCTION("IMPORTRANGE(""https://docs.google.com/spreadsheets/d/1QqKyyYR6Q21VydFLVH3TRQUabQu_ym0Zz7PgGX0-kHA/edit?usp=sharing"",""แผน!EB35"")"),10)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6" t="s">
        <v>133</v>
      </c>
      <c r="F291" s="178"/>
      <c r="G291" s="179"/>
      <c r="H291" s="764" t="s">
        <v>35</v>
      </c>
      <c r="I291" s="184">
        <f ca="1">IFERROR(__xludf.DUMMYFUNCTION("IMPORTRANGE(""https://docs.google.com/spreadsheets/d/1QqKyyYR6Q21VydFLVH3TRQUabQu_ym0Zz7PgGX0-kHA/edit?usp=sharing"",""แผน!EB35"")"),10)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6" t="s">
        <v>132</v>
      </c>
      <c r="F293" s="178"/>
      <c r="G293" s="179"/>
      <c r="H293" s="764" t="s">
        <v>35</v>
      </c>
      <c r="I293" s="184">
        <f ca="1">IFERROR(__xludf.DUMMYFUNCTION("IMPORTRANGE(""https://docs.google.com/spreadsheets/d/1QqKyyYR6Q21VydFLVH3TRQUabQu_ym0Zz7PgGX0-kHA/edit?usp=sharing"",""แผน!EB35"")"),10)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4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IFERROR(__xludf.DUMMYFUNCTION("IMPORTRANGE(""https://docs.google.com/spreadsheets/d/1QqKyyYR6Q21VydFLVH3TRQUabQu_ym0Zz7PgGX0-kHA/edit?usp=sharing"",""แผน!EB35"")"),10)</f>
        <v>10</v>
      </c>
      <c r="J294" s="424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63800</v>
      </c>
      <c r="M298" s="155">
        <f t="shared" ca="1" si="135"/>
        <v>79400</v>
      </c>
      <c r="N298" s="155">
        <f t="shared" ca="1" si="135"/>
        <v>79400</v>
      </c>
      <c r="O298" s="155">
        <f t="shared" ref="O298:O306" ca="1" si="136">IF(L298&gt;0,N298*100/L298,0)</f>
        <v>124.45141065830721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7"/>
      <c r="J299" s="617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7"/>
      <c r="J300" s="617"/>
      <c r="K300" s="93"/>
      <c r="L300" s="93">
        <f t="shared" ca="1" si="138"/>
        <v>63800</v>
      </c>
      <c r="M300" s="93">
        <f t="shared" ca="1" si="138"/>
        <v>79400</v>
      </c>
      <c r="N300" s="93">
        <f t="shared" ca="1" si="138"/>
        <v>79400</v>
      </c>
      <c r="O300" s="93">
        <f t="shared" ca="1" si="136"/>
        <v>124.45141065830721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63800</v>
      </c>
      <c r="M301" s="498">
        <f t="shared" ca="1" si="139"/>
        <v>79400</v>
      </c>
      <c r="N301" s="498">
        <f t="shared" ca="1" si="139"/>
        <v>79400</v>
      </c>
      <c r="O301" s="498">
        <f t="shared" ca="1" si="136"/>
        <v>124.45141065830721</v>
      </c>
      <c r="P301" s="49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IFERROR(__xludf.DUMMYFUNCTION("IMPORTRANGE(""https://docs.google.com/spreadsheets/d/1MeEWN-I1oV_STSDYn1IFDPWt_1FKiwhDph83XaGc0o0/edit?usp=sharing"",""งบพรบ!DS35"")"),63800)</f>
        <v>63800</v>
      </c>
      <c r="M303" s="93">
        <f ca="1">IFERROR(__xludf.DUMMYFUNCTION("IMPORTRANGE(""https://docs.google.com/spreadsheets/d/1MeEWN-I1oV_STSDYn1IFDPWt_1FKiwhDph83XaGc0o0/edit?usp=sharing"",""งบพรบ!DX35"")"),79400)</f>
        <v>79400</v>
      </c>
      <c r="N303" s="93">
        <f ca="1">IFERROR(__xludf.DUMMYFUNCTION("IMPORTRANGE(""https://docs.google.com/spreadsheets/d/1MeEWN-I1oV_STSDYn1IFDPWt_1FKiwhDph83XaGc0o0/edit?usp=sharing"",""งบพรบ!DZ35"")"),79400)</f>
        <v>79400</v>
      </c>
      <c r="O303" s="93">
        <f t="shared" ca="1" si="136"/>
        <v>124.45141065830721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IFERROR(__xludf.DUMMYFUNCTION("IMPORTRANGE(""https://docs.google.com/spreadsheets/d/1MeEWN-I1oV_STSDYn1IFDPWt_1FKiwhDph83XaGc0o0/edit?usp=sharing"",""งบพรบ!DV35"")"),0)</f>
        <v>0</v>
      </c>
      <c r="M306" s="93">
        <f ca="1">IFERROR(__xludf.DUMMYFUNCTION("IMPORTRANGE(""https://docs.google.com/spreadsheets/d/1MeEWN-I1oV_STSDYn1IFDPWt_1FKiwhDph83XaGc0o0/edit?usp=sharing"",""งบพรบ!DY35"")"),0)</f>
        <v>0</v>
      </c>
      <c r="N306" s="93">
        <f ca="1">IFERROR(__xludf.DUMMYFUNCTION("IMPORTRANGE(""https://docs.google.com/spreadsheets/d/1MeEWN-I1oV_STSDYn1IFDPWt_1FKiwhDph83XaGc0o0/edit?usp=sharing"",""งบพรบ!EA35"")"),0)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7" t="s">
        <v>38</v>
      </c>
      <c r="E307" s="173"/>
      <c r="F307" s="173"/>
      <c r="G307" s="174"/>
      <c r="H307" s="762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4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4" t="s">
        <v>35</v>
      </c>
      <c r="I309" s="270">
        <f ca="1">IFERROR(__xludf.DUMMYFUNCTION("IMPORTRANGE(""https://docs.google.com/spreadsheets/d/1QqKyyYR6Q21VydFLVH3TRQUabQu_ym0Zz7PgGX0-kHA/edit?usp=sharing"",""แผน!ED35"")"),15)</f>
        <v>15</v>
      </c>
      <c r="J309" s="215">
        <v>15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4" t="s">
        <v>35</v>
      </c>
      <c r="I310" s="270">
        <f ca="1">IFERROR(__xludf.DUMMYFUNCTION("IMPORTRANGE(""https://docs.google.com/spreadsheets/d/1QqKyyYR6Q21VydFLVH3TRQUabQu_ym0Zz7PgGX0-kHA/edit?usp=sharing"",""แผน!ED35"")"),15)</f>
        <v>15</v>
      </c>
      <c r="J310" s="215">
        <v>15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4" t="s">
        <v>35</v>
      </c>
      <c r="I311" s="270">
        <f ca="1">IFERROR(__xludf.DUMMYFUNCTION("IMPORTRANGE(""https://docs.google.com/spreadsheets/d/1QqKyyYR6Q21VydFLVH3TRQUabQu_ym0Zz7PgGX0-kHA/edit?usp=sharing"",""แผน!ED35"")"),15)</f>
        <v>15</v>
      </c>
      <c r="J311" s="215">
        <v>15</v>
      </c>
      <c r="K311" s="498">
        <f t="shared" ca="1" si="141"/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4" t="s">
        <v>35</v>
      </c>
      <c r="I312" s="270">
        <f ca="1">IFERROR(__xludf.DUMMYFUNCTION("IMPORTRANGE(""https://docs.google.com/spreadsheets/d/1QqKyyYR6Q21VydFLVH3TRQUabQu_ym0Zz7PgGX0-kHA/edit?usp=sharing"",""แผน!EE35"")"),3)</f>
        <v>3</v>
      </c>
      <c r="J312" s="215">
        <v>3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7"/>
      <c r="J316" s="617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7"/>
      <c r="J317" s="617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IFERROR(__xludf.DUMMYFUNCTION("IMPORTRANGE(""https://docs.google.com/spreadsheets/d/1MeEWN-I1oV_STSDYn1IFDPWt_1FKiwhDph83XaGc0o0/edit?usp=sharing"",""งบพรบ!EC35"")"),0)</f>
        <v>0</v>
      </c>
      <c r="M320" s="93">
        <f ca="1">IFERROR(__xludf.DUMMYFUNCTION("IMPORTRANGE(""https://docs.google.com/spreadsheets/d/1MeEWN-I1oV_STSDYn1IFDPWt_1FKiwhDph83XaGc0o0/edit?usp=sharing"",""งบพรบ!EH35"")"),0)</f>
        <v>0</v>
      </c>
      <c r="N320" s="93">
        <f ca="1">IFERROR(__xludf.DUMMYFUNCTION("IMPORTRANGE(""https://docs.google.com/spreadsheets/d/1MeEWN-I1oV_STSDYn1IFDPWt_1FKiwhDph83XaGc0o0/edit?usp=sharing"",""งบพรบ!EJ35"")"),0)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IFERROR(__xludf.DUMMYFUNCTION("IMPORTRANGE(""https://docs.google.com/spreadsheets/d/1MeEWN-I1oV_STSDYn1IFDPWt_1FKiwhDph83XaGc0o0/edit?usp=sharing"",""งบพรบ!EF35"")"),0)</f>
        <v>0</v>
      </c>
      <c r="M323" s="93">
        <f ca="1">IFERROR(__xludf.DUMMYFUNCTION("IMPORTRANGE(""https://docs.google.com/spreadsheets/d/1MeEWN-I1oV_STSDYn1IFDPWt_1FKiwhDph83XaGc0o0/edit?usp=sharing"",""งบพรบ!EI35"")"),0)</f>
        <v>0</v>
      </c>
      <c r="N323" s="93">
        <f ca="1">IFERROR(__xludf.DUMMYFUNCTION("IMPORTRANGE(""https://docs.google.com/spreadsheets/d/1MeEWN-I1oV_STSDYn1IFDPWt_1FKiwhDph83XaGc0o0/edit?usp=sharing"",""งบพรบ!EK35"")"),0)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7" t="s">
        <v>38</v>
      </c>
      <c r="E324" s="173"/>
      <c r="F324" s="173"/>
      <c r="G324" s="174"/>
      <c r="H324" s="762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3" t="s">
        <v>146</v>
      </c>
      <c r="I325" s="270">
        <f ca="1">IFERROR(__xludf.DUMMYFUNCTION("IMPORTRANGE(""https://docs.google.com/spreadsheets/d/1QqKyyYR6Q21VydFLVH3TRQUabQu_ym0Zz7PgGX0-kHA/edit?usp=sharing"",""แผน!EF35"")"),0)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IFERROR(__xludf.DUMMYFUNCTION("IMPORTRANGE(""https://docs.google.com/spreadsheets/d/1QqKyyYR6Q21VydFLVH3TRQUabQu_ym0Zz7PgGX0-kHA/edit?usp=sharing"",""แผน!EG35"")"),1300)</f>
        <v>1300</v>
      </c>
      <c r="J327" s="444">
        <f ca="1">J338+J341+J342+J343</f>
        <v>3036</v>
      </c>
      <c r="K327" s="445">
        <f ca="1">IF(I327&gt;0,J327*100/I327,0)</f>
        <v>233.53846153846155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172500</v>
      </c>
      <c r="N328" s="155">
        <f t="shared" ca="1" si="149"/>
        <v>172500</v>
      </c>
      <c r="O328" s="155">
        <f t="shared" ref="O328:O336" ca="1" si="150">IF(L328&gt;0,N328*100/L328,0)</f>
        <v>101.47058823529412</v>
      </c>
      <c r="P328" s="155">
        <f t="shared" ref="P328:P336" ca="1" si="151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7"/>
      <c r="J329" s="617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7"/>
      <c r="J330" s="617"/>
      <c r="K330" s="93"/>
      <c r="L330" s="93">
        <f t="shared" ca="1" si="152"/>
        <v>170000</v>
      </c>
      <c r="M330" s="93">
        <f t="shared" ca="1" si="152"/>
        <v>172500</v>
      </c>
      <c r="N330" s="93">
        <f t="shared" ca="1" si="152"/>
        <v>172500</v>
      </c>
      <c r="O330" s="93">
        <f t="shared" ca="1" si="150"/>
        <v>101.47058823529412</v>
      </c>
      <c r="P330" s="93">
        <f t="shared" ca="1" si="151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170000</v>
      </c>
      <c r="M331" s="498">
        <f t="shared" ca="1" si="153"/>
        <v>172500</v>
      </c>
      <c r="N331" s="498">
        <f t="shared" ca="1" si="153"/>
        <v>172500</v>
      </c>
      <c r="O331" s="498">
        <f t="shared" ca="1" si="150"/>
        <v>101.47058823529412</v>
      </c>
      <c r="P331" s="498">
        <f t="shared" ca="1" si="151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IFERROR(__xludf.DUMMYFUNCTION("IMPORTRANGE(""https://docs.google.com/spreadsheets/d/1MeEWN-I1oV_STSDYn1IFDPWt_1FKiwhDph83XaGc0o0/edit?usp=sharing"",""งบพรบ!EM35"")"),170000)</f>
        <v>170000</v>
      </c>
      <c r="M333" s="93">
        <f ca="1">IFERROR(__xludf.DUMMYFUNCTION("IMPORTRANGE(""https://docs.google.com/spreadsheets/d/1MeEWN-I1oV_STSDYn1IFDPWt_1FKiwhDph83XaGc0o0/edit?usp=sharing"",""งบพรบ!ER35"")"),172500)</f>
        <v>172500</v>
      </c>
      <c r="N333" s="93">
        <f ca="1">IFERROR(__xludf.DUMMYFUNCTION("IMPORTRANGE(""https://docs.google.com/spreadsheets/d/1MeEWN-I1oV_STSDYn1IFDPWt_1FKiwhDph83XaGc0o0/edit?usp=sharing"",""งบพรบ!ET35"")"),172500)</f>
        <v>172500</v>
      </c>
      <c r="O333" s="93">
        <f t="shared" ca="1" si="150"/>
        <v>101.47058823529412</v>
      </c>
      <c r="P333" s="93">
        <f t="shared" ca="1" si="151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IFERROR(__xludf.DUMMYFUNCTION("IMPORTRANGE(""https://docs.google.com/spreadsheets/d/1MeEWN-I1oV_STSDYn1IFDPWt_1FKiwhDph83XaGc0o0/edit?usp=sharing"",""งบพรบ!EP35"")"),0)</f>
        <v>0</v>
      </c>
      <c r="M336" s="93">
        <f ca="1">IFERROR(__xludf.DUMMYFUNCTION("IMPORTRANGE(""https://docs.google.com/spreadsheets/d/1MeEWN-I1oV_STSDYn1IFDPWt_1FKiwhDph83XaGc0o0/edit?usp=sharing"",""งบพรบ!ES35"")"),0)</f>
        <v>0</v>
      </c>
      <c r="N336" s="93">
        <f ca="1">IFERROR(__xludf.DUMMYFUNCTION("IMPORTRANGE(""https://docs.google.com/spreadsheets/d/1MeEWN-I1oV_STSDYn1IFDPWt_1FKiwhDph83XaGc0o0/edit?usp=sharing"",""งบพรบ!EU35"")"),0)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86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62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IFERROR(__xludf.DUMMYFUNCTION("IMPORTRANGE(""https://docs.google.com/spreadsheets/d/1QqKyyYR6Q21VydFLVH3TRQUabQu_ym0Zz7PgGX0-kHA/edit?usp=sharing"",""แผน!EG35"")"),1300)</f>
        <v>1300</v>
      </c>
      <c r="J338" s="270">
        <f ca="1">IFERROR(__xludf.DUMMYFUNCTION("IMPORTRANGE(""https://docs.google.com/spreadsheets/d/1kVcqe37tkHyjCSG3S0O1AXqVkqjo8mSIZil3BcpIysc/edit?usp=sharing"",""ศูนย์!D35"")"),2612)</f>
        <v>2612</v>
      </c>
      <c r="K338" s="498">
        <f ca="1">IF(I338&gt;0,J338*100/I338,0)</f>
        <v>200.92307692307693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IFERROR(__xludf.DUMMYFUNCTION("IMPORTRANGE(""https://docs.google.com/spreadsheets/d/1QqKyyYR6Q21VydFLVH3TRQUabQu_ym0Zz7PgGX0-kHA/edit?usp=sharing"",""แผน!EH35"")"),6)</f>
        <v>6</v>
      </c>
      <c r="J340" s="270">
        <f ca="1">IFERROR(__xludf.DUMMYFUNCTION("IMPORTRANGE(""https://docs.google.com/spreadsheets/d/1kVcqe37tkHyjCSG3S0O1AXqVkqjo8mSIZil3BcpIysc/edit?usp=sharing"",""ศูนย์!E35"")"),8)</f>
        <v>8</v>
      </c>
      <c r="K340" s="498">
        <f ca="1">IF(I340&gt;0,J340*100/I340,0)</f>
        <v>133.33333333333334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IFERROR(__xludf.DUMMYFUNCTION("IMPORTRANGE(""https://docs.google.com/spreadsheets/d/1kVcqe37tkHyjCSG3S0O1AXqVkqjo8mSIZil3BcpIysc/edit?usp=sharing"",""ศูนย์!F35"")"),365)</f>
        <v>365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IFERROR(__xludf.DUMMYFUNCTION("IMPORTRANGE(""https://docs.google.com/spreadsheets/d/1kVcqe37tkHyjCSG3S0O1AXqVkqjo8mSIZil3BcpIysc/edit?usp=sharing"",""ศูนย์!G35"")"),59)</f>
        <v>59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752470</v>
      </c>
      <c r="M345" s="155">
        <f t="shared" ca="1" si="155"/>
        <v>833270</v>
      </c>
      <c r="N345" s="155">
        <f t="shared" ca="1" si="155"/>
        <v>833270</v>
      </c>
      <c r="O345" s="155">
        <f t="shared" ref="O345:O353" ca="1" si="156">IF(L345&gt;0,N345*100/L345,0)</f>
        <v>110.7379696200513</v>
      </c>
      <c r="P345" s="155">
        <f t="shared" ref="P345:P353" ca="1" si="157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7"/>
      <c r="J346" s="617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7"/>
      <c r="J347" s="617"/>
      <c r="K347" s="93"/>
      <c r="L347" s="93">
        <f t="shared" ca="1" si="158"/>
        <v>752470</v>
      </c>
      <c r="M347" s="93">
        <f t="shared" ca="1" si="158"/>
        <v>833270</v>
      </c>
      <c r="N347" s="93">
        <f t="shared" ca="1" si="158"/>
        <v>833270</v>
      </c>
      <c r="O347" s="93">
        <f t="shared" ca="1" si="156"/>
        <v>110.7379696200513</v>
      </c>
      <c r="P347" s="93">
        <f t="shared" ca="1" si="157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616870</v>
      </c>
      <c r="M348" s="498">
        <f t="shared" ca="1" si="159"/>
        <v>701870</v>
      </c>
      <c r="N348" s="498">
        <f t="shared" ca="1" si="159"/>
        <v>701870</v>
      </c>
      <c r="O348" s="498">
        <f t="shared" ca="1" si="156"/>
        <v>113.77924035858447</v>
      </c>
      <c r="P348" s="498">
        <f t="shared" ca="1" si="157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IFERROR(__xludf.DUMMYFUNCTION("IMPORTRANGE(""https://docs.google.com/spreadsheets/d/1MeEWN-I1oV_STSDYn1IFDPWt_1FKiwhDph83XaGc0o0/edit?usp=sharing"",""งบพรบ!EW35"")"),616870)</f>
        <v>616870</v>
      </c>
      <c r="M350" s="93">
        <f ca="1">IFERROR(__xludf.DUMMYFUNCTION("IMPORTRANGE(""https://docs.google.com/spreadsheets/d/1MeEWN-I1oV_STSDYn1IFDPWt_1FKiwhDph83XaGc0o0/edit?usp=sharing"",""งบพรบ!FB35"")"),701870)</f>
        <v>701870</v>
      </c>
      <c r="N350" s="93">
        <f ca="1">IFERROR(__xludf.DUMMYFUNCTION("IMPORTRANGE(""https://docs.google.com/spreadsheets/d/1MeEWN-I1oV_STSDYn1IFDPWt_1FKiwhDph83XaGc0o0/edit?usp=sharing"",""งบพรบ!FD35"")"),701870)</f>
        <v>701870</v>
      </c>
      <c r="O350" s="93">
        <f t="shared" ca="1" si="156"/>
        <v>113.77924035858447</v>
      </c>
      <c r="P350" s="93">
        <f t="shared" ca="1" si="157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135600</v>
      </c>
      <c r="M351" s="498">
        <f t="shared" ca="1" si="160"/>
        <v>131400</v>
      </c>
      <c r="N351" s="498">
        <f t="shared" ca="1" si="160"/>
        <v>131400</v>
      </c>
      <c r="O351" s="498">
        <f t="shared" ca="1" si="156"/>
        <v>96.902654867256643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IFERROR(__xludf.DUMMYFUNCTION("IMPORTRANGE(""https://docs.google.com/spreadsheets/d/1MeEWN-I1oV_STSDYn1IFDPWt_1FKiwhDph83XaGc0o0/edit?usp=sharing"",""งบพรบ!EZ35"")"),135600)</f>
        <v>135600</v>
      </c>
      <c r="M353" s="93">
        <f ca="1">IFERROR(__xludf.DUMMYFUNCTION("IMPORTRANGE(""https://docs.google.com/spreadsheets/d/1MeEWN-I1oV_STSDYn1IFDPWt_1FKiwhDph83XaGc0o0/edit?usp=sharing"",""งบพรบ!FC35"")"),131400)</f>
        <v>131400</v>
      </c>
      <c r="N353" s="93">
        <f ca="1">IFERROR(__xludf.DUMMYFUNCTION("IMPORTRANGE(""https://docs.google.com/spreadsheets/d/1MeEWN-I1oV_STSDYn1IFDPWt_1FKiwhDph83XaGc0o0/edit?usp=sharing"",""งบพรบ!FE35"")"),131400)</f>
        <v>131400</v>
      </c>
      <c r="O353" s="93">
        <f t="shared" ca="1" si="156"/>
        <v>96.902654867256643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8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IFERROR(__xludf.DUMMYFUNCTION("IMPORTRANGE(""https://docs.google.com/spreadsheets/d/1QqKyyYR6Q21VydFLVH3TRQUabQu_ym0Zz7PgGX0-kHA/edit?usp=sharing"",""แผน!EP35"")"),230)</f>
        <v>230</v>
      </c>
      <c r="J355" s="465">
        <f ca="1">J362</f>
        <v>267</v>
      </c>
      <c r="K355" s="466">
        <f ca="1">IF(I355&gt;0,J355*100/I355,0)</f>
        <v>116.08695652173913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77" t="s">
        <v>38</v>
      </c>
      <c r="E357" s="173"/>
      <c r="F357" s="173"/>
      <c r="G357" s="174"/>
      <c r="H357" s="762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IFERROR(__xludf.DUMMYFUNCTION("IMPORTRANGE(""https://docs.google.com/spreadsheets/d/1XWAQStnk-4SwqDmLtmXYiTMKHgktTP8We1SCoS47DrQ/edit?usp=sharing"",""จัดที่ดิน!W35"")"),262)</f>
        <v>262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IFERROR(__xludf.DUMMYFUNCTION("IMPORTRANGE(""https://docs.google.com/spreadsheets/d/1QqKyyYR6Q21VydFLVH3TRQUabQu_ym0Zz7PgGX0-kHA/edit?usp=sharing"",""แผน!EO35"")"),2300)</f>
        <v>2300</v>
      </c>
      <c r="J359" s="270">
        <f ca="1">IFERROR(__xludf.DUMMYFUNCTION("IMPORTRANGE(""https://docs.google.com/spreadsheets/d/1XWAQStnk-4SwqDmLtmXYiTMKHgktTP8We1SCoS47DrQ/edit?usp=sharing"",""จัดที่ดิน!X35"")"),2732.16)</f>
        <v>2732.16</v>
      </c>
      <c r="K359" s="498">
        <f t="shared" ca="1" si="161"/>
        <v>118.7895652173913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4" t="s">
        <v>35</v>
      </c>
      <c r="I360" s="270">
        <f ca="1">IFERROR(__xludf.DUMMYFUNCTION("IMPORTRANGE(""https://docs.google.com/spreadsheets/d/1QqKyyYR6Q21VydFLVH3TRQUabQu_ym0Zz7PgGX0-kHA/edit?usp=sharing"",""แผน!EP35"")"),230)</f>
        <v>230</v>
      </c>
      <c r="J360" s="270">
        <f ca="1">IFERROR(__xludf.DUMMYFUNCTION("IMPORTRANGE(""https://docs.google.com/spreadsheets/d/1XWAQStnk-4SwqDmLtmXYiTMKHgktTP8We1SCoS47DrQ/edit?usp=sharing"",""จัดที่ดิน!Y35"")"),267)</f>
        <v>267</v>
      </c>
      <c r="K360" s="498">
        <f t="shared" ca="1" si="161"/>
        <v>116.08695652173913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IFERROR(__xludf.DUMMYFUNCTION("IMPORTRANGE(""https://docs.google.com/spreadsheets/d/1XWAQStnk-4SwqDmLtmXYiTMKHgktTP8We1SCoS47DrQ/edit?usp=sharing"",""จัดที่ดิน!Z35"")"),2782.72)</f>
        <v>2782.72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4" t="s">
        <v>35</v>
      </c>
      <c r="I362" s="270">
        <f ca="1">IFERROR(__xludf.DUMMYFUNCTION("IMPORTRANGE(""https://docs.google.com/spreadsheets/d/1QqKyyYR6Q21VydFLVH3TRQUabQu_ym0Zz7PgGX0-kHA/edit?usp=sharing"",""แผน!EP35"")"),230)</f>
        <v>230</v>
      </c>
      <c r="J362" s="270">
        <f ca="1">IFERROR(__xludf.DUMMYFUNCTION("IMPORTRANGE(""https://docs.google.com/spreadsheets/d/1XWAQStnk-4SwqDmLtmXYiTMKHgktTP8We1SCoS47DrQ/edit?usp=sharing"",""จัดที่ดิน!AA35"")"),267)</f>
        <v>267</v>
      </c>
      <c r="K362" s="498">
        <f t="shared" ca="1" si="161"/>
        <v>116.08695652173913</v>
      </c>
      <c r="L362" s="163"/>
      <c r="M362" s="163"/>
      <c r="N362" s="163"/>
      <c r="O362" s="163"/>
      <c r="P362" s="163"/>
    </row>
    <row r="363" spans="1:26" ht="18.75" hidden="1">
      <c r="A363" s="499" t="s">
        <v>169</v>
      </c>
      <c r="B363" s="178"/>
      <c r="C363" s="171"/>
      <c r="D363" s="178"/>
      <c r="E363" s="447"/>
      <c r="F363" s="178"/>
      <c r="G363" s="179"/>
      <c r="H363" s="76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IFERROR(__xludf.DUMMYFUNCTION("IMPORTRANGE(""https://docs.google.com/spreadsheets/d/1XWAQStnk-4SwqDmLtmXYiTMKHgktTP8We1SCoS47DrQ/edit?usp=sharing"",""จัดที่ดิน!AB35"")"),2782.72)</f>
        <v>2782.72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t="shared" ref="I364:J364" ca="1" si="162">I365+I374</f>
        <v>430</v>
      </c>
      <c r="J364" s="479">
        <f t="shared" ca="1" si="162"/>
        <v>529</v>
      </c>
      <c r="K364" s="480">
        <f t="shared" ca="1" si="161"/>
        <v>123.02325581395348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IFERROR(__xludf.DUMMYFUNCTION("IMPORTRANGE(""https://docs.google.com/spreadsheets/d/1QqKyyYR6Q21VydFLVH3TRQUabQu_ym0Zz7PgGX0-kHA/edit?usp=sharing"",""แผน!EJ35"")"),30)</f>
        <v>30</v>
      </c>
      <c r="J365" s="491">
        <f ca="1">J372</f>
        <v>48</v>
      </c>
      <c r="K365" s="492">
        <f t="shared" ca="1" si="161"/>
        <v>160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77" t="s">
        <v>38</v>
      </c>
      <c r="E367" s="173"/>
      <c r="F367" s="173"/>
      <c r="G367" s="174"/>
      <c r="H367" s="762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IFERROR(__xludf.DUMMYFUNCTION("IMPORTRANGE(""https://docs.google.com/spreadsheets/d/1XWAQStnk-4SwqDmLtmXYiTMKHgktTP8We1SCoS47DrQ/edit?usp=sharing"",""จัดที่ดิน!E35"")"),43)</f>
        <v>43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IFERROR(__xludf.DUMMYFUNCTION("IMPORTRANGE(""https://docs.google.com/spreadsheets/d/1QqKyyYR6Q21VydFLVH3TRQUabQu_ym0Zz7PgGX0-kHA/edit?usp=sharing"",""แผน!EI35"")"),300)</f>
        <v>300</v>
      </c>
      <c r="J369" s="270">
        <f ca="1">IFERROR(__xludf.DUMMYFUNCTION("IMPORTRANGE(""https://docs.google.com/spreadsheets/d/1XWAQStnk-4SwqDmLtmXYiTMKHgktTP8We1SCoS47DrQ/edit?usp=sharing"",""จัดที่ดิน!F35"")"),430.05)</f>
        <v>430.05</v>
      </c>
      <c r="K369" s="498">
        <f t="shared" ca="1" si="163"/>
        <v>143.35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4" t="s">
        <v>35</v>
      </c>
      <c r="I370" s="270">
        <f ca="1">IFERROR(__xludf.DUMMYFUNCTION("IMPORTRANGE(""https://docs.google.com/spreadsheets/d/1QqKyyYR6Q21VydFLVH3TRQUabQu_ym0Zz7PgGX0-kHA/edit?usp=sharing"",""แผน!EJ35"")"),30)</f>
        <v>30</v>
      </c>
      <c r="J370" s="270">
        <f ca="1">IFERROR(__xludf.DUMMYFUNCTION("IMPORTRANGE(""https://docs.google.com/spreadsheets/d/1XWAQStnk-4SwqDmLtmXYiTMKHgktTP8We1SCoS47DrQ/edit?usp=sharing"",""จัดที่ดิน!G35"")"),48)</f>
        <v>48</v>
      </c>
      <c r="K370" s="498">
        <f t="shared" ca="1" si="163"/>
        <v>160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IFERROR(__xludf.DUMMYFUNCTION("IMPORTRANGE(""https://docs.google.com/spreadsheets/d/1XWAQStnk-4SwqDmLtmXYiTMKHgktTP8We1SCoS47DrQ/edit?usp=sharing"",""จัดที่ดิน!H35"")"),479.05)</f>
        <v>479.05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4" t="s">
        <v>35</v>
      </c>
      <c r="I372" s="270">
        <f ca="1">IFERROR(__xludf.DUMMYFUNCTION("IMPORTRANGE(""https://docs.google.com/spreadsheets/d/1QqKyyYR6Q21VydFLVH3TRQUabQu_ym0Zz7PgGX0-kHA/edit?usp=sharing"",""แผน!EJ35"")"),30)</f>
        <v>30</v>
      </c>
      <c r="J372" s="270">
        <f ca="1">IFERROR(__xludf.DUMMYFUNCTION("IMPORTRANGE(""https://docs.google.com/spreadsheets/d/1XWAQStnk-4SwqDmLtmXYiTMKHgktTP8We1SCoS47DrQ/edit?usp=sharing"",""จัดที่ดิน!I35"")"),48)</f>
        <v>48</v>
      </c>
      <c r="K372" s="498">
        <f t="shared" ca="1" si="163"/>
        <v>160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8"/>
      <c r="C373" s="171"/>
      <c r="D373" s="178"/>
      <c r="E373" s="447"/>
      <c r="F373" s="178"/>
      <c r="G373" s="179"/>
      <c r="H373" s="76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IFERROR(__xludf.DUMMYFUNCTION("IMPORTRANGE(""https://docs.google.com/spreadsheets/d/1XWAQStnk-4SwqDmLtmXYiTMKHgktTP8We1SCoS47DrQ/edit?usp=sharing"",""จัดที่ดิน!J35"")"),479.05)</f>
        <v>479.05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IFERROR(__xludf.DUMMYFUNCTION("IMPORTRANGE(""https://docs.google.com/spreadsheets/d/1QqKyyYR6Q21VydFLVH3TRQUabQu_ym0Zz7PgGX0-kHA/edit?usp=sharing"",""แผน!EU35"")"),400)</f>
        <v>400</v>
      </c>
      <c r="J374" s="491">
        <f ca="1">J381</f>
        <v>481</v>
      </c>
      <c r="K374" s="492">
        <f t="shared" ca="1" si="163"/>
        <v>120.25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77" t="s">
        <v>38</v>
      </c>
      <c r="E376" s="173"/>
      <c r="F376" s="173"/>
      <c r="G376" s="174"/>
      <c r="H376" s="762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IFERROR(__xludf.DUMMYFUNCTION("IMPORTRANGE(""https://docs.google.com/spreadsheets/d/1XWAQStnk-4SwqDmLtmXYiTMKHgktTP8We1SCoS47DrQ/edit?usp=sharing"",""จัดที่ดิน!AH35"")"),219)</f>
        <v>219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IFERROR(__xludf.DUMMYFUNCTION("IMPORTRANGE(""https://docs.google.com/spreadsheets/d/1QqKyyYR6Q21VydFLVH3TRQUabQu_ym0Zz7PgGX0-kHA/edit?usp=sharing"",""แผน!ET35"")"),2000)</f>
        <v>2000</v>
      </c>
      <c r="J378" s="270">
        <f ca="1">IFERROR(__xludf.DUMMYFUNCTION("IMPORTRANGE(""https://docs.google.com/spreadsheets/d/1XWAQStnk-4SwqDmLtmXYiTMKHgktTP8We1SCoS47DrQ/edit?usp=sharing"",""จัดที่ดิน!AI35"")"),2302.11)</f>
        <v>2302.11</v>
      </c>
      <c r="K378" s="498">
        <f t="shared" ca="1" si="164"/>
        <v>115.10550000000001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4" t="s">
        <v>35</v>
      </c>
      <c r="I379" s="270">
        <f ca="1">IFERROR(__xludf.DUMMYFUNCTION("IMPORTRANGE(""https://docs.google.com/spreadsheets/d/1QqKyyYR6Q21VydFLVH3TRQUabQu_ym0Zz7PgGX0-kHA/edit?usp=sharing"",""แผน!EU35"")"),400)</f>
        <v>400</v>
      </c>
      <c r="J379" s="270">
        <f ca="1">IFERROR(__xludf.DUMMYFUNCTION("IMPORTRANGE(""https://docs.google.com/spreadsheets/d/1XWAQStnk-4SwqDmLtmXYiTMKHgktTP8We1SCoS47DrQ/edit?usp=sharing"",""จัดที่ดิน!AJ35"")"),481)</f>
        <v>481</v>
      </c>
      <c r="K379" s="498">
        <f t="shared" ca="1" si="164"/>
        <v>120.25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IFERROR(__xludf.DUMMYFUNCTION("IMPORTRANGE(""https://docs.google.com/spreadsheets/d/1XWAQStnk-4SwqDmLtmXYiTMKHgktTP8We1SCoS47DrQ/edit?usp=sharing"",""จัดที่ดิน!AK35"")"),5761.01)</f>
        <v>5761.01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4" t="s">
        <v>35</v>
      </c>
      <c r="I381" s="270">
        <f ca="1">IFERROR(__xludf.DUMMYFUNCTION("IMPORTRANGE(""https://docs.google.com/spreadsheets/d/1QqKyyYR6Q21VydFLVH3TRQUabQu_ym0Zz7PgGX0-kHA/edit?usp=sharing"",""แผน!EU35"")"),400)</f>
        <v>400</v>
      </c>
      <c r="J381" s="270">
        <f ca="1">IFERROR(__xludf.DUMMYFUNCTION("IMPORTRANGE(""https://docs.google.com/spreadsheets/d/1XWAQStnk-4SwqDmLtmXYiTMKHgktTP8We1SCoS47DrQ/edit?usp=sharing"",""จัดที่ดิน!AL35"")"),481)</f>
        <v>481</v>
      </c>
      <c r="K381" s="498">
        <f t="shared" ca="1" si="164"/>
        <v>120.25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8"/>
      <c r="C382" s="171"/>
      <c r="D382" s="178"/>
      <c r="E382" s="447"/>
      <c r="F382" s="178"/>
      <c r="G382" s="179"/>
      <c r="H382" s="76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IFERROR(__xludf.DUMMYFUNCTION("IMPORTRANGE(""https://docs.google.com/spreadsheets/d/1XWAQStnk-4SwqDmLtmXYiTMKHgktTP8We1SCoS47DrQ/edit?usp=sharing"",""จัดที่ดิน!AM35"")"),5731.61)</f>
        <v>5731.61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500"/>
      <c r="B383" s="501"/>
      <c r="C383" s="291"/>
      <c r="D383" s="889" t="s">
        <v>170</v>
      </c>
      <c r="E383" s="291"/>
      <c r="F383" s="291"/>
      <c r="G383" s="503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86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62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4" t="s">
        <v>171</v>
      </c>
      <c r="F385" s="381"/>
      <c r="G385" s="382"/>
      <c r="H385" s="505" t="s">
        <v>35</v>
      </c>
      <c r="I385" s="506">
        <f ca="1">IFERROR(__xludf.DUMMYFUNCTION("IMPORTRANGE(""https://docs.google.com/spreadsheets/d/1QqKyyYR6Q21VydFLVH3TRQUabQu_ym0Zz7PgGX0-kHA/edit?usp=sharing"",""แผน!EW35"")"),30)</f>
        <v>30</v>
      </c>
      <c r="J385" s="506">
        <f ca="1">IFERROR(__xludf.DUMMYFUNCTION("IMPORTRANGE(""https://docs.google.com/spreadsheets/d/1XWAQStnk-4SwqDmLtmXYiTMKHgktTP8We1SCoS47DrQ/edit?usp=sharing"",""จัดที่ดิน!AP35"")"),41)</f>
        <v>41</v>
      </c>
      <c r="K385" s="507">
        <f ca="1">IF(I385&gt;0,J385*100/I385,0)</f>
        <v>136.66666666666666</v>
      </c>
      <c r="L385" s="385"/>
      <c r="M385" s="385"/>
      <c r="N385" s="385"/>
      <c r="O385" s="385"/>
      <c r="P385" s="385"/>
    </row>
    <row r="386" spans="1:26" ht="19.5" hidden="1">
      <c r="A386" s="508" t="s">
        <v>172</v>
      </c>
      <c r="B386" s="509"/>
      <c r="C386" s="509"/>
      <c r="D386" s="509"/>
      <c r="E386" s="510"/>
      <c r="F386" s="510"/>
      <c r="G386" s="511"/>
      <c r="H386" s="512"/>
      <c r="I386" s="513"/>
      <c r="J386" s="513"/>
      <c r="K386" s="514"/>
      <c r="L386" s="514"/>
      <c r="M386" s="514"/>
      <c r="N386" s="514"/>
      <c r="O386" s="514"/>
      <c r="P386" s="514"/>
    </row>
    <row r="387" spans="1:26" ht="19.5" hidden="1">
      <c r="A387" s="515" t="s">
        <v>173</v>
      </c>
      <c r="B387" s="516"/>
      <c r="C387" s="516"/>
      <c r="D387" s="517"/>
      <c r="E387" s="516"/>
      <c r="F387" s="516"/>
      <c r="G387" s="516"/>
      <c r="H387" s="518"/>
      <c r="I387" s="519"/>
      <c r="J387" s="519"/>
      <c r="K387" s="520"/>
      <c r="L387" s="520"/>
      <c r="M387" s="520"/>
      <c r="N387" s="520"/>
      <c r="O387" s="520"/>
      <c r="P387" s="520"/>
    </row>
    <row r="388" spans="1:26" ht="19.5" hidden="1">
      <c r="A388" s="521"/>
      <c r="B388" s="522" t="s">
        <v>174</v>
      </c>
      <c r="C388" s="523"/>
      <c r="D388" s="524"/>
      <c r="E388" s="524"/>
      <c r="F388" s="524"/>
      <c r="G388" s="525"/>
      <c r="H388" s="526" t="s">
        <v>66</v>
      </c>
      <c r="I388" s="527">
        <f t="shared" ref="I388:J388" si="165">I400</f>
        <v>0</v>
      </c>
      <c r="J388" s="527">
        <f t="shared" si="165"/>
        <v>0</v>
      </c>
      <c r="K388" s="528">
        <f>IF(I388&gt;0,J388*100/I388,0)</f>
        <v>0</v>
      </c>
      <c r="L388" s="529"/>
      <c r="M388" s="529"/>
      <c r="N388" s="529"/>
      <c r="O388" s="529"/>
      <c r="P388" s="529"/>
    </row>
    <row r="389" spans="1:26" ht="19.5" hidden="1">
      <c r="A389" s="147"/>
      <c r="B389" s="148"/>
      <c r="C389" s="149" t="s">
        <v>16</v>
      </c>
      <c r="D389" s="87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7"/>
      <c r="J390" s="617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7"/>
      <c r="J391" s="617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IFERROR(__xludf.DUMMYFUNCTION("IMPORTRANGE(""https://docs.google.com/spreadsheets/d/1MeEWN-I1oV_STSDYn1IFDPWt_1FKiwhDph83XaGc0o0/edit?usp=sharing"",""งบพรบ!FG35"")"),0)</f>
        <v>0</v>
      </c>
      <c r="M394" s="93">
        <f ca="1">IFERROR(__xludf.DUMMYFUNCTION("IMPORTRANGE(""https://docs.google.com/spreadsheets/d/1MeEWN-I1oV_STSDYn1IFDPWt_1FKiwhDph83XaGc0o0/edit?usp=sharing"",""งบพรบ!FL35"")"),0)</f>
        <v>0</v>
      </c>
      <c r="N394" s="93">
        <f ca="1">IFERROR(__xludf.DUMMYFUNCTION("IMPORTRANGE(""https://docs.google.com/spreadsheets/d/1MeEWN-I1oV_STSDYn1IFDPWt_1FKiwhDph83XaGc0o0/edit?usp=sharing"",""งบพรบ!FN35"")"),0)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IFERROR(__xludf.DUMMYFUNCTION("IMPORTRANGE(""https://docs.google.com/spreadsheets/d/1MeEWN-I1oV_STSDYn1IFDPWt_1FKiwhDph83XaGc0o0/edit?usp=sharing"",""งบพรบ!FJ35"")"),0)</f>
        <v>0</v>
      </c>
      <c r="M397" s="93">
        <f ca="1">IFERROR(__xludf.DUMMYFUNCTION("IMPORTRANGE(""https://docs.google.com/spreadsheets/d/1MeEWN-I1oV_STSDYn1IFDPWt_1FKiwhDph83XaGc0o0/edit?usp=sharing"",""งบพรบ!FM35"")"),0)</f>
        <v>0</v>
      </c>
      <c r="N397" s="93">
        <f ca="1">IFERROR(__xludf.DUMMYFUNCTION("IMPORTRANGE(""https://docs.google.com/spreadsheets/d/1MeEWN-I1oV_STSDYn1IFDPWt_1FKiwhDph83XaGc0o0/edit?usp=sharing"",""งบพรบ!FO35"")"),0)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7" t="s">
        <v>38</v>
      </c>
      <c r="E398" s="173"/>
      <c r="F398" s="173"/>
      <c r="G398" s="174"/>
      <c r="H398" s="762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30"/>
      <c r="B399" s="148"/>
      <c r="C399" s="531"/>
      <c r="D399" s="532" t="s">
        <v>175</v>
      </c>
      <c r="E399" s="415"/>
      <c r="F399" s="148"/>
      <c r="G399" s="151"/>
      <c r="H399" s="533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4"/>
      <c r="M399" s="534"/>
      <c r="N399" s="534"/>
      <c r="O399" s="534"/>
      <c r="P399" s="534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1"/>
      <c r="B401" s="522" t="s">
        <v>177</v>
      </c>
      <c r="C401" s="523"/>
      <c r="D401" s="524"/>
      <c r="E401" s="524"/>
      <c r="F401" s="524"/>
      <c r="G401" s="525"/>
      <c r="H401" s="526" t="s">
        <v>66</v>
      </c>
      <c r="I401" s="527">
        <f t="shared" ref="I401:J401" si="173">I412</f>
        <v>0</v>
      </c>
      <c r="J401" s="527">
        <f t="shared" si="173"/>
        <v>0</v>
      </c>
      <c r="K401" s="528">
        <f t="shared" si="172"/>
        <v>0</v>
      </c>
      <c r="L401" s="529"/>
      <c r="M401" s="529"/>
      <c r="N401" s="529"/>
      <c r="O401" s="529"/>
      <c r="P401" s="529"/>
    </row>
    <row r="402" spans="1:26" ht="19.5" hidden="1">
      <c r="A402" s="147"/>
      <c r="B402" s="148"/>
      <c r="C402" s="149" t="s">
        <v>16</v>
      </c>
      <c r="D402" s="87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7"/>
      <c r="J403" s="617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7"/>
      <c r="J404" s="617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IFERROR(__xludf.DUMMYFUNCTION("IMPORTRANGE(""https://docs.google.com/spreadsheets/d/1MeEWN-I1oV_STSDYn1IFDPWt_1FKiwhDph83XaGc0o0/edit?usp=sharing"",""งบพรบ!FQ35"")"),0)</f>
        <v>0</v>
      </c>
      <c r="M407" s="93">
        <f ca="1">IFERROR(__xludf.DUMMYFUNCTION("IMPORTRANGE(""https://docs.google.com/spreadsheets/d/1MeEWN-I1oV_STSDYn1IFDPWt_1FKiwhDph83XaGc0o0/edit?usp=sharing"",""งบพรบ!FV35"")"),0)</f>
        <v>0</v>
      </c>
      <c r="N407" s="93">
        <f ca="1">IFERROR(__xludf.DUMMYFUNCTION("IMPORTRANGE(""https://docs.google.com/spreadsheets/d/1MeEWN-I1oV_STSDYn1IFDPWt_1FKiwhDph83XaGc0o0/edit?usp=sharing"",""งบพรบ!FX35"")"),0)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IFERROR(__xludf.DUMMYFUNCTION("IMPORTRANGE(""https://docs.google.com/spreadsheets/d/1MeEWN-I1oV_STSDYn1IFDPWt_1FKiwhDph83XaGc0o0/edit?usp=sharing"",""งบพรบ!FT35"")"),0)</f>
        <v>0</v>
      </c>
      <c r="M410" s="93">
        <f ca="1">IFERROR(__xludf.DUMMYFUNCTION("IMPORTRANGE(""https://docs.google.com/spreadsheets/d/1MeEWN-I1oV_STSDYn1IFDPWt_1FKiwhDph83XaGc0o0/edit?usp=sharing"",""งบพรบ!FW35"")"),0)</f>
        <v>0</v>
      </c>
      <c r="N410" s="93">
        <f ca="1">IFERROR(__xludf.DUMMYFUNCTION("IMPORTRANGE(""https://docs.google.com/spreadsheets/d/1MeEWN-I1oV_STSDYn1IFDPWt_1FKiwhDph83XaGc0o0/edit?usp=sharing"",""งบพรบ!FY35"")"),0)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90" t="s">
        <v>38</v>
      </c>
      <c r="E411" s="536"/>
      <c r="F411" s="536"/>
      <c r="G411" s="537"/>
      <c r="H411" s="762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8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9"/>
      <c r="B413" s="540"/>
      <c r="C413" s="540"/>
      <c r="D413" s="541" t="s">
        <v>179</v>
      </c>
      <c r="E413" s="540"/>
      <c r="F413" s="540"/>
      <c r="G413" s="542"/>
      <c r="H413" s="543" t="s">
        <v>180</v>
      </c>
      <c r="I413" s="544">
        <v>0</v>
      </c>
      <c r="J413" s="545">
        <v>0</v>
      </c>
      <c r="K413" s="546">
        <f t="shared" si="180"/>
        <v>0</v>
      </c>
      <c r="L413" s="547"/>
      <c r="M413" s="547"/>
      <c r="N413" s="547"/>
      <c r="O413" s="547"/>
      <c r="P413" s="547"/>
    </row>
    <row r="414" spans="1:26" ht="19.5">
      <c r="A414" s="548" t="s">
        <v>181</v>
      </c>
      <c r="B414" s="549"/>
      <c r="C414" s="549"/>
      <c r="D414" s="549"/>
      <c r="E414" s="549"/>
      <c r="F414" s="549"/>
      <c r="G414" s="550"/>
      <c r="H414" s="551"/>
      <c r="I414" s="552"/>
      <c r="J414" s="552"/>
      <c r="K414" s="553"/>
      <c r="L414" s="554">
        <f t="shared" ref="L414:N414" ca="1" si="181">L419+L444+L467+L502+L523+L544+L629+L655+L685+L737+L754+L770+L786+L805</f>
        <v>2005394</v>
      </c>
      <c r="M414" s="554">
        <f t="shared" ca="1" si="181"/>
        <v>1599374.62</v>
      </c>
      <c r="N414" s="554">
        <f t="shared" si="181"/>
        <v>1599374.62</v>
      </c>
      <c r="O414" s="554">
        <f ca="1">IF(L414&gt;0,N414*100/L414,0)</f>
        <v>79.753635445204281</v>
      </c>
      <c r="P414" s="554">
        <f ca="1">IF(M414&gt;0,N414*100/M414,0)</f>
        <v>100</v>
      </c>
    </row>
    <row r="415" spans="1:26" ht="19.5">
      <c r="A415" s="555" t="s">
        <v>182</v>
      </c>
      <c r="B415" s="556"/>
      <c r="C415" s="556"/>
      <c r="D415" s="556"/>
      <c r="E415" s="556"/>
      <c r="F415" s="556"/>
      <c r="G415" s="556"/>
      <c r="H415" s="557"/>
      <c r="I415" s="558"/>
      <c r="J415" s="558"/>
      <c r="K415" s="559"/>
      <c r="L415" s="560"/>
      <c r="M415" s="560"/>
      <c r="N415" s="560"/>
      <c r="O415" s="560"/>
      <c r="P415" s="560"/>
    </row>
    <row r="416" spans="1:26" ht="19.5">
      <c r="A416" s="555" t="s">
        <v>183</v>
      </c>
      <c r="B416" s="556"/>
      <c r="C416" s="556"/>
      <c r="D416" s="556"/>
      <c r="E416" s="556"/>
      <c r="F416" s="556"/>
      <c r="G416" s="561"/>
      <c r="H416" s="562"/>
      <c r="I416" s="563"/>
      <c r="J416" s="563"/>
      <c r="K416" s="560"/>
      <c r="L416" s="560"/>
      <c r="M416" s="560"/>
      <c r="N416" s="560"/>
      <c r="O416" s="560"/>
      <c r="P416" s="560"/>
    </row>
    <row r="417" spans="1:26" ht="39">
      <c r="A417" s="564">
        <v>1</v>
      </c>
      <c r="B417" s="566" t="s">
        <v>184</v>
      </c>
      <c r="C417" s="566"/>
      <c r="D417" s="567"/>
      <c r="E417" s="567"/>
      <c r="F417" s="567"/>
      <c r="G417" s="568"/>
      <c r="H417" s="569" t="s">
        <v>35</v>
      </c>
      <c r="I417" s="570">
        <f t="shared" ref="I417:J418" ca="1" si="182">I433</f>
        <v>20</v>
      </c>
      <c r="J417" s="570">
        <f t="shared" ca="1" si="182"/>
        <v>20</v>
      </c>
      <c r="K417" s="571">
        <f t="shared" ref="K417:K418" ca="1" si="183">IF(I417&gt;0,J417*100/I417,0)</f>
        <v>100</v>
      </c>
      <c r="L417" s="572"/>
      <c r="M417" s="572"/>
      <c r="N417" s="572"/>
      <c r="O417" s="572"/>
      <c r="P417" s="572"/>
    </row>
    <row r="418" spans="1:26" ht="19.5">
      <c r="A418" s="573"/>
      <c r="B418" s="564"/>
      <c r="C418" s="566"/>
      <c r="D418" s="567"/>
      <c r="E418" s="567"/>
      <c r="F418" s="567"/>
      <c r="G418" s="568"/>
      <c r="H418" s="569" t="s">
        <v>49</v>
      </c>
      <c r="I418" s="570">
        <f t="shared" ca="1" si="182"/>
        <v>1</v>
      </c>
      <c r="J418" s="570">
        <f t="shared" si="182"/>
        <v>1</v>
      </c>
      <c r="K418" s="571">
        <f t="shared" ca="1" si="183"/>
        <v>100</v>
      </c>
      <c r="L418" s="572"/>
      <c r="M418" s="572"/>
      <c r="N418" s="572"/>
      <c r="O418" s="572"/>
      <c r="P418" s="572"/>
    </row>
    <row r="419" spans="1:26" ht="19.5">
      <c r="A419" s="147"/>
      <c r="B419" s="148"/>
      <c r="C419" s="148" t="s">
        <v>16</v>
      </c>
      <c r="D419" s="891" t="s">
        <v>17</v>
      </c>
      <c r="E419" s="862"/>
      <c r="F419" s="86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97331</v>
      </c>
      <c r="N419" s="155">
        <f t="shared" si="184"/>
        <v>97331</v>
      </c>
      <c r="O419" s="155">
        <f t="shared" ref="O419:O424" ca="1" si="185">IF(L419&gt;0,N419*100/L419,0)</f>
        <v>123.73633358759217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7"/>
      <c r="J420" s="617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7"/>
      <c r="J421" s="617"/>
      <c r="K421" s="93"/>
      <c r="L421" s="93">
        <f t="shared" ca="1" si="187"/>
        <v>78660</v>
      </c>
      <c r="M421" s="93">
        <f t="shared" ca="1" si="187"/>
        <v>97331</v>
      </c>
      <c r="N421" s="93">
        <f t="shared" si="187"/>
        <v>97331</v>
      </c>
      <c r="O421" s="93">
        <f t="shared" ca="1" si="185"/>
        <v>123.73633358759217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97331</v>
      </c>
      <c r="N422" s="498">
        <f t="shared" si="188"/>
        <v>97331</v>
      </c>
      <c r="O422" s="498">
        <f t="shared" ca="1" si="185"/>
        <v>123.73633358759217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7"/>
      <c r="J423" s="617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7"/>
      <c r="J424" s="617"/>
      <c r="K424" s="93"/>
      <c r="L424" s="93">
        <f ca="1">IFERROR(__xludf.DUMMYFUNCTION("IMPORTRANGE(""https://docs.google.com/spreadsheets/d/1QqKyyYR6Q21VydFLVH3TRQUabQu_ym0Zz7PgGX0-kHA/edit?usp=sharing"",""แผน!EY35"")"),78660)</f>
        <v>78660</v>
      </c>
      <c r="M424" s="93">
        <f ca="1">L424+25400-6729</f>
        <v>97331</v>
      </c>
      <c r="N424" s="93">
        <f>N425+N426+N427+N428</f>
        <v>97331</v>
      </c>
      <c r="O424" s="93">
        <f t="shared" ca="1" si="185"/>
        <v>123.73633358759217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4"/>
      <c r="B425" s="575"/>
      <c r="C425" s="763"/>
      <c r="D425" s="763"/>
      <c r="E425" s="763"/>
      <c r="F425" s="763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40">
        <v>48400</v>
      </c>
      <c r="O425" s="498"/>
      <c r="P425" s="49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</row>
    <row r="426" spans="1:26" ht="18.75">
      <c r="A426" s="574"/>
      <c r="B426" s="575"/>
      <c r="C426" s="763"/>
      <c r="D426" s="763"/>
      <c r="E426" s="763"/>
      <c r="F426" s="763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40">
        <v>0</v>
      </c>
      <c r="O426" s="498"/>
      <c r="P426" s="49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</row>
    <row r="427" spans="1:26" ht="18.75">
      <c r="A427" s="574"/>
      <c r="B427" s="575"/>
      <c r="C427" s="763"/>
      <c r="D427" s="763"/>
      <c r="E427" s="763"/>
      <c r="F427" s="763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40">
        <v>0</v>
      </c>
      <c r="O427" s="498"/>
      <c r="P427" s="49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40">
        <v>48931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92" t="s">
        <v>38</v>
      </c>
      <c r="E432" s="580"/>
      <c r="F432" s="580"/>
      <c r="G432" s="581"/>
      <c r="H432" s="582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1">
        <f ca="1">I435</f>
        <v>20</v>
      </c>
      <c r="J433" s="681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1">
        <f t="shared" ref="I434:J434" ca="1" si="193">I438+I440</f>
        <v>1</v>
      </c>
      <c r="J434" s="681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3" t="s">
        <v>35</v>
      </c>
      <c r="I435" s="583">
        <f ca="1">IFERROR(__xludf.DUMMYFUNCTION("IMPORTRANGE(""https://docs.google.com/spreadsheets/d/1QqKyyYR6Q21VydFLVH3TRQUabQu_ym0Zz7PgGX0-kHA/edit?usp=sharing"",""แผน!FC35"")"),20)</f>
        <v>20</v>
      </c>
      <c r="J435" s="584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3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3" t="s">
        <v>35</v>
      </c>
      <c r="I437" s="583">
        <f ca="1">IFERROR(__xludf.DUMMYFUNCTION("IMPORTRANGE(""https://docs.google.com/spreadsheets/d/1QqKyyYR6Q21VydFLVH3TRQUabQu_ym0Zz7PgGX0-kHA/edit?usp=sharing"",""แผน!FD35"")"),0)</f>
        <v>0</v>
      </c>
      <c r="J437" s="584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3" t="s">
        <v>49</v>
      </c>
      <c r="I438" s="270">
        <f ca="1">IFERROR(__xludf.DUMMYFUNCTION("IMPORTRANGE(""https://docs.google.com/spreadsheets/d/1QqKyyYR6Q21VydFLVH3TRQUabQu_ym0Zz7PgGX0-kHA/edit?usp=sharing"",""แผน!FE35"")"),0)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3" t="s">
        <v>35</v>
      </c>
      <c r="I439" s="583">
        <f ca="1">IFERROR(__xludf.DUMMYFUNCTION("IMPORTRANGE(""https://docs.google.com/spreadsheets/d/1QqKyyYR6Q21VydFLVH3TRQUabQu_ym0Zz7PgGX0-kHA/edit?usp=sharing"",""แผน!FF35"")"),20)</f>
        <v>20</v>
      </c>
      <c r="J439" s="584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3" t="s">
        <v>49</v>
      </c>
      <c r="I440" s="270">
        <f ca="1">IFERROR(__xludf.DUMMYFUNCTION("IMPORTRANGE(""https://docs.google.com/spreadsheets/d/1QqKyyYR6Q21VydFLVH3TRQUabQu_ym0Zz7PgGX0-kHA/edit?usp=sharing"",""แผน!FG35"")"),1)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3" t="s">
        <v>35</v>
      </c>
      <c r="I441" s="270">
        <f ca="1">IFERROR(__xludf.DUMMYFUNCTION("IMPORTRANGE(""https://docs.google.com/spreadsheets/d/1QqKyyYR6Q21VydFLVH3TRQUabQu_ym0Zz7PgGX0-kHA/edit?usp=sharing"",""แผน!FH35"")"),0)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5">
        <v>2</v>
      </c>
      <c r="B442" s="586" t="s">
        <v>200</v>
      </c>
      <c r="C442" s="587"/>
      <c r="D442" s="587"/>
      <c r="E442" s="587"/>
      <c r="F442" s="587"/>
      <c r="G442" s="588"/>
      <c r="H442" s="589" t="s">
        <v>35</v>
      </c>
      <c r="I442" s="590">
        <f t="shared" ref="I442:J442" ca="1" si="195">I460</f>
        <v>40</v>
      </c>
      <c r="J442" s="590">
        <f t="shared" si="195"/>
        <v>40</v>
      </c>
      <c r="K442" s="591">
        <f t="shared" ca="1" si="194"/>
        <v>100</v>
      </c>
      <c r="L442" s="592"/>
      <c r="M442" s="592"/>
      <c r="N442" s="592"/>
      <c r="O442" s="592"/>
      <c r="P442" s="592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</row>
    <row r="443" spans="1:26" ht="19.5">
      <c r="A443" s="593"/>
      <c r="B443" s="594"/>
      <c r="C443" s="595"/>
      <c r="D443" s="595"/>
      <c r="E443" s="595"/>
      <c r="F443" s="595"/>
      <c r="G443" s="596"/>
      <c r="H443" s="569" t="s">
        <v>46</v>
      </c>
      <c r="I443" s="570">
        <f t="shared" ref="I443:J443" ca="1" si="196">I462</f>
        <v>80</v>
      </c>
      <c r="J443" s="570">
        <f t="shared" si="196"/>
        <v>80</v>
      </c>
      <c r="K443" s="571">
        <f t="shared" ca="1" si="194"/>
        <v>100</v>
      </c>
      <c r="L443" s="572"/>
      <c r="M443" s="572"/>
      <c r="N443" s="572"/>
      <c r="O443" s="572"/>
      <c r="P443" s="572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</row>
    <row r="444" spans="1:26" ht="19.5">
      <c r="A444" s="597"/>
      <c r="B444" s="763"/>
      <c r="C444" s="763" t="s">
        <v>16</v>
      </c>
      <c r="D444" s="863" t="s">
        <v>17</v>
      </c>
      <c r="E444" s="857"/>
      <c r="F444" s="857"/>
      <c r="G444" s="189"/>
      <c r="H444" s="598" t="s">
        <v>12</v>
      </c>
      <c r="I444" s="270"/>
      <c r="J444" s="270"/>
      <c r="K444" s="498"/>
      <c r="L444" s="195">
        <f t="shared" ref="L444:N444" ca="1" si="197">L445+L446</f>
        <v>312680</v>
      </c>
      <c r="M444" s="195">
        <f t="shared" ca="1" si="197"/>
        <v>274587.28000000003</v>
      </c>
      <c r="N444" s="195">
        <f t="shared" si="197"/>
        <v>274587.28000000003</v>
      </c>
      <c r="O444" s="195">
        <f t="shared" ref="O444:O449" ca="1" si="198">IF(L444&gt;0,N444*100/L444,0)</f>
        <v>87.817346808238469</v>
      </c>
      <c r="P444" s="195">
        <f t="shared" ref="P444:P449" ca="1" si="199">IF(M444&gt;0,N444*100/M444,0)</f>
        <v>100</v>
      </c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</row>
    <row r="445" spans="1:26" ht="18.75" hidden="1">
      <c r="A445" s="599"/>
      <c r="B445" s="759"/>
      <c r="C445" s="759"/>
      <c r="D445" s="720"/>
      <c r="E445" s="759" t="s">
        <v>185</v>
      </c>
      <c r="F445" s="759"/>
      <c r="G445" s="603"/>
      <c r="H445" s="165" t="s">
        <v>12</v>
      </c>
      <c r="I445" s="617"/>
      <c r="J445" s="617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4"/>
      <c r="R445" s="604"/>
      <c r="S445" s="604"/>
      <c r="T445" s="604"/>
      <c r="U445" s="604"/>
      <c r="V445" s="604"/>
      <c r="W445" s="604"/>
      <c r="X445" s="604"/>
      <c r="Y445" s="604"/>
      <c r="Z445" s="604"/>
    </row>
    <row r="446" spans="1:26" ht="18.75" hidden="1">
      <c r="A446" s="599"/>
      <c r="B446" s="607"/>
      <c r="C446" s="759"/>
      <c r="D446" s="720"/>
      <c r="E446" s="759" t="s">
        <v>186</v>
      </c>
      <c r="F446" s="759"/>
      <c r="G446" s="603"/>
      <c r="H446" s="165" t="s">
        <v>12</v>
      </c>
      <c r="I446" s="617"/>
      <c r="J446" s="617"/>
      <c r="K446" s="93"/>
      <c r="L446" s="93">
        <f t="shared" ca="1" si="200"/>
        <v>312680</v>
      </c>
      <c r="M446" s="93">
        <f t="shared" ca="1" si="200"/>
        <v>274587.28000000003</v>
      </c>
      <c r="N446" s="93">
        <f t="shared" si="200"/>
        <v>274587.28000000003</v>
      </c>
      <c r="O446" s="93">
        <f t="shared" ca="1" si="198"/>
        <v>87.817346808238469</v>
      </c>
      <c r="P446" s="93">
        <f t="shared" ca="1" si="199"/>
        <v>100</v>
      </c>
      <c r="Q446" s="604"/>
      <c r="R446" s="604"/>
      <c r="S446" s="604"/>
      <c r="T446" s="604"/>
      <c r="U446" s="604"/>
      <c r="V446" s="604"/>
      <c r="W446" s="604"/>
      <c r="X446" s="604"/>
      <c r="Y446" s="604"/>
      <c r="Z446" s="604"/>
    </row>
    <row r="447" spans="1:26" ht="18.75">
      <c r="A447" s="597"/>
      <c r="B447" s="575"/>
      <c r="C447" s="763"/>
      <c r="D447" s="606" t="s">
        <v>20</v>
      </c>
      <c r="E447" s="763"/>
      <c r="F447" s="763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312680</v>
      </c>
      <c r="M447" s="498">
        <f t="shared" ca="1" si="201"/>
        <v>274587.28000000003</v>
      </c>
      <c r="N447" s="498">
        <f t="shared" si="201"/>
        <v>274587.28000000003</v>
      </c>
      <c r="O447" s="498">
        <f t="shared" ca="1" si="198"/>
        <v>87.817346808238469</v>
      </c>
      <c r="P447" s="498">
        <f t="shared" ca="1" si="199"/>
        <v>100</v>
      </c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</row>
    <row r="448" spans="1:26" ht="18.75" hidden="1">
      <c r="A448" s="599"/>
      <c r="B448" s="607"/>
      <c r="C448" s="759"/>
      <c r="D448" s="720"/>
      <c r="E448" s="759" t="s">
        <v>185</v>
      </c>
      <c r="F448" s="759"/>
      <c r="G448" s="603"/>
      <c r="H448" s="165" t="s">
        <v>12</v>
      </c>
      <c r="I448" s="617"/>
      <c r="J448" s="617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</row>
    <row r="449" spans="1:26" ht="18.75" hidden="1">
      <c r="A449" s="599"/>
      <c r="B449" s="607"/>
      <c r="C449" s="759"/>
      <c r="D449" s="720"/>
      <c r="E449" s="759" t="s">
        <v>186</v>
      </c>
      <c r="F449" s="759"/>
      <c r="G449" s="603"/>
      <c r="H449" s="165" t="s">
        <v>12</v>
      </c>
      <c r="I449" s="617"/>
      <c r="J449" s="617"/>
      <c r="K449" s="93"/>
      <c r="L449" s="93">
        <f ca="1">IFERROR(__xludf.DUMMYFUNCTION("IMPORTRANGE(""https://docs.google.com/spreadsheets/d/1QqKyyYR6Q21VydFLVH3TRQUabQu_ym0Zz7PgGX0-kHA/edit?usp=sharing"",""แผน!FJ35"")"),312680)</f>
        <v>312680</v>
      </c>
      <c r="M449" s="93">
        <f ca="1">L449-28559.36-9533.36</f>
        <v>274587.28000000003</v>
      </c>
      <c r="N449" s="93">
        <f>N450+N451+N452+N453</f>
        <v>274587.28000000003</v>
      </c>
      <c r="O449" s="93">
        <f t="shared" ca="1" si="198"/>
        <v>87.817346808238469</v>
      </c>
      <c r="P449" s="93">
        <f t="shared" ca="1" si="199"/>
        <v>100</v>
      </c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</row>
    <row r="450" spans="1:26" ht="18.75">
      <c r="A450" s="574"/>
      <c r="B450" s="575"/>
      <c r="C450" s="763"/>
      <c r="D450" s="763"/>
      <c r="E450" s="763"/>
      <c r="F450" s="763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40">
        <v>55575</v>
      </c>
      <c r="O450" s="498"/>
      <c r="P450" s="49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</row>
    <row r="451" spans="1:26" ht="18.75">
      <c r="A451" s="574"/>
      <c r="B451" s="575"/>
      <c r="C451" s="763"/>
      <c r="D451" s="763"/>
      <c r="E451" s="763"/>
      <c r="F451" s="763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40">
        <v>74000</v>
      </c>
      <c r="O451" s="498"/>
      <c r="P451" s="49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</row>
    <row r="452" spans="1:26" ht="18.75">
      <c r="A452" s="574"/>
      <c r="B452" s="575"/>
      <c r="C452" s="575"/>
      <c r="D452" s="575"/>
      <c r="E452" s="575"/>
      <c r="F452" s="763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40">
        <v>131761.28</v>
      </c>
      <c r="O452" s="498"/>
      <c r="P452" s="49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</row>
    <row r="453" spans="1:26" ht="18.75">
      <c r="A453" s="574"/>
      <c r="B453" s="575"/>
      <c r="C453" s="575"/>
      <c r="D453" s="575"/>
      <c r="E453" s="575"/>
      <c r="F453" s="763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40">
        <v>13251</v>
      </c>
      <c r="O453" s="498"/>
      <c r="P453" s="49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</row>
    <row r="454" spans="1:26" ht="18.75">
      <c r="A454" s="597"/>
      <c r="B454" s="575"/>
      <c r="C454" s="575"/>
      <c r="D454" s="606" t="s">
        <v>21</v>
      </c>
      <c r="E454" s="575"/>
      <c r="F454" s="763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</row>
    <row r="455" spans="1:26" ht="18.75" hidden="1">
      <c r="A455" s="599"/>
      <c r="B455" s="607"/>
      <c r="C455" s="607"/>
      <c r="D455" s="607"/>
      <c r="E455" s="607" t="s">
        <v>18</v>
      </c>
      <c r="F455" s="759"/>
      <c r="G455" s="603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4"/>
      <c r="R455" s="604"/>
      <c r="S455" s="604"/>
      <c r="T455" s="604"/>
      <c r="U455" s="604"/>
      <c r="V455" s="604"/>
      <c r="W455" s="604"/>
      <c r="X455" s="604"/>
      <c r="Y455" s="604"/>
      <c r="Z455" s="604"/>
    </row>
    <row r="456" spans="1:26" ht="18.75" hidden="1">
      <c r="A456" s="599"/>
      <c r="B456" s="607"/>
      <c r="C456" s="607"/>
      <c r="D456" s="607"/>
      <c r="E456" s="607" t="s">
        <v>19</v>
      </c>
      <c r="F456" s="759"/>
      <c r="G456" s="603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4"/>
      <c r="R456" s="604"/>
      <c r="S456" s="604"/>
      <c r="T456" s="604"/>
      <c r="U456" s="604"/>
      <c r="V456" s="604"/>
      <c r="W456" s="604"/>
      <c r="X456" s="604"/>
      <c r="Y456" s="604"/>
      <c r="Z456" s="604"/>
    </row>
    <row r="457" spans="1:26" ht="19.5">
      <c r="A457" s="608"/>
      <c r="B457" s="618"/>
      <c r="C457" s="575" t="s">
        <v>16</v>
      </c>
      <c r="D457" s="893" t="s">
        <v>38</v>
      </c>
      <c r="E457" s="611"/>
      <c r="F457" s="761"/>
      <c r="G457" s="613"/>
      <c r="H457" s="762"/>
      <c r="I457" s="270"/>
      <c r="J457" s="270"/>
      <c r="K457" s="498"/>
      <c r="L457" s="498"/>
      <c r="M457" s="498"/>
      <c r="N457" s="498"/>
      <c r="O457" s="498"/>
      <c r="P457" s="49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</row>
    <row r="458" spans="1:26" ht="18.75" hidden="1">
      <c r="A458" s="614"/>
      <c r="B458" s="616"/>
      <c r="C458" s="616"/>
      <c r="D458" s="616" t="s">
        <v>201</v>
      </c>
      <c r="E458" s="616"/>
      <c r="F458" s="720"/>
      <c r="G458" s="366"/>
      <c r="H458" s="370" t="s">
        <v>35</v>
      </c>
      <c r="I458" s="617">
        <v>0</v>
      </c>
      <c r="J458" s="617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4"/>
      <c r="R458" s="604"/>
      <c r="S458" s="604"/>
      <c r="T458" s="604"/>
      <c r="U458" s="604"/>
      <c r="V458" s="604"/>
      <c r="W458" s="604"/>
      <c r="X458" s="604"/>
      <c r="Y458" s="604"/>
      <c r="Z458" s="604"/>
    </row>
    <row r="459" spans="1:26" ht="18.75" hidden="1">
      <c r="A459" s="614"/>
      <c r="B459" s="616"/>
      <c r="C459" s="616"/>
      <c r="D459" s="616" t="s">
        <v>202</v>
      </c>
      <c r="E459" s="616"/>
      <c r="F459" s="720"/>
      <c r="G459" s="366"/>
      <c r="H459" s="370"/>
      <c r="I459" s="617"/>
      <c r="J459" s="617"/>
      <c r="K459" s="93"/>
      <c r="L459" s="93"/>
      <c r="M459" s="93"/>
      <c r="N459" s="93"/>
      <c r="O459" s="93"/>
      <c r="P459" s="93"/>
      <c r="Q459" s="604"/>
      <c r="R459" s="604"/>
      <c r="S459" s="604"/>
      <c r="T459" s="604"/>
      <c r="U459" s="604"/>
      <c r="V459" s="604"/>
      <c r="W459" s="604"/>
      <c r="X459" s="604"/>
      <c r="Y459" s="604"/>
      <c r="Z459" s="604"/>
    </row>
    <row r="460" spans="1:26" ht="18.75">
      <c r="A460" s="608"/>
      <c r="B460" s="618"/>
      <c r="C460" s="618"/>
      <c r="D460" s="618" t="s">
        <v>203</v>
      </c>
      <c r="E460" s="618"/>
      <c r="F460" s="626"/>
      <c r="G460" s="762"/>
      <c r="H460" s="764" t="s">
        <v>35</v>
      </c>
      <c r="I460" s="270">
        <f ca="1">IFERROR(__xludf.DUMMYFUNCTION("IMPORTRANGE(""https://docs.google.com/spreadsheets/d/1QqKyyYR6Q21VydFLVH3TRQUabQu_ym0Zz7PgGX0-kHA/edit?usp=sharing"",""แผน!FN35"")"),40)</f>
        <v>40</v>
      </c>
      <c r="J460" s="215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</row>
    <row r="461" spans="1:26" ht="18.75">
      <c r="A461" s="608"/>
      <c r="B461" s="618"/>
      <c r="C461" s="618"/>
      <c r="D461" s="618" t="s">
        <v>204</v>
      </c>
      <c r="E461" s="626"/>
      <c r="F461" s="626"/>
      <c r="G461" s="762"/>
      <c r="H461" s="764"/>
      <c r="I461" s="270"/>
      <c r="J461" s="270"/>
      <c r="K461" s="498"/>
      <c r="L461" s="498"/>
      <c r="M461" s="498"/>
      <c r="N461" s="498"/>
      <c r="O461" s="498"/>
      <c r="P461" s="49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</row>
    <row r="462" spans="1:26" ht="18.75">
      <c r="A462" s="608"/>
      <c r="B462" s="618"/>
      <c r="C462" s="618"/>
      <c r="D462" s="618" t="s">
        <v>205</v>
      </c>
      <c r="E462" s="626"/>
      <c r="F462" s="626"/>
      <c r="G462" s="762"/>
      <c r="H462" s="764" t="s">
        <v>46</v>
      </c>
      <c r="I462" s="270">
        <f ca="1">IFERROR(__xludf.DUMMYFUNCTION("IMPORTRANGE(""https://docs.google.com/spreadsheets/d/1QqKyyYR6Q21VydFLVH3TRQUabQu_ym0Zz7PgGX0-kHA/edit?usp=sharing"",""แผน!FO35"")"),80)</f>
        <v>80</v>
      </c>
      <c r="J462" s="215">
        <v>80</v>
      </c>
      <c r="K462" s="498">
        <f t="shared" ref="K462:K466" ca="1" si="205">IF(I462&gt;0,J462*100/I462,0)</f>
        <v>100</v>
      </c>
      <c r="L462" s="498"/>
      <c r="M462" s="498"/>
      <c r="N462" s="498"/>
      <c r="O462" s="498"/>
      <c r="P462" s="49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</row>
    <row r="463" spans="1:26" ht="18.75">
      <c r="A463" s="608"/>
      <c r="B463" s="618"/>
      <c r="C463" s="618"/>
      <c r="D463" s="618" t="s">
        <v>59</v>
      </c>
      <c r="E463" s="626"/>
      <c r="F463" s="763"/>
      <c r="G463" s="189"/>
      <c r="H463" s="764" t="s">
        <v>46</v>
      </c>
      <c r="I463" s="270">
        <f ca="1">IFERROR(__xludf.DUMMYFUNCTION("IMPORTRANGE(""https://docs.google.com/spreadsheets/d/1QqKyyYR6Q21VydFLVH3TRQUabQu_ym0Zz7PgGX0-kHA/edit?usp=sharing"",""แผน!FO35"")"),80)</f>
        <v>80</v>
      </c>
      <c r="J463" s="215">
        <v>80</v>
      </c>
      <c r="K463" s="498">
        <f t="shared" ca="1" si="205"/>
        <v>100</v>
      </c>
      <c r="L463" s="498"/>
      <c r="M463" s="498"/>
      <c r="N463" s="498"/>
      <c r="O463" s="498"/>
      <c r="P463" s="49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</row>
    <row r="464" spans="1:26" ht="19.5">
      <c r="A464" s="608"/>
      <c r="B464" s="618"/>
      <c r="C464" s="618"/>
      <c r="D464" s="618"/>
      <c r="E464" s="626"/>
      <c r="F464" s="626"/>
      <c r="G464" s="620"/>
      <c r="H464" s="764" t="s">
        <v>35</v>
      </c>
      <c r="I464" s="270">
        <f ca="1">IFERROR(__xludf.DUMMYFUNCTION("IMPORTRANGE(""https://docs.google.com/spreadsheets/d/1QqKyyYR6Q21VydFLVH3TRQUabQu_ym0Zz7PgGX0-kHA/edit?usp=sharing"",""แผน!FN35"")"),40)</f>
        <v>40</v>
      </c>
      <c r="J464" s="215">
        <v>40</v>
      </c>
      <c r="K464" s="498">
        <f t="shared" ca="1" si="205"/>
        <v>100</v>
      </c>
      <c r="L464" s="498"/>
      <c r="M464" s="498"/>
      <c r="N464" s="498"/>
      <c r="O464" s="498"/>
      <c r="P464" s="49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</row>
    <row r="465" spans="1:26" ht="19.5">
      <c r="A465" s="585">
        <v>3</v>
      </c>
      <c r="B465" s="586" t="s">
        <v>206</v>
      </c>
      <c r="C465" s="587"/>
      <c r="D465" s="587"/>
      <c r="E465" s="587"/>
      <c r="F465" s="587"/>
      <c r="G465" s="588"/>
      <c r="H465" s="589" t="s">
        <v>35</v>
      </c>
      <c r="I465" s="590">
        <f ca="1">IFERROR(__xludf.DUMMYFUNCTION("IMPORTRANGE(""https://docs.google.com/spreadsheets/d/1QqKyyYR6Q21VydFLVH3TRQUabQu_ym0Zz7PgGX0-kHA/edit?usp=sharing"",""แผน!FX35"")"),131)</f>
        <v>131</v>
      </c>
      <c r="J465" s="590">
        <f>J485+J489+J492</f>
        <v>131</v>
      </c>
      <c r="K465" s="591">
        <f t="shared" ca="1" si="205"/>
        <v>100</v>
      </c>
      <c r="L465" s="592"/>
      <c r="M465" s="592"/>
      <c r="N465" s="592"/>
      <c r="O465" s="592"/>
      <c r="P465" s="592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</row>
    <row r="466" spans="1:26" ht="19.5">
      <c r="A466" s="593"/>
      <c r="B466" s="594"/>
      <c r="C466" s="595"/>
      <c r="D466" s="595"/>
      <c r="E466" s="595"/>
      <c r="F466" s="595"/>
      <c r="G466" s="596"/>
      <c r="H466" s="569" t="s">
        <v>46</v>
      </c>
      <c r="I466" s="570">
        <f ca="1">IFERROR(__xludf.DUMMYFUNCTION("IMPORTRANGE(""https://docs.google.com/spreadsheets/d/1QqKyyYR6Q21VydFLVH3TRQUabQu_ym0Zz7PgGX0-kHA/edit?usp=sharing"",""แผน!FW35"")"),1300)</f>
        <v>1300</v>
      </c>
      <c r="J466" s="570">
        <f>J495+J498</f>
        <v>1300</v>
      </c>
      <c r="K466" s="571">
        <f t="shared" ca="1" si="205"/>
        <v>100</v>
      </c>
      <c r="L466" s="572"/>
      <c r="M466" s="572"/>
      <c r="N466" s="572"/>
      <c r="O466" s="572"/>
      <c r="P466" s="572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</row>
    <row r="467" spans="1:26" ht="19.5">
      <c r="A467" s="597"/>
      <c r="B467" s="763"/>
      <c r="C467" s="763" t="s">
        <v>16</v>
      </c>
      <c r="D467" s="863" t="s">
        <v>17</v>
      </c>
      <c r="E467" s="857"/>
      <c r="F467" s="857"/>
      <c r="G467" s="189"/>
      <c r="H467" s="598" t="s">
        <v>12</v>
      </c>
      <c r="I467" s="270"/>
      <c r="J467" s="270"/>
      <c r="K467" s="498"/>
      <c r="L467" s="195">
        <f t="shared" ref="L467:N467" ca="1" si="206">L468+L469</f>
        <v>1161548</v>
      </c>
      <c r="M467" s="195">
        <f t="shared" ca="1" si="206"/>
        <v>828451.34000000008</v>
      </c>
      <c r="N467" s="195">
        <f t="shared" si="206"/>
        <v>828451.34</v>
      </c>
      <c r="O467" s="195">
        <f t="shared" ref="O467:O472" ca="1" si="207">IF(L467&gt;0,N467*100/L467,0)</f>
        <v>71.323039598880115</v>
      </c>
      <c r="P467" s="195">
        <f t="shared" ref="P467:P472" ca="1" si="208">IF(M467&gt;0,N467*100/M467,0)</f>
        <v>99.999999999999986</v>
      </c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</row>
    <row r="468" spans="1:26" ht="18.75" hidden="1">
      <c r="A468" s="599"/>
      <c r="B468" s="759"/>
      <c r="C468" s="759"/>
      <c r="D468" s="720"/>
      <c r="E468" s="759" t="s">
        <v>185</v>
      </c>
      <c r="F468" s="759"/>
      <c r="G468" s="603"/>
      <c r="H468" s="165" t="s">
        <v>12</v>
      </c>
      <c r="I468" s="617"/>
      <c r="J468" s="617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4"/>
      <c r="R468" s="604"/>
      <c r="S468" s="604"/>
      <c r="T468" s="604"/>
      <c r="U468" s="604"/>
      <c r="V468" s="604"/>
      <c r="W468" s="604"/>
      <c r="X468" s="604"/>
      <c r="Y468" s="604"/>
      <c r="Z468" s="604"/>
    </row>
    <row r="469" spans="1:26" ht="18.75" hidden="1">
      <c r="A469" s="599"/>
      <c r="B469" s="607"/>
      <c r="C469" s="759"/>
      <c r="D469" s="720"/>
      <c r="E469" s="759" t="s">
        <v>186</v>
      </c>
      <c r="F469" s="759"/>
      <c r="G469" s="603"/>
      <c r="H469" s="165" t="s">
        <v>12</v>
      </c>
      <c r="I469" s="617"/>
      <c r="J469" s="617"/>
      <c r="K469" s="93"/>
      <c r="L469" s="93">
        <f t="shared" ca="1" si="209"/>
        <v>1161548</v>
      </c>
      <c r="M469" s="93">
        <f t="shared" ca="1" si="209"/>
        <v>828451.34000000008</v>
      </c>
      <c r="N469" s="93">
        <f t="shared" si="209"/>
        <v>828451.34</v>
      </c>
      <c r="O469" s="93">
        <f t="shared" ca="1" si="207"/>
        <v>71.323039598880115</v>
      </c>
      <c r="P469" s="93">
        <f t="shared" ca="1" si="208"/>
        <v>99.999999999999986</v>
      </c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</row>
    <row r="470" spans="1:26" ht="18.75">
      <c r="A470" s="597"/>
      <c r="B470" s="575"/>
      <c r="C470" s="763"/>
      <c r="D470" s="606" t="s">
        <v>20</v>
      </c>
      <c r="E470" s="763"/>
      <c r="F470" s="763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1161548</v>
      </c>
      <c r="M470" s="498">
        <f t="shared" ca="1" si="210"/>
        <v>828451.34000000008</v>
      </c>
      <c r="N470" s="498">
        <f t="shared" si="210"/>
        <v>828451.34</v>
      </c>
      <c r="O470" s="498">
        <f t="shared" ca="1" si="207"/>
        <v>71.323039598880115</v>
      </c>
      <c r="P470" s="498">
        <f t="shared" ca="1" si="208"/>
        <v>99.999999999999986</v>
      </c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</row>
    <row r="471" spans="1:26" ht="18.75" hidden="1">
      <c r="A471" s="599"/>
      <c r="B471" s="607"/>
      <c r="C471" s="759"/>
      <c r="D471" s="720"/>
      <c r="E471" s="759" t="s">
        <v>185</v>
      </c>
      <c r="F471" s="759"/>
      <c r="G471" s="603"/>
      <c r="H471" s="165" t="s">
        <v>12</v>
      </c>
      <c r="I471" s="617"/>
      <c r="J471" s="617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4"/>
      <c r="R471" s="604"/>
      <c r="S471" s="604"/>
      <c r="T471" s="604"/>
      <c r="U471" s="604"/>
      <c r="V471" s="604"/>
      <c r="W471" s="604"/>
      <c r="X471" s="604"/>
      <c r="Y471" s="604"/>
      <c r="Z471" s="604"/>
    </row>
    <row r="472" spans="1:26" ht="18.75" hidden="1">
      <c r="A472" s="599"/>
      <c r="B472" s="607"/>
      <c r="C472" s="759"/>
      <c r="D472" s="720"/>
      <c r="E472" s="759" t="s">
        <v>186</v>
      </c>
      <c r="F472" s="759"/>
      <c r="G472" s="603"/>
      <c r="H472" s="165" t="s">
        <v>12</v>
      </c>
      <c r="I472" s="617"/>
      <c r="J472" s="617"/>
      <c r="K472" s="93"/>
      <c r="L472" s="93">
        <f ca="1">IFERROR(__xludf.DUMMYFUNCTION("IMPORTRANGE(""https://docs.google.com/spreadsheets/d/1QqKyyYR6Q21VydFLVH3TRQUabQu_ym0Zz7PgGX0-kHA/edit?usp=sharing"",""แผน!FS35"")"),1161548)</f>
        <v>1161548</v>
      </c>
      <c r="M472" s="93">
        <f ca="1">L472+11850-344946.66</f>
        <v>828451.34000000008</v>
      </c>
      <c r="N472" s="93">
        <f>N473+N474+N475+N476</f>
        <v>828451.34</v>
      </c>
      <c r="O472" s="93">
        <f t="shared" ca="1" si="207"/>
        <v>71.323039598880115</v>
      </c>
      <c r="P472" s="93">
        <f t="shared" ca="1" si="208"/>
        <v>99.999999999999986</v>
      </c>
      <c r="Q472" s="604"/>
      <c r="R472" s="604"/>
      <c r="S472" s="604"/>
      <c r="T472" s="604"/>
      <c r="U472" s="604"/>
      <c r="V472" s="604"/>
      <c r="W472" s="604"/>
      <c r="X472" s="604"/>
      <c r="Y472" s="604"/>
      <c r="Z472" s="604"/>
    </row>
    <row r="473" spans="1:26" ht="18.75">
      <c r="A473" s="574"/>
      <c r="B473" s="575"/>
      <c r="C473" s="763"/>
      <c r="D473" s="763"/>
      <c r="E473" s="763"/>
      <c r="F473" s="763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40">
        <v>165023</v>
      </c>
      <c r="O473" s="498"/>
      <c r="P473" s="49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</row>
    <row r="474" spans="1:26" ht="18.75">
      <c r="A474" s="574"/>
      <c r="B474" s="575"/>
      <c r="C474" s="763"/>
      <c r="D474" s="763"/>
      <c r="E474" s="763"/>
      <c r="F474" s="763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40">
        <v>468000</v>
      </c>
      <c r="O474" s="498"/>
      <c r="P474" s="49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</row>
    <row r="475" spans="1:26" ht="18.75">
      <c r="A475" s="574"/>
      <c r="B475" s="575"/>
      <c r="C475" s="575"/>
      <c r="D475" s="575"/>
      <c r="E475" s="575"/>
      <c r="F475" s="763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40">
        <v>142133.34</v>
      </c>
      <c r="O475" s="498"/>
      <c r="P475" s="49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</row>
    <row r="476" spans="1:26" ht="18.75">
      <c r="A476" s="574"/>
      <c r="B476" s="575"/>
      <c r="C476" s="575"/>
      <c r="D476" s="575"/>
      <c r="E476" s="575"/>
      <c r="F476" s="763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40">
        <v>53295</v>
      </c>
      <c r="O476" s="498"/>
      <c r="P476" s="49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</row>
    <row r="477" spans="1:26" ht="18.75">
      <c r="A477" s="597"/>
      <c r="B477" s="575"/>
      <c r="C477" s="575"/>
      <c r="D477" s="606" t="s">
        <v>21</v>
      </c>
      <c r="E477" s="575"/>
      <c r="F477" s="575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</row>
    <row r="478" spans="1:26" ht="18.75" hidden="1">
      <c r="A478" s="599"/>
      <c r="B478" s="607"/>
      <c r="C478" s="607"/>
      <c r="D478" s="607"/>
      <c r="E478" s="607" t="s">
        <v>18</v>
      </c>
      <c r="F478" s="607"/>
      <c r="G478" s="603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4"/>
      <c r="R478" s="604"/>
      <c r="S478" s="604"/>
      <c r="T478" s="604"/>
      <c r="U478" s="604"/>
      <c r="V478" s="604"/>
      <c r="W478" s="604"/>
      <c r="X478" s="604"/>
      <c r="Y478" s="604"/>
      <c r="Z478" s="604"/>
    </row>
    <row r="479" spans="1:26" ht="18.75" hidden="1">
      <c r="A479" s="599"/>
      <c r="B479" s="607"/>
      <c r="C479" s="607"/>
      <c r="D479" s="607"/>
      <c r="E479" s="607" t="s">
        <v>19</v>
      </c>
      <c r="F479" s="607"/>
      <c r="G479" s="603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4"/>
      <c r="R479" s="604"/>
      <c r="S479" s="604"/>
      <c r="T479" s="604"/>
      <c r="U479" s="604"/>
      <c r="V479" s="604"/>
      <c r="W479" s="604"/>
      <c r="X479" s="604"/>
      <c r="Y479" s="604"/>
      <c r="Z479" s="604"/>
    </row>
    <row r="480" spans="1:26" ht="19.5">
      <c r="A480" s="608"/>
      <c r="B480" s="618"/>
      <c r="C480" s="575" t="s">
        <v>16</v>
      </c>
      <c r="D480" s="894" t="s">
        <v>38</v>
      </c>
      <c r="E480" s="611"/>
      <c r="F480" s="761"/>
      <c r="G480" s="613"/>
      <c r="H480" s="762"/>
      <c r="I480" s="270"/>
      <c r="J480" s="270"/>
      <c r="K480" s="498"/>
      <c r="L480" s="498"/>
      <c r="M480" s="498"/>
      <c r="N480" s="498"/>
      <c r="O480" s="498"/>
      <c r="P480" s="49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</row>
    <row r="481" spans="1:26" ht="19.5">
      <c r="A481" s="608"/>
      <c r="B481" s="618"/>
      <c r="C481" s="618"/>
      <c r="D481" s="625" t="s">
        <v>207</v>
      </c>
      <c r="E481" s="618"/>
      <c r="F481" s="618"/>
      <c r="G481" s="762"/>
      <c r="H481" s="189"/>
      <c r="I481" s="270"/>
      <c r="J481" s="270"/>
      <c r="K481" s="498"/>
      <c r="L481" s="498"/>
      <c r="M481" s="498"/>
      <c r="N481" s="498"/>
      <c r="O481" s="498"/>
      <c r="P481" s="49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</row>
    <row r="482" spans="1:26" ht="18.75">
      <c r="A482" s="608"/>
      <c r="B482" s="618"/>
      <c r="C482" s="618"/>
      <c r="D482" s="618"/>
      <c r="E482" s="618" t="s">
        <v>208</v>
      </c>
      <c r="F482" s="618"/>
      <c r="G482" s="762"/>
      <c r="H482" s="189"/>
      <c r="I482" s="270"/>
      <c r="J482" s="270"/>
      <c r="K482" s="498"/>
      <c r="L482" s="498"/>
      <c r="M482" s="498"/>
      <c r="N482" s="498"/>
      <c r="O482" s="498"/>
      <c r="P482" s="49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</row>
    <row r="483" spans="1:26" ht="18.75">
      <c r="A483" s="608"/>
      <c r="B483" s="618"/>
      <c r="C483" s="618"/>
      <c r="D483" s="618"/>
      <c r="E483" s="618"/>
      <c r="F483" s="618" t="s">
        <v>209</v>
      </c>
      <c r="G483" s="762"/>
      <c r="H483" s="623" t="s">
        <v>46</v>
      </c>
      <c r="I483" s="270">
        <f ca="1">IFERROR(__xludf.DUMMYFUNCTION("IMPORTRANGE(""https://docs.google.com/spreadsheets/d/1QqKyyYR6Q21VydFLVH3TRQUabQu_ym0Zz7PgGX0-kHA/edit?usp=sharing"",""แผน!FY35"")"),1170)</f>
        <v>1170</v>
      </c>
      <c r="J483" s="215">
        <v>1170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</row>
    <row r="484" spans="1:26" ht="18.75">
      <c r="A484" s="608"/>
      <c r="B484" s="618"/>
      <c r="C484" s="618"/>
      <c r="D484" s="618"/>
      <c r="E484" s="618"/>
      <c r="F484" s="618" t="s">
        <v>210</v>
      </c>
      <c r="G484" s="762"/>
      <c r="H484" s="623" t="s">
        <v>35</v>
      </c>
      <c r="I484" s="270"/>
      <c r="J484" s="215">
        <v>126</v>
      </c>
      <c r="K484" s="498"/>
      <c r="L484" s="498"/>
      <c r="M484" s="498"/>
      <c r="N484" s="498"/>
      <c r="O484" s="498"/>
      <c r="P484" s="49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</row>
    <row r="485" spans="1:26" ht="18.75">
      <c r="A485" s="608"/>
      <c r="B485" s="618"/>
      <c r="C485" s="618"/>
      <c r="D485" s="618"/>
      <c r="E485" s="618"/>
      <c r="F485" s="618" t="s">
        <v>211</v>
      </c>
      <c r="G485" s="762"/>
      <c r="H485" s="623" t="s">
        <v>35</v>
      </c>
      <c r="I485" s="270">
        <f ca="1">IFERROR(__xludf.DUMMYFUNCTION("IMPORTRANGE(""https://docs.google.com/spreadsheets/d/1QqKyyYR6Q21VydFLVH3TRQUabQu_ym0Zz7PgGX0-kHA/edit?usp=sharing"",""แผน!FZ35"")"),117)</f>
        <v>117</v>
      </c>
      <c r="J485" s="215">
        <v>117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</row>
    <row r="486" spans="1:26" ht="18.75">
      <c r="A486" s="608"/>
      <c r="B486" s="618"/>
      <c r="C486" s="618"/>
      <c r="D486" s="618"/>
      <c r="E486" s="618" t="s">
        <v>62</v>
      </c>
      <c r="F486" s="618"/>
      <c r="G486" s="762"/>
      <c r="H486" s="623"/>
      <c r="I486" s="270"/>
      <c r="J486" s="270"/>
      <c r="K486" s="498"/>
      <c r="L486" s="498"/>
      <c r="M486" s="498"/>
      <c r="N486" s="498"/>
      <c r="O486" s="498"/>
      <c r="P486" s="49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</row>
    <row r="487" spans="1:26" ht="18.75">
      <c r="A487" s="608"/>
      <c r="B487" s="618"/>
      <c r="C487" s="618"/>
      <c r="D487" s="618"/>
      <c r="E487" s="618"/>
      <c r="F487" s="618" t="s">
        <v>209</v>
      </c>
      <c r="G487" s="762"/>
      <c r="H487" s="623" t="s">
        <v>46</v>
      </c>
      <c r="I487" s="270">
        <f ca="1">IFERROR(__xludf.DUMMYFUNCTION("IMPORTRANGE(""https://docs.google.com/spreadsheets/d/1QqKyyYR6Q21VydFLVH3TRQUabQu_ym0Zz7PgGX0-kHA/edit?usp=sharing"",""แผน!GA35"")"),130)</f>
        <v>130</v>
      </c>
      <c r="J487" s="215">
        <v>130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</row>
    <row r="488" spans="1:26" ht="18.75">
      <c r="A488" s="608"/>
      <c r="B488" s="618"/>
      <c r="C488" s="618"/>
      <c r="D488" s="618"/>
      <c r="E488" s="618"/>
      <c r="F488" s="618" t="s">
        <v>212</v>
      </c>
      <c r="G488" s="762"/>
      <c r="H488" s="623" t="s">
        <v>35</v>
      </c>
      <c r="I488" s="270"/>
      <c r="J488" s="215">
        <v>13</v>
      </c>
      <c r="K488" s="498"/>
      <c r="L488" s="498"/>
      <c r="M488" s="498"/>
      <c r="N488" s="498"/>
      <c r="O488" s="498"/>
      <c r="P488" s="49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</row>
    <row r="489" spans="1:26" ht="18.75">
      <c r="A489" s="608"/>
      <c r="B489" s="618"/>
      <c r="C489" s="618"/>
      <c r="D489" s="618"/>
      <c r="E489" s="618"/>
      <c r="F489" s="618" t="s">
        <v>213</v>
      </c>
      <c r="G489" s="762"/>
      <c r="H489" s="623" t="s">
        <v>35</v>
      </c>
      <c r="I489" s="270">
        <f ca="1">IFERROR(__xludf.DUMMYFUNCTION("IMPORTRANGE(""https://docs.google.com/spreadsheets/d/1QqKyyYR6Q21VydFLVH3TRQUabQu_ym0Zz7PgGX0-kHA/edit?usp=sharing"",""แผน!GB35"")"),13)</f>
        <v>13</v>
      </c>
      <c r="J489" s="215">
        <v>13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</row>
    <row r="490" spans="1:26" ht="18.75">
      <c r="A490" s="608"/>
      <c r="B490" s="618"/>
      <c r="C490" s="618"/>
      <c r="D490" s="618"/>
      <c r="E490" s="618" t="s">
        <v>63</v>
      </c>
      <c r="F490" s="626"/>
      <c r="G490" s="762"/>
      <c r="H490" s="623"/>
      <c r="I490" s="270"/>
      <c r="J490" s="270"/>
      <c r="K490" s="498"/>
      <c r="L490" s="498"/>
      <c r="M490" s="498"/>
      <c r="N490" s="498"/>
      <c r="O490" s="498"/>
      <c r="P490" s="49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</row>
    <row r="491" spans="1:26" ht="18.75">
      <c r="A491" s="608"/>
      <c r="B491" s="618"/>
      <c r="C491" s="618"/>
      <c r="D491" s="618"/>
      <c r="E491" s="618"/>
      <c r="F491" s="618" t="s">
        <v>214</v>
      </c>
      <c r="G491" s="762"/>
      <c r="H491" s="623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</row>
    <row r="492" spans="1:26" ht="18.75">
      <c r="A492" s="608"/>
      <c r="B492" s="618"/>
      <c r="C492" s="618"/>
      <c r="D492" s="618"/>
      <c r="E492" s="618"/>
      <c r="F492" s="618" t="s">
        <v>215</v>
      </c>
      <c r="G492" s="762"/>
      <c r="H492" s="623" t="s">
        <v>35</v>
      </c>
      <c r="I492" s="270">
        <f ca="1">IFERROR(__xludf.DUMMYFUNCTION("IMPORTRANGE(""https://docs.google.com/spreadsheets/d/1QqKyyYR6Q21VydFLVH3TRQUabQu_ym0Zz7PgGX0-kHA/edit?usp=sharing"",""แผน!GC35"")"),1)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</row>
    <row r="493" spans="1:26" ht="19.5">
      <c r="A493" s="608"/>
      <c r="B493" s="618"/>
      <c r="C493" s="618"/>
      <c r="D493" s="625" t="s">
        <v>59</v>
      </c>
      <c r="E493" s="618"/>
      <c r="F493" s="626"/>
      <c r="G493" s="762"/>
      <c r="H493" s="189"/>
      <c r="I493" s="270"/>
      <c r="J493" s="270"/>
      <c r="K493" s="498"/>
      <c r="L493" s="498"/>
      <c r="M493" s="498"/>
      <c r="N493" s="498"/>
      <c r="O493" s="498"/>
      <c r="P493" s="49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</row>
    <row r="494" spans="1:26" ht="18.75">
      <c r="A494" s="608"/>
      <c r="B494" s="618"/>
      <c r="C494" s="618"/>
      <c r="D494" s="618"/>
      <c r="E494" s="618" t="s">
        <v>208</v>
      </c>
      <c r="F494" s="626"/>
      <c r="G494" s="762"/>
      <c r="H494" s="189"/>
      <c r="I494" s="270"/>
      <c r="J494" s="270"/>
      <c r="K494" s="498"/>
      <c r="L494" s="498"/>
      <c r="M494" s="498"/>
      <c r="N494" s="498"/>
      <c r="O494" s="498"/>
      <c r="P494" s="49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</row>
    <row r="495" spans="1:26" ht="18.75">
      <c r="A495" s="608"/>
      <c r="B495" s="618"/>
      <c r="C495" s="618"/>
      <c r="D495" s="618"/>
      <c r="E495" s="618"/>
      <c r="F495" s="626" t="s">
        <v>216</v>
      </c>
      <c r="G495" s="762"/>
      <c r="H495" s="623" t="s">
        <v>46</v>
      </c>
      <c r="I495" s="270">
        <f ca="1">IFERROR(__xludf.DUMMYFUNCTION("IMPORTRANGE(""https://docs.google.com/spreadsheets/d/1QqKyyYR6Q21VydFLVH3TRQUabQu_ym0Zz7PgGX0-kHA/edit?usp=sharing"",""แผน!FY35"")"),1170)</f>
        <v>1170</v>
      </c>
      <c r="J495" s="215">
        <v>1170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</row>
    <row r="496" spans="1:26" ht="18.75">
      <c r="A496" s="608"/>
      <c r="B496" s="618"/>
      <c r="C496" s="618"/>
      <c r="D496" s="618"/>
      <c r="E496" s="618"/>
      <c r="F496" s="626" t="s">
        <v>217</v>
      </c>
      <c r="G496" s="762"/>
      <c r="H496" s="623" t="s">
        <v>46</v>
      </c>
      <c r="I496" s="270"/>
      <c r="J496" s="215">
        <v>124</v>
      </c>
      <c r="K496" s="498"/>
      <c r="L496" s="498"/>
      <c r="M496" s="498"/>
      <c r="N496" s="498"/>
      <c r="O496" s="498"/>
      <c r="P496" s="49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</row>
    <row r="497" spans="1:26" ht="18.75">
      <c r="A497" s="608"/>
      <c r="B497" s="618"/>
      <c r="C497" s="618"/>
      <c r="D497" s="618"/>
      <c r="E497" s="618" t="s">
        <v>62</v>
      </c>
      <c r="F497" s="626"/>
      <c r="G497" s="762"/>
      <c r="H497" s="189"/>
      <c r="I497" s="270"/>
      <c r="J497" s="270"/>
      <c r="K497" s="498"/>
      <c r="L497" s="498"/>
      <c r="M497" s="498"/>
      <c r="N497" s="498"/>
      <c r="O497" s="498"/>
      <c r="P497" s="49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</row>
    <row r="498" spans="1:26" ht="18.75">
      <c r="A498" s="608"/>
      <c r="B498" s="618"/>
      <c r="C498" s="618"/>
      <c r="D498" s="618"/>
      <c r="E498" s="626"/>
      <c r="F498" s="626" t="s">
        <v>218</v>
      </c>
      <c r="G498" s="762"/>
      <c r="H498" s="623" t="s">
        <v>46</v>
      </c>
      <c r="I498" s="270">
        <f ca="1">IFERROR(__xludf.DUMMYFUNCTION("IMPORTRANGE(""https://docs.google.com/spreadsheets/d/1QqKyyYR6Q21VydFLVH3TRQUabQu_ym0Zz7PgGX0-kHA/edit?usp=sharing"",""แผน!GA35"")"),130)</f>
        <v>130</v>
      </c>
      <c r="J498" s="215">
        <v>130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</row>
    <row r="499" spans="1:26" ht="18.75">
      <c r="A499" s="608"/>
      <c r="B499" s="618"/>
      <c r="C499" s="618"/>
      <c r="D499" s="618"/>
      <c r="E499" s="626"/>
      <c r="F499" s="626" t="s">
        <v>219</v>
      </c>
      <c r="G499" s="762"/>
      <c r="H499" s="623" t="s">
        <v>46</v>
      </c>
      <c r="I499" s="270"/>
      <c r="J499" s="215">
        <v>13</v>
      </c>
      <c r="K499" s="498"/>
      <c r="L499" s="498"/>
      <c r="M499" s="498"/>
      <c r="N499" s="498"/>
      <c r="O499" s="498"/>
      <c r="P499" s="49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</row>
    <row r="500" spans="1:26" ht="19.5" hidden="1">
      <c r="A500" s="627">
        <v>4</v>
      </c>
      <c r="B500" s="628" t="s">
        <v>220</v>
      </c>
      <c r="C500" s="629"/>
      <c r="D500" s="630"/>
      <c r="E500" s="630"/>
      <c r="F500" s="630"/>
      <c r="G500" s="631"/>
      <c r="H500" s="632" t="s">
        <v>109</v>
      </c>
      <c r="I500" s="633"/>
      <c r="J500" s="633">
        <f t="shared" ref="J500:J501" si="214">J516</f>
        <v>0</v>
      </c>
      <c r="K500" s="634">
        <f t="shared" ref="K500:K501" si="215">IF(I500&gt;0,J500*100/I500,0)</f>
        <v>0</v>
      </c>
      <c r="L500" s="635"/>
      <c r="M500" s="635"/>
      <c r="N500" s="635"/>
      <c r="O500" s="635"/>
      <c r="P500" s="635"/>
      <c r="Q500" s="604"/>
      <c r="R500" s="604"/>
      <c r="S500" s="604"/>
      <c r="T500" s="604"/>
      <c r="U500" s="604"/>
      <c r="V500" s="604"/>
      <c r="W500" s="604"/>
      <c r="X500" s="604"/>
      <c r="Y500" s="604"/>
      <c r="Z500" s="604"/>
    </row>
    <row r="501" spans="1:26" ht="19.5" hidden="1">
      <c r="A501" s="636"/>
      <c r="B501" s="638" t="s">
        <v>221</v>
      </c>
      <c r="C501" s="638"/>
      <c r="D501" s="639"/>
      <c r="E501" s="639"/>
      <c r="F501" s="639"/>
      <c r="G501" s="640"/>
      <c r="H501" s="641" t="s">
        <v>35</v>
      </c>
      <c r="I501" s="642"/>
      <c r="J501" s="642">
        <f t="shared" si="214"/>
        <v>0</v>
      </c>
      <c r="K501" s="643">
        <f t="shared" si="215"/>
        <v>0</v>
      </c>
      <c r="L501" s="644"/>
      <c r="M501" s="644"/>
      <c r="N501" s="644"/>
      <c r="O501" s="644"/>
      <c r="P501" s="64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</row>
    <row r="502" spans="1:26" ht="19.5" hidden="1">
      <c r="A502" s="599"/>
      <c r="B502" s="759"/>
      <c r="C502" s="759" t="s">
        <v>16</v>
      </c>
      <c r="D502" s="864" t="s">
        <v>17</v>
      </c>
      <c r="E502" s="857"/>
      <c r="F502" s="857"/>
      <c r="G502" s="603"/>
      <c r="H502" s="646" t="s">
        <v>12</v>
      </c>
      <c r="I502" s="617"/>
      <c r="J502" s="617"/>
      <c r="K502" s="93"/>
      <c r="L502" s="647">
        <f t="shared" ref="L502:N502" si="216">L503+L504</f>
        <v>0</v>
      </c>
      <c r="M502" s="647">
        <f t="shared" si="216"/>
        <v>0</v>
      </c>
      <c r="N502" s="647">
        <f t="shared" si="216"/>
        <v>0</v>
      </c>
      <c r="O502" s="647">
        <f t="shared" ref="O502:O507" si="217">IF(L502&gt;0,N502*100/L502,0)</f>
        <v>0</v>
      </c>
      <c r="P502" s="647">
        <f t="shared" ref="P502:P507" si="218">IF(M502&gt;0,N502*100/M502,0)</f>
        <v>0</v>
      </c>
      <c r="Q502" s="604"/>
      <c r="R502" s="604"/>
      <c r="S502" s="604"/>
      <c r="T502" s="604"/>
      <c r="U502" s="604"/>
      <c r="V502" s="604"/>
      <c r="W502" s="604"/>
      <c r="X502" s="604"/>
      <c r="Y502" s="604"/>
      <c r="Z502" s="604"/>
    </row>
    <row r="503" spans="1:26" ht="18.75" hidden="1">
      <c r="A503" s="599"/>
      <c r="B503" s="759"/>
      <c r="C503" s="759"/>
      <c r="D503" s="720"/>
      <c r="E503" s="759" t="s">
        <v>185</v>
      </c>
      <c r="F503" s="759"/>
      <c r="G503" s="603"/>
      <c r="H503" s="165" t="s">
        <v>12</v>
      </c>
      <c r="I503" s="617"/>
      <c r="J503" s="617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4"/>
      <c r="R503" s="604"/>
      <c r="S503" s="604"/>
      <c r="T503" s="604"/>
      <c r="U503" s="604"/>
      <c r="V503" s="604"/>
      <c r="W503" s="604"/>
      <c r="X503" s="604"/>
      <c r="Y503" s="604"/>
      <c r="Z503" s="604"/>
    </row>
    <row r="504" spans="1:26" ht="18.75" hidden="1">
      <c r="A504" s="599"/>
      <c r="B504" s="607"/>
      <c r="C504" s="759"/>
      <c r="D504" s="720"/>
      <c r="E504" s="759" t="s">
        <v>186</v>
      </c>
      <c r="F504" s="759"/>
      <c r="G504" s="603"/>
      <c r="H504" s="165" t="s">
        <v>12</v>
      </c>
      <c r="I504" s="617"/>
      <c r="J504" s="617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4"/>
      <c r="R504" s="604"/>
      <c r="S504" s="604"/>
      <c r="T504" s="604"/>
      <c r="U504" s="604"/>
      <c r="V504" s="604"/>
      <c r="W504" s="604"/>
      <c r="X504" s="604"/>
      <c r="Y504" s="604"/>
      <c r="Z504" s="604"/>
    </row>
    <row r="505" spans="1:26" ht="18.75" hidden="1">
      <c r="A505" s="599"/>
      <c r="B505" s="607"/>
      <c r="C505" s="759"/>
      <c r="D505" s="648" t="s">
        <v>20</v>
      </c>
      <c r="E505" s="759"/>
      <c r="F505" s="759"/>
      <c r="G505" s="603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4"/>
      <c r="R505" s="604"/>
      <c r="S505" s="604"/>
      <c r="T505" s="604"/>
      <c r="U505" s="604"/>
      <c r="V505" s="604"/>
      <c r="W505" s="604"/>
      <c r="X505" s="604"/>
      <c r="Y505" s="604"/>
      <c r="Z505" s="604"/>
    </row>
    <row r="506" spans="1:26" ht="18.75" hidden="1">
      <c r="A506" s="599"/>
      <c r="B506" s="607"/>
      <c r="C506" s="759"/>
      <c r="D506" s="720"/>
      <c r="E506" s="759" t="s">
        <v>185</v>
      </c>
      <c r="F506" s="759"/>
      <c r="G506" s="603"/>
      <c r="H506" s="165" t="s">
        <v>12</v>
      </c>
      <c r="I506" s="617"/>
      <c r="J506" s="617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4"/>
      <c r="R506" s="604"/>
      <c r="S506" s="604"/>
      <c r="T506" s="604"/>
      <c r="U506" s="604"/>
      <c r="V506" s="604"/>
      <c r="W506" s="604"/>
      <c r="X506" s="604"/>
      <c r="Y506" s="604"/>
      <c r="Z506" s="604"/>
    </row>
    <row r="507" spans="1:26" ht="18.75" hidden="1">
      <c r="A507" s="599"/>
      <c r="B507" s="607"/>
      <c r="C507" s="759"/>
      <c r="D507" s="720"/>
      <c r="E507" s="759" t="s">
        <v>186</v>
      </c>
      <c r="F507" s="759"/>
      <c r="G507" s="603"/>
      <c r="H507" s="165" t="s">
        <v>12</v>
      </c>
      <c r="I507" s="617"/>
      <c r="J507" s="617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4"/>
      <c r="R507" s="604"/>
      <c r="S507" s="604"/>
      <c r="T507" s="604"/>
      <c r="U507" s="604"/>
      <c r="V507" s="604"/>
      <c r="W507" s="604"/>
      <c r="X507" s="604"/>
      <c r="Y507" s="604"/>
      <c r="Z507" s="604"/>
    </row>
    <row r="508" spans="1:26" ht="18.75" hidden="1">
      <c r="A508" s="649"/>
      <c r="B508" s="607"/>
      <c r="C508" s="759"/>
      <c r="D508" s="759"/>
      <c r="E508" s="759"/>
      <c r="F508" s="759" t="s">
        <v>187</v>
      </c>
      <c r="G508" s="603"/>
      <c r="H508" s="165" t="s">
        <v>12</v>
      </c>
      <c r="I508" s="617"/>
      <c r="J508" s="617"/>
      <c r="K508" s="93"/>
      <c r="L508" s="93"/>
      <c r="M508" s="93"/>
      <c r="N508" s="93">
        <v>0</v>
      </c>
      <c r="O508" s="93"/>
      <c r="P508" s="93"/>
      <c r="Q508" s="604"/>
      <c r="R508" s="604"/>
      <c r="S508" s="604"/>
      <c r="T508" s="604"/>
      <c r="U508" s="604"/>
      <c r="V508" s="604"/>
      <c r="W508" s="604"/>
      <c r="X508" s="604"/>
      <c r="Y508" s="604"/>
      <c r="Z508" s="604"/>
    </row>
    <row r="509" spans="1:26" ht="18.75" hidden="1">
      <c r="A509" s="649"/>
      <c r="B509" s="607"/>
      <c r="C509" s="759"/>
      <c r="D509" s="759"/>
      <c r="E509" s="759"/>
      <c r="F509" s="759" t="s">
        <v>188</v>
      </c>
      <c r="G509" s="603"/>
      <c r="H509" s="165" t="s">
        <v>12</v>
      </c>
      <c r="I509" s="617"/>
      <c r="J509" s="617"/>
      <c r="K509" s="93"/>
      <c r="L509" s="93"/>
      <c r="M509" s="93"/>
      <c r="N509" s="93">
        <v>0</v>
      </c>
      <c r="O509" s="93"/>
      <c r="P509" s="93"/>
      <c r="Q509" s="604"/>
      <c r="R509" s="604"/>
      <c r="S509" s="604"/>
      <c r="T509" s="604"/>
      <c r="U509" s="604"/>
      <c r="V509" s="604"/>
      <c r="W509" s="604"/>
      <c r="X509" s="604"/>
      <c r="Y509" s="604"/>
      <c r="Z509" s="604"/>
    </row>
    <row r="510" spans="1:26" ht="18.75" hidden="1">
      <c r="A510" s="649"/>
      <c r="B510" s="607"/>
      <c r="C510" s="607"/>
      <c r="D510" s="607"/>
      <c r="E510" s="759"/>
      <c r="F510" s="759" t="s">
        <v>189</v>
      </c>
      <c r="G510" s="603"/>
      <c r="H510" s="165" t="s">
        <v>12</v>
      </c>
      <c r="I510" s="617"/>
      <c r="J510" s="617"/>
      <c r="K510" s="93"/>
      <c r="L510" s="93"/>
      <c r="M510" s="93"/>
      <c r="N510" s="93">
        <v>0</v>
      </c>
      <c r="O510" s="93"/>
      <c r="P510" s="93"/>
      <c r="Q510" s="604"/>
      <c r="R510" s="604"/>
      <c r="S510" s="604"/>
      <c r="T510" s="604"/>
      <c r="U510" s="604"/>
      <c r="V510" s="604"/>
      <c r="W510" s="604"/>
      <c r="X510" s="604"/>
      <c r="Y510" s="604"/>
      <c r="Z510" s="604"/>
    </row>
    <row r="511" spans="1:26" ht="18.75" hidden="1">
      <c r="A511" s="649"/>
      <c r="B511" s="607"/>
      <c r="C511" s="607"/>
      <c r="D511" s="607"/>
      <c r="E511" s="759"/>
      <c r="F511" s="759" t="s">
        <v>190</v>
      </c>
      <c r="G511" s="603"/>
      <c r="H511" s="165" t="s">
        <v>12</v>
      </c>
      <c r="I511" s="617"/>
      <c r="J511" s="617"/>
      <c r="K511" s="93"/>
      <c r="L511" s="93"/>
      <c r="M511" s="93"/>
      <c r="N511" s="93">
        <v>0</v>
      </c>
      <c r="O511" s="93"/>
      <c r="P511" s="93"/>
      <c r="Q511" s="604"/>
      <c r="R511" s="604"/>
      <c r="S511" s="604"/>
      <c r="T511" s="604"/>
      <c r="U511" s="604"/>
      <c r="V511" s="604"/>
      <c r="W511" s="604"/>
      <c r="X511" s="604"/>
      <c r="Y511" s="604"/>
      <c r="Z511" s="604"/>
    </row>
    <row r="512" spans="1:26" ht="18.75" hidden="1">
      <c r="A512" s="599"/>
      <c r="B512" s="607"/>
      <c r="C512" s="607"/>
      <c r="D512" s="648" t="s">
        <v>21</v>
      </c>
      <c r="E512" s="607"/>
      <c r="F512" s="759"/>
      <c r="G512" s="603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4"/>
      <c r="R512" s="604"/>
      <c r="S512" s="604"/>
      <c r="T512" s="604"/>
      <c r="U512" s="604"/>
      <c r="V512" s="604"/>
      <c r="W512" s="604"/>
      <c r="X512" s="604"/>
      <c r="Y512" s="604"/>
      <c r="Z512" s="604"/>
    </row>
    <row r="513" spans="1:26" ht="18.75" hidden="1">
      <c r="A513" s="599"/>
      <c r="B513" s="607"/>
      <c r="C513" s="607"/>
      <c r="D513" s="607"/>
      <c r="E513" s="607" t="s">
        <v>18</v>
      </c>
      <c r="F513" s="759"/>
      <c r="G513" s="603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4"/>
      <c r="R513" s="604"/>
      <c r="S513" s="604"/>
      <c r="T513" s="604"/>
      <c r="U513" s="604"/>
      <c r="V513" s="604"/>
      <c r="W513" s="604"/>
      <c r="X513" s="604"/>
      <c r="Y513" s="604"/>
      <c r="Z513" s="604"/>
    </row>
    <row r="514" spans="1:26" ht="18.75" hidden="1">
      <c r="A514" s="599"/>
      <c r="B514" s="607"/>
      <c r="C514" s="607"/>
      <c r="D514" s="759"/>
      <c r="E514" s="607" t="s">
        <v>19</v>
      </c>
      <c r="F514" s="759"/>
      <c r="G514" s="603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4"/>
      <c r="R514" s="604"/>
      <c r="S514" s="604"/>
      <c r="T514" s="604"/>
      <c r="U514" s="604"/>
      <c r="V514" s="604"/>
      <c r="W514" s="604"/>
      <c r="X514" s="604"/>
      <c r="Y514" s="604"/>
      <c r="Z514" s="604"/>
    </row>
    <row r="515" spans="1:26" ht="19.5" hidden="1">
      <c r="A515" s="614"/>
      <c r="B515" s="616"/>
      <c r="C515" s="607" t="s">
        <v>16</v>
      </c>
      <c r="D515" s="895" t="s">
        <v>38</v>
      </c>
      <c r="E515" s="651"/>
      <c r="F515" s="651"/>
      <c r="G515" s="652"/>
      <c r="H515" s="366"/>
      <c r="I515" s="166"/>
      <c r="J515" s="166"/>
      <c r="K515" s="167"/>
      <c r="L515" s="167"/>
      <c r="M515" s="167"/>
      <c r="N515" s="167"/>
      <c r="O515" s="167"/>
      <c r="P515" s="167"/>
      <c r="Q515" s="604"/>
      <c r="R515" s="604"/>
      <c r="S515" s="604"/>
      <c r="T515" s="604"/>
      <c r="U515" s="604"/>
      <c r="V515" s="604"/>
      <c r="W515" s="604"/>
      <c r="X515" s="604"/>
      <c r="Y515" s="604"/>
      <c r="Z515" s="604"/>
    </row>
    <row r="516" spans="1:26" ht="18.75" hidden="1">
      <c r="A516" s="614"/>
      <c r="B516" s="616"/>
      <c r="C516" s="616"/>
      <c r="D516" s="616" t="s">
        <v>222</v>
      </c>
      <c r="E516" s="720"/>
      <c r="F516" s="720"/>
      <c r="G516" s="366"/>
      <c r="H516" s="653" t="s">
        <v>109</v>
      </c>
      <c r="I516" s="617"/>
      <c r="J516" s="617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4"/>
      <c r="R516" s="604"/>
      <c r="S516" s="604"/>
      <c r="T516" s="604"/>
      <c r="U516" s="604"/>
      <c r="V516" s="604"/>
      <c r="W516" s="604"/>
      <c r="X516" s="604"/>
      <c r="Y516" s="604"/>
      <c r="Z516" s="604"/>
    </row>
    <row r="517" spans="1:26" ht="19.5" hidden="1">
      <c r="A517" s="614"/>
      <c r="B517" s="616"/>
      <c r="C517" s="616"/>
      <c r="D517" s="616" t="s">
        <v>223</v>
      </c>
      <c r="E517" s="720"/>
      <c r="F517" s="720"/>
      <c r="G517" s="366"/>
      <c r="H517" s="654" t="s">
        <v>35</v>
      </c>
      <c r="I517" s="655"/>
      <c r="J517" s="655">
        <f>J518+J519</f>
        <v>0</v>
      </c>
      <c r="K517" s="656">
        <f t="shared" si="224"/>
        <v>0</v>
      </c>
      <c r="L517" s="167"/>
      <c r="M517" s="167"/>
      <c r="N517" s="167"/>
      <c r="O517" s="167"/>
      <c r="P517" s="167"/>
      <c r="Q517" s="604"/>
      <c r="R517" s="604"/>
      <c r="S517" s="604"/>
      <c r="T517" s="604"/>
      <c r="U517" s="604"/>
      <c r="V517" s="604"/>
      <c r="W517" s="604"/>
      <c r="X517" s="604"/>
      <c r="Y517" s="604"/>
      <c r="Z517" s="604"/>
    </row>
    <row r="518" spans="1:26" ht="18.75" hidden="1">
      <c r="A518" s="614"/>
      <c r="B518" s="616"/>
      <c r="C518" s="616"/>
      <c r="D518" s="616"/>
      <c r="E518" s="616" t="s">
        <v>224</v>
      </c>
      <c r="F518" s="720"/>
      <c r="G518" s="366"/>
      <c r="H518" s="370" t="s">
        <v>35</v>
      </c>
      <c r="I518" s="617"/>
      <c r="J518" s="617"/>
      <c r="K518" s="167"/>
      <c r="L518" s="167"/>
      <c r="M518" s="167"/>
      <c r="N518" s="167"/>
      <c r="O518" s="167"/>
      <c r="P518" s="167"/>
      <c r="Q518" s="604"/>
      <c r="R518" s="604"/>
      <c r="S518" s="604"/>
      <c r="T518" s="604"/>
      <c r="U518" s="604"/>
      <c r="V518" s="604"/>
      <c r="W518" s="604"/>
      <c r="X518" s="604"/>
      <c r="Y518" s="604"/>
      <c r="Z518" s="604"/>
    </row>
    <row r="519" spans="1:26" ht="18.75" hidden="1">
      <c r="A519" s="614"/>
      <c r="B519" s="616"/>
      <c r="C519" s="616"/>
      <c r="D519" s="616"/>
      <c r="E519" s="616" t="s">
        <v>225</v>
      </c>
      <c r="F519" s="720"/>
      <c r="G519" s="366"/>
      <c r="H519" s="653" t="s">
        <v>35</v>
      </c>
      <c r="I519" s="617"/>
      <c r="J519" s="617"/>
      <c r="K519" s="167"/>
      <c r="L519" s="167"/>
      <c r="M519" s="167"/>
      <c r="N519" s="167"/>
      <c r="O519" s="167"/>
      <c r="P519" s="167"/>
      <c r="Q519" s="604"/>
      <c r="R519" s="604"/>
      <c r="S519" s="604"/>
      <c r="T519" s="604"/>
      <c r="U519" s="604"/>
      <c r="V519" s="604"/>
      <c r="W519" s="604"/>
      <c r="X519" s="604"/>
      <c r="Y519" s="604"/>
      <c r="Z519" s="604"/>
    </row>
    <row r="520" spans="1:26" ht="19.5">
      <c r="A520" s="657" t="s">
        <v>137</v>
      </c>
      <c r="B520" s="658"/>
      <c r="C520" s="658"/>
      <c r="D520" s="659"/>
      <c r="E520" s="659"/>
      <c r="F520" s="659"/>
      <c r="G520" s="660"/>
      <c r="H520" s="661"/>
      <c r="I520" s="662"/>
      <c r="J520" s="662"/>
      <c r="K520" s="663"/>
      <c r="L520" s="663"/>
      <c r="M520" s="663"/>
      <c r="N520" s="663"/>
      <c r="O520" s="663"/>
      <c r="P520" s="663"/>
    </row>
    <row r="521" spans="1:26" ht="19.5" hidden="1">
      <c r="A521" s="664">
        <v>5</v>
      </c>
      <c r="B521" s="665" t="s">
        <v>226</v>
      </c>
      <c r="C521" s="666"/>
      <c r="D521" s="667"/>
      <c r="E521" s="667"/>
      <c r="F521" s="667"/>
      <c r="G521" s="667"/>
      <c r="H521" s="668"/>
      <c r="I521" s="669"/>
      <c r="J521" s="669"/>
      <c r="K521" s="670"/>
      <c r="L521" s="670"/>
      <c r="M521" s="670"/>
      <c r="N521" s="670"/>
      <c r="O521" s="670"/>
      <c r="P521" s="670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</row>
    <row r="522" spans="1:26" ht="19.5" hidden="1">
      <c r="A522" s="671"/>
      <c r="B522" s="672" t="s">
        <v>227</v>
      </c>
      <c r="C522" s="673"/>
      <c r="D522" s="673"/>
      <c r="E522" s="673"/>
      <c r="F522" s="673"/>
      <c r="G522" s="674"/>
      <c r="H522" s="675" t="s">
        <v>35</v>
      </c>
      <c r="I522" s="708">
        <f t="shared" ref="I522:J522" ca="1" si="225">I537</f>
        <v>0</v>
      </c>
      <c r="J522" s="708">
        <f t="shared" ca="1" si="225"/>
        <v>0</v>
      </c>
      <c r="K522" s="677">
        <f ca="1">IF(I522&gt;0,J522*100/I522,0)</f>
        <v>0</v>
      </c>
      <c r="L522" s="678"/>
      <c r="M522" s="678"/>
      <c r="N522" s="678"/>
      <c r="O522" s="678"/>
      <c r="P522" s="6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</row>
    <row r="523" spans="1:26" ht="19.5" hidden="1">
      <c r="A523" s="597"/>
      <c r="B523" s="763"/>
      <c r="C523" s="763" t="s">
        <v>16</v>
      </c>
      <c r="D523" s="863" t="s">
        <v>17</v>
      </c>
      <c r="E523" s="857"/>
      <c r="F523" s="857"/>
      <c r="G523" s="189"/>
      <c r="H523" s="598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</row>
    <row r="524" spans="1:26" ht="18.75" hidden="1">
      <c r="A524" s="599"/>
      <c r="B524" s="759"/>
      <c r="C524" s="759"/>
      <c r="D524" s="720"/>
      <c r="E524" s="759" t="s">
        <v>185</v>
      </c>
      <c r="F524" s="759"/>
      <c r="G524" s="603"/>
      <c r="H524" s="165" t="s">
        <v>12</v>
      </c>
      <c r="I524" s="617"/>
      <c r="J524" s="617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4"/>
      <c r="R524" s="604"/>
      <c r="S524" s="604"/>
      <c r="T524" s="604"/>
      <c r="U524" s="604"/>
      <c r="V524" s="604"/>
      <c r="W524" s="604"/>
      <c r="X524" s="604"/>
      <c r="Y524" s="604"/>
      <c r="Z524" s="604"/>
    </row>
    <row r="525" spans="1:26" ht="18.75" hidden="1">
      <c r="A525" s="599"/>
      <c r="B525" s="607"/>
      <c r="C525" s="759"/>
      <c r="D525" s="720"/>
      <c r="E525" s="759" t="s">
        <v>186</v>
      </c>
      <c r="F525" s="759"/>
      <c r="G525" s="603"/>
      <c r="H525" s="165" t="s">
        <v>12</v>
      </c>
      <c r="I525" s="617"/>
      <c r="J525" s="617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4"/>
      <c r="R525" s="604"/>
      <c r="S525" s="604"/>
      <c r="T525" s="604"/>
      <c r="U525" s="604"/>
      <c r="V525" s="604"/>
      <c r="W525" s="604"/>
      <c r="X525" s="604"/>
      <c r="Y525" s="604"/>
      <c r="Z525" s="604"/>
    </row>
    <row r="526" spans="1:26" ht="18.75" hidden="1">
      <c r="A526" s="597"/>
      <c r="B526" s="575"/>
      <c r="C526" s="763"/>
      <c r="D526" s="606" t="s">
        <v>20</v>
      </c>
      <c r="E526" s="763"/>
      <c r="F526" s="763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</row>
    <row r="527" spans="1:26" ht="18.75" hidden="1">
      <c r="A527" s="599"/>
      <c r="B527" s="607"/>
      <c r="C527" s="759"/>
      <c r="D527" s="720"/>
      <c r="E527" s="759" t="s">
        <v>185</v>
      </c>
      <c r="F527" s="759"/>
      <c r="G527" s="603"/>
      <c r="H527" s="165" t="s">
        <v>12</v>
      </c>
      <c r="I527" s="617"/>
      <c r="J527" s="617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4"/>
      <c r="R527" s="604"/>
      <c r="S527" s="604"/>
      <c r="T527" s="604"/>
      <c r="U527" s="604"/>
      <c r="V527" s="604"/>
      <c r="W527" s="604"/>
      <c r="X527" s="604"/>
      <c r="Y527" s="604"/>
      <c r="Z527" s="604"/>
    </row>
    <row r="528" spans="1:26" ht="18.75" hidden="1">
      <c r="A528" s="599"/>
      <c r="B528" s="607"/>
      <c r="C528" s="759"/>
      <c r="D528" s="720"/>
      <c r="E528" s="759" t="s">
        <v>186</v>
      </c>
      <c r="F528" s="759"/>
      <c r="G528" s="603"/>
      <c r="H528" s="165" t="s">
        <v>12</v>
      </c>
      <c r="I528" s="617"/>
      <c r="J528" s="617"/>
      <c r="K528" s="93"/>
      <c r="L528" s="93">
        <f ca="1">IFERROR(__xludf.DUMMYFUNCTION("IMPORTRANGE(""https://docs.google.com/spreadsheets/d/1QqKyyYR6Q21VydFLVH3TRQUabQu_ym0Zz7PgGX0-kHA/edit?usp=sharing"",""แผน!GQ35"")"),0)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4"/>
      <c r="R528" s="604"/>
      <c r="S528" s="604"/>
      <c r="T528" s="604"/>
      <c r="U528" s="604"/>
      <c r="V528" s="604"/>
      <c r="W528" s="604"/>
      <c r="X528" s="604"/>
      <c r="Y528" s="604"/>
      <c r="Z528" s="604"/>
    </row>
    <row r="529" spans="1:26" ht="18.75" hidden="1">
      <c r="A529" s="574"/>
      <c r="B529" s="575"/>
      <c r="C529" s="763"/>
      <c r="D529" s="763"/>
      <c r="E529" s="763"/>
      <c r="F529" s="763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40">
        <v>0</v>
      </c>
      <c r="O529" s="498"/>
      <c r="P529" s="49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</row>
    <row r="530" spans="1:26" ht="18.75" hidden="1">
      <c r="A530" s="574"/>
      <c r="B530" s="575"/>
      <c r="C530" s="763"/>
      <c r="D530" s="763"/>
      <c r="E530" s="763"/>
      <c r="F530" s="763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40">
        <v>0</v>
      </c>
      <c r="O530" s="498"/>
      <c r="P530" s="49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</row>
    <row r="531" spans="1:26" ht="18.75" hidden="1">
      <c r="A531" s="574"/>
      <c r="B531" s="575"/>
      <c r="C531" s="763"/>
      <c r="D531" s="763"/>
      <c r="E531" s="763"/>
      <c r="F531" s="763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40">
        <v>0</v>
      </c>
      <c r="O531" s="498"/>
      <c r="P531" s="49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</row>
    <row r="532" spans="1:26" ht="18.75" hidden="1">
      <c r="A532" s="574"/>
      <c r="B532" s="575"/>
      <c r="C532" s="763"/>
      <c r="D532" s="763"/>
      <c r="E532" s="763"/>
      <c r="F532" s="763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40">
        <v>0</v>
      </c>
      <c r="O532" s="498"/>
      <c r="P532" s="49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</row>
    <row r="533" spans="1:26" ht="18.75" hidden="1">
      <c r="A533" s="597"/>
      <c r="B533" s="575"/>
      <c r="C533" s="763"/>
      <c r="D533" s="606" t="s">
        <v>21</v>
      </c>
      <c r="E533" s="763"/>
      <c r="F533" s="763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</row>
    <row r="534" spans="1:26" ht="18.75" hidden="1">
      <c r="A534" s="599"/>
      <c r="B534" s="607"/>
      <c r="C534" s="759"/>
      <c r="D534" s="759"/>
      <c r="E534" s="759" t="s">
        <v>18</v>
      </c>
      <c r="F534" s="759"/>
      <c r="G534" s="603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4"/>
      <c r="R534" s="604"/>
      <c r="S534" s="604"/>
      <c r="T534" s="604"/>
      <c r="U534" s="604"/>
      <c r="V534" s="604"/>
      <c r="W534" s="604"/>
      <c r="X534" s="604"/>
      <c r="Y534" s="604"/>
      <c r="Z534" s="604"/>
    </row>
    <row r="535" spans="1:26" ht="18.75" hidden="1">
      <c r="A535" s="599"/>
      <c r="B535" s="607"/>
      <c r="C535" s="759"/>
      <c r="D535" s="759"/>
      <c r="E535" s="759" t="s">
        <v>19</v>
      </c>
      <c r="F535" s="759"/>
      <c r="G535" s="603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4"/>
      <c r="R535" s="604"/>
      <c r="S535" s="604"/>
      <c r="T535" s="604"/>
      <c r="U535" s="604"/>
      <c r="V535" s="604"/>
      <c r="W535" s="604"/>
      <c r="X535" s="604"/>
      <c r="Y535" s="604"/>
      <c r="Z535" s="604"/>
    </row>
    <row r="536" spans="1:26" ht="19.5" hidden="1">
      <c r="A536" s="608"/>
      <c r="B536" s="618"/>
      <c r="C536" s="763" t="s">
        <v>16</v>
      </c>
      <c r="D536" s="896" t="s">
        <v>38</v>
      </c>
      <c r="E536" s="761"/>
      <c r="F536" s="761"/>
      <c r="G536" s="613"/>
      <c r="H536" s="762"/>
      <c r="I536" s="184"/>
      <c r="J536" s="184"/>
      <c r="K536" s="163"/>
      <c r="L536" s="163"/>
      <c r="M536" s="163"/>
      <c r="N536" s="163"/>
      <c r="O536" s="163"/>
      <c r="P536" s="163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</row>
    <row r="537" spans="1:26" ht="19.5" hidden="1">
      <c r="A537" s="574"/>
      <c r="B537" s="575"/>
      <c r="C537" s="763"/>
      <c r="D537" s="763" t="s">
        <v>228</v>
      </c>
      <c r="E537" s="763"/>
      <c r="F537" s="763"/>
      <c r="G537" s="189"/>
      <c r="H537" s="623" t="s">
        <v>35</v>
      </c>
      <c r="I537" s="681">
        <f ca="1">IFERROR(__xludf.DUMMYFUNCTION("IMPORTRANGE(""https://docs.google.com/spreadsheets/d/1QqKyyYR6Q21VydFLVH3TRQUabQu_ym0Zz7PgGX0-kHA/edit?usp=sharing"",""แผน!GU35"")"),0)</f>
        <v>0</v>
      </c>
      <c r="J537" s="681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2"/>
      <c r="R537" s="682"/>
      <c r="S537" s="682"/>
      <c r="T537" s="682"/>
      <c r="U537" s="682"/>
      <c r="V537" s="682"/>
      <c r="W537" s="682"/>
      <c r="X537" s="682"/>
      <c r="Y537" s="682"/>
      <c r="Z537" s="682"/>
    </row>
    <row r="538" spans="1:26" ht="18.75" hidden="1">
      <c r="A538" s="574"/>
      <c r="B538" s="575"/>
      <c r="C538" s="763"/>
      <c r="D538" s="763"/>
      <c r="E538" s="763" t="s">
        <v>229</v>
      </c>
      <c r="F538" s="763"/>
      <c r="G538" s="189"/>
      <c r="H538" s="623" t="s">
        <v>35</v>
      </c>
      <c r="I538" s="270">
        <f ca="1">IFERROR(__xludf.DUMMYFUNCTION("IMPORTRANGE(""https://docs.google.com/spreadsheets/d/1QqKyyYR6Q21VydFLVH3TRQUabQu_ym0Zz7PgGX0-kHA/edit?usp=sharing"",""แผน!GV35"")"),0)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2"/>
      <c r="R538" s="682"/>
      <c r="S538" s="682"/>
      <c r="T538" s="682"/>
      <c r="U538" s="682"/>
      <c r="V538" s="682"/>
      <c r="W538" s="682"/>
      <c r="X538" s="682"/>
      <c r="Y538" s="682"/>
      <c r="Z538" s="682"/>
    </row>
    <row r="539" spans="1:26" ht="18.75" hidden="1">
      <c r="A539" s="574"/>
      <c r="B539" s="575"/>
      <c r="C539" s="763"/>
      <c r="D539" s="763"/>
      <c r="E539" s="763" t="s">
        <v>230</v>
      </c>
      <c r="F539" s="763"/>
      <c r="G539" s="189"/>
      <c r="H539" s="623" t="s">
        <v>35</v>
      </c>
      <c r="I539" s="270">
        <f ca="1">IFERROR(__xludf.DUMMYFUNCTION("IMPORTRANGE(""https://docs.google.com/spreadsheets/d/1QqKyyYR6Q21VydFLVH3TRQUabQu_ym0Zz7PgGX0-kHA/edit?usp=sharing"",""แผน!GW35"")"),0)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2"/>
      <c r="R539" s="682"/>
      <c r="S539" s="682"/>
      <c r="T539" s="682"/>
      <c r="U539" s="682"/>
      <c r="V539" s="682"/>
      <c r="W539" s="682"/>
      <c r="X539" s="682"/>
      <c r="Y539" s="682"/>
      <c r="Z539" s="682"/>
    </row>
    <row r="540" spans="1:26" ht="18.75" hidden="1">
      <c r="A540" s="574"/>
      <c r="B540" s="575"/>
      <c r="C540" s="763"/>
      <c r="D540" s="763"/>
      <c r="E540" s="763" t="s">
        <v>231</v>
      </c>
      <c r="F540" s="763"/>
      <c r="G540" s="189"/>
      <c r="H540" s="623" t="s">
        <v>35</v>
      </c>
      <c r="I540" s="270">
        <f ca="1">IFERROR(__xludf.DUMMYFUNCTION("IMPORTRANGE(""https://docs.google.com/spreadsheets/d/1QqKyyYR6Q21VydFLVH3TRQUabQu_ym0Zz7PgGX0-kHA/edit?usp=sharing"",""แผน!GX35"")"),0)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2"/>
      <c r="R540" s="682"/>
      <c r="S540" s="682"/>
      <c r="T540" s="682"/>
      <c r="U540" s="682"/>
      <c r="V540" s="682"/>
      <c r="W540" s="682"/>
      <c r="X540" s="682"/>
      <c r="Y540" s="682"/>
      <c r="Z540" s="682"/>
    </row>
    <row r="541" spans="1:26" ht="18.75" hidden="1">
      <c r="A541" s="574"/>
      <c r="B541" s="575"/>
      <c r="C541" s="763"/>
      <c r="D541" s="763"/>
      <c r="E541" s="769" t="s">
        <v>232</v>
      </c>
      <c r="F541" s="763"/>
      <c r="G541" s="189"/>
      <c r="H541" s="623" t="s">
        <v>35</v>
      </c>
      <c r="I541" s="270">
        <f ca="1">IFERROR(__xludf.DUMMYFUNCTION("IMPORTRANGE(""https://docs.google.com/spreadsheets/d/1QqKyyYR6Q21VydFLVH3TRQUabQu_ym0Zz7PgGX0-kHA/edit?usp=sharing"",""แผน!GY35"")"),0)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2"/>
      <c r="R541" s="682"/>
      <c r="S541" s="682"/>
      <c r="T541" s="682"/>
      <c r="U541" s="682"/>
      <c r="V541" s="682"/>
      <c r="W541" s="682"/>
      <c r="X541" s="682"/>
      <c r="Y541" s="682"/>
      <c r="Z541" s="682"/>
    </row>
    <row r="542" spans="1:26" ht="18.75" hidden="1">
      <c r="A542" s="574"/>
      <c r="B542" s="575"/>
      <c r="C542" s="763"/>
      <c r="D542" s="763" t="s">
        <v>59</v>
      </c>
      <c r="E542" s="763"/>
      <c r="F542" s="763"/>
      <c r="G542" s="189"/>
      <c r="H542" s="623" t="s">
        <v>35</v>
      </c>
      <c r="I542" s="270">
        <f ca="1">IFERROR(__xludf.DUMMYFUNCTION("IMPORTRANGE(""https://docs.google.com/spreadsheets/d/1QqKyyYR6Q21VydFLVH3TRQUabQu_ym0Zz7PgGX0-kHA/edit?usp=sharing"",""แผน!GZ35"")"),0)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2"/>
      <c r="R542" s="682"/>
      <c r="S542" s="682"/>
      <c r="T542" s="682"/>
      <c r="U542" s="682"/>
      <c r="V542" s="682"/>
      <c r="W542" s="682"/>
      <c r="X542" s="682"/>
      <c r="Y542" s="682"/>
      <c r="Z542" s="682"/>
    </row>
    <row r="543" spans="1:26" ht="19.5">
      <c r="A543" s="664">
        <v>6</v>
      </c>
      <c r="B543" s="685" t="s">
        <v>233</v>
      </c>
      <c r="C543" s="667"/>
      <c r="D543" s="667"/>
      <c r="E543" s="667"/>
      <c r="F543" s="667"/>
      <c r="G543" s="668"/>
      <c r="H543" s="686" t="s">
        <v>46</v>
      </c>
      <c r="I543" s="687">
        <f t="shared" ref="I543:J543" ca="1" si="235">I559</f>
        <v>71012.397500000006</v>
      </c>
      <c r="J543" s="687">
        <f t="shared" si="235"/>
        <v>71012.397499999992</v>
      </c>
      <c r="K543" s="688">
        <f t="shared" ca="1" si="234"/>
        <v>99.999999999999972</v>
      </c>
      <c r="L543" s="670"/>
      <c r="M543" s="670"/>
      <c r="N543" s="670"/>
      <c r="O543" s="670"/>
      <c r="P543" s="670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</row>
    <row r="544" spans="1:26" ht="19.5">
      <c r="A544" s="689"/>
      <c r="B544" s="690"/>
      <c r="C544" s="690" t="s">
        <v>16</v>
      </c>
      <c r="D544" s="897" t="s">
        <v>17</v>
      </c>
      <c r="E544" s="862"/>
      <c r="F544" s="862"/>
      <c r="G544" s="691"/>
      <c r="H544" s="275" t="s">
        <v>12</v>
      </c>
      <c r="I544" s="420"/>
      <c r="J544" s="420"/>
      <c r="K544" s="154"/>
      <c r="L544" s="155">
        <f t="shared" ref="L544:N544" ca="1" si="236">L545+L546</f>
        <v>433506</v>
      </c>
      <c r="M544" s="155">
        <f t="shared" ca="1" si="236"/>
        <v>383506</v>
      </c>
      <c r="N544" s="155">
        <f t="shared" si="236"/>
        <v>383506</v>
      </c>
      <c r="O544" s="155">
        <f t="shared" ref="O544:O549" ca="1" si="237">IF(L544&gt;0,N544*100/L544,0)</f>
        <v>88.466134263424266</v>
      </c>
      <c r="P544" s="155">
        <f t="shared" ref="P544:P549" ca="1" si="238">IF(M544&gt;0,N544*100/M544,0)</f>
        <v>100</v>
      </c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</row>
    <row r="545" spans="1:26" ht="18.75" hidden="1">
      <c r="A545" s="599"/>
      <c r="B545" s="759"/>
      <c r="C545" s="759"/>
      <c r="D545" s="759"/>
      <c r="E545" s="759" t="s">
        <v>185</v>
      </c>
      <c r="F545" s="759"/>
      <c r="G545" s="603"/>
      <c r="H545" s="165" t="s">
        <v>12</v>
      </c>
      <c r="I545" s="617"/>
      <c r="J545" s="617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4"/>
      <c r="R545" s="604"/>
      <c r="S545" s="604"/>
      <c r="T545" s="604"/>
      <c r="U545" s="604"/>
      <c r="V545" s="604"/>
      <c r="W545" s="604"/>
      <c r="X545" s="604"/>
      <c r="Y545" s="604"/>
      <c r="Z545" s="604"/>
    </row>
    <row r="546" spans="1:26" ht="18.75" hidden="1">
      <c r="A546" s="599"/>
      <c r="B546" s="607"/>
      <c r="C546" s="759"/>
      <c r="D546" s="759"/>
      <c r="E546" s="759" t="s">
        <v>186</v>
      </c>
      <c r="F546" s="759"/>
      <c r="G546" s="603"/>
      <c r="H546" s="165" t="s">
        <v>12</v>
      </c>
      <c r="I546" s="617"/>
      <c r="J546" s="617"/>
      <c r="K546" s="93"/>
      <c r="L546" s="93">
        <f t="shared" ca="1" si="239"/>
        <v>433506</v>
      </c>
      <c r="M546" s="93">
        <f t="shared" ca="1" si="240"/>
        <v>383506</v>
      </c>
      <c r="N546" s="93">
        <f t="shared" si="240"/>
        <v>383506</v>
      </c>
      <c r="O546" s="93">
        <f t="shared" ca="1" si="237"/>
        <v>88.466134263424266</v>
      </c>
      <c r="P546" s="93">
        <f t="shared" ca="1" si="238"/>
        <v>100</v>
      </c>
      <c r="Q546" s="604"/>
      <c r="R546" s="604"/>
      <c r="S546" s="604"/>
      <c r="T546" s="604"/>
      <c r="U546" s="604"/>
      <c r="V546" s="604"/>
      <c r="W546" s="604"/>
      <c r="X546" s="604"/>
      <c r="Y546" s="604"/>
      <c r="Z546" s="604"/>
    </row>
    <row r="547" spans="1:26" ht="18.75">
      <c r="A547" s="597"/>
      <c r="B547" s="575"/>
      <c r="C547" s="763"/>
      <c r="D547" s="606" t="s">
        <v>20</v>
      </c>
      <c r="E547" s="763"/>
      <c r="F547" s="763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433506</v>
      </c>
      <c r="M547" s="498">
        <f t="shared" ca="1" si="241"/>
        <v>383506</v>
      </c>
      <c r="N547" s="498">
        <f t="shared" si="241"/>
        <v>383506</v>
      </c>
      <c r="O547" s="498">
        <f t="shared" ca="1" si="237"/>
        <v>88.466134263424266</v>
      </c>
      <c r="P547" s="498">
        <f t="shared" ca="1" si="238"/>
        <v>100</v>
      </c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</row>
    <row r="548" spans="1:26" ht="18.75" hidden="1">
      <c r="A548" s="599"/>
      <c r="B548" s="607"/>
      <c r="C548" s="759"/>
      <c r="D548" s="720"/>
      <c r="E548" s="759" t="s">
        <v>185</v>
      </c>
      <c r="F548" s="759"/>
      <c r="G548" s="603"/>
      <c r="H548" s="165" t="s">
        <v>12</v>
      </c>
      <c r="I548" s="617"/>
      <c r="J548" s="617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4"/>
      <c r="R548" s="604"/>
      <c r="S548" s="604"/>
      <c r="T548" s="604"/>
      <c r="U548" s="604"/>
      <c r="V548" s="604"/>
      <c r="W548" s="604"/>
      <c r="X548" s="604"/>
      <c r="Y548" s="604"/>
      <c r="Z548" s="604"/>
    </row>
    <row r="549" spans="1:26" ht="18.75" hidden="1">
      <c r="A549" s="599"/>
      <c r="B549" s="607"/>
      <c r="C549" s="759"/>
      <c r="D549" s="720"/>
      <c r="E549" s="759" t="s">
        <v>186</v>
      </c>
      <c r="F549" s="759"/>
      <c r="G549" s="603"/>
      <c r="H549" s="165" t="s">
        <v>12</v>
      </c>
      <c r="I549" s="617"/>
      <c r="J549" s="617"/>
      <c r="K549" s="93"/>
      <c r="L549" s="93">
        <f ca="1">IFERROR(__xludf.DUMMYFUNCTION("IMPORTRANGE(""https://docs.google.com/spreadsheets/d/1QqKyyYR6Q21VydFLVH3TRQUabQu_ym0Zz7PgGX0-kHA/edit?usp=sharing"",""แผน!HB35"")"),433506)</f>
        <v>433506</v>
      </c>
      <c r="M549" s="93">
        <f ca="1">L549-50000</f>
        <v>383506</v>
      </c>
      <c r="N549" s="93">
        <f>N550+N551+N552+N553+N554</f>
        <v>383506</v>
      </c>
      <c r="O549" s="93">
        <f t="shared" ca="1" si="237"/>
        <v>88.466134263424266</v>
      </c>
      <c r="P549" s="93">
        <f t="shared" ca="1" si="238"/>
        <v>100</v>
      </c>
      <c r="Q549" s="604"/>
      <c r="R549" s="604"/>
      <c r="S549" s="604"/>
      <c r="T549" s="604"/>
      <c r="U549" s="604"/>
      <c r="V549" s="604"/>
      <c r="W549" s="604"/>
      <c r="X549" s="604"/>
      <c r="Y549" s="604"/>
      <c r="Z549" s="604"/>
    </row>
    <row r="550" spans="1:26" ht="18.75">
      <c r="A550" s="574"/>
      <c r="B550" s="575"/>
      <c r="C550" s="763"/>
      <c r="D550" s="763"/>
      <c r="E550" s="763"/>
      <c r="F550" s="763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40">
        <v>0</v>
      </c>
      <c r="O550" s="498"/>
      <c r="P550" s="49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</row>
    <row r="551" spans="1:26" ht="18.75">
      <c r="A551" s="574"/>
      <c r="B551" s="575"/>
      <c r="C551" s="575"/>
      <c r="D551" s="575"/>
      <c r="E551" s="763"/>
      <c r="F551" s="763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40">
        <v>0</v>
      </c>
      <c r="O551" s="498"/>
      <c r="P551" s="49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</row>
    <row r="552" spans="1:26" ht="18.75">
      <c r="A552" s="574"/>
      <c r="B552" s="575"/>
      <c r="C552" s="763"/>
      <c r="D552" s="763"/>
      <c r="E552" s="763"/>
      <c r="F552" s="763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40">
        <v>142147.32</v>
      </c>
      <c r="O552" s="498"/>
      <c r="P552" s="498"/>
      <c r="Q552" s="578"/>
      <c r="R552" s="578"/>
      <c r="S552" s="578"/>
      <c r="T552" s="578"/>
      <c r="U552" s="578"/>
      <c r="V552" s="578"/>
      <c r="W552" s="578"/>
      <c r="X552" s="578"/>
      <c r="Y552" s="578"/>
      <c r="Z552" s="578"/>
    </row>
    <row r="553" spans="1:26" ht="18.75">
      <c r="A553" s="574"/>
      <c r="B553" s="575"/>
      <c r="C553" s="575"/>
      <c r="D553" s="575"/>
      <c r="E553" s="763"/>
      <c r="F553" s="763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40">
        <v>241358.68</v>
      </c>
      <c r="O553" s="498"/>
      <c r="P553" s="49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</row>
    <row r="554" spans="1:26" ht="18.75">
      <c r="A554" s="574"/>
      <c r="B554" s="575"/>
      <c r="C554" s="575"/>
      <c r="D554" s="575"/>
      <c r="E554" s="763"/>
      <c r="F554" s="763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40">
        <v>0</v>
      </c>
      <c r="O554" s="498"/>
      <c r="P554" s="49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</row>
    <row r="555" spans="1:26" ht="18.75">
      <c r="A555" s="597"/>
      <c r="B555" s="575"/>
      <c r="C555" s="575"/>
      <c r="D555" s="606" t="s">
        <v>21</v>
      </c>
      <c r="E555" s="763"/>
      <c r="F555" s="763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</row>
    <row r="556" spans="1:26" ht="18.75" hidden="1">
      <c r="A556" s="599"/>
      <c r="B556" s="607"/>
      <c r="C556" s="607"/>
      <c r="D556" s="759"/>
      <c r="E556" s="759" t="s">
        <v>18</v>
      </c>
      <c r="F556" s="759"/>
      <c r="G556" s="603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4"/>
      <c r="R556" s="604"/>
      <c r="S556" s="604"/>
      <c r="T556" s="604"/>
      <c r="U556" s="604"/>
      <c r="V556" s="604"/>
      <c r="W556" s="604"/>
      <c r="X556" s="604"/>
      <c r="Y556" s="604"/>
      <c r="Z556" s="604"/>
    </row>
    <row r="557" spans="1:26" ht="18.75" hidden="1">
      <c r="A557" s="599"/>
      <c r="B557" s="607"/>
      <c r="C557" s="607"/>
      <c r="D557" s="759"/>
      <c r="E557" s="759" t="s">
        <v>19</v>
      </c>
      <c r="F557" s="759"/>
      <c r="G557" s="603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4"/>
      <c r="R557" s="604"/>
      <c r="S557" s="604"/>
      <c r="T557" s="604"/>
      <c r="U557" s="604"/>
      <c r="V557" s="604"/>
      <c r="W557" s="604"/>
      <c r="X557" s="604"/>
      <c r="Y557" s="604"/>
      <c r="Z557" s="604"/>
    </row>
    <row r="558" spans="1:26" ht="19.5">
      <c r="A558" s="608"/>
      <c r="B558" s="618"/>
      <c r="C558" s="575" t="s">
        <v>16</v>
      </c>
      <c r="D558" s="896" t="s">
        <v>38</v>
      </c>
      <c r="E558" s="761"/>
      <c r="F558" s="761"/>
      <c r="G558" s="613"/>
      <c r="H558" s="762"/>
      <c r="I558" s="184"/>
      <c r="J558" s="184"/>
      <c r="K558" s="163"/>
      <c r="L558" s="163"/>
      <c r="M558" s="163"/>
      <c r="N558" s="163"/>
      <c r="O558" s="163"/>
      <c r="P558" s="163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</row>
    <row r="559" spans="1:26" ht="19.5">
      <c r="A559" s="692"/>
      <c r="B559" s="693" t="s">
        <v>235</v>
      </c>
      <c r="C559" s="694"/>
      <c r="D559" s="694"/>
      <c r="E559" s="673"/>
      <c r="F559" s="673"/>
      <c r="G559" s="674"/>
      <c r="H559" s="695" t="s">
        <v>46</v>
      </c>
      <c r="I559" s="708">
        <f t="shared" ref="I559:J559" ca="1" si="245">I576</f>
        <v>71012.397500000006</v>
      </c>
      <c r="J559" s="708">
        <f t="shared" si="245"/>
        <v>71012.397499999992</v>
      </c>
      <c r="K559" s="677">
        <f t="shared" ref="K559:K561" ca="1" si="246">IF(I559&gt;0,J559*100/I559,0)</f>
        <v>99.999999999999972</v>
      </c>
      <c r="L559" s="678"/>
      <c r="M559" s="678"/>
      <c r="N559" s="678"/>
      <c r="O559" s="678"/>
      <c r="P559" s="6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</row>
    <row r="560" spans="1:26" ht="19.5">
      <c r="A560" s="608"/>
      <c r="B560" s="618"/>
      <c r="C560" s="625" t="s">
        <v>236</v>
      </c>
      <c r="D560" s="618"/>
      <c r="E560" s="626"/>
      <c r="F560" s="626"/>
      <c r="G560" s="762"/>
      <c r="H560" s="767" t="s">
        <v>46</v>
      </c>
      <c r="I560" s="193">
        <f ca="1">IFERROR(__xludf.DUMMYFUNCTION("IMPORTRANGE(""https://docs.google.com/spreadsheets/d/1QqKyyYR6Q21VydFLVH3TRQUabQu_ym0Zz7PgGX0-kHA/edit?usp=sharing"",""แผน!HH35"")"),71012.3975)</f>
        <v>71012.397500000006</v>
      </c>
      <c r="J560" s="193">
        <f t="shared" ref="J560:J561" si="247">J562+J564+J566</f>
        <v>71012</v>
      </c>
      <c r="K560" s="411">
        <f t="shared" ca="1" si="246"/>
        <v>99.999440238586502</v>
      </c>
      <c r="L560" s="163"/>
      <c r="M560" s="163"/>
      <c r="N560" s="163"/>
      <c r="O560" s="163"/>
      <c r="P560" s="163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</row>
    <row r="561" spans="1:26" ht="19.5">
      <c r="A561" s="608"/>
      <c r="B561" s="618"/>
      <c r="C561" s="618"/>
      <c r="D561" s="626"/>
      <c r="E561" s="626"/>
      <c r="F561" s="626"/>
      <c r="G561" s="762"/>
      <c r="H561" s="767" t="s">
        <v>34</v>
      </c>
      <c r="I561" s="193">
        <f ca="1">IFERROR(__xludf.DUMMYFUNCTION("IMPORTRANGE(""https://docs.google.com/spreadsheets/d/1QqKyyYR6Q21VydFLVH3TRQUabQu_ym0Zz7PgGX0-kHA/edit?usp=sharing"",""แผน!HG35"")"),6571)</f>
        <v>6571</v>
      </c>
      <c r="J561" s="193">
        <f t="shared" si="247"/>
        <v>6571</v>
      </c>
      <c r="K561" s="411">
        <f t="shared" ca="1" si="246"/>
        <v>100</v>
      </c>
      <c r="L561" s="163"/>
      <c r="M561" s="163"/>
      <c r="N561" s="163"/>
      <c r="O561" s="163"/>
      <c r="P561" s="163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</row>
    <row r="562" spans="1:26" ht="18.75">
      <c r="A562" s="608"/>
      <c r="B562" s="618"/>
      <c r="C562" s="618"/>
      <c r="D562" s="626" t="s">
        <v>237</v>
      </c>
      <c r="E562" s="626"/>
      <c r="F562" s="626"/>
      <c r="G562" s="762"/>
      <c r="H562" s="764" t="s">
        <v>46</v>
      </c>
      <c r="I562" s="184"/>
      <c r="J562" s="215">
        <v>48908</v>
      </c>
      <c r="K562" s="163"/>
      <c r="L562" s="163"/>
      <c r="M562" s="163"/>
      <c r="N562" s="163"/>
      <c r="O562" s="163"/>
      <c r="P562" s="163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</row>
    <row r="563" spans="1:26" ht="18.75">
      <c r="A563" s="608"/>
      <c r="B563" s="618"/>
      <c r="C563" s="618"/>
      <c r="D563" s="618"/>
      <c r="E563" s="626"/>
      <c r="F563" s="626"/>
      <c r="G563" s="762"/>
      <c r="H563" s="764" t="s">
        <v>34</v>
      </c>
      <c r="I563" s="184"/>
      <c r="J563" s="215">
        <v>5078</v>
      </c>
      <c r="K563" s="163"/>
      <c r="L563" s="163"/>
      <c r="M563" s="163"/>
      <c r="N563" s="163"/>
      <c r="O563" s="163"/>
      <c r="P563" s="163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</row>
    <row r="564" spans="1:26" ht="18.75">
      <c r="A564" s="608"/>
      <c r="B564" s="618"/>
      <c r="C564" s="618"/>
      <c r="D564" s="626" t="s">
        <v>238</v>
      </c>
      <c r="E564" s="626"/>
      <c r="F564" s="626"/>
      <c r="G564" s="762"/>
      <c r="H564" s="764" t="s">
        <v>46</v>
      </c>
      <c r="I564" s="184"/>
      <c r="J564" s="215">
        <v>19333</v>
      </c>
      <c r="K564" s="163"/>
      <c r="L564" s="163"/>
      <c r="M564" s="163"/>
      <c r="N564" s="163"/>
      <c r="O564" s="163"/>
      <c r="P564" s="163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</row>
    <row r="565" spans="1:26" ht="18.75">
      <c r="A565" s="608"/>
      <c r="B565" s="618"/>
      <c r="C565" s="618"/>
      <c r="D565" s="626"/>
      <c r="E565" s="626"/>
      <c r="F565" s="626"/>
      <c r="G565" s="762"/>
      <c r="H565" s="764" t="s">
        <v>34</v>
      </c>
      <c r="I565" s="184"/>
      <c r="J565" s="215">
        <v>1311</v>
      </c>
      <c r="K565" s="163"/>
      <c r="L565" s="163"/>
      <c r="M565" s="163"/>
      <c r="N565" s="163"/>
      <c r="O565" s="163"/>
      <c r="P565" s="163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</row>
    <row r="566" spans="1:26" ht="18.75">
      <c r="A566" s="608"/>
      <c r="B566" s="618"/>
      <c r="C566" s="618"/>
      <c r="D566" s="626" t="s">
        <v>239</v>
      </c>
      <c r="E566" s="626"/>
      <c r="F566" s="626"/>
      <c r="G566" s="762"/>
      <c r="H566" s="764" t="s">
        <v>46</v>
      </c>
      <c r="I566" s="184"/>
      <c r="J566" s="215">
        <v>2771</v>
      </c>
      <c r="K566" s="163"/>
      <c r="L566" s="163"/>
      <c r="M566" s="163"/>
      <c r="N566" s="163"/>
      <c r="O566" s="163"/>
      <c r="P566" s="163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</row>
    <row r="567" spans="1:26" ht="18.75">
      <c r="A567" s="608"/>
      <c r="B567" s="618"/>
      <c r="C567" s="618"/>
      <c r="D567" s="626"/>
      <c r="E567" s="626"/>
      <c r="F567" s="626"/>
      <c r="G567" s="762"/>
      <c r="H567" s="764" t="s">
        <v>34</v>
      </c>
      <c r="I567" s="184"/>
      <c r="J567" s="215">
        <v>182</v>
      </c>
      <c r="K567" s="163"/>
      <c r="L567" s="163"/>
      <c r="M567" s="163"/>
      <c r="N567" s="163"/>
      <c r="O567" s="163"/>
      <c r="P567" s="163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</row>
    <row r="568" spans="1:26" ht="19.5">
      <c r="A568" s="608"/>
      <c r="B568" s="618"/>
      <c r="C568" s="625" t="s">
        <v>240</v>
      </c>
      <c r="D568" s="626"/>
      <c r="E568" s="626"/>
      <c r="F568" s="626"/>
      <c r="G568" s="762"/>
      <c r="H568" s="767" t="s">
        <v>46</v>
      </c>
      <c r="I568" s="193">
        <f ca="1">IFERROR(__xludf.DUMMYFUNCTION("IMPORTRANGE(""https://docs.google.com/spreadsheets/d/1QqKyyYR6Q21VydFLVH3TRQUabQu_ym0Zz7PgGX0-kHA/edit?usp=sharing"",""แผน!HH35"")"),71012.3975)</f>
        <v>71012.397500000006</v>
      </c>
      <c r="J568" s="681">
        <f t="shared" ref="J568:J569" si="248">J570+J572+J574</f>
        <v>71012</v>
      </c>
      <c r="K568" s="411">
        <f t="shared" ref="K568:K569" ca="1" si="249">IF(I568&gt;0,J568*100/I568,0)</f>
        <v>99.999440238586502</v>
      </c>
      <c r="L568" s="163"/>
      <c r="M568" s="163"/>
      <c r="N568" s="163"/>
      <c r="O568" s="163"/>
      <c r="P568" s="163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</row>
    <row r="569" spans="1:26" ht="19.5">
      <c r="A569" s="608"/>
      <c r="B569" s="618"/>
      <c r="C569" s="618"/>
      <c r="D569" s="618"/>
      <c r="E569" s="626"/>
      <c r="F569" s="626"/>
      <c r="G569" s="762"/>
      <c r="H569" s="767" t="s">
        <v>34</v>
      </c>
      <c r="I569" s="193">
        <f ca="1">IFERROR(__xludf.DUMMYFUNCTION("IMPORTRANGE(""https://docs.google.com/spreadsheets/d/1QqKyyYR6Q21VydFLVH3TRQUabQu_ym0Zz7PgGX0-kHA/edit?usp=sharing"",""แผน!HG35"")"),6571)</f>
        <v>6571</v>
      </c>
      <c r="J569" s="681">
        <f t="shared" si="248"/>
        <v>6571</v>
      </c>
      <c r="K569" s="411">
        <f t="shared" ca="1" si="249"/>
        <v>100</v>
      </c>
      <c r="L569" s="163"/>
      <c r="M569" s="163"/>
      <c r="N569" s="163"/>
      <c r="O569" s="163"/>
      <c r="P569" s="163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</row>
    <row r="570" spans="1:26" ht="18.75">
      <c r="A570" s="608"/>
      <c r="B570" s="618"/>
      <c r="C570" s="618"/>
      <c r="D570" s="626" t="s">
        <v>241</v>
      </c>
      <c r="E570" s="618"/>
      <c r="F570" s="626"/>
      <c r="G570" s="762"/>
      <c r="H570" s="764" t="s">
        <v>46</v>
      </c>
      <c r="I570" s="184"/>
      <c r="J570" s="215">
        <v>48908</v>
      </c>
      <c r="K570" s="163"/>
      <c r="L570" s="163"/>
      <c r="M570" s="163"/>
      <c r="N570" s="163"/>
      <c r="O570" s="163"/>
      <c r="P570" s="163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</row>
    <row r="571" spans="1:26" ht="18.75">
      <c r="A571" s="608"/>
      <c r="B571" s="618"/>
      <c r="C571" s="618"/>
      <c r="D571" s="618"/>
      <c r="E571" s="626"/>
      <c r="F571" s="626"/>
      <c r="G571" s="762"/>
      <c r="H571" s="764" t="s">
        <v>34</v>
      </c>
      <c r="I571" s="184"/>
      <c r="J571" s="215">
        <v>5078</v>
      </c>
      <c r="K571" s="163"/>
      <c r="L571" s="163"/>
      <c r="M571" s="163"/>
      <c r="N571" s="163"/>
      <c r="O571" s="163"/>
      <c r="P571" s="163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</row>
    <row r="572" spans="1:26" ht="18.75">
      <c r="A572" s="608"/>
      <c r="B572" s="618"/>
      <c r="C572" s="618"/>
      <c r="D572" s="626" t="s">
        <v>242</v>
      </c>
      <c r="E572" s="626"/>
      <c r="F572" s="626"/>
      <c r="G572" s="762"/>
      <c r="H572" s="764" t="s">
        <v>46</v>
      </c>
      <c r="I572" s="184"/>
      <c r="J572" s="215">
        <v>19333</v>
      </c>
      <c r="K572" s="163"/>
      <c r="L572" s="163"/>
      <c r="M572" s="163"/>
      <c r="N572" s="163"/>
      <c r="O572" s="163"/>
      <c r="P572" s="163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</row>
    <row r="573" spans="1:26" ht="18.75">
      <c r="A573" s="608"/>
      <c r="B573" s="618"/>
      <c r="C573" s="618"/>
      <c r="D573" s="626"/>
      <c r="E573" s="626"/>
      <c r="F573" s="626"/>
      <c r="G573" s="762"/>
      <c r="H573" s="764" t="s">
        <v>34</v>
      </c>
      <c r="I573" s="184"/>
      <c r="J573" s="215">
        <v>1311</v>
      </c>
      <c r="K573" s="163"/>
      <c r="L573" s="163"/>
      <c r="M573" s="163"/>
      <c r="N573" s="163"/>
      <c r="O573" s="163"/>
      <c r="P573" s="163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</row>
    <row r="574" spans="1:26" ht="18.75">
      <c r="A574" s="608"/>
      <c r="B574" s="618"/>
      <c r="C574" s="618"/>
      <c r="D574" s="626" t="s">
        <v>243</v>
      </c>
      <c r="E574" s="626"/>
      <c r="F574" s="626"/>
      <c r="G574" s="762"/>
      <c r="H574" s="764" t="s">
        <v>46</v>
      </c>
      <c r="I574" s="184"/>
      <c r="J574" s="215">
        <v>2771</v>
      </c>
      <c r="K574" s="163"/>
      <c r="L574" s="163"/>
      <c r="M574" s="163"/>
      <c r="N574" s="163"/>
      <c r="O574" s="163"/>
      <c r="P574" s="163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</row>
    <row r="575" spans="1:26" ht="18.75">
      <c r="A575" s="608"/>
      <c r="B575" s="618"/>
      <c r="C575" s="618"/>
      <c r="D575" s="618"/>
      <c r="E575" s="626"/>
      <c r="F575" s="626"/>
      <c r="G575" s="762"/>
      <c r="H575" s="764" t="s">
        <v>34</v>
      </c>
      <c r="I575" s="184"/>
      <c r="J575" s="215">
        <v>182</v>
      </c>
      <c r="K575" s="163"/>
      <c r="L575" s="163"/>
      <c r="M575" s="163"/>
      <c r="N575" s="163"/>
      <c r="O575" s="163"/>
      <c r="P575" s="163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</row>
    <row r="576" spans="1:26" ht="19.5">
      <c r="A576" s="608"/>
      <c r="B576" s="618"/>
      <c r="C576" s="625" t="s">
        <v>244</v>
      </c>
      <c r="D576" s="618"/>
      <c r="E576" s="618"/>
      <c r="F576" s="626"/>
      <c r="G576" s="762"/>
      <c r="H576" s="767" t="s">
        <v>46</v>
      </c>
      <c r="I576" s="193">
        <f ca="1">IFERROR(__xludf.DUMMYFUNCTION("IMPORTRANGE(""https://docs.google.com/spreadsheets/d/1QqKyyYR6Q21VydFLVH3TRQUabQu_ym0Zz7PgGX0-kHA/edit?usp=sharing"",""แผน!HH35"")"),71012.3975)</f>
        <v>71012.397500000006</v>
      </c>
      <c r="J576" s="681">
        <f t="shared" ref="J576:J577" si="250">J578+J580+J582+J588+J590</f>
        <v>71012.397499999992</v>
      </c>
      <c r="K576" s="411">
        <f t="shared" ref="K576:K577" ca="1" si="251">IF(I576&gt;0,J576*100/I576,0)</f>
        <v>99.999999999999972</v>
      </c>
      <c r="L576" s="163"/>
      <c r="M576" s="163"/>
      <c r="N576" s="163"/>
      <c r="O576" s="163"/>
      <c r="P576" s="163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</row>
    <row r="577" spans="1:26" ht="19.5">
      <c r="A577" s="608"/>
      <c r="B577" s="618"/>
      <c r="C577" s="618"/>
      <c r="D577" s="618"/>
      <c r="E577" s="626"/>
      <c r="F577" s="626"/>
      <c r="G577" s="762"/>
      <c r="H577" s="767" t="s">
        <v>34</v>
      </c>
      <c r="I577" s="193">
        <f ca="1">IFERROR(__xludf.DUMMYFUNCTION("IMPORTRANGE(""https://docs.google.com/spreadsheets/d/1QqKyyYR6Q21VydFLVH3TRQUabQu_ym0Zz7PgGX0-kHA/edit?usp=sharing"",""แผน!HG35"")"),6571)</f>
        <v>6571</v>
      </c>
      <c r="J577" s="681">
        <f t="shared" si="250"/>
        <v>6571</v>
      </c>
      <c r="K577" s="411">
        <f t="shared" ca="1" si="251"/>
        <v>100</v>
      </c>
      <c r="L577" s="163"/>
      <c r="M577" s="163"/>
      <c r="N577" s="163"/>
      <c r="O577" s="163"/>
      <c r="P577" s="163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</row>
    <row r="578" spans="1:26" ht="18.75">
      <c r="A578" s="608"/>
      <c r="B578" s="618"/>
      <c r="C578" s="618"/>
      <c r="D578" s="626" t="s">
        <v>245</v>
      </c>
      <c r="E578" s="626"/>
      <c r="F578" s="626"/>
      <c r="G578" s="762"/>
      <c r="H578" s="764" t="s">
        <v>46</v>
      </c>
      <c r="I578" s="184"/>
      <c r="J578" s="215">
        <v>54039.147499999999</v>
      </c>
      <c r="K578" s="163"/>
      <c r="L578" s="163"/>
      <c r="M578" s="163"/>
      <c r="N578" s="163"/>
      <c r="O578" s="163"/>
      <c r="P578" s="163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</row>
    <row r="579" spans="1:26" ht="18.75">
      <c r="A579" s="608"/>
      <c r="B579" s="618"/>
      <c r="C579" s="618"/>
      <c r="D579" s="618"/>
      <c r="E579" s="626"/>
      <c r="F579" s="626"/>
      <c r="G579" s="762"/>
      <c r="H579" s="764" t="s">
        <v>34</v>
      </c>
      <c r="I579" s="184"/>
      <c r="J579" s="215">
        <v>5519</v>
      </c>
      <c r="K579" s="163"/>
      <c r="L579" s="163"/>
      <c r="M579" s="163"/>
      <c r="N579" s="163"/>
      <c r="O579" s="163"/>
      <c r="P579" s="163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</row>
    <row r="580" spans="1:26" ht="18.75">
      <c r="A580" s="608"/>
      <c r="B580" s="618"/>
      <c r="C580" s="618"/>
      <c r="D580" s="626" t="s">
        <v>246</v>
      </c>
      <c r="E580" s="626"/>
      <c r="F580" s="626"/>
      <c r="G580" s="762"/>
      <c r="H580" s="764" t="s">
        <v>46</v>
      </c>
      <c r="I580" s="184"/>
      <c r="J580" s="215">
        <v>285.82249999999999</v>
      </c>
      <c r="K580" s="163"/>
      <c r="L580" s="163"/>
      <c r="M580" s="163"/>
      <c r="N580" s="163"/>
      <c r="O580" s="163"/>
      <c r="P580" s="163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</row>
    <row r="581" spans="1:26" ht="18.75">
      <c r="A581" s="608"/>
      <c r="B581" s="618"/>
      <c r="C581" s="618"/>
      <c r="D581" s="618"/>
      <c r="E581" s="626"/>
      <c r="F581" s="626"/>
      <c r="G581" s="762"/>
      <c r="H581" s="764" t="s">
        <v>34</v>
      </c>
      <c r="I581" s="184"/>
      <c r="J581" s="215">
        <v>28</v>
      </c>
      <c r="K581" s="163"/>
      <c r="L581" s="163"/>
      <c r="M581" s="163"/>
      <c r="N581" s="163"/>
      <c r="O581" s="163"/>
      <c r="P581" s="163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</row>
    <row r="582" spans="1:26" ht="19.5">
      <c r="A582" s="608"/>
      <c r="B582" s="618"/>
      <c r="C582" s="618"/>
      <c r="D582" s="626" t="s">
        <v>247</v>
      </c>
      <c r="E582" s="626"/>
      <c r="F582" s="626"/>
      <c r="G582" s="762"/>
      <c r="H582" s="764" t="s">
        <v>46</v>
      </c>
      <c r="I582" s="184"/>
      <c r="J582" s="681">
        <f t="shared" ref="J582:J583" si="252">J584+J586</f>
        <v>2782.17</v>
      </c>
      <c r="K582" s="411"/>
      <c r="L582" s="163"/>
      <c r="M582" s="163"/>
      <c r="N582" s="163"/>
      <c r="O582" s="163"/>
      <c r="P582" s="163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</row>
    <row r="583" spans="1:26" ht="19.5">
      <c r="A583" s="608"/>
      <c r="B583" s="618"/>
      <c r="C583" s="618"/>
      <c r="D583" s="618"/>
      <c r="E583" s="626"/>
      <c r="F583" s="626"/>
      <c r="G583" s="762"/>
      <c r="H583" s="764" t="s">
        <v>34</v>
      </c>
      <c r="I583" s="184"/>
      <c r="J583" s="681">
        <f t="shared" si="252"/>
        <v>183</v>
      </c>
      <c r="K583" s="411"/>
      <c r="L583" s="163"/>
      <c r="M583" s="163"/>
      <c r="N583" s="163"/>
      <c r="O583" s="163"/>
      <c r="P583" s="163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</row>
    <row r="584" spans="1:26" ht="18.75">
      <c r="A584" s="608"/>
      <c r="B584" s="618"/>
      <c r="C584" s="618"/>
      <c r="D584" s="618"/>
      <c r="E584" s="626" t="s">
        <v>248</v>
      </c>
      <c r="F584" s="626"/>
      <c r="G584" s="762"/>
      <c r="H584" s="764" t="s">
        <v>46</v>
      </c>
      <c r="I584" s="184"/>
      <c r="J584" s="215">
        <v>2582.63</v>
      </c>
      <c r="K584" s="163"/>
      <c r="L584" s="163"/>
      <c r="M584" s="163"/>
      <c r="N584" s="163"/>
      <c r="O584" s="163"/>
      <c r="P584" s="163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</row>
    <row r="585" spans="1:26" ht="18.75">
      <c r="A585" s="608"/>
      <c r="B585" s="618"/>
      <c r="C585" s="618"/>
      <c r="D585" s="618"/>
      <c r="E585" s="626"/>
      <c r="F585" s="626"/>
      <c r="G585" s="762"/>
      <c r="H585" s="764" t="s">
        <v>34</v>
      </c>
      <c r="I585" s="184"/>
      <c r="J585" s="215">
        <v>173</v>
      </c>
      <c r="K585" s="163"/>
      <c r="L585" s="163"/>
      <c r="M585" s="163"/>
      <c r="N585" s="163"/>
      <c r="O585" s="163"/>
      <c r="P585" s="163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</row>
    <row r="586" spans="1:26" ht="18.75">
      <c r="A586" s="608"/>
      <c r="B586" s="618"/>
      <c r="C586" s="618"/>
      <c r="D586" s="618"/>
      <c r="E586" s="626" t="s">
        <v>249</v>
      </c>
      <c r="F586" s="626"/>
      <c r="G586" s="762"/>
      <c r="H586" s="764" t="s">
        <v>46</v>
      </c>
      <c r="I586" s="184"/>
      <c r="J586" s="215">
        <v>199.54</v>
      </c>
      <c r="K586" s="163"/>
      <c r="L586" s="163"/>
      <c r="M586" s="163"/>
      <c r="N586" s="163"/>
      <c r="O586" s="163"/>
      <c r="P586" s="163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</row>
    <row r="587" spans="1:26" ht="18.75">
      <c r="A587" s="608"/>
      <c r="B587" s="618"/>
      <c r="C587" s="618"/>
      <c r="D587" s="618"/>
      <c r="E587" s="618"/>
      <c r="F587" s="626"/>
      <c r="G587" s="762"/>
      <c r="H587" s="764" t="s">
        <v>34</v>
      </c>
      <c r="I587" s="184"/>
      <c r="J587" s="215">
        <v>10</v>
      </c>
      <c r="K587" s="163"/>
      <c r="L587" s="163"/>
      <c r="M587" s="163"/>
      <c r="N587" s="163"/>
      <c r="O587" s="163"/>
      <c r="P587" s="163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</row>
    <row r="588" spans="1:26" ht="18.75">
      <c r="A588" s="608"/>
      <c r="B588" s="618"/>
      <c r="C588" s="618"/>
      <c r="D588" s="626" t="s">
        <v>250</v>
      </c>
      <c r="E588" s="626"/>
      <c r="F588" s="626"/>
      <c r="G588" s="762"/>
      <c r="H588" s="764" t="s">
        <v>46</v>
      </c>
      <c r="I588" s="184"/>
      <c r="J588" s="215">
        <v>13905.2575</v>
      </c>
      <c r="K588" s="163"/>
      <c r="L588" s="163"/>
      <c r="M588" s="163"/>
      <c r="N588" s="163"/>
      <c r="O588" s="163"/>
      <c r="P588" s="163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</row>
    <row r="589" spans="1:26" ht="18.75">
      <c r="A589" s="608"/>
      <c r="B589" s="618"/>
      <c r="C589" s="618"/>
      <c r="D589" s="618"/>
      <c r="E589" s="618"/>
      <c r="F589" s="626"/>
      <c r="G589" s="762"/>
      <c r="H589" s="764" t="s">
        <v>34</v>
      </c>
      <c r="I589" s="184"/>
      <c r="J589" s="215">
        <v>841</v>
      </c>
      <c r="K589" s="163"/>
      <c r="L589" s="163"/>
      <c r="M589" s="163"/>
      <c r="N589" s="163"/>
      <c r="O589" s="163"/>
      <c r="P589" s="163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</row>
    <row r="590" spans="1:26" ht="18.75">
      <c r="A590" s="608"/>
      <c r="B590" s="618"/>
      <c r="C590" s="618"/>
      <c r="D590" s="626" t="s">
        <v>251</v>
      </c>
      <c r="E590" s="626"/>
      <c r="F590" s="626"/>
      <c r="G590" s="762"/>
      <c r="H590" s="76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</row>
    <row r="591" spans="1:26" ht="18.75">
      <c r="A591" s="696"/>
      <c r="B591" s="697"/>
      <c r="C591" s="697"/>
      <c r="D591" s="697"/>
      <c r="E591" s="578"/>
      <c r="F591" s="578"/>
      <c r="G591" s="698"/>
      <c r="H591" s="699" t="s">
        <v>34</v>
      </c>
      <c r="I591" s="700"/>
      <c r="J591" s="701">
        <v>0</v>
      </c>
      <c r="K591" s="702"/>
      <c r="L591" s="702"/>
      <c r="M591" s="702"/>
      <c r="N591" s="702"/>
      <c r="O591" s="702"/>
      <c r="P591" s="702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</row>
    <row r="592" spans="1:26" ht="19.5">
      <c r="A592" s="692"/>
      <c r="B592" s="693" t="s">
        <v>252</v>
      </c>
      <c r="C592" s="694"/>
      <c r="D592" s="694"/>
      <c r="E592" s="673"/>
      <c r="F592" s="673"/>
      <c r="G592" s="674"/>
      <c r="H592" s="695" t="s">
        <v>46</v>
      </c>
      <c r="I592" s="703">
        <f t="shared" ref="I592:J592" ca="1" si="253">I593</f>
        <v>3008.54</v>
      </c>
      <c r="J592" s="708">
        <f t="shared" si="253"/>
        <v>2622.0549999999998</v>
      </c>
      <c r="K592" s="677">
        <f t="shared" ref="K592:K594" ca="1" si="254">IF(I592&gt;0,J592*100/I592,0)</f>
        <v>87.153735699043395</v>
      </c>
      <c r="L592" s="678"/>
      <c r="M592" s="678"/>
      <c r="N592" s="678"/>
      <c r="O592" s="678"/>
      <c r="P592" s="6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</row>
    <row r="593" spans="1:26" ht="19.5">
      <c r="A593" s="608"/>
      <c r="B593" s="618"/>
      <c r="C593" s="625" t="s">
        <v>253</v>
      </c>
      <c r="D593" s="618"/>
      <c r="E593" s="618"/>
      <c r="F593" s="626"/>
      <c r="G593" s="762"/>
      <c r="H593" s="767" t="s">
        <v>46</v>
      </c>
      <c r="I593" s="704">
        <f ca="1">IFERROR(__xludf.DUMMYFUNCTION("IMPORTRANGE(""https://docs.google.com/spreadsheets/d/1QqKyyYR6Q21VydFLVH3TRQUabQu_ym0Zz7PgGX0-kHA/edit?usp=sharing"",""แผน!HJ35"")"),3008.54)</f>
        <v>3008.54</v>
      </c>
      <c r="J593" s="193">
        <f t="shared" ref="J593:J594" si="255">J595+J603+J609</f>
        <v>2622.0549999999998</v>
      </c>
      <c r="K593" s="411">
        <f t="shared" ca="1" si="254"/>
        <v>87.153735699043395</v>
      </c>
      <c r="L593" s="163"/>
      <c r="M593" s="163"/>
      <c r="N593" s="163"/>
      <c r="O593" s="163"/>
      <c r="P593" s="163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</row>
    <row r="594" spans="1:26" ht="19.5">
      <c r="A594" s="608"/>
      <c r="B594" s="618"/>
      <c r="C594" s="618"/>
      <c r="D594" s="618"/>
      <c r="E594" s="626"/>
      <c r="F594" s="626"/>
      <c r="G594" s="762"/>
      <c r="H594" s="767" t="s">
        <v>34</v>
      </c>
      <c r="I594" s="193">
        <f ca="1">IFERROR(__xludf.DUMMYFUNCTION("IMPORTRANGE(""https://docs.google.com/spreadsheets/d/1QqKyyYR6Q21VydFLVH3TRQUabQu_ym0Zz7PgGX0-kHA/edit?usp=sharing"",""แผน!HI35"")"),222)</f>
        <v>222</v>
      </c>
      <c r="J594" s="193">
        <f t="shared" si="255"/>
        <v>196</v>
      </c>
      <c r="K594" s="411">
        <f t="shared" ca="1" si="254"/>
        <v>88.288288288288285</v>
      </c>
      <c r="L594" s="163"/>
      <c r="M594" s="163"/>
      <c r="N594" s="163"/>
      <c r="O594" s="163"/>
      <c r="P594" s="163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</row>
    <row r="595" spans="1:26" ht="18.75">
      <c r="A595" s="608"/>
      <c r="B595" s="618"/>
      <c r="C595" s="618" t="s">
        <v>254</v>
      </c>
      <c r="D595" s="618"/>
      <c r="E595" s="618"/>
      <c r="F595" s="626"/>
      <c r="G595" s="762"/>
      <c r="H595" s="764" t="s">
        <v>46</v>
      </c>
      <c r="I595" s="184"/>
      <c r="J595" s="184">
        <f t="shared" ref="J595:J596" si="256">J597+J599</f>
        <v>2404.63</v>
      </c>
      <c r="K595" s="163"/>
      <c r="L595" s="163"/>
      <c r="M595" s="163"/>
      <c r="N595" s="163"/>
      <c r="O595" s="163"/>
      <c r="P595" s="163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</row>
    <row r="596" spans="1:26" ht="18.75">
      <c r="A596" s="608"/>
      <c r="B596" s="618"/>
      <c r="C596" s="618"/>
      <c r="D596" s="618"/>
      <c r="E596" s="626"/>
      <c r="F596" s="626"/>
      <c r="G596" s="762"/>
      <c r="H596" s="764" t="s">
        <v>34</v>
      </c>
      <c r="I596" s="184"/>
      <c r="J596" s="184">
        <f t="shared" si="256"/>
        <v>179</v>
      </c>
      <c r="K596" s="163"/>
      <c r="L596" s="163"/>
      <c r="M596" s="163"/>
      <c r="N596" s="163"/>
      <c r="O596" s="163"/>
      <c r="P596" s="163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</row>
    <row r="597" spans="1:26" ht="18.75">
      <c r="A597" s="608"/>
      <c r="B597" s="618"/>
      <c r="C597" s="618"/>
      <c r="D597" s="746" t="s">
        <v>255</v>
      </c>
      <c r="E597" s="626"/>
      <c r="F597" s="626"/>
      <c r="G597" s="762"/>
      <c r="H597" s="764" t="s">
        <v>46</v>
      </c>
      <c r="I597" s="184"/>
      <c r="J597" s="215">
        <v>2382.9875000000002</v>
      </c>
      <c r="K597" s="163"/>
      <c r="L597" s="163"/>
      <c r="M597" s="163"/>
      <c r="N597" s="163"/>
      <c r="O597" s="163"/>
      <c r="P597" s="163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</row>
    <row r="598" spans="1:26" ht="18.75">
      <c r="A598" s="608"/>
      <c r="B598" s="618"/>
      <c r="C598" s="618"/>
      <c r="D598" s="618"/>
      <c r="E598" s="626"/>
      <c r="F598" s="626"/>
      <c r="G598" s="762"/>
      <c r="H598" s="764" t="s">
        <v>34</v>
      </c>
      <c r="I598" s="270"/>
      <c r="J598" s="215">
        <v>177</v>
      </c>
      <c r="K598" s="163"/>
      <c r="L598" s="163"/>
      <c r="M598" s="163"/>
      <c r="N598" s="163"/>
      <c r="O598" s="163"/>
      <c r="P598" s="163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</row>
    <row r="599" spans="1:26" ht="18.75">
      <c r="A599" s="608"/>
      <c r="B599" s="618"/>
      <c r="C599" s="618"/>
      <c r="D599" s="746" t="s">
        <v>256</v>
      </c>
      <c r="E599" s="626"/>
      <c r="F599" s="626"/>
      <c r="G599" s="762"/>
      <c r="H599" s="764" t="s">
        <v>46</v>
      </c>
      <c r="I599" s="270"/>
      <c r="J599" s="215">
        <v>21.642499999999998</v>
      </c>
      <c r="K599" s="163"/>
      <c r="L599" s="163"/>
      <c r="M599" s="163"/>
      <c r="N599" s="163"/>
      <c r="O599" s="163"/>
      <c r="P599" s="163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</row>
    <row r="600" spans="1:26" ht="18.75">
      <c r="A600" s="608"/>
      <c r="B600" s="618"/>
      <c r="C600" s="618"/>
      <c r="D600" s="618"/>
      <c r="E600" s="626"/>
      <c r="F600" s="626"/>
      <c r="G600" s="762"/>
      <c r="H600" s="764" t="s">
        <v>34</v>
      </c>
      <c r="I600" s="270"/>
      <c r="J600" s="215">
        <v>2</v>
      </c>
      <c r="K600" s="163"/>
      <c r="L600" s="163"/>
      <c r="M600" s="163"/>
      <c r="N600" s="163"/>
      <c r="O600" s="163"/>
      <c r="P600" s="163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</row>
    <row r="601" spans="1:26" ht="18.75">
      <c r="A601" s="608"/>
      <c r="B601" s="618"/>
      <c r="C601" s="618"/>
      <c r="D601" s="746" t="s">
        <v>257</v>
      </c>
      <c r="E601" s="626"/>
      <c r="F601" s="626"/>
      <c r="G601" s="762"/>
      <c r="H601" s="764" t="s">
        <v>46</v>
      </c>
      <c r="I601" s="270"/>
      <c r="J601" s="215">
        <v>21.642499999999998</v>
      </c>
      <c r="K601" s="163"/>
      <c r="L601" s="163"/>
      <c r="M601" s="163"/>
      <c r="N601" s="163"/>
      <c r="O601" s="163"/>
      <c r="P601" s="163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</row>
    <row r="602" spans="1:26" ht="18.75">
      <c r="A602" s="608"/>
      <c r="B602" s="618"/>
      <c r="C602" s="618"/>
      <c r="D602" s="618"/>
      <c r="E602" s="626"/>
      <c r="F602" s="626"/>
      <c r="G602" s="762"/>
      <c r="H602" s="764" t="s">
        <v>34</v>
      </c>
      <c r="I602" s="270"/>
      <c r="J602" s="215">
        <v>2</v>
      </c>
      <c r="K602" s="163"/>
      <c r="L602" s="163"/>
      <c r="M602" s="163"/>
      <c r="N602" s="163"/>
      <c r="O602" s="163"/>
      <c r="P602" s="163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</row>
    <row r="603" spans="1:26" ht="18.75">
      <c r="A603" s="608"/>
      <c r="B603" s="618"/>
      <c r="C603" s="705" t="s">
        <v>258</v>
      </c>
      <c r="D603" s="618"/>
      <c r="E603" s="618"/>
      <c r="F603" s="626"/>
      <c r="G603" s="762"/>
      <c r="H603" s="764" t="s">
        <v>46</v>
      </c>
      <c r="I603" s="270"/>
      <c r="J603" s="270">
        <f t="shared" ref="J603:J604" si="257">J605+J607</f>
        <v>201.20499999999998</v>
      </c>
      <c r="K603" s="163"/>
      <c r="L603" s="163"/>
      <c r="M603" s="163"/>
      <c r="N603" s="163"/>
      <c r="O603" s="163"/>
      <c r="P603" s="163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</row>
    <row r="604" spans="1:26" ht="18.75">
      <c r="A604" s="608"/>
      <c r="B604" s="618"/>
      <c r="C604" s="618"/>
      <c r="D604" s="618"/>
      <c r="E604" s="626"/>
      <c r="F604" s="626"/>
      <c r="G604" s="762"/>
      <c r="H604" s="764" t="s">
        <v>34</v>
      </c>
      <c r="I604" s="270"/>
      <c r="J604" s="270">
        <f t="shared" si="257"/>
        <v>14</v>
      </c>
      <c r="K604" s="163"/>
      <c r="L604" s="163"/>
      <c r="M604" s="163"/>
      <c r="N604" s="163"/>
      <c r="O604" s="163"/>
      <c r="P604" s="163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</row>
    <row r="605" spans="1:26" ht="18.75">
      <c r="A605" s="608"/>
      <c r="B605" s="618"/>
      <c r="C605" s="618"/>
      <c r="D605" s="705" t="s">
        <v>259</v>
      </c>
      <c r="E605" s="626"/>
      <c r="F605" s="626"/>
      <c r="G605" s="762"/>
      <c r="H605" s="764" t="s">
        <v>46</v>
      </c>
      <c r="I605" s="270"/>
      <c r="J605" s="215">
        <v>197.94</v>
      </c>
      <c r="K605" s="163"/>
      <c r="L605" s="163"/>
      <c r="M605" s="163"/>
      <c r="N605" s="163"/>
      <c r="O605" s="163"/>
      <c r="P605" s="163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</row>
    <row r="606" spans="1:26" ht="18.75">
      <c r="A606" s="608"/>
      <c r="B606" s="618"/>
      <c r="C606" s="618"/>
      <c r="D606" s="618"/>
      <c r="E606" s="618"/>
      <c r="F606" s="626"/>
      <c r="G606" s="762"/>
      <c r="H606" s="764" t="s">
        <v>34</v>
      </c>
      <c r="I606" s="270"/>
      <c r="J606" s="215">
        <v>13</v>
      </c>
      <c r="K606" s="163"/>
      <c r="L606" s="163"/>
      <c r="M606" s="163"/>
      <c r="N606" s="163"/>
      <c r="O606" s="163"/>
      <c r="P606" s="163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</row>
    <row r="607" spans="1:26" ht="18.75">
      <c r="A607" s="608"/>
      <c r="B607" s="618"/>
      <c r="C607" s="618"/>
      <c r="D607" s="705" t="s">
        <v>260</v>
      </c>
      <c r="E607" s="618"/>
      <c r="F607" s="626"/>
      <c r="G607" s="762"/>
      <c r="H607" s="764" t="s">
        <v>46</v>
      </c>
      <c r="I607" s="270"/>
      <c r="J607" s="215">
        <v>3.2650000000000001</v>
      </c>
      <c r="K607" s="163"/>
      <c r="L607" s="163"/>
      <c r="M607" s="163"/>
      <c r="N607" s="163"/>
      <c r="O607" s="163"/>
      <c r="P607" s="163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</row>
    <row r="608" spans="1:26" ht="18.75">
      <c r="A608" s="608"/>
      <c r="B608" s="618"/>
      <c r="C608" s="618"/>
      <c r="D608" s="618"/>
      <c r="E608" s="626"/>
      <c r="F608" s="626"/>
      <c r="G608" s="762"/>
      <c r="H608" s="764" t="s">
        <v>34</v>
      </c>
      <c r="I608" s="270"/>
      <c r="J608" s="215">
        <v>1</v>
      </c>
      <c r="K608" s="163"/>
      <c r="L608" s="163"/>
      <c r="M608" s="163"/>
      <c r="N608" s="163"/>
      <c r="O608" s="163"/>
      <c r="P608" s="163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</row>
    <row r="609" spans="1:26" ht="18.75">
      <c r="A609" s="608"/>
      <c r="B609" s="618"/>
      <c r="C609" s="618" t="s">
        <v>261</v>
      </c>
      <c r="D609" s="618"/>
      <c r="E609" s="618"/>
      <c r="F609" s="626"/>
      <c r="G609" s="762"/>
      <c r="H609" s="764" t="s">
        <v>46</v>
      </c>
      <c r="I609" s="270"/>
      <c r="J609" s="215">
        <v>16.22</v>
      </c>
      <c r="K609" s="163"/>
      <c r="L609" s="163"/>
      <c r="M609" s="163"/>
      <c r="N609" s="163"/>
      <c r="O609" s="163"/>
      <c r="P609" s="163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</row>
    <row r="610" spans="1:26" ht="18.75">
      <c r="A610" s="608"/>
      <c r="B610" s="618"/>
      <c r="C610" s="618"/>
      <c r="D610" s="618"/>
      <c r="E610" s="626"/>
      <c r="F610" s="626"/>
      <c r="G610" s="762"/>
      <c r="H610" s="764" t="s">
        <v>34</v>
      </c>
      <c r="I610" s="270"/>
      <c r="J610" s="215">
        <v>3</v>
      </c>
      <c r="K610" s="163"/>
      <c r="L610" s="163"/>
      <c r="M610" s="163"/>
      <c r="N610" s="163"/>
      <c r="O610" s="163"/>
      <c r="P610" s="163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</row>
    <row r="611" spans="1:26" ht="19.5">
      <c r="A611" s="692"/>
      <c r="B611" s="706" t="s">
        <v>262</v>
      </c>
      <c r="C611" s="694"/>
      <c r="D611" s="694"/>
      <c r="E611" s="673"/>
      <c r="F611" s="673"/>
      <c r="G611" s="674"/>
      <c r="H611" s="707" t="s">
        <v>46</v>
      </c>
      <c r="I611" s="708">
        <v>0</v>
      </c>
      <c r="J611" s="708">
        <f>J614+J616</f>
        <v>0</v>
      </c>
      <c r="K611" s="677">
        <f t="shared" ref="K611:K613" si="258">IF(I611&gt;0,J611*100/I611,0)</f>
        <v>0</v>
      </c>
      <c r="L611" s="678"/>
      <c r="M611" s="678"/>
      <c r="N611" s="678"/>
      <c r="O611" s="678"/>
      <c r="P611" s="6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</row>
    <row r="612" spans="1:26" ht="19.5" hidden="1">
      <c r="A612" s="709"/>
      <c r="B612" s="719"/>
      <c r="C612" s="711" t="s">
        <v>263</v>
      </c>
      <c r="D612" s="719"/>
      <c r="E612" s="719"/>
      <c r="F612" s="712"/>
      <c r="G612" s="713"/>
      <c r="H612" s="714" t="s">
        <v>46</v>
      </c>
      <c r="I612" s="716">
        <v>0</v>
      </c>
      <c r="J612" s="716">
        <f t="shared" ref="J612:J613" si="259">J614+J616</f>
        <v>0</v>
      </c>
      <c r="K612" s="717">
        <f t="shared" si="258"/>
        <v>0</v>
      </c>
      <c r="L612" s="718"/>
      <c r="M612" s="718"/>
      <c r="N612" s="718"/>
      <c r="O612" s="718"/>
      <c r="P612" s="718"/>
      <c r="Q612" s="604"/>
      <c r="R612" s="604"/>
      <c r="S612" s="604"/>
      <c r="T612" s="604"/>
      <c r="U612" s="604"/>
      <c r="V612" s="604"/>
      <c r="W612" s="604"/>
      <c r="X612" s="604"/>
      <c r="Y612" s="604"/>
      <c r="Z612" s="604"/>
    </row>
    <row r="613" spans="1:26" ht="19.5" hidden="1">
      <c r="A613" s="709"/>
      <c r="B613" s="719"/>
      <c r="C613" s="719" t="s">
        <v>264</v>
      </c>
      <c r="D613" s="719"/>
      <c r="E613" s="719"/>
      <c r="F613" s="712"/>
      <c r="G613" s="713"/>
      <c r="H613" s="714" t="s">
        <v>34</v>
      </c>
      <c r="I613" s="716">
        <v>0</v>
      </c>
      <c r="J613" s="716">
        <f t="shared" si="259"/>
        <v>0</v>
      </c>
      <c r="K613" s="717">
        <f t="shared" si="258"/>
        <v>0</v>
      </c>
      <c r="L613" s="718"/>
      <c r="M613" s="718"/>
      <c r="N613" s="718"/>
      <c r="O613" s="718"/>
      <c r="P613" s="718"/>
      <c r="Q613" s="604"/>
      <c r="R613" s="604"/>
      <c r="S613" s="604"/>
      <c r="T613" s="604"/>
      <c r="U613" s="604"/>
      <c r="V613" s="604"/>
      <c r="W613" s="604"/>
      <c r="X613" s="604"/>
      <c r="Y613" s="604"/>
      <c r="Z613" s="604"/>
    </row>
    <row r="614" spans="1:26" ht="18.75" hidden="1">
      <c r="A614" s="614"/>
      <c r="B614" s="616"/>
      <c r="C614" s="616"/>
      <c r="D614" s="720" t="s">
        <v>265</v>
      </c>
      <c r="E614" s="616"/>
      <c r="F614" s="720"/>
      <c r="G614" s="366"/>
      <c r="H614" s="370" t="s">
        <v>46</v>
      </c>
      <c r="I614" s="617"/>
      <c r="J614" s="617">
        <v>0</v>
      </c>
      <c r="K614" s="167"/>
      <c r="L614" s="167"/>
      <c r="M614" s="167"/>
      <c r="N614" s="167"/>
      <c r="O614" s="167"/>
      <c r="P614" s="167"/>
      <c r="Q614" s="604"/>
      <c r="R614" s="604"/>
      <c r="S614" s="604"/>
      <c r="T614" s="604"/>
      <c r="U614" s="604"/>
      <c r="V614" s="604"/>
      <c r="W614" s="604"/>
      <c r="X614" s="604"/>
      <c r="Y614" s="604"/>
      <c r="Z614" s="604"/>
    </row>
    <row r="615" spans="1:26" ht="18.75" hidden="1">
      <c r="A615" s="614"/>
      <c r="B615" s="616"/>
      <c r="C615" s="616"/>
      <c r="D615" s="616"/>
      <c r="E615" s="616"/>
      <c r="F615" s="720"/>
      <c r="G615" s="366"/>
      <c r="H615" s="370" t="s">
        <v>34</v>
      </c>
      <c r="I615" s="617"/>
      <c r="J615" s="617">
        <v>0</v>
      </c>
      <c r="K615" s="167"/>
      <c r="L615" s="167"/>
      <c r="M615" s="167"/>
      <c r="N615" s="167"/>
      <c r="O615" s="167"/>
      <c r="P615" s="167"/>
      <c r="Q615" s="604"/>
      <c r="R615" s="604"/>
      <c r="S615" s="604"/>
      <c r="T615" s="604"/>
      <c r="U615" s="604"/>
      <c r="V615" s="604"/>
      <c r="W615" s="604"/>
      <c r="X615" s="604"/>
      <c r="Y615" s="604"/>
      <c r="Z615" s="604"/>
    </row>
    <row r="616" spans="1:26" ht="18.75" hidden="1">
      <c r="A616" s="614"/>
      <c r="B616" s="616"/>
      <c r="C616" s="616"/>
      <c r="D616" s="721" t="s">
        <v>265</v>
      </c>
      <c r="E616" s="720"/>
      <c r="F616" s="720"/>
      <c r="G616" s="366"/>
      <c r="H616" s="370" t="s">
        <v>46</v>
      </c>
      <c r="I616" s="617"/>
      <c r="J616" s="617">
        <v>0</v>
      </c>
      <c r="K616" s="167"/>
      <c r="L616" s="167"/>
      <c r="M616" s="167"/>
      <c r="N616" s="167"/>
      <c r="O616" s="167"/>
      <c r="P616" s="167"/>
      <c r="Q616" s="604"/>
      <c r="R616" s="604"/>
      <c r="S616" s="604"/>
      <c r="T616" s="604"/>
      <c r="U616" s="604"/>
      <c r="V616" s="604"/>
      <c r="W616" s="604"/>
      <c r="X616" s="604"/>
      <c r="Y616" s="604"/>
      <c r="Z616" s="604"/>
    </row>
    <row r="617" spans="1:26" ht="18.75" hidden="1">
      <c r="A617" s="614"/>
      <c r="B617" s="616"/>
      <c r="C617" s="616"/>
      <c r="D617" s="616"/>
      <c r="E617" s="720"/>
      <c r="F617" s="720"/>
      <c r="G617" s="366"/>
      <c r="H617" s="370" t="s">
        <v>34</v>
      </c>
      <c r="I617" s="617"/>
      <c r="J617" s="617">
        <v>0</v>
      </c>
      <c r="K617" s="167"/>
      <c r="L617" s="167"/>
      <c r="M617" s="167"/>
      <c r="N617" s="167"/>
      <c r="O617" s="167"/>
      <c r="P617" s="167"/>
      <c r="Q617" s="604"/>
      <c r="R617" s="604"/>
      <c r="S617" s="604"/>
      <c r="T617" s="604"/>
      <c r="U617" s="604"/>
      <c r="V617" s="604"/>
      <c r="W617" s="604"/>
      <c r="X617" s="604"/>
      <c r="Y617" s="604"/>
      <c r="Z617" s="604"/>
    </row>
    <row r="618" spans="1:26" ht="18.75" hidden="1">
      <c r="A618" s="614"/>
      <c r="B618" s="616"/>
      <c r="C618" s="616"/>
      <c r="D618" s="721" t="s">
        <v>266</v>
      </c>
      <c r="E618" s="720"/>
      <c r="F618" s="720"/>
      <c r="G618" s="366"/>
      <c r="H618" s="370" t="s">
        <v>46</v>
      </c>
      <c r="I618" s="617"/>
      <c r="J618" s="617">
        <v>0</v>
      </c>
      <c r="K618" s="167"/>
      <c r="L618" s="167"/>
      <c r="M618" s="167"/>
      <c r="N618" s="167"/>
      <c r="O618" s="167"/>
      <c r="P618" s="167"/>
      <c r="Q618" s="604"/>
      <c r="R618" s="604"/>
      <c r="S618" s="604"/>
      <c r="T618" s="604"/>
      <c r="U618" s="604"/>
      <c r="V618" s="604"/>
      <c r="W618" s="604"/>
      <c r="X618" s="604"/>
      <c r="Y618" s="604"/>
      <c r="Z618" s="604"/>
    </row>
    <row r="619" spans="1:26" ht="18.75" hidden="1">
      <c r="A619" s="614"/>
      <c r="B619" s="616"/>
      <c r="C619" s="616"/>
      <c r="D619" s="616"/>
      <c r="E619" s="720"/>
      <c r="F619" s="720"/>
      <c r="G619" s="366"/>
      <c r="H619" s="370" t="s">
        <v>34</v>
      </c>
      <c r="I619" s="617"/>
      <c r="J619" s="617">
        <v>0</v>
      </c>
      <c r="K619" s="167"/>
      <c r="L619" s="167"/>
      <c r="M619" s="167"/>
      <c r="N619" s="167"/>
      <c r="O619" s="167"/>
      <c r="P619" s="167"/>
      <c r="Q619" s="604"/>
      <c r="R619" s="604"/>
      <c r="S619" s="604"/>
      <c r="T619" s="604"/>
      <c r="U619" s="604"/>
      <c r="V619" s="604"/>
      <c r="W619" s="604"/>
      <c r="X619" s="604"/>
      <c r="Y619" s="604"/>
      <c r="Z619" s="604"/>
    </row>
    <row r="620" spans="1:26" ht="19.5">
      <c r="A620" s="722"/>
      <c r="B620" s="731"/>
      <c r="C620" s="724" t="s">
        <v>267</v>
      </c>
      <c r="D620" s="731"/>
      <c r="E620" s="731"/>
      <c r="F620" s="725"/>
      <c r="G620" s="726"/>
      <c r="H620" s="727" t="s">
        <v>46</v>
      </c>
      <c r="I620" s="728">
        <f ca="1">IFERROR(__xludf.DUMMYFUNCTION("IMPORTRANGE(""https://docs.google.com/spreadsheets/d/1QqKyyYR6Q21VydFLVH3TRQUabQu_ym0Zz7PgGX0-kHA/edit?usp=sharing"",""แผน!HL35"")"),79)</f>
        <v>79</v>
      </c>
      <c r="J620" s="728">
        <f t="shared" ref="J620:J621" si="260">J622+J624+J626</f>
        <v>79</v>
      </c>
      <c r="K620" s="729">
        <f t="shared" ref="K620:K621" ca="1" si="261">IF(I620&gt;0,J620*100/I620,0)</f>
        <v>100</v>
      </c>
      <c r="L620" s="730"/>
      <c r="M620" s="730"/>
      <c r="N620" s="730"/>
      <c r="O620" s="730"/>
      <c r="P620" s="730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</row>
    <row r="621" spans="1:26" ht="19.5">
      <c r="A621" s="722"/>
      <c r="B621" s="731"/>
      <c r="C621" s="731" t="s">
        <v>268</v>
      </c>
      <c r="D621" s="731"/>
      <c r="E621" s="731"/>
      <c r="F621" s="725"/>
      <c r="G621" s="726"/>
      <c r="H621" s="727" t="s">
        <v>34</v>
      </c>
      <c r="I621" s="728">
        <f ca="1">IFERROR(__xludf.DUMMYFUNCTION("IMPORTRANGE(""https://docs.google.com/spreadsheets/d/1QqKyyYR6Q21VydFLVH3TRQUabQu_ym0Zz7PgGX0-kHA/edit?usp=sharing"",""แผน!HK35"")"),4)</f>
        <v>4</v>
      </c>
      <c r="J621" s="728">
        <f t="shared" si="260"/>
        <v>4</v>
      </c>
      <c r="K621" s="729">
        <f t="shared" ca="1" si="261"/>
        <v>100</v>
      </c>
      <c r="L621" s="730"/>
      <c r="M621" s="730"/>
      <c r="N621" s="730"/>
      <c r="O621" s="730"/>
      <c r="P621" s="730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</row>
    <row r="622" spans="1:26" ht="18.75">
      <c r="A622" s="608"/>
      <c r="B622" s="618"/>
      <c r="C622" s="618"/>
      <c r="D622" s="746" t="s">
        <v>269</v>
      </c>
      <c r="E622" s="626"/>
      <c r="F622" s="626"/>
      <c r="G622" s="762"/>
      <c r="H622" s="764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</row>
    <row r="623" spans="1:26" ht="18.75">
      <c r="A623" s="608"/>
      <c r="B623" s="618"/>
      <c r="C623" s="618"/>
      <c r="D623" s="618"/>
      <c r="E623" s="626"/>
      <c r="F623" s="626"/>
      <c r="G623" s="762"/>
      <c r="H623" s="764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</row>
    <row r="624" spans="1:26" ht="18.75">
      <c r="A624" s="608"/>
      <c r="B624" s="618"/>
      <c r="C624" s="618"/>
      <c r="D624" s="746" t="s">
        <v>265</v>
      </c>
      <c r="E624" s="626"/>
      <c r="F624" s="626"/>
      <c r="G624" s="762"/>
      <c r="H624" s="764" t="s">
        <v>46</v>
      </c>
      <c r="I624" s="270"/>
      <c r="J624" s="215">
        <v>79</v>
      </c>
      <c r="K624" s="163"/>
      <c r="L624" s="163"/>
      <c r="M624" s="163"/>
      <c r="N624" s="163"/>
      <c r="O624" s="163"/>
      <c r="P624" s="163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</row>
    <row r="625" spans="1:26" ht="18.75">
      <c r="A625" s="608"/>
      <c r="B625" s="618"/>
      <c r="C625" s="618"/>
      <c r="D625" s="618"/>
      <c r="E625" s="626"/>
      <c r="F625" s="626"/>
      <c r="G625" s="762"/>
      <c r="H625" s="764" t="s">
        <v>34</v>
      </c>
      <c r="I625" s="270"/>
      <c r="J625" s="215">
        <v>4</v>
      </c>
      <c r="K625" s="163"/>
      <c r="L625" s="163"/>
      <c r="M625" s="163"/>
      <c r="N625" s="163"/>
      <c r="O625" s="163"/>
      <c r="P625" s="163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</row>
    <row r="626" spans="1:26" ht="18.75">
      <c r="A626" s="608"/>
      <c r="B626" s="618"/>
      <c r="C626" s="618"/>
      <c r="D626" s="746" t="s">
        <v>270</v>
      </c>
      <c r="E626" s="626"/>
      <c r="F626" s="626"/>
      <c r="G626" s="762"/>
      <c r="H626" s="76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</row>
    <row r="627" spans="1:26" ht="18.75">
      <c r="A627" s="732"/>
      <c r="B627" s="733"/>
      <c r="C627" s="733"/>
      <c r="D627" s="733"/>
      <c r="E627" s="734"/>
      <c r="F627" s="734"/>
      <c r="G627" s="735"/>
      <c r="H627" s="422" t="s">
        <v>34</v>
      </c>
      <c r="I627" s="506"/>
      <c r="J627" s="424">
        <v>0</v>
      </c>
      <c r="K627" s="385"/>
      <c r="L627" s="385"/>
      <c r="M627" s="385"/>
      <c r="N627" s="385"/>
      <c r="O627" s="385"/>
      <c r="P627" s="385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</row>
    <row r="628" spans="1:26" ht="19.5" hidden="1">
      <c r="A628" s="736">
        <v>7</v>
      </c>
      <c r="B628" s="737" t="s">
        <v>271</v>
      </c>
      <c r="C628" s="738"/>
      <c r="D628" s="738"/>
      <c r="E628" s="738"/>
      <c r="F628" s="738"/>
      <c r="G628" s="739"/>
      <c r="H628" s="740" t="s">
        <v>35</v>
      </c>
      <c r="I628" s="741">
        <f t="shared" ref="I628:J628" ca="1" si="262">I651</f>
        <v>0</v>
      </c>
      <c r="J628" s="741">
        <f t="shared" ca="1" si="262"/>
        <v>0</v>
      </c>
      <c r="K628" s="742">
        <f ca="1">IF(I628&gt;0,J628*100/I628,0)</f>
        <v>0</v>
      </c>
      <c r="L628" s="743"/>
      <c r="M628" s="743"/>
      <c r="N628" s="743"/>
      <c r="O628" s="743"/>
      <c r="P628" s="743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</row>
    <row r="629" spans="1:26" ht="19.5" hidden="1">
      <c r="A629" s="597"/>
      <c r="B629" s="763"/>
      <c r="C629" s="763" t="s">
        <v>16</v>
      </c>
      <c r="D629" s="863" t="s">
        <v>17</v>
      </c>
      <c r="E629" s="857"/>
      <c r="F629" s="857"/>
      <c r="G629" s="189"/>
      <c r="H629" s="598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</row>
    <row r="630" spans="1:26" ht="18.75" hidden="1">
      <c r="A630" s="599"/>
      <c r="B630" s="759"/>
      <c r="C630" s="759"/>
      <c r="D630" s="720"/>
      <c r="E630" s="759" t="s">
        <v>185</v>
      </c>
      <c r="F630" s="759"/>
      <c r="G630" s="603"/>
      <c r="H630" s="165" t="s">
        <v>12</v>
      </c>
      <c r="I630" s="617"/>
      <c r="J630" s="617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4"/>
      <c r="R630" s="604"/>
      <c r="S630" s="604"/>
      <c r="T630" s="604"/>
      <c r="U630" s="604"/>
      <c r="V630" s="604"/>
      <c r="W630" s="604"/>
      <c r="X630" s="604"/>
      <c r="Y630" s="604"/>
      <c r="Z630" s="604"/>
    </row>
    <row r="631" spans="1:26" ht="18.75" hidden="1">
      <c r="A631" s="599"/>
      <c r="B631" s="607"/>
      <c r="C631" s="759"/>
      <c r="D631" s="720"/>
      <c r="E631" s="759" t="s">
        <v>186</v>
      </c>
      <c r="F631" s="759"/>
      <c r="G631" s="603"/>
      <c r="H631" s="165" t="s">
        <v>12</v>
      </c>
      <c r="I631" s="617"/>
      <c r="J631" s="617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4"/>
      <c r="R631" s="604"/>
      <c r="S631" s="604"/>
      <c r="T631" s="604"/>
      <c r="U631" s="604"/>
      <c r="V631" s="604"/>
      <c r="W631" s="604"/>
      <c r="X631" s="604"/>
      <c r="Y631" s="604"/>
      <c r="Z631" s="604"/>
    </row>
    <row r="632" spans="1:26" ht="18.75" hidden="1">
      <c r="A632" s="597"/>
      <c r="B632" s="575"/>
      <c r="C632" s="763"/>
      <c r="D632" s="606" t="s">
        <v>20</v>
      </c>
      <c r="E632" s="763"/>
      <c r="F632" s="763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</row>
    <row r="633" spans="1:26" ht="18.75" hidden="1">
      <c r="A633" s="599"/>
      <c r="B633" s="607"/>
      <c r="C633" s="759"/>
      <c r="D633" s="720"/>
      <c r="E633" s="759" t="s">
        <v>185</v>
      </c>
      <c r="F633" s="759"/>
      <c r="G633" s="603"/>
      <c r="H633" s="165" t="s">
        <v>12</v>
      </c>
      <c r="I633" s="617"/>
      <c r="J633" s="617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4"/>
      <c r="R633" s="604"/>
      <c r="S633" s="604"/>
      <c r="T633" s="604"/>
      <c r="U633" s="604"/>
      <c r="V633" s="604"/>
      <c r="W633" s="604"/>
      <c r="X633" s="604"/>
      <c r="Y633" s="604"/>
      <c r="Z633" s="604"/>
    </row>
    <row r="634" spans="1:26" ht="18.75" hidden="1">
      <c r="A634" s="599"/>
      <c r="B634" s="607"/>
      <c r="C634" s="759"/>
      <c r="D634" s="720"/>
      <c r="E634" s="759" t="s">
        <v>186</v>
      </c>
      <c r="F634" s="759"/>
      <c r="G634" s="603"/>
      <c r="H634" s="165" t="s">
        <v>12</v>
      </c>
      <c r="I634" s="617"/>
      <c r="J634" s="617"/>
      <c r="K634" s="93"/>
      <c r="L634" s="93">
        <f ca="1">IFERROR(__xludf.DUMMYFUNCTION("IMPORTRANGE(""https://docs.google.com/spreadsheets/d/1QqKyyYR6Q21VydFLVH3TRQUabQu_ym0Zz7PgGX0-kHA/edit?usp=sharing"",""แผน!HN35"")"),0)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4"/>
      <c r="R634" s="604"/>
      <c r="S634" s="604"/>
      <c r="T634" s="604"/>
      <c r="U634" s="604"/>
      <c r="V634" s="604"/>
      <c r="W634" s="604"/>
      <c r="X634" s="604"/>
      <c r="Y634" s="604"/>
      <c r="Z634" s="604"/>
    </row>
    <row r="635" spans="1:26" ht="18.75" hidden="1">
      <c r="A635" s="574"/>
      <c r="B635" s="575"/>
      <c r="C635" s="763"/>
      <c r="D635" s="763"/>
      <c r="E635" s="763"/>
      <c r="F635" s="763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40">
        <v>0</v>
      </c>
      <c r="O635" s="498"/>
      <c r="P635" s="49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</row>
    <row r="636" spans="1:26" ht="18.75" hidden="1">
      <c r="A636" s="574"/>
      <c r="B636" s="575"/>
      <c r="C636" s="763"/>
      <c r="D636" s="763"/>
      <c r="E636" s="763"/>
      <c r="F636" s="763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40">
        <v>0</v>
      </c>
      <c r="O636" s="498"/>
      <c r="P636" s="49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</row>
    <row r="637" spans="1:26" ht="18.75" hidden="1">
      <c r="A637" s="574"/>
      <c r="B637" s="575"/>
      <c r="C637" s="763"/>
      <c r="D637" s="763"/>
      <c r="E637" s="763"/>
      <c r="F637" s="763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40">
        <v>0</v>
      </c>
      <c r="O637" s="498"/>
      <c r="P637" s="498"/>
      <c r="Q637" s="578"/>
      <c r="R637" s="578"/>
      <c r="S637" s="578"/>
      <c r="T637" s="578"/>
      <c r="U637" s="578"/>
      <c r="V637" s="578"/>
      <c r="W637" s="578"/>
      <c r="X637" s="578"/>
      <c r="Y637" s="578"/>
      <c r="Z637" s="578"/>
    </row>
    <row r="638" spans="1:26" ht="18.75" hidden="1">
      <c r="A638" s="574"/>
      <c r="B638" s="575"/>
      <c r="C638" s="763"/>
      <c r="D638" s="763"/>
      <c r="E638" s="763"/>
      <c r="F638" s="763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40">
        <v>0</v>
      </c>
      <c r="O638" s="498"/>
      <c r="P638" s="49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</row>
    <row r="639" spans="1:26" ht="18.75" hidden="1">
      <c r="A639" s="597"/>
      <c r="B639" s="575"/>
      <c r="C639" s="763"/>
      <c r="D639" s="606" t="s">
        <v>21</v>
      </c>
      <c r="E639" s="763"/>
      <c r="F639" s="763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</row>
    <row r="640" spans="1:26" ht="18.75" hidden="1">
      <c r="A640" s="599"/>
      <c r="B640" s="607"/>
      <c r="C640" s="759"/>
      <c r="D640" s="759"/>
      <c r="E640" s="759" t="s">
        <v>18</v>
      </c>
      <c r="F640" s="759"/>
      <c r="G640" s="603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4"/>
      <c r="R640" s="604"/>
      <c r="S640" s="604"/>
      <c r="T640" s="604"/>
      <c r="U640" s="604"/>
      <c r="V640" s="604"/>
      <c r="W640" s="604"/>
      <c r="X640" s="604"/>
      <c r="Y640" s="604"/>
      <c r="Z640" s="604"/>
    </row>
    <row r="641" spans="1:26" ht="18.75" hidden="1">
      <c r="A641" s="599"/>
      <c r="B641" s="607"/>
      <c r="C641" s="759"/>
      <c r="D641" s="759"/>
      <c r="E641" s="759" t="s">
        <v>19</v>
      </c>
      <c r="F641" s="759"/>
      <c r="G641" s="603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4"/>
      <c r="R641" s="604"/>
      <c r="S641" s="604"/>
      <c r="T641" s="604"/>
      <c r="U641" s="604"/>
      <c r="V641" s="604"/>
      <c r="W641" s="604"/>
      <c r="X641" s="604"/>
      <c r="Y641" s="604"/>
      <c r="Z641" s="604"/>
    </row>
    <row r="642" spans="1:26" ht="19.5" hidden="1">
      <c r="A642" s="608"/>
      <c r="B642" s="618"/>
      <c r="C642" s="763" t="s">
        <v>16</v>
      </c>
      <c r="D642" s="896" t="s">
        <v>38</v>
      </c>
      <c r="E642" s="761"/>
      <c r="F642" s="761"/>
      <c r="G642" s="613"/>
      <c r="H642" s="762"/>
      <c r="I642" s="184"/>
      <c r="J642" s="184"/>
      <c r="K642" s="163"/>
      <c r="L642" s="163"/>
      <c r="M642" s="163"/>
      <c r="N642" s="163"/>
      <c r="O642" s="163"/>
      <c r="P642" s="163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</row>
    <row r="643" spans="1:26" ht="18.75" hidden="1">
      <c r="A643" s="744"/>
      <c r="B643" s="575"/>
      <c r="C643" s="763"/>
      <c r="D643" s="626"/>
      <c r="E643" s="746" t="s">
        <v>272</v>
      </c>
      <c r="F643" s="626"/>
      <c r="G643" s="762"/>
      <c r="H643" s="764" t="s">
        <v>273</v>
      </c>
      <c r="I643" s="270">
        <f ca="1">IFERROR(__xludf.DUMMYFUNCTION("IMPORTRANGE(""https://docs.google.com/spreadsheets/d/1QqKyyYR6Q21VydFLVH3TRQUabQu_ym0Zz7PgGX0-kHA/edit?usp=sharing"",""แผน!HR35"")"),0)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</row>
    <row r="644" spans="1:26" ht="18.75" hidden="1">
      <c r="A644" s="744"/>
      <c r="B644" s="575"/>
      <c r="C644" s="763"/>
      <c r="D644" s="626"/>
      <c r="E644" s="746" t="s">
        <v>274</v>
      </c>
      <c r="F644" s="626"/>
      <c r="G644" s="762"/>
      <c r="H644" s="764" t="s">
        <v>275</v>
      </c>
      <c r="I644" s="270">
        <f ca="1">IFERROR(__xludf.DUMMYFUNCTION("IMPORTRANGE(""https://docs.google.com/spreadsheets/d/1QqKyyYR6Q21VydFLVH3TRQUabQu_ym0Zz7PgGX0-kHA/edit?usp=sharing"",""แผน!HR35"")"),0)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</row>
    <row r="645" spans="1:26" ht="18.75" hidden="1">
      <c r="A645" s="744"/>
      <c r="B645" s="575"/>
      <c r="C645" s="763"/>
      <c r="D645" s="626"/>
      <c r="E645" s="746" t="s">
        <v>276</v>
      </c>
      <c r="F645" s="626"/>
      <c r="G645" s="762"/>
      <c r="H645" s="76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IFERROR(__xludf.DUMMYFUNCTION("IMPORTRANGE(""https://docs.google.com/spreadsheets/d/1XWAQStnk-4SwqDmLtmXYiTMKHgktTP8We1SCoS47DrQ/edit?usp=sharing"",""จัดที่ดิน!AS35"")"),0)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</row>
    <row r="646" spans="1:26" ht="18.75" hidden="1">
      <c r="A646" s="744"/>
      <c r="B646" s="575"/>
      <c r="C646" s="763"/>
      <c r="D646" s="626"/>
      <c r="E646" s="626"/>
      <c r="F646" s="626"/>
      <c r="G646" s="762"/>
      <c r="H646" s="76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IFERROR(__xludf.DUMMYFUNCTION("IMPORTRANGE(""https://docs.google.com/spreadsheets/d/1XWAQStnk-4SwqDmLtmXYiTMKHgktTP8We1SCoS47DrQ/edit?usp=sharing"",""จัดที่ดิน!AT35"")"),0)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</row>
    <row r="647" spans="1:26" ht="18.75" hidden="1">
      <c r="A647" s="744"/>
      <c r="B647" s="575"/>
      <c r="C647" s="763"/>
      <c r="D647" s="626"/>
      <c r="E647" s="746" t="s">
        <v>162</v>
      </c>
      <c r="F647" s="626"/>
      <c r="G647" s="762"/>
      <c r="H647" s="764" t="s">
        <v>35</v>
      </c>
      <c r="I647" s="270">
        <f ca="1">IFERROR(__xludf.DUMMYFUNCTION("IMPORTRANGE(""https://docs.google.com/spreadsheets/d/1QqKyyYR6Q21VydFLVH3TRQUabQu_ym0Zz7PgGX0-kHA/edit?usp=sharing"",""แผน!HS35"")"),0)</f>
        <v>0</v>
      </c>
      <c r="J647" s="270">
        <f ca="1">IFERROR(__xludf.DUMMYFUNCTION("IMPORTRANGE(""https://docs.google.com/spreadsheets/d/1XWAQStnk-4SwqDmLtmXYiTMKHgktTP8We1SCoS47DrQ/edit?usp=sharing"",""จัดที่ดิน!AU35"")"),0)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</row>
    <row r="648" spans="1:26" ht="18.75" hidden="1">
      <c r="A648" s="744"/>
      <c r="B648" s="575"/>
      <c r="C648" s="763"/>
      <c r="D648" s="626"/>
      <c r="E648" s="626"/>
      <c r="F648" s="626"/>
      <c r="G648" s="762"/>
      <c r="H648" s="76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IFERROR(__xludf.DUMMYFUNCTION("IMPORTRANGE(""https://docs.google.com/spreadsheets/d/1XWAQStnk-4SwqDmLtmXYiTMKHgktTP8We1SCoS47DrQ/edit?usp=sharing"",""จัดที่ดิน!AV35"")"),0)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</row>
    <row r="649" spans="1:26" ht="18.75" hidden="1">
      <c r="A649" s="744"/>
      <c r="B649" s="575"/>
      <c r="C649" s="763"/>
      <c r="D649" s="626"/>
      <c r="E649" s="746" t="s">
        <v>277</v>
      </c>
      <c r="F649" s="626"/>
      <c r="G649" s="762"/>
      <c r="H649" s="764" t="s">
        <v>35</v>
      </c>
      <c r="I649" s="270">
        <f ca="1">IFERROR(__xludf.DUMMYFUNCTION("IMPORTRANGE(""https://docs.google.com/spreadsheets/d/1QqKyyYR6Q21VydFLVH3TRQUabQu_ym0Zz7PgGX0-kHA/edit?usp=sharing"",""แผน!HS35"")"),0)</f>
        <v>0</v>
      </c>
      <c r="J649" s="270">
        <f ca="1">IFERROR(__xludf.DUMMYFUNCTION("IMPORTRANGE(""https://docs.google.com/spreadsheets/d/1XWAQStnk-4SwqDmLtmXYiTMKHgktTP8We1SCoS47DrQ/edit?usp=sharing"",""จัดที่ดิน!AW35"")"),0)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</row>
    <row r="650" spans="1:26" ht="18.75" hidden="1">
      <c r="A650" s="744"/>
      <c r="B650" s="575"/>
      <c r="C650" s="763"/>
      <c r="D650" s="626"/>
      <c r="E650" s="626"/>
      <c r="F650" s="626"/>
      <c r="G650" s="762"/>
      <c r="H650" s="76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IFERROR(__xludf.DUMMYFUNCTION("IMPORTRANGE(""https://docs.google.com/spreadsheets/d/1XWAQStnk-4SwqDmLtmXYiTMKHgktTP8We1SCoS47DrQ/edit?usp=sharing"",""จัดที่ดิน!AX35"")"),0)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</row>
    <row r="651" spans="1:26" ht="18.75" hidden="1">
      <c r="A651" s="744"/>
      <c r="B651" s="575"/>
      <c r="C651" s="763"/>
      <c r="D651" s="626"/>
      <c r="E651" s="746" t="s">
        <v>278</v>
      </c>
      <c r="F651" s="626"/>
      <c r="G651" s="762"/>
      <c r="H651" s="764" t="s">
        <v>35</v>
      </c>
      <c r="I651" s="270">
        <f ca="1">IFERROR(__xludf.DUMMYFUNCTION("IMPORTRANGE(""https://docs.google.com/spreadsheets/d/1QqKyyYR6Q21VydFLVH3TRQUabQu_ym0Zz7PgGX0-kHA/edit?usp=sharing"",""แผน!HS35"")"),0)</f>
        <v>0</v>
      </c>
      <c r="J651" s="270">
        <f ca="1">IFERROR(__xludf.DUMMYFUNCTION("IMPORTRANGE(""https://docs.google.com/spreadsheets/d/1XWAQStnk-4SwqDmLtmXYiTMKHgktTP8We1SCoS47DrQ/edit?usp=sharing"",""จัดที่ดิน!AY35"")"),0)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</row>
    <row r="652" spans="1:26" ht="18.75" hidden="1">
      <c r="A652" s="841"/>
      <c r="B652" s="748"/>
      <c r="C652" s="749"/>
      <c r="D652" s="734"/>
      <c r="E652" s="734"/>
      <c r="F652" s="734"/>
      <c r="G652" s="735"/>
      <c r="H652" s="505" t="s">
        <v>46</v>
      </c>
      <c r="I652" s="506">
        <v>0</v>
      </c>
      <c r="J652" s="506">
        <f ca="1">IFERROR(__xludf.DUMMYFUNCTION("IMPORTRANGE(""https://docs.google.com/spreadsheets/d/1XWAQStnk-4SwqDmLtmXYiTMKHgktTP8We1SCoS47DrQ/edit?usp=sharing"",""จัดที่ดิน!AZ35"")"),0)</f>
        <v>0</v>
      </c>
      <c r="K652" s="507">
        <f t="shared" si="271"/>
        <v>0</v>
      </c>
      <c r="L652" s="385"/>
      <c r="M652" s="385"/>
      <c r="N652" s="385"/>
      <c r="O652" s="385"/>
      <c r="P652" s="385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</row>
    <row r="653" spans="1:26" ht="19.5">
      <c r="A653" s="750">
        <v>8</v>
      </c>
      <c r="B653" s="737" t="s">
        <v>279</v>
      </c>
      <c r="C653" s="738"/>
      <c r="D653" s="738"/>
      <c r="E653" s="738"/>
      <c r="F653" s="738"/>
      <c r="G653" s="739"/>
      <c r="H653" s="739"/>
      <c r="I653" s="751"/>
      <c r="J653" s="751"/>
      <c r="K653" s="743"/>
      <c r="L653" s="743"/>
      <c r="M653" s="743"/>
      <c r="N653" s="743"/>
      <c r="O653" s="743"/>
      <c r="P653" s="743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</row>
    <row r="654" spans="1:26" ht="19.5">
      <c r="A654" s="673"/>
      <c r="B654" s="672" t="s">
        <v>280</v>
      </c>
      <c r="C654" s="673"/>
      <c r="D654" s="673"/>
      <c r="E654" s="673"/>
      <c r="F654" s="673"/>
      <c r="G654" s="674"/>
      <c r="H654" s="707" t="s">
        <v>46</v>
      </c>
      <c r="I654" s="708">
        <f t="shared" ref="I654:J654" ca="1" si="272">I669</f>
        <v>50</v>
      </c>
      <c r="J654" s="708">
        <f t="shared" si="272"/>
        <v>0</v>
      </c>
      <c r="K654" s="677">
        <f ca="1">IF(I654&gt;0,J654*100/I654,0)</f>
        <v>0</v>
      </c>
      <c r="L654" s="678"/>
      <c r="M654" s="678"/>
      <c r="N654" s="678"/>
      <c r="O654" s="678"/>
      <c r="P654" s="6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</row>
    <row r="655" spans="1:26" ht="19.5">
      <c r="A655" s="597"/>
      <c r="B655" s="763"/>
      <c r="C655" s="763" t="s">
        <v>16</v>
      </c>
      <c r="D655" s="863" t="s">
        <v>17</v>
      </c>
      <c r="E655" s="857"/>
      <c r="F655" s="857"/>
      <c r="G655" s="189"/>
      <c r="H655" s="598" t="s">
        <v>12</v>
      </c>
      <c r="I655" s="270"/>
      <c r="J655" s="270"/>
      <c r="K655" s="498"/>
      <c r="L655" s="195">
        <f t="shared" ref="L655:N655" ca="1" si="273">L656+L657</f>
        <v>11000</v>
      </c>
      <c r="M655" s="195">
        <f t="shared" ca="1" si="273"/>
        <v>14499</v>
      </c>
      <c r="N655" s="195">
        <f t="shared" si="273"/>
        <v>14499</v>
      </c>
      <c r="O655" s="195">
        <f t="shared" ref="O655:O660" ca="1" si="274">IF(L655&gt;0,N655*100/L655,0)</f>
        <v>131.80909090909091</v>
      </c>
      <c r="P655" s="195">
        <f t="shared" ref="P655:P660" ca="1" si="275">IF(M655&gt;0,N655*100/M655,0)</f>
        <v>100</v>
      </c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</row>
    <row r="656" spans="1:26" ht="18.75" hidden="1">
      <c r="A656" s="599"/>
      <c r="B656" s="759"/>
      <c r="C656" s="759"/>
      <c r="D656" s="720"/>
      <c r="E656" s="759" t="s">
        <v>185</v>
      </c>
      <c r="F656" s="759"/>
      <c r="G656" s="603"/>
      <c r="H656" s="165" t="s">
        <v>12</v>
      </c>
      <c r="I656" s="617"/>
      <c r="J656" s="617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4"/>
      <c r="R656" s="604"/>
      <c r="S656" s="604"/>
      <c r="T656" s="604"/>
      <c r="U656" s="604"/>
      <c r="V656" s="604"/>
      <c r="W656" s="604"/>
      <c r="X656" s="604"/>
      <c r="Y656" s="604"/>
      <c r="Z656" s="604"/>
    </row>
    <row r="657" spans="1:26" ht="18.75" hidden="1">
      <c r="A657" s="599"/>
      <c r="B657" s="607"/>
      <c r="C657" s="759"/>
      <c r="D657" s="720"/>
      <c r="E657" s="759" t="s">
        <v>186</v>
      </c>
      <c r="F657" s="759"/>
      <c r="G657" s="603"/>
      <c r="H657" s="165" t="s">
        <v>12</v>
      </c>
      <c r="I657" s="617"/>
      <c r="J657" s="617"/>
      <c r="K657" s="93"/>
      <c r="L657" s="93">
        <f t="shared" ca="1" si="276"/>
        <v>11000</v>
      </c>
      <c r="M657" s="93">
        <f t="shared" ca="1" si="276"/>
        <v>14499</v>
      </c>
      <c r="N657" s="93">
        <f t="shared" si="276"/>
        <v>14499</v>
      </c>
      <c r="O657" s="93">
        <f t="shared" ca="1" si="274"/>
        <v>131.80909090909091</v>
      </c>
      <c r="P657" s="93">
        <f t="shared" ca="1" si="275"/>
        <v>100</v>
      </c>
      <c r="Q657" s="604"/>
      <c r="R657" s="604"/>
      <c r="S657" s="604"/>
      <c r="T657" s="604"/>
      <c r="U657" s="604"/>
      <c r="V657" s="604"/>
      <c r="W657" s="604"/>
      <c r="X657" s="604"/>
      <c r="Y657" s="604"/>
      <c r="Z657" s="604"/>
    </row>
    <row r="658" spans="1:26" ht="18.75">
      <c r="A658" s="597"/>
      <c r="B658" s="575"/>
      <c r="C658" s="763"/>
      <c r="D658" s="606" t="s">
        <v>20</v>
      </c>
      <c r="E658" s="763"/>
      <c r="F658" s="763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11000</v>
      </c>
      <c r="M658" s="498">
        <f t="shared" ca="1" si="277"/>
        <v>14499</v>
      </c>
      <c r="N658" s="498">
        <f t="shared" si="277"/>
        <v>14499</v>
      </c>
      <c r="O658" s="498">
        <f t="shared" ca="1" si="274"/>
        <v>131.80909090909091</v>
      </c>
      <c r="P658" s="498">
        <f t="shared" ca="1" si="275"/>
        <v>100</v>
      </c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</row>
    <row r="659" spans="1:26" ht="18.75" hidden="1">
      <c r="A659" s="599"/>
      <c r="B659" s="607"/>
      <c r="C659" s="759"/>
      <c r="D659" s="720"/>
      <c r="E659" s="759" t="s">
        <v>185</v>
      </c>
      <c r="F659" s="759"/>
      <c r="G659" s="603"/>
      <c r="H659" s="165" t="s">
        <v>12</v>
      </c>
      <c r="I659" s="617"/>
      <c r="J659" s="617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4"/>
      <c r="R659" s="604"/>
      <c r="S659" s="604"/>
      <c r="T659" s="604"/>
      <c r="U659" s="604"/>
      <c r="V659" s="604"/>
      <c r="W659" s="604"/>
      <c r="X659" s="604"/>
      <c r="Y659" s="604"/>
      <c r="Z659" s="604"/>
    </row>
    <row r="660" spans="1:26" ht="18.75" hidden="1">
      <c r="A660" s="599"/>
      <c r="B660" s="607"/>
      <c r="C660" s="759"/>
      <c r="D660" s="720"/>
      <c r="E660" s="759" t="s">
        <v>186</v>
      </c>
      <c r="F660" s="759"/>
      <c r="G660" s="603"/>
      <c r="H660" s="165" t="s">
        <v>12</v>
      </c>
      <c r="I660" s="617"/>
      <c r="J660" s="617"/>
      <c r="K660" s="93"/>
      <c r="L660" s="93">
        <f ca="1">IFERROR(__xludf.DUMMYFUNCTION("IMPORTRANGE(""https://docs.google.com/spreadsheets/d/1QqKyyYR6Q21VydFLVH3TRQUabQu_ym0Zz7PgGX0-kHA/edit?usp=sharing"",""แผน!HV35"")"),11000)</f>
        <v>11000</v>
      </c>
      <c r="M660" s="93">
        <f ca="1">L660+5970-2471</f>
        <v>14499</v>
      </c>
      <c r="N660" s="93">
        <f>N661+N662+N663+N664</f>
        <v>14499</v>
      </c>
      <c r="O660" s="93">
        <f t="shared" ca="1" si="274"/>
        <v>131.80909090909091</v>
      </c>
      <c r="P660" s="93">
        <f t="shared" ca="1" si="275"/>
        <v>100</v>
      </c>
      <c r="Q660" s="604"/>
      <c r="R660" s="604"/>
      <c r="S660" s="604"/>
      <c r="T660" s="604"/>
      <c r="U660" s="604"/>
      <c r="V660" s="604"/>
      <c r="W660" s="604"/>
      <c r="X660" s="604"/>
      <c r="Y660" s="604"/>
      <c r="Z660" s="604"/>
    </row>
    <row r="661" spans="1:26" ht="18.75">
      <c r="A661" s="574"/>
      <c r="B661" s="575"/>
      <c r="C661" s="763"/>
      <c r="D661" s="763"/>
      <c r="E661" s="763"/>
      <c r="F661" s="763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40">
        <v>0</v>
      </c>
      <c r="O661" s="498"/>
      <c r="P661" s="49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</row>
    <row r="662" spans="1:26" ht="18.75">
      <c r="A662" s="574"/>
      <c r="B662" s="575"/>
      <c r="C662" s="763"/>
      <c r="D662" s="763"/>
      <c r="E662" s="763"/>
      <c r="F662" s="763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40">
        <v>0</v>
      </c>
      <c r="O662" s="498"/>
      <c r="P662" s="49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</row>
    <row r="663" spans="1:26" ht="18.75">
      <c r="A663" s="574"/>
      <c r="B663" s="575"/>
      <c r="C663" s="575"/>
      <c r="D663" s="763"/>
      <c r="E663" s="763"/>
      <c r="F663" s="763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40">
        <v>0</v>
      </c>
      <c r="O663" s="498"/>
      <c r="P663" s="49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</row>
    <row r="664" spans="1:26" ht="18.75">
      <c r="A664" s="574"/>
      <c r="B664" s="575"/>
      <c r="C664" s="575"/>
      <c r="D664" s="575"/>
      <c r="E664" s="763"/>
      <c r="F664" s="763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40">
        <v>14499</v>
      </c>
      <c r="O664" s="498"/>
      <c r="P664" s="49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</row>
    <row r="665" spans="1:26" ht="18.75">
      <c r="A665" s="597"/>
      <c r="B665" s="575"/>
      <c r="C665" s="575"/>
      <c r="D665" s="606" t="s">
        <v>21</v>
      </c>
      <c r="E665" s="763"/>
      <c r="F665" s="763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</row>
    <row r="666" spans="1:26" ht="18.75" hidden="1">
      <c r="A666" s="599"/>
      <c r="B666" s="607"/>
      <c r="C666" s="607"/>
      <c r="D666" s="607"/>
      <c r="E666" s="759" t="s">
        <v>18</v>
      </c>
      <c r="F666" s="759"/>
      <c r="G666" s="603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4"/>
      <c r="R666" s="604"/>
      <c r="S666" s="604"/>
      <c r="T666" s="604"/>
      <c r="U666" s="604"/>
      <c r="V666" s="604"/>
      <c r="W666" s="604"/>
      <c r="X666" s="604"/>
      <c r="Y666" s="604"/>
      <c r="Z666" s="604"/>
    </row>
    <row r="667" spans="1:26" ht="18.75" hidden="1">
      <c r="A667" s="599"/>
      <c r="B667" s="607"/>
      <c r="C667" s="607"/>
      <c r="D667" s="607"/>
      <c r="E667" s="759" t="s">
        <v>19</v>
      </c>
      <c r="F667" s="759"/>
      <c r="G667" s="603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4"/>
      <c r="R667" s="604"/>
      <c r="S667" s="604"/>
      <c r="T667" s="604"/>
      <c r="U667" s="604"/>
      <c r="V667" s="604"/>
      <c r="W667" s="604"/>
      <c r="X667" s="604"/>
      <c r="Y667" s="604"/>
      <c r="Z667" s="604"/>
    </row>
    <row r="668" spans="1:26" ht="19.5">
      <c r="A668" s="608"/>
      <c r="B668" s="618"/>
      <c r="C668" s="575" t="s">
        <v>16</v>
      </c>
      <c r="D668" s="893" t="s">
        <v>38</v>
      </c>
      <c r="E668" s="761"/>
      <c r="F668" s="761"/>
      <c r="G668" s="613"/>
      <c r="H668" s="762"/>
      <c r="I668" s="184"/>
      <c r="J668" s="184"/>
      <c r="K668" s="163"/>
      <c r="L668" s="163"/>
      <c r="M668" s="163"/>
      <c r="N668" s="163"/>
      <c r="O668" s="163"/>
      <c r="P668" s="163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</row>
    <row r="669" spans="1:26" ht="19.5">
      <c r="A669" s="608"/>
      <c r="B669" s="618"/>
      <c r="C669" s="618"/>
      <c r="D669" s="618" t="s">
        <v>281</v>
      </c>
      <c r="E669" s="626"/>
      <c r="F669" s="626"/>
      <c r="G669" s="762"/>
      <c r="H669" s="767" t="s">
        <v>46</v>
      </c>
      <c r="I669" s="681">
        <f ca="1">IFERROR(__xludf.DUMMYFUNCTION("IMPORTRANGE(""https://docs.google.com/spreadsheets/d/1QqKyyYR6Q21VydFLVH3TRQUabQu_ym0Zz7PgGX0-kHA/edit?usp=sharing"",""แผน!IA35"")"),50)</f>
        <v>50</v>
      </c>
      <c r="J669" s="681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</row>
    <row r="670" spans="1:26" ht="18.75">
      <c r="A670" s="608"/>
      <c r="B670" s="618"/>
      <c r="C670" s="618"/>
      <c r="D670" s="618"/>
      <c r="E670" s="626" t="s">
        <v>282</v>
      </c>
      <c r="F670" s="626"/>
      <c r="G670" s="762"/>
      <c r="H670" s="764" t="s">
        <v>66</v>
      </c>
      <c r="I670" s="270">
        <f ca="1">IFERROR(__xludf.DUMMYFUNCTION("IMPORTRANGE(""https://docs.google.com/spreadsheets/d/1QqKyyYR6Q21VydFLVH3TRQUabQu_ym0Zz7PgGX0-kHA/edit?usp=sharing"",""แผน!HZ35"")"),5)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</row>
    <row r="671" spans="1:26" ht="18.75">
      <c r="A671" s="608"/>
      <c r="B671" s="618"/>
      <c r="C671" s="618"/>
      <c r="D671" s="618"/>
      <c r="E671" s="626" t="s">
        <v>283</v>
      </c>
      <c r="F671" s="626"/>
      <c r="G671" s="762"/>
      <c r="H671" s="764" t="s">
        <v>66</v>
      </c>
      <c r="I671" s="270">
        <f ca="1">IFERROR(__xludf.DUMMYFUNCTION("IMPORTRANGE(""https://docs.google.com/spreadsheets/d/1QqKyyYR6Q21VydFLVH3TRQUabQu_ym0Zz7PgGX0-kHA/edit?usp=sharing"",""แผน!HZ35"")"),5)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</row>
    <row r="672" spans="1:26" ht="18.75">
      <c r="A672" s="608"/>
      <c r="B672" s="618"/>
      <c r="C672" s="618"/>
      <c r="D672" s="618"/>
      <c r="E672" s="626" t="s">
        <v>284</v>
      </c>
      <c r="F672" s="626"/>
      <c r="G672" s="762"/>
      <c r="H672" s="764" t="s">
        <v>46</v>
      </c>
      <c r="I672" s="270"/>
      <c r="J672" s="215">
        <v>34</v>
      </c>
      <c r="K672" s="498">
        <f t="shared" ref="K672:K675" ca="1" si="281">IF(I$669&gt;0,J672*100/I$669,0)</f>
        <v>68</v>
      </c>
      <c r="L672" s="163"/>
      <c r="M672" s="163"/>
      <c r="N672" s="163"/>
      <c r="O672" s="163"/>
      <c r="P672" s="163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</row>
    <row r="673" spans="1:26" ht="18.75">
      <c r="A673" s="608"/>
      <c r="B673" s="618"/>
      <c r="C673" s="618"/>
      <c r="D673" s="618"/>
      <c r="E673" s="626" t="s">
        <v>285</v>
      </c>
      <c r="F673" s="626"/>
      <c r="G673" s="762"/>
      <c r="H673" s="764" t="s">
        <v>46</v>
      </c>
      <c r="I673" s="270"/>
      <c r="J673" s="215">
        <v>34</v>
      </c>
      <c r="K673" s="498">
        <f t="shared" ca="1" si="281"/>
        <v>68</v>
      </c>
      <c r="L673" s="163"/>
      <c r="M673" s="163"/>
      <c r="N673" s="163"/>
      <c r="O673" s="163"/>
      <c r="P673" s="163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</row>
    <row r="674" spans="1:26" ht="18.75">
      <c r="A674" s="608"/>
      <c r="B674" s="618"/>
      <c r="C674" s="618"/>
      <c r="D674" s="618"/>
      <c r="E674" s="626" t="s">
        <v>286</v>
      </c>
      <c r="F674" s="626"/>
      <c r="G674" s="762"/>
      <c r="H674" s="764" t="s">
        <v>46</v>
      </c>
      <c r="I674" s="270"/>
      <c r="J674" s="215">
        <v>34</v>
      </c>
      <c r="K674" s="498">
        <f t="shared" ca="1" si="281"/>
        <v>68</v>
      </c>
      <c r="L674" s="163"/>
      <c r="M674" s="163"/>
      <c r="N674" s="163"/>
      <c r="O674" s="163"/>
      <c r="P674" s="163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</row>
    <row r="675" spans="1:26" ht="19.5">
      <c r="A675" s="608"/>
      <c r="B675" s="618"/>
      <c r="C675" s="618"/>
      <c r="D675" s="618"/>
      <c r="E675" s="626" t="s">
        <v>287</v>
      </c>
      <c r="F675" s="626"/>
      <c r="G675" s="762"/>
      <c r="H675" s="764" t="s">
        <v>46</v>
      </c>
      <c r="I675" s="270"/>
      <c r="J675" s="681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</row>
    <row r="676" spans="1:26" ht="18.75">
      <c r="A676" s="608"/>
      <c r="B676" s="618"/>
      <c r="C676" s="618"/>
      <c r="D676" s="618"/>
      <c r="E676" s="626"/>
      <c r="F676" s="626" t="s">
        <v>288</v>
      </c>
      <c r="G676" s="762"/>
      <c r="H676" s="764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</row>
    <row r="677" spans="1:26" ht="18.75">
      <c r="A677" s="608"/>
      <c r="B677" s="618"/>
      <c r="C677" s="618"/>
      <c r="D677" s="618"/>
      <c r="E677" s="626"/>
      <c r="F677" s="626" t="s">
        <v>289</v>
      </c>
      <c r="G677" s="762"/>
      <c r="H677" s="764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</row>
    <row r="678" spans="1:26" ht="19.5">
      <c r="A678" s="608"/>
      <c r="B678" s="618"/>
      <c r="C678" s="618"/>
      <c r="D678" s="618" t="s">
        <v>290</v>
      </c>
      <c r="E678" s="626"/>
      <c r="F678" s="626"/>
      <c r="G678" s="762"/>
      <c r="H678" s="764" t="s">
        <v>46</v>
      </c>
      <c r="I678" s="681">
        <f ca="1">IFERROR(__xludf.DUMMYFUNCTION("IMPORTRANGE(""https://docs.google.com/spreadsheets/d/1QqKyyYR6Q21VydFLVH3TRQUabQu_ym0Zz7PgGX0-kHA/edit?usp=sharing"",""แผน!IB35"")"),0)</f>
        <v>0</v>
      </c>
      <c r="J678" s="681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</row>
    <row r="679" spans="1:26" ht="18.75">
      <c r="A679" s="608"/>
      <c r="B679" s="618"/>
      <c r="C679" s="618"/>
      <c r="D679" s="618"/>
      <c r="E679" s="626" t="s">
        <v>291</v>
      </c>
      <c r="F679" s="626"/>
      <c r="G679" s="762"/>
      <c r="H679" s="764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</row>
    <row r="680" spans="1:26" ht="18.75">
      <c r="A680" s="608"/>
      <c r="B680" s="618"/>
      <c r="C680" s="618"/>
      <c r="D680" s="618"/>
      <c r="E680" s="626"/>
      <c r="F680" s="626" t="s">
        <v>288</v>
      </c>
      <c r="G680" s="762"/>
      <c r="H680" s="764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</row>
    <row r="681" spans="1:26" ht="18.75">
      <c r="A681" s="608"/>
      <c r="B681" s="618"/>
      <c r="C681" s="618"/>
      <c r="D681" s="618"/>
      <c r="E681" s="626"/>
      <c r="F681" s="626" t="s">
        <v>289</v>
      </c>
      <c r="G681" s="762"/>
      <c r="H681" s="764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</row>
    <row r="682" spans="1:26" ht="18.75">
      <c r="A682" s="608"/>
      <c r="B682" s="618"/>
      <c r="C682" s="618"/>
      <c r="D682" s="618"/>
      <c r="E682" s="626" t="s">
        <v>292</v>
      </c>
      <c r="F682" s="626"/>
      <c r="G682" s="762"/>
      <c r="H682" s="764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</row>
    <row r="683" spans="1:26" ht="18.75">
      <c r="A683" s="608"/>
      <c r="B683" s="618"/>
      <c r="C683" s="618"/>
      <c r="D683" s="618"/>
      <c r="E683" s="626"/>
      <c r="F683" s="626" t="s">
        <v>293</v>
      </c>
      <c r="G683" s="762"/>
      <c r="H683" s="764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</row>
    <row r="684" spans="1:26" ht="19.5">
      <c r="A684" s="753"/>
      <c r="B684" s="754" t="s">
        <v>294</v>
      </c>
      <c r="C684" s="753"/>
      <c r="D684" s="753"/>
      <c r="E684" s="753"/>
      <c r="F684" s="753"/>
      <c r="G684" s="755"/>
      <c r="H684" s="755"/>
      <c r="I684" s="756"/>
      <c r="J684" s="756"/>
      <c r="K684" s="757"/>
      <c r="L684" s="757"/>
      <c r="M684" s="757"/>
      <c r="N684" s="757"/>
      <c r="O684" s="757"/>
      <c r="P684" s="757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</row>
    <row r="685" spans="1:26" ht="19.5">
      <c r="A685" s="597"/>
      <c r="B685" s="763"/>
      <c r="C685" s="763" t="s">
        <v>16</v>
      </c>
      <c r="D685" s="863" t="s">
        <v>17</v>
      </c>
      <c r="E685" s="857"/>
      <c r="F685" s="857"/>
      <c r="G685" s="189"/>
      <c r="H685" s="598" t="s">
        <v>12</v>
      </c>
      <c r="I685" s="270"/>
      <c r="J685" s="270"/>
      <c r="K685" s="498"/>
      <c r="L685" s="195">
        <f t="shared" ref="L685:N685" ca="1" si="282">L686+L687</f>
        <v>8000</v>
      </c>
      <c r="M685" s="195">
        <f t="shared" ca="1" si="282"/>
        <v>1000</v>
      </c>
      <c r="N685" s="195">
        <f t="shared" si="282"/>
        <v>1000</v>
      </c>
      <c r="O685" s="195">
        <f t="shared" ref="O685:O688" ca="1" si="283">IF(L685&gt;0,N685*100/L685,0)</f>
        <v>12.5</v>
      </c>
      <c r="P685" s="195">
        <f t="shared" ref="P685:P688" ca="1" si="284">IF(M685&gt;0,N685*100/M685,0)</f>
        <v>100</v>
      </c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</row>
    <row r="686" spans="1:26" ht="18.75" hidden="1">
      <c r="A686" s="599"/>
      <c r="B686" s="759"/>
      <c r="C686" s="759"/>
      <c r="D686" s="720"/>
      <c r="E686" s="759" t="s">
        <v>185</v>
      </c>
      <c r="F686" s="759"/>
      <c r="G686" s="603"/>
      <c r="H686" s="165" t="s">
        <v>12</v>
      </c>
      <c r="I686" s="617"/>
      <c r="J686" s="617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4"/>
      <c r="R686" s="604"/>
      <c r="S686" s="604"/>
      <c r="T686" s="604"/>
      <c r="U686" s="604"/>
      <c r="V686" s="604"/>
      <c r="W686" s="604"/>
      <c r="X686" s="604"/>
      <c r="Y686" s="604"/>
      <c r="Z686" s="604"/>
    </row>
    <row r="687" spans="1:26" ht="18.75" hidden="1">
      <c r="A687" s="599"/>
      <c r="B687" s="607"/>
      <c r="C687" s="759"/>
      <c r="D687" s="720"/>
      <c r="E687" s="759" t="s">
        <v>186</v>
      </c>
      <c r="F687" s="759"/>
      <c r="G687" s="603"/>
      <c r="H687" s="165" t="s">
        <v>12</v>
      </c>
      <c r="I687" s="617"/>
      <c r="J687" s="617"/>
      <c r="K687" s="93"/>
      <c r="L687" s="93">
        <f t="shared" ca="1" si="285"/>
        <v>8000</v>
      </c>
      <c r="M687" s="93">
        <f t="shared" ca="1" si="285"/>
        <v>1000</v>
      </c>
      <c r="N687" s="93">
        <f t="shared" si="285"/>
        <v>1000</v>
      </c>
      <c r="O687" s="93">
        <f t="shared" ca="1" si="283"/>
        <v>12.5</v>
      </c>
      <c r="P687" s="93">
        <f t="shared" ca="1" si="284"/>
        <v>100</v>
      </c>
      <c r="Q687" s="604"/>
      <c r="R687" s="604"/>
      <c r="S687" s="604"/>
      <c r="T687" s="604"/>
      <c r="U687" s="604"/>
      <c r="V687" s="604"/>
      <c r="W687" s="604"/>
      <c r="X687" s="604"/>
      <c r="Y687" s="604"/>
      <c r="Z687" s="604"/>
    </row>
    <row r="688" spans="1:26" ht="18.75">
      <c r="A688" s="597"/>
      <c r="B688" s="575"/>
      <c r="C688" s="763"/>
      <c r="D688" s="606" t="s">
        <v>20</v>
      </c>
      <c r="E688" s="763"/>
      <c r="F688" s="763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8000</v>
      </c>
      <c r="M688" s="498">
        <f t="shared" ca="1" si="286"/>
        <v>1000</v>
      </c>
      <c r="N688" s="498">
        <f t="shared" si="286"/>
        <v>1000</v>
      </c>
      <c r="O688" s="498">
        <f t="shared" ca="1" si="283"/>
        <v>12.5</v>
      </c>
      <c r="P688" s="498">
        <f t="shared" ca="1" si="284"/>
        <v>100</v>
      </c>
      <c r="Q688" s="578"/>
      <c r="R688" s="578"/>
      <c r="S688" s="578"/>
      <c r="T688" s="578"/>
      <c r="U688" s="578"/>
      <c r="V688" s="578"/>
      <c r="W688" s="578"/>
      <c r="X688" s="578"/>
      <c r="Y688" s="578"/>
      <c r="Z688" s="578"/>
    </row>
    <row r="689" spans="1:26" ht="18.75" hidden="1">
      <c r="A689" s="599"/>
      <c r="B689" s="607"/>
      <c r="C689" s="759"/>
      <c r="D689" s="720"/>
      <c r="E689" s="759" t="s">
        <v>185</v>
      </c>
      <c r="F689" s="759"/>
      <c r="G689" s="603"/>
      <c r="H689" s="165" t="s">
        <v>12</v>
      </c>
      <c r="I689" s="617"/>
      <c r="J689" s="617"/>
      <c r="K689" s="93"/>
      <c r="L689" s="93">
        <v>0</v>
      </c>
      <c r="M689" s="93">
        <v>0</v>
      </c>
      <c r="N689" s="93">
        <v>0</v>
      </c>
      <c r="O689" s="93"/>
      <c r="P689" s="93"/>
      <c r="Q689" s="604"/>
      <c r="R689" s="604"/>
      <c r="S689" s="604"/>
      <c r="T689" s="604"/>
      <c r="U689" s="604"/>
      <c r="V689" s="604"/>
      <c r="W689" s="604"/>
      <c r="X689" s="604"/>
      <c r="Y689" s="604"/>
      <c r="Z689" s="604"/>
    </row>
    <row r="690" spans="1:26" ht="18.75" hidden="1">
      <c r="A690" s="599"/>
      <c r="B690" s="607"/>
      <c r="C690" s="759"/>
      <c r="D690" s="720"/>
      <c r="E690" s="759" t="s">
        <v>186</v>
      </c>
      <c r="F690" s="759"/>
      <c r="G690" s="603"/>
      <c r="H690" s="165" t="s">
        <v>12</v>
      </c>
      <c r="I690" s="617"/>
      <c r="J690" s="617"/>
      <c r="K690" s="93"/>
      <c r="L690" s="93">
        <f ca="1">IFERROR(__xludf.DUMMYFUNCTION("IMPORTRANGE(""https://docs.google.com/spreadsheets/d/1QqKyyYR6Q21VydFLVH3TRQUabQu_ym0Zz7PgGX0-kHA/edit?usp=sharing"",""แผน!HW35"")"),8000)</f>
        <v>8000</v>
      </c>
      <c r="M690" s="93">
        <f ca="1">L690-7000</f>
        <v>1000</v>
      </c>
      <c r="N690" s="93">
        <f>N691+N692+N693+N694</f>
        <v>1000</v>
      </c>
      <c r="O690" s="93">
        <f ca="1">IF(L690&gt;0,N690*100/L690,0)</f>
        <v>12.5</v>
      </c>
      <c r="P690" s="93">
        <f ca="1">IF(M690&gt;0,N690*100/M690,0)</f>
        <v>100</v>
      </c>
      <c r="Q690" s="604"/>
      <c r="R690" s="604"/>
      <c r="S690" s="604"/>
      <c r="T690" s="604"/>
      <c r="U690" s="604"/>
      <c r="V690" s="604"/>
      <c r="W690" s="604"/>
      <c r="X690" s="604"/>
      <c r="Y690" s="604"/>
      <c r="Z690" s="604"/>
    </row>
    <row r="691" spans="1:26" ht="18.75">
      <c r="A691" s="574"/>
      <c r="B691" s="575"/>
      <c r="C691" s="763"/>
      <c r="D691" s="763"/>
      <c r="E691" s="763"/>
      <c r="F691" s="763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40">
        <v>0</v>
      </c>
      <c r="O691" s="498"/>
      <c r="P691" s="49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</row>
    <row r="692" spans="1:26" ht="18.75">
      <c r="A692" s="574"/>
      <c r="B692" s="575"/>
      <c r="C692" s="763"/>
      <c r="D692" s="763"/>
      <c r="E692" s="763"/>
      <c r="F692" s="763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40">
        <v>0</v>
      </c>
      <c r="O692" s="498"/>
      <c r="P692" s="49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</row>
    <row r="693" spans="1:26" ht="18.75">
      <c r="A693" s="574"/>
      <c r="B693" s="575"/>
      <c r="C693" s="763"/>
      <c r="D693" s="763"/>
      <c r="E693" s="763"/>
      <c r="F693" s="763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40">
        <v>0</v>
      </c>
      <c r="O693" s="498"/>
      <c r="P693" s="49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</row>
    <row r="694" spans="1:26" ht="18.75">
      <c r="A694" s="574"/>
      <c r="B694" s="575"/>
      <c r="C694" s="763"/>
      <c r="D694" s="763"/>
      <c r="E694" s="763"/>
      <c r="F694" s="763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40">
        <v>1000</v>
      </c>
      <c r="O694" s="498"/>
      <c r="P694" s="49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</row>
    <row r="695" spans="1:26" ht="18.75">
      <c r="A695" s="597"/>
      <c r="B695" s="575"/>
      <c r="C695" s="763"/>
      <c r="D695" s="606" t="s">
        <v>21</v>
      </c>
      <c r="E695" s="763"/>
      <c r="F695" s="763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</row>
    <row r="696" spans="1:26" ht="18.75" hidden="1">
      <c r="A696" s="599"/>
      <c r="B696" s="607"/>
      <c r="C696" s="759"/>
      <c r="D696" s="759"/>
      <c r="E696" s="759" t="s">
        <v>18</v>
      </c>
      <c r="F696" s="759"/>
      <c r="G696" s="603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4"/>
      <c r="R696" s="604"/>
      <c r="S696" s="604"/>
      <c r="T696" s="604"/>
      <c r="U696" s="604"/>
      <c r="V696" s="604"/>
      <c r="W696" s="604"/>
      <c r="X696" s="604"/>
      <c r="Y696" s="604"/>
      <c r="Z696" s="604"/>
    </row>
    <row r="697" spans="1:26" ht="18.75" hidden="1">
      <c r="A697" s="599"/>
      <c r="B697" s="607"/>
      <c r="C697" s="759"/>
      <c r="D697" s="759"/>
      <c r="E697" s="759" t="s">
        <v>19</v>
      </c>
      <c r="F697" s="759"/>
      <c r="G697" s="603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4"/>
      <c r="R697" s="604"/>
      <c r="S697" s="604"/>
      <c r="T697" s="604"/>
      <c r="U697" s="604"/>
      <c r="V697" s="604"/>
      <c r="W697" s="604"/>
      <c r="X697" s="604"/>
      <c r="Y697" s="604"/>
      <c r="Z697" s="604"/>
    </row>
    <row r="698" spans="1:26" ht="19.5">
      <c r="A698" s="608"/>
      <c r="B698" s="618"/>
      <c r="C698" s="763" t="s">
        <v>16</v>
      </c>
      <c r="D698" s="898" t="s">
        <v>38</v>
      </c>
      <c r="E698" s="761"/>
      <c r="F698" s="761"/>
      <c r="G698" s="613"/>
      <c r="H698" s="762"/>
      <c r="I698" s="184"/>
      <c r="J698" s="184"/>
      <c r="K698" s="163"/>
      <c r="L698" s="163"/>
      <c r="M698" s="163"/>
      <c r="N698" s="163"/>
      <c r="O698" s="163"/>
      <c r="P698" s="163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</row>
    <row r="699" spans="1:26" ht="18.75">
      <c r="A699" s="744"/>
      <c r="B699" s="763"/>
      <c r="C699" s="763"/>
      <c r="D699" s="763" t="s">
        <v>295</v>
      </c>
      <c r="E699" s="763"/>
      <c r="F699" s="763"/>
      <c r="G699" s="189"/>
      <c r="H699" s="764" t="s">
        <v>46</v>
      </c>
      <c r="I699" s="765">
        <f ca="1">IFERROR(__xludf.DUMMYFUNCTION("IMPORTRANGE(""https://docs.google.com/spreadsheets/d/1QqKyyYR6Q21VydFLVH3TRQUabQu_ym0Zz7PgGX0-kHA/edit?usp=sharing"",""แผน!IC35"")"),70)</f>
        <v>70</v>
      </c>
      <c r="J699" s="270">
        <f ca="1">IFERROR(__xludf.DUMMYFUNCTION("IMPORTRANGE(""https://docs.google.com/spreadsheets/d/1XWAQStnk-4SwqDmLtmXYiTMKHgktTP8We1SCoS47DrQ/edit?usp=sharing"",""จัดที่ดิน!BB35"")"),0)</f>
        <v>0</v>
      </c>
      <c r="K699" s="498">
        <f t="shared" ref="K699:K701" ca="1" si="290">IF(I699&gt;0,J699*100/I699,0)</f>
        <v>0</v>
      </c>
      <c r="L699" s="498"/>
      <c r="M699" s="189"/>
      <c r="N699" s="766"/>
      <c r="O699" s="498"/>
      <c r="P699" s="49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</row>
    <row r="700" spans="1:26" ht="18.75">
      <c r="A700" s="744"/>
      <c r="B700" s="763"/>
      <c r="C700" s="763"/>
      <c r="D700" s="763" t="s">
        <v>296</v>
      </c>
      <c r="E700" s="763"/>
      <c r="F700" s="763"/>
      <c r="G700" s="189"/>
      <c r="H700" s="764" t="s">
        <v>35</v>
      </c>
      <c r="I700" s="765">
        <f ca="1">IFERROR(__xludf.DUMMYFUNCTION("IMPORTRANGE(""https://docs.google.com/spreadsheets/d/1QqKyyYR6Q21VydFLVH3TRQUabQu_ym0Zz7PgGX0-kHA/edit?usp=sharing"",""แผน!ID35"")"),0)</f>
        <v>0</v>
      </c>
      <c r="J700" s="270">
        <f ca="1">IFERROR(__xludf.DUMMYFUNCTION("IMPORTRANGE(""https://docs.google.com/spreadsheets/d/1XWAQStnk-4SwqDmLtmXYiTMKHgktTP8We1SCoS47DrQ/edit?usp=sharing"",""จัดที่ดิน!BD35"")"),0)</f>
        <v>0</v>
      </c>
      <c r="K700" s="498">
        <f t="shared" ca="1" si="290"/>
        <v>0</v>
      </c>
      <c r="L700" s="498"/>
      <c r="M700" s="189"/>
      <c r="N700" s="766"/>
      <c r="O700" s="498"/>
      <c r="P700" s="49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</row>
    <row r="701" spans="1:26" ht="19.5">
      <c r="A701" s="744"/>
      <c r="B701" s="763"/>
      <c r="C701" s="763"/>
      <c r="D701" s="763" t="s">
        <v>297</v>
      </c>
      <c r="E701" s="763"/>
      <c r="F701" s="763"/>
      <c r="G701" s="189"/>
      <c r="H701" s="767" t="s">
        <v>46</v>
      </c>
      <c r="I701" s="768">
        <f ca="1">IFERROR(__xludf.DUMMYFUNCTION("IMPORTRANGE(""https://docs.google.com/spreadsheets/d/1QqKyyYR6Q21VydFLVH3TRQUabQu_ym0Zz7PgGX0-kHA/edit?usp=sharing"",""แผน!IE35"")"),0)</f>
        <v>0</v>
      </c>
      <c r="J701" s="681">
        <f>J704+J707</f>
        <v>0</v>
      </c>
      <c r="K701" s="195">
        <f t="shared" ca="1" si="290"/>
        <v>0</v>
      </c>
      <c r="L701" s="498"/>
      <c r="M701" s="189"/>
      <c r="N701" s="766"/>
      <c r="O701" s="498"/>
      <c r="P701" s="49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</row>
    <row r="702" spans="1:26" ht="18.75">
      <c r="A702" s="744"/>
      <c r="B702" s="763"/>
      <c r="C702" s="763"/>
      <c r="D702" s="763"/>
      <c r="E702" s="763" t="s">
        <v>298</v>
      </c>
      <c r="F702" s="763"/>
      <c r="G702" s="189"/>
      <c r="H702" s="764" t="s">
        <v>35</v>
      </c>
      <c r="I702" s="765"/>
      <c r="J702" s="215">
        <v>0</v>
      </c>
      <c r="K702" s="498"/>
      <c r="L702" s="498"/>
      <c r="M702" s="189"/>
      <c r="N702" s="766"/>
      <c r="O702" s="498"/>
      <c r="P702" s="49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</row>
    <row r="703" spans="1:26" ht="18.75">
      <c r="A703" s="744"/>
      <c r="B703" s="763"/>
      <c r="C703" s="763"/>
      <c r="D703" s="763"/>
      <c r="E703" s="763"/>
      <c r="F703" s="763"/>
      <c r="G703" s="189"/>
      <c r="H703" s="764" t="s">
        <v>34</v>
      </c>
      <c r="I703" s="765"/>
      <c r="J703" s="215">
        <v>0</v>
      </c>
      <c r="K703" s="498"/>
      <c r="L703" s="498"/>
      <c r="M703" s="189"/>
      <c r="N703" s="766"/>
      <c r="O703" s="498"/>
      <c r="P703" s="49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</row>
    <row r="704" spans="1:26" ht="18.75">
      <c r="A704" s="744"/>
      <c r="B704" s="763"/>
      <c r="C704" s="763"/>
      <c r="D704" s="763"/>
      <c r="E704" s="763"/>
      <c r="F704" s="763"/>
      <c r="G704" s="189"/>
      <c r="H704" s="764" t="s">
        <v>46</v>
      </c>
      <c r="I704" s="765">
        <f ca="1">IFERROR(__xludf.DUMMYFUNCTION("IMPORTRANGE(""https://docs.google.com/spreadsheets/d/1QqKyyYR6Q21VydFLVH3TRQUabQu_ym0Zz7PgGX0-kHA/edit?usp=sharing"",""แผน!IF35"")"),0)</f>
        <v>0</v>
      </c>
      <c r="J704" s="215">
        <v>0</v>
      </c>
      <c r="K704" s="498"/>
      <c r="L704" s="498"/>
      <c r="M704" s="189"/>
      <c r="N704" s="766"/>
      <c r="O704" s="498"/>
      <c r="P704" s="49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</row>
    <row r="705" spans="1:26" ht="18.75">
      <c r="A705" s="744"/>
      <c r="B705" s="763"/>
      <c r="C705" s="763"/>
      <c r="D705" s="763"/>
      <c r="E705" s="763" t="s">
        <v>299</v>
      </c>
      <c r="F705" s="763"/>
      <c r="G705" s="189"/>
      <c r="H705" s="764" t="s">
        <v>35</v>
      </c>
      <c r="I705" s="765"/>
      <c r="J705" s="215">
        <v>0</v>
      </c>
      <c r="K705" s="498"/>
      <c r="L705" s="498"/>
      <c r="M705" s="189"/>
      <c r="N705" s="766"/>
      <c r="O705" s="498"/>
      <c r="P705" s="49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</row>
    <row r="706" spans="1:26" ht="18.75">
      <c r="A706" s="744"/>
      <c r="B706" s="763"/>
      <c r="C706" s="763"/>
      <c r="D706" s="763"/>
      <c r="E706" s="763"/>
      <c r="F706" s="763"/>
      <c r="G706" s="189"/>
      <c r="H706" s="764" t="s">
        <v>34</v>
      </c>
      <c r="I706" s="765"/>
      <c r="J706" s="215">
        <v>0</v>
      </c>
      <c r="K706" s="498"/>
      <c r="L706" s="498"/>
      <c r="M706" s="189"/>
      <c r="N706" s="766"/>
      <c r="O706" s="498"/>
      <c r="P706" s="49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</row>
    <row r="707" spans="1:26" ht="18.75">
      <c r="A707" s="744"/>
      <c r="B707" s="763"/>
      <c r="C707" s="763"/>
      <c r="D707" s="763"/>
      <c r="E707" s="763"/>
      <c r="F707" s="763"/>
      <c r="G707" s="189"/>
      <c r="H707" s="764" t="s">
        <v>46</v>
      </c>
      <c r="I707" s="765">
        <f ca="1">IFERROR(__xludf.DUMMYFUNCTION("IMPORTRANGE(""https://docs.google.com/spreadsheets/d/1QqKyyYR6Q21VydFLVH3TRQUabQu_ym0Zz7PgGX0-kHA/edit?usp=sharing"",""แผน!IG35"")"),0)</f>
        <v>0</v>
      </c>
      <c r="J707" s="215">
        <v>0</v>
      </c>
      <c r="K707" s="498"/>
      <c r="L707" s="498"/>
      <c r="M707" s="189"/>
      <c r="N707" s="766"/>
      <c r="O707" s="498"/>
      <c r="P707" s="49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</row>
    <row r="708" spans="1:26" ht="19.5">
      <c r="A708" s="744"/>
      <c r="B708" s="763"/>
      <c r="C708" s="763"/>
      <c r="D708" s="769" t="s">
        <v>300</v>
      </c>
      <c r="E708" s="763"/>
      <c r="F708" s="763"/>
      <c r="G708" s="189"/>
      <c r="H708" s="767" t="s">
        <v>46</v>
      </c>
      <c r="I708" s="768">
        <f ca="1">IFERROR(__xludf.DUMMYFUNCTION("IMPORTRANGE(""https://docs.google.com/spreadsheets/d/1QqKyyYR6Q21VydFLVH3TRQUabQu_ym0Zz7PgGX0-kHA/edit?usp=sharing"",""แผน!IH35"")"),0)</f>
        <v>0</v>
      </c>
      <c r="J708" s="681">
        <f>J714+J717</f>
        <v>0</v>
      </c>
      <c r="K708" s="195">
        <f ca="1">IF(I708&gt;0,J708*100/I708,0)</f>
        <v>0</v>
      </c>
      <c r="L708" s="498"/>
      <c r="M708" s="189"/>
      <c r="N708" s="766"/>
      <c r="O708" s="498"/>
      <c r="P708" s="49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</row>
    <row r="709" spans="1:26" ht="18.75">
      <c r="A709" s="744"/>
      <c r="B709" s="763"/>
      <c r="C709" s="763"/>
      <c r="D709" s="763"/>
      <c r="E709" s="763" t="s">
        <v>301</v>
      </c>
      <c r="F709" s="763"/>
      <c r="G709" s="189"/>
      <c r="H709" s="764" t="s">
        <v>34</v>
      </c>
      <c r="I709" s="765"/>
      <c r="J709" s="215">
        <v>0</v>
      </c>
      <c r="K709" s="498"/>
      <c r="L709" s="766"/>
      <c r="M709" s="189"/>
      <c r="N709" s="766"/>
      <c r="O709" s="498"/>
      <c r="P709" s="49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</row>
    <row r="710" spans="1:26" ht="18.75">
      <c r="A710" s="744"/>
      <c r="B710" s="763"/>
      <c r="C710" s="763"/>
      <c r="D710" s="763"/>
      <c r="E710" s="763"/>
      <c r="F710" s="763"/>
      <c r="G710" s="189"/>
      <c r="H710" s="764" t="s">
        <v>46</v>
      </c>
      <c r="I710" s="765"/>
      <c r="J710" s="215">
        <v>0</v>
      </c>
      <c r="K710" s="498"/>
      <c r="L710" s="766"/>
      <c r="M710" s="189"/>
      <c r="N710" s="766"/>
      <c r="O710" s="498"/>
      <c r="P710" s="49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</row>
    <row r="711" spans="1:26" ht="18.75">
      <c r="A711" s="744"/>
      <c r="B711" s="763"/>
      <c r="C711" s="763"/>
      <c r="D711" s="763"/>
      <c r="E711" s="763" t="s">
        <v>302</v>
      </c>
      <c r="F711" s="763"/>
      <c r="G711" s="189"/>
      <c r="H711" s="762"/>
      <c r="I711" s="765"/>
      <c r="J711" s="270"/>
      <c r="K711" s="498"/>
      <c r="L711" s="766"/>
      <c r="M711" s="189"/>
      <c r="N711" s="766"/>
      <c r="O711" s="498"/>
      <c r="P711" s="49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</row>
    <row r="712" spans="1:26" ht="18.75">
      <c r="A712" s="744"/>
      <c r="B712" s="763"/>
      <c r="C712" s="763"/>
      <c r="D712" s="763"/>
      <c r="E712" s="763"/>
      <c r="F712" s="763" t="s">
        <v>303</v>
      </c>
      <c r="G712" s="189"/>
      <c r="H712" s="764" t="s">
        <v>35</v>
      </c>
      <c r="I712" s="765"/>
      <c r="J712" s="215">
        <v>0</v>
      </c>
      <c r="K712" s="498"/>
      <c r="L712" s="766"/>
      <c r="M712" s="189"/>
      <c r="N712" s="766"/>
      <c r="O712" s="498"/>
      <c r="P712" s="49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</row>
    <row r="713" spans="1:26" ht="18.75">
      <c r="A713" s="744"/>
      <c r="B713" s="763"/>
      <c r="C713" s="763"/>
      <c r="D713" s="763"/>
      <c r="E713" s="763"/>
      <c r="F713" s="763"/>
      <c r="G713" s="189"/>
      <c r="H713" s="764" t="s">
        <v>34</v>
      </c>
      <c r="I713" s="765"/>
      <c r="J713" s="215">
        <v>0</v>
      </c>
      <c r="K713" s="498"/>
      <c r="L713" s="766"/>
      <c r="M713" s="189"/>
      <c r="N713" s="766"/>
      <c r="O713" s="498"/>
      <c r="P713" s="49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</row>
    <row r="714" spans="1:26" ht="18.75">
      <c r="A714" s="744"/>
      <c r="B714" s="763"/>
      <c r="C714" s="763"/>
      <c r="D714" s="763"/>
      <c r="E714" s="763"/>
      <c r="F714" s="763"/>
      <c r="G714" s="189"/>
      <c r="H714" s="764" t="s">
        <v>46</v>
      </c>
      <c r="I714" s="765"/>
      <c r="J714" s="215">
        <v>0</v>
      </c>
      <c r="K714" s="498"/>
      <c r="L714" s="766"/>
      <c r="M714" s="189"/>
      <c r="N714" s="766"/>
      <c r="O714" s="498"/>
      <c r="P714" s="49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</row>
    <row r="715" spans="1:26" ht="18.75">
      <c r="A715" s="744"/>
      <c r="B715" s="763"/>
      <c r="C715" s="763"/>
      <c r="D715" s="763"/>
      <c r="E715" s="763"/>
      <c r="F715" s="763" t="s">
        <v>304</v>
      </c>
      <c r="G715" s="189"/>
      <c r="H715" s="764" t="s">
        <v>35</v>
      </c>
      <c r="I715" s="765"/>
      <c r="J715" s="215">
        <v>0</v>
      </c>
      <c r="K715" s="498"/>
      <c r="L715" s="766"/>
      <c r="M715" s="189"/>
      <c r="N715" s="766"/>
      <c r="O715" s="498"/>
      <c r="P715" s="49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</row>
    <row r="716" spans="1:26" ht="18.75">
      <c r="A716" s="744"/>
      <c r="B716" s="763"/>
      <c r="C716" s="763"/>
      <c r="D716" s="763"/>
      <c r="E716" s="763"/>
      <c r="F716" s="763"/>
      <c r="G716" s="189"/>
      <c r="H716" s="764" t="s">
        <v>34</v>
      </c>
      <c r="I716" s="765"/>
      <c r="J716" s="215">
        <v>0</v>
      </c>
      <c r="K716" s="498"/>
      <c r="L716" s="766"/>
      <c r="M716" s="189"/>
      <c r="N716" s="766"/>
      <c r="O716" s="498"/>
      <c r="P716" s="49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</row>
    <row r="717" spans="1:26" ht="18.75">
      <c r="A717" s="744"/>
      <c r="B717" s="763"/>
      <c r="C717" s="763"/>
      <c r="D717" s="763"/>
      <c r="E717" s="763"/>
      <c r="F717" s="763"/>
      <c r="G717" s="189"/>
      <c r="H717" s="764" t="s">
        <v>46</v>
      </c>
      <c r="I717" s="765"/>
      <c r="J717" s="215">
        <v>0</v>
      </c>
      <c r="K717" s="498"/>
      <c r="L717" s="766"/>
      <c r="M717" s="189"/>
      <c r="N717" s="766"/>
      <c r="O717" s="498"/>
      <c r="P717" s="49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</row>
    <row r="718" spans="1:26" ht="18.75">
      <c r="A718" s="744"/>
      <c r="B718" s="763"/>
      <c r="C718" s="763"/>
      <c r="D718" s="763" t="s">
        <v>305</v>
      </c>
      <c r="E718" s="763"/>
      <c r="F718" s="763"/>
      <c r="G718" s="189"/>
      <c r="H718" s="764" t="s">
        <v>35</v>
      </c>
      <c r="I718" s="765"/>
      <c r="J718" s="270">
        <f ca="1">IFERROR(__xludf.DUMMYFUNCTION("IMPORTRANGE(""https://docs.google.com/spreadsheets/d/1XWAQStnk-4SwqDmLtmXYiTMKHgktTP8We1SCoS47DrQ/edit?usp=sharing"",""จัดที่ดิน!BF35"")"),0)</f>
        <v>0</v>
      </c>
      <c r="K718" s="498"/>
      <c r="L718" s="498"/>
      <c r="M718" s="189"/>
      <c r="N718" s="766"/>
      <c r="O718" s="498"/>
      <c r="P718" s="49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</row>
    <row r="719" spans="1:26" ht="18.75">
      <c r="A719" s="744"/>
      <c r="B719" s="763"/>
      <c r="C719" s="763"/>
      <c r="D719" s="763"/>
      <c r="E719" s="763"/>
      <c r="F719" s="763"/>
      <c r="G719" s="189"/>
      <c r="H719" s="764" t="s">
        <v>34</v>
      </c>
      <c r="I719" s="765"/>
      <c r="J719" s="270">
        <f ca="1">IFERROR(__xludf.DUMMYFUNCTION("IMPORTRANGE(""https://docs.google.com/spreadsheets/d/1XWAQStnk-4SwqDmLtmXYiTMKHgktTP8We1SCoS47DrQ/edit?usp=sharing"",""จัดที่ดิน!BG35"")"),0)</f>
        <v>0</v>
      </c>
      <c r="K719" s="498"/>
      <c r="L719" s="766"/>
      <c r="M719" s="189"/>
      <c r="N719" s="766"/>
      <c r="O719" s="498"/>
      <c r="P719" s="49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</row>
    <row r="720" spans="1:26" ht="18.75">
      <c r="A720" s="744"/>
      <c r="B720" s="763"/>
      <c r="C720" s="763"/>
      <c r="D720" s="763"/>
      <c r="E720" s="763"/>
      <c r="F720" s="763"/>
      <c r="G720" s="189"/>
      <c r="H720" s="764" t="s">
        <v>46</v>
      </c>
      <c r="I720" s="765">
        <f ca="1">IFERROR(__xludf.DUMMYFUNCTION("IMPORTRANGE(""https://docs.google.com/spreadsheets/d/1QqKyyYR6Q21VydFLVH3TRQUabQu_ym0Zz7PgGX0-kHA/edit?usp=sharing"",""แผน!II35"")"),0)</f>
        <v>0</v>
      </c>
      <c r="J720" s="270">
        <f ca="1">IFERROR(__xludf.DUMMYFUNCTION("IMPORTRANGE(""https://docs.google.com/spreadsheets/d/1XWAQStnk-4SwqDmLtmXYiTMKHgktTP8We1SCoS47DrQ/edit?usp=sharing"",""จัดที่ดิน!BH35"")"),0)</f>
        <v>0</v>
      </c>
      <c r="K720" s="498">
        <f t="shared" ref="K720:K723" ca="1" si="291">IF(I720&gt;0,J720*100/I720,0)</f>
        <v>0</v>
      </c>
      <c r="L720" s="766"/>
      <c r="M720" s="189"/>
      <c r="N720" s="766"/>
      <c r="O720" s="498"/>
      <c r="P720" s="49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</row>
    <row r="721" spans="1:26" ht="19.5">
      <c r="A721" s="744"/>
      <c r="B721" s="763"/>
      <c r="C721" s="763"/>
      <c r="D721" s="763" t="s">
        <v>306</v>
      </c>
      <c r="E721" s="763"/>
      <c r="F721" s="763"/>
      <c r="G721" s="189"/>
      <c r="H721" s="767" t="s">
        <v>35</v>
      </c>
      <c r="I721" s="768">
        <f ca="1">IFERROR(__xludf.DUMMYFUNCTION("IMPORTRANGE(""https://docs.google.com/spreadsheets/d/1QqKyyYR6Q21VydFLVH3TRQUabQu_ym0Zz7PgGX0-kHA/edit?usp=sharing"",""แผน!IJ35"")"),0)</f>
        <v>0</v>
      </c>
      <c r="J721" s="681">
        <f ca="1">J723+J726</f>
        <v>0</v>
      </c>
      <c r="K721" s="195">
        <f t="shared" ca="1" si="291"/>
        <v>0</v>
      </c>
      <c r="L721" s="766"/>
      <c r="M721" s="189"/>
      <c r="N721" s="766"/>
      <c r="O721" s="498"/>
      <c r="P721" s="49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</row>
    <row r="722" spans="1:26" ht="19.5">
      <c r="A722" s="744"/>
      <c r="B722" s="763"/>
      <c r="C722" s="763"/>
      <c r="D722" s="763"/>
      <c r="E722" s="763"/>
      <c r="F722" s="763"/>
      <c r="G722" s="189"/>
      <c r="H722" s="767" t="s">
        <v>46</v>
      </c>
      <c r="I722" s="768">
        <f ca="1">IFERROR(__xludf.DUMMYFUNCTION("IMPORTRANGE(""https://docs.google.com/spreadsheets/d/1QqKyyYR6Q21VydFLVH3TRQUabQu_ym0Zz7PgGX0-kHA/edit?usp=sharing"",""แผน!IK35"")"),0)</f>
        <v>0</v>
      </c>
      <c r="J722" s="681">
        <f ca="1">J725+J728</f>
        <v>0</v>
      </c>
      <c r="K722" s="195">
        <f t="shared" ca="1" si="291"/>
        <v>0</v>
      </c>
      <c r="L722" s="498"/>
      <c r="M722" s="189"/>
      <c r="N722" s="766"/>
      <c r="O722" s="498"/>
      <c r="P722" s="49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</row>
    <row r="723" spans="1:26" ht="18.75">
      <c r="A723" s="744"/>
      <c r="B723" s="763"/>
      <c r="C723" s="763"/>
      <c r="D723" s="763"/>
      <c r="E723" s="763" t="s">
        <v>307</v>
      </c>
      <c r="F723" s="763"/>
      <c r="G723" s="189"/>
      <c r="H723" s="764" t="s">
        <v>35</v>
      </c>
      <c r="I723" s="765">
        <f ca="1">IFERROR(__xludf.DUMMYFUNCTION("IMPORTRANGE(""https://docs.google.com/spreadsheets/d/1QqKyyYR6Q21VydFLVH3TRQUabQu_ym0Zz7PgGX0-kHA/edit?usp=sharing"",""แผน!IL35"")"),0)</f>
        <v>0</v>
      </c>
      <c r="J723" s="270">
        <f ca="1">IFERROR(__xludf.DUMMYFUNCTION("IMPORTRANGE(""https://docs.google.com/spreadsheets/d/1XWAQStnk-4SwqDmLtmXYiTMKHgktTP8We1SCoS47DrQ/edit?usp=sharing"",""จัดที่ดิน!BM35"")"),0)</f>
        <v>0</v>
      </c>
      <c r="K723" s="498">
        <f t="shared" ca="1" si="291"/>
        <v>0</v>
      </c>
      <c r="L723" s="498"/>
      <c r="M723" s="189"/>
      <c r="N723" s="766"/>
      <c r="O723" s="498"/>
      <c r="P723" s="49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</row>
    <row r="724" spans="1:26" ht="18.75">
      <c r="A724" s="744"/>
      <c r="B724" s="763"/>
      <c r="C724" s="763"/>
      <c r="D724" s="763"/>
      <c r="E724" s="763"/>
      <c r="F724" s="763"/>
      <c r="G724" s="189"/>
      <c r="H724" s="764" t="s">
        <v>34</v>
      </c>
      <c r="I724" s="765"/>
      <c r="J724" s="270">
        <f ca="1">IFERROR(__xludf.DUMMYFUNCTION("IMPORTRANGE(""https://docs.google.com/spreadsheets/d/1XWAQStnk-4SwqDmLtmXYiTMKHgktTP8We1SCoS47DrQ/edit?usp=sharing"",""จัดที่ดิน!BN35"")"),0)</f>
        <v>0</v>
      </c>
      <c r="K724" s="498"/>
      <c r="L724" s="766"/>
      <c r="M724" s="189"/>
      <c r="N724" s="766"/>
      <c r="O724" s="498"/>
      <c r="P724" s="49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</row>
    <row r="725" spans="1:26" ht="18.75">
      <c r="A725" s="744"/>
      <c r="B725" s="763"/>
      <c r="C725" s="763"/>
      <c r="D725" s="763"/>
      <c r="E725" s="763"/>
      <c r="F725" s="763"/>
      <c r="G725" s="189"/>
      <c r="H725" s="764" t="s">
        <v>46</v>
      </c>
      <c r="I725" s="765">
        <f ca="1">IFERROR(__xludf.DUMMYFUNCTION("IMPORTRANGE(""https://docs.google.com/spreadsheets/d/1QqKyyYR6Q21VydFLVH3TRQUabQu_ym0Zz7PgGX0-kHA/edit?usp=sharing"",""แผน!IM35"")"),0)</f>
        <v>0</v>
      </c>
      <c r="J725" s="270">
        <f ca="1">IFERROR(__xludf.DUMMYFUNCTION("IMPORTRANGE(""https://docs.google.com/spreadsheets/d/1XWAQStnk-4SwqDmLtmXYiTMKHgktTP8We1SCoS47DrQ/edit?usp=sharing"",""จัดที่ดิน!BO35"")"),0)</f>
        <v>0</v>
      </c>
      <c r="K725" s="498">
        <f t="shared" ref="K725:K726" ca="1" si="292">IF(I725&gt;0,J725*100/I725,0)</f>
        <v>0</v>
      </c>
      <c r="L725" s="766"/>
      <c r="M725" s="189"/>
      <c r="N725" s="766"/>
      <c r="O725" s="498"/>
      <c r="P725" s="49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</row>
    <row r="726" spans="1:26" ht="18.75">
      <c r="A726" s="744"/>
      <c r="B726" s="763"/>
      <c r="C726" s="763"/>
      <c r="D726" s="763"/>
      <c r="E726" s="763" t="s">
        <v>308</v>
      </c>
      <c r="F726" s="763"/>
      <c r="G726" s="189"/>
      <c r="H726" s="764" t="s">
        <v>35</v>
      </c>
      <c r="I726" s="765">
        <f ca="1">IFERROR(__xludf.DUMMYFUNCTION("IMPORTRANGE(""https://docs.google.com/spreadsheets/d/1QqKyyYR6Q21VydFLVH3TRQUabQu_ym0Zz7PgGX0-kHA/edit?usp=sharing"",""แผน!IN35"")"),0)</f>
        <v>0</v>
      </c>
      <c r="J726" s="270">
        <f ca="1">IFERROR(__xludf.DUMMYFUNCTION("IMPORTRANGE(""https://docs.google.com/spreadsheets/d/1XWAQStnk-4SwqDmLtmXYiTMKHgktTP8We1SCoS47DrQ/edit?usp=sharing"",""จัดที่ดิน!BR35"")"),0)</f>
        <v>0</v>
      </c>
      <c r="K726" s="498">
        <f t="shared" ca="1" si="292"/>
        <v>0</v>
      </c>
      <c r="L726" s="498"/>
      <c r="M726" s="189"/>
      <c r="N726" s="766"/>
      <c r="O726" s="498"/>
      <c r="P726" s="49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</row>
    <row r="727" spans="1:26" ht="18.75">
      <c r="A727" s="744"/>
      <c r="B727" s="763"/>
      <c r="C727" s="763"/>
      <c r="D727" s="763"/>
      <c r="E727" s="763"/>
      <c r="F727" s="763"/>
      <c r="G727" s="189"/>
      <c r="H727" s="764" t="s">
        <v>34</v>
      </c>
      <c r="I727" s="765"/>
      <c r="J727" s="270">
        <f ca="1">IFERROR(__xludf.DUMMYFUNCTION("IMPORTRANGE(""https://docs.google.com/spreadsheets/d/1XWAQStnk-4SwqDmLtmXYiTMKHgktTP8We1SCoS47DrQ/edit?usp=sharing"",""จัดที่ดิน!BS35"")"),0)</f>
        <v>0</v>
      </c>
      <c r="K727" s="498"/>
      <c r="L727" s="766"/>
      <c r="M727" s="189"/>
      <c r="N727" s="766"/>
      <c r="O727" s="498"/>
      <c r="P727" s="49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</row>
    <row r="728" spans="1:26" ht="18.75">
      <c r="A728" s="744"/>
      <c r="B728" s="763"/>
      <c r="C728" s="763"/>
      <c r="D728" s="763"/>
      <c r="E728" s="763"/>
      <c r="F728" s="763"/>
      <c r="G728" s="189"/>
      <c r="H728" s="764" t="s">
        <v>46</v>
      </c>
      <c r="I728" s="765">
        <f ca="1">IFERROR(__xludf.DUMMYFUNCTION("IMPORTRANGE(""https://docs.google.com/spreadsheets/d/1QqKyyYR6Q21VydFLVH3TRQUabQu_ym0Zz7PgGX0-kHA/edit?usp=sharing"",""แผน!IO35"")"),0)</f>
        <v>0</v>
      </c>
      <c r="J728" s="270">
        <f ca="1">IFERROR(__xludf.DUMMYFUNCTION("IMPORTRANGE(""https://docs.google.com/spreadsheets/d/1XWAQStnk-4SwqDmLtmXYiTMKHgktTP8We1SCoS47DrQ/edit?usp=sharing"",""จัดที่ดิน!BT35"")"),0)</f>
        <v>0</v>
      </c>
      <c r="K728" s="498">
        <f t="shared" ref="K728:K729" ca="1" si="293">IF(I728&gt;0,J728*100/I728,0)</f>
        <v>0</v>
      </c>
      <c r="L728" s="766"/>
      <c r="M728" s="189"/>
      <c r="N728" s="766"/>
      <c r="O728" s="498"/>
      <c r="P728" s="49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</row>
    <row r="729" spans="1:26" ht="19.5">
      <c r="A729" s="744"/>
      <c r="B729" s="763"/>
      <c r="C729" s="763"/>
      <c r="D729" s="763" t="s">
        <v>309</v>
      </c>
      <c r="E729" s="763"/>
      <c r="F729" s="763"/>
      <c r="G729" s="189"/>
      <c r="H729" s="767" t="s">
        <v>46</v>
      </c>
      <c r="I729" s="768">
        <f ca="1">IFERROR(__xludf.DUMMYFUNCTION("IMPORTRANGE(""https://docs.google.com/spreadsheets/d/1QqKyyYR6Q21VydFLVH3TRQUabQu_ym0Zz7PgGX0-kHA/edit?usp=sharing"",""แผน!IP35"")"),0)</f>
        <v>0</v>
      </c>
      <c r="J729" s="681">
        <f>J732+J735</f>
        <v>0</v>
      </c>
      <c r="K729" s="195">
        <f t="shared" ca="1" si="293"/>
        <v>0</v>
      </c>
      <c r="L729" s="498"/>
      <c r="M729" s="189"/>
      <c r="N729" s="766"/>
      <c r="O729" s="498"/>
      <c r="P729" s="49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</row>
    <row r="730" spans="1:26" ht="18.75">
      <c r="A730" s="744"/>
      <c r="B730" s="763"/>
      <c r="C730" s="763"/>
      <c r="D730" s="763"/>
      <c r="E730" s="763" t="s">
        <v>310</v>
      </c>
      <c r="F730" s="763"/>
      <c r="G730" s="189"/>
      <c r="H730" s="764" t="s">
        <v>35</v>
      </c>
      <c r="I730" s="765"/>
      <c r="J730" s="215">
        <v>0</v>
      </c>
      <c r="K730" s="498"/>
      <c r="L730" s="766"/>
      <c r="M730" s="498"/>
      <c r="N730" s="766"/>
      <c r="O730" s="498"/>
      <c r="P730" s="49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</row>
    <row r="731" spans="1:26" ht="18.75">
      <c r="A731" s="744"/>
      <c r="B731" s="763"/>
      <c r="C731" s="763"/>
      <c r="D731" s="763"/>
      <c r="E731" s="763"/>
      <c r="F731" s="763"/>
      <c r="G731" s="189"/>
      <c r="H731" s="764" t="s">
        <v>34</v>
      </c>
      <c r="I731" s="765"/>
      <c r="J731" s="215">
        <v>0</v>
      </c>
      <c r="K731" s="498"/>
      <c r="L731" s="766"/>
      <c r="M731" s="498"/>
      <c r="N731" s="766"/>
      <c r="O731" s="498"/>
      <c r="P731" s="49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</row>
    <row r="732" spans="1:26" ht="18.75">
      <c r="A732" s="744"/>
      <c r="B732" s="763"/>
      <c r="C732" s="763"/>
      <c r="D732" s="763"/>
      <c r="E732" s="763"/>
      <c r="F732" s="763"/>
      <c r="G732" s="189"/>
      <c r="H732" s="764" t="s">
        <v>46</v>
      </c>
      <c r="I732" s="765"/>
      <c r="J732" s="215">
        <v>0</v>
      </c>
      <c r="K732" s="498"/>
      <c r="L732" s="766"/>
      <c r="M732" s="498"/>
      <c r="N732" s="766"/>
      <c r="O732" s="498"/>
      <c r="P732" s="49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</row>
    <row r="733" spans="1:26" ht="18.75">
      <c r="A733" s="744"/>
      <c r="B733" s="763"/>
      <c r="C733" s="763"/>
      <c r="D733" s="763"/>
      <c r="E733" s="763" t="s">
        <v>311</v>
      </c>
      <c r="F733" s="763"/>
      <c r="G733" s="189"/>
      <c r="H733" s="764" t="s">
        <v>35</v>
      </c>
      <c r="I733" s="765"/>
      <c r="J733" s="215">
        <v>0</v>
      </c>
      <c r="K733" s="498"/>
      <c r="L733" s="766"/>
      <c r="M733" s="498"/>
      <c r="N733" s="766"/>
      <c r="O733" s="498"/>
      <c r="P733" s="49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</row>
    <row r="734" spans="1:26" ht="18.75">
      <c r="A734" s="744"/>
      <c r="B734" s="763"/>
      <c r="C734" s="763"/>
      <c r="D734" s="763"/>
      <c r="E734" s="763"/>
      <c r="F734" s="763"/>
      <c r="G734" s="189"/>
      <c r="H734" s="764" t="s">
        <v>34</v>
      </c>
      <c r="I734" s="765"/>
      <c r="J734" s="215">
        <v>0</v>
      </c>
      <c r="K734" s="498"/>
      <c r="L734" s="766"/>
      <c r="M734" s="498"/>
      <c r="N734" s="766"/>
      <c r="O734" s="498"/>
      <c r="P734" s="49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</row>
    <row r="735" spans="1:26" ht="19.5">
      <c r="A735" s="770"/>
      <c r="B735" s="771" t="s">
        <v>312</v>
      </c>
      <c r="C735" s="734"/>
      <c r="D735" s="734"/>
      <c r="E735" s="734"/>
      <c r="F735" s="734"/>
      <c r="G735" s="735"/>
      <c r="H735" s="422" t="s">
        <v>46</v>
      </c>
      <c r="I735" s="772"/>
      <c r="J735" s="424">
        <v>0</v>
      </c>
      <c r="K735" s="507"/>
      <c r="L735" s="773"/>
      <c r="M735" s="507"/>
      <c r="N735" s="773"/>
      <c r="O735" s="507"/>
      <c r="P735" s="507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</row>
    <row r="736" spans="1:26" ht="19.5" hidden="1">
      <c r="A736" s="774">
        <v>9</v>
      </c>
      <c r="B736" s="775" t="s">
        <v>313</v>
      </c>
      <c r="C736" s="776"/>
      <c r="D736" s="776"/>
      <c r="E736" s="776"/>
      <c r="F736" s="776"/>
      <c r="G736" s="777"/>
      <c r="H736" s="778" t="s">
        <v>46</v>
      </c>
      <c r="I736" s="779"/>
      <c r="J736" s="779">
        <f>J751</f>
        <v>0</v>
      </c>
      <c r="K736" s="780">
        <f>IF(I736&gt;0,J736*100/I736,0)</f>
        <v>0</v>
      </c>
      <c r="L736" s="781"/>
      <c r="M736" s="781"/>
      <c r="N736" s="781"/>
      <c r="O736" s="781"/>
      <c r="P736" s="781"/>
      <c r="Q736" s="604"/>
      <c r="R736" s="604"/>
      <c r="S736" s="604"/>
      <c r="T736" s="604"/>
      <c r="U736" s="604"/>
      <c r="V736" s="604"/>
      <c r="W736" s="604"/>
      <c r="X736" s="604"/>
      <c r="Y736" s="604"/>
      <c r="Z736" s="604"/>
    </row>
    <row r="737" spans="1:26" ht="19.5" hidden="1">
      <c r="A737" s="599"/>
      <c r="B737" s="759"/>
      <c r="C737" s="759" t="s">
        <v>16</v>
      </c>
      <c r="D737" s="864" t="s">
        <v>17</v>
      </c>
      <c r="E737" s="857"/>
      <c r="F737" s="857"/>
      <c r="G737" s="603"/>
      <c r="H737" s="646" t="s">
        <v>12</v>
      </c>
      <c r="I737" s="617"/>
      <c r="J737" s="617"/>
      <c r="K737" s="93"/>
      <c r="L737" s="647">
        <f t="shared" ref="L737:N737" si="294">L738+L739</f>
        <v>0</v>
      </c>
      <c r="M737" s="647">
        <f t="shared" si="294"/>
        <v>0</v>
      </c>
      <c r="N737" s="647">
        <f t="shared" si="294"/>
        <v>0</v>
      </c>
      <c r="O737" s="647">
        <f t="shared" ref="O737:O742" si="295">IF(L737&gt;0,N737*100/L737,0)</f>
        <v>0</v>
      </c>
      <c r="P737" s="647">
        <f t="shared" ref="P737:P742" si="296">IF(M737&gt;0,N737*100/M737,0)</f>
        <v>0</v>
      </c>
      <c r="Q737" s="604"/>
      <c r="R737" s="604"/>
      <c r="S737" s="604"/>
      <c r="T737" s="604"/>
      <c r="U737" s="604"/>
      <c r="V737" s="604"/>
      <c r="W737" s="604"/>
      <c r="X737" s="604"/>
      <c r="Y737" s="604"/>
      <c r="Z737" s="604"/>
    </row>
    <row r="738" spans="1:26" ht="18.75" hidden="1">
      <c r="A738" s="599"/>
      <c r="B738" s="759"/>
      <c r="C738" s="759"/>
      <c r="D738" s="720"/>
      <c r="E738" s="759" t="s">
        <v>185</v>
      </c>
      <c r="F738" s="759"/>
      <c r="G738" s="603"/>
      <c r="H738" s="165" t="s">
        <v>12</v>
      </c>
      <c r="I738" s="617"/>
      <c r="J738" s="617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4"/>
      <c r="R738" s="604"/>
      <c r="S738" s="604"/>
      <c r="T738" s="604"/>
      <c r="U738" s="604"/>
      <c r="V738" s="604"/>
      <c r="W738" s="604"/>
      <c r="X738" s="604"/>
      <c r="Y738" s="604"/>
      <c r="Z738" s="604"/>
    </row>
    <row r="739" spans="1:26" ht="18.75" hidden="1">
      <c r="A739" s="599"/>
      <c r="B739" s="607"/>
      <c r="C739" s="759"/>
      <c r="D739" s="720"/>
      <c r="E739" s="759" t="s">
        <v>186</v>
      </c>
      <c r="F739" s="759"/>
      <c r="G739" s="603"/>
      <c r="H739" s="165" t="s">
        <v>12</v>
      </c>
      <c r="I739" s="617"/>
      <c r="J739" s="617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4"/>
      <c r="R739" s="604"/>
      <c r="S739" s="604"/>
      <c r="T739" s="604"/>
      <c r="U739" s="604"/>
      <c r="V739" s="604"/>
      <c r="W739" s="604"/>
      <c r="X739" s="604"/>
      <c r="Y739" s="604"/>
      <c r="Z739" s="604"/>
    </row>
    <row r="740" spans="1:26" ht="19.5" hidden="1">
      <c r="A740" s="599"/>
      <c r="B740" s="607"/>
      <c r="C740" s="759"/>
      <c r="D740" s="645" t="s">
        <v>20</v>
      </c>
      <c r="E740" s="759"/>
      <c r="F740" s="759"/>
      <c r="G740" s="603"/>
      <c r="H740" s="646" t="s">
        <v>12</v>
      </c>
      <c r="I740" s="166"/>
      <c r="J740" s="166"/>
      <c r="K740" s="167"/>
      <c r="L740" s="647">
        <f t="shared" ref="L740:N740" si="298">L741+L742</f>
        <v>0</v>
      </c>
      <c r="M740" s="647">
        <f t="shared" si="298"/>
        <v>0</v>
      </c>
      <c r="N740" s="647">
        <f t="shared" si="298"/>
        <v>0</v>
      </c>
      <c r="O740" s="647">
        <f t="shared" si="295"/>
        <v>0</v>
      </c>
      <c r="P740" s="647">
        <f t="shared" si="296"/>
        <v>0</v>
      </c>
      <c r="Q740" s="604"/>
      <c r="R740" s="604"/>
      <c r="S740" s="604"/>
      <c r="T740" s="604"/>
      <c r="U740" s="604"/>
      <c r="V740" s="604"/>
      <c r="W740" s="604"/>
      <c r="X740" s="604"/>
      <c r="Y740" s="604"/>
      <c r="Z740" s="604"/>
    </row>
    <row r="741" spans="1:26" ht="18.75" hidden="1">
      <c r="A741" s="599"/>
      <c r="B741" s="607"/>
      <c r="C741" s="759"/>
      <c r="D741" s="720"/>
      <c r="E741" s="759" t="s">
        <v>185</v>
      </c>
      <c r="F741" s="759"/>
      <c r="G741" s="603"/>
      <c r="H741" s="165" t="s">
        <v>12</v>
      </c>
      <c r="I741" s="617"/>
      <c r="J741" s="617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4"/>
      <c r="R741" s="604"/>
      <c r="S741" s="604"/>
      <c r="T741" s="604"/>
      <c r="U741" s="604"/>
      <c r="V741" s="604"/>
      <c r="W741" s="604"/>
      <c r="X741" s="604"/>
      <c r="Y741" s="604"/>
      <c r="Z741" s="604"/>
    </row>
    <row r="742" spans="1:26" ht="18.75" hidden="1">
      <c r="A742" s="599"/>
      <c r="B742" s="607"/>
      <c r="C742" s="759"/>
      <c r="D742" s="720"/>
      <c r="E742" s="759" t="s">
        <v>186</v>
      </c>
      <c r="F742" s="759"/>
      <c r="G742" s="603"/>
      <c r="H742" s="165" t="s">
        <v>12</v>
      </c>
      <c r="I742" s="617"/>
      <c r="J742" s="617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4"/>
      <c r="R742" s="604"/>
      <c r="S742" s="604"/>
      <c r="T742" s="604"/>
      <c r="U742" s="604"/>
      <c r="V742" s="604"/>
      <c r="W742" s="604"/>
      <c r="X742" s="604"/>
      <c r="Y742" s="604"/>
      <c r="Z742" s="604"/>
    </row>
    <row r="743" spans="1:26" ht="18.75" hidden="1">
      <c r="A743" s="649"/>
      <c r="B743" s="607"/>
      <c r="C743" s="759"/>
      <c r="D743" s="759"/>
      <c r="E743" s="759"/>
      <c r="F743" s="759" t="s">
        <v>187</v>
      </c>
      <c r="G743" s="603"/>
      <c r="H743" s="165" t="s">
        <v>12</v>
      </c>
      <c r="I743" s="617"/>
      <c r="J743" s="617"/>
      <c r="K743" s="93"/>
      <c r="L743" s="93"/>
      <c r="M743" s="93"/>
      <c r="N743" s="93"/>
      <c r="O743" s="93"/>
      <c r="P743" s="93"/>
      <c r="Q743" s="604"/>
      <c r="R743" s="604"/>
      <c r="S743" s="604"/>
      <c r="T743" s="604"/>
      <c r="U743" s="604"/>
      <c r="V743" s="604"/>
      <c r="W743" s="604"/>
      <c r="X743" s="604"/>
      <c r="Y743" s="604"/>
      <c r="Z743" s="604"/>
    </row>
    <row r="744" spans="1:26" ht="18.75" hidden="1">
      <c r="A744" s="649"/>
      <c r="B744" s="607"/>
      <c r="C744" s="759"/>
      <c r="D744" s="759"/>
      <c r="E744" s="759"/>
      <c r="F744" s="759" t="s">
        <v>188</v>
      </c>
      <c r="G744" s="603"/>
      <c r="H744" s="165" t="s">
        <v>12</v>
      </c>
      <c r="I744" s="617"/>
      <c r="J744" s="617"/>
      <c r="K744" s="93"/>
      <c r="L744" s="93"/>
      <c r="M744" s="93"/>
      <c r="N744" s="93"/>
      <c r="O744" s="93"/>
      <c r="P744" s="93"/>
      <c r="Q744" s="604"/>
      <c r="R744" s="604"/>
      <c r="S744" s="604"/>
      <c r="T744" s="604"/>
      <c r="U744" s="604"/>
      <c r="V744" s="604"/>
      <c r="W744" s="604"/>
      <c r="X744" s="604"/>
      <c r="Y744" s="604"/>
      <c r="Z744" s="604"/>
    </row>
    <row r="745" spans="1:26" ht="18.75" hidden="1">
      <c r="A745" s="649"/>
      <c r="B745" s="607"/>
      <c r="C745" s="759"/>
      <c r="D745" s="759"/>
      <c r="E745" s="759"/>
      <c r="F745" s="759" t="s">
        <v>189</v>
      </c>
      <c r="G745" s="603"/>
      <c r="H745" s="165" t="s">
        <v>12</v>
      </c>
      <c r="I745" s="617"/>
      <c r="J745" s="617"/>
      <c r="K745" s="93"/>
      <c r="L745" s="93"/>
      <c r="M745" s="93"/>
      <c r="N745" s="93"/>
      <c r="O745" s="93"/>
      <c r="P745" s="93"/>
      <c r="Q745" s="604"/>
      <c r="R745" s="604"/>
      <c r="S745" s="604"/>
      <c r="T745" s="604"/>
      <c r="U745" s="604"/>
      <c r="V745" s="604"/>
      <c r="W745" s="604"/>
      <c r="X745" s="604"/>
      <c r="Y745" s="604"/>
      <c r="Z745" s="604"/>
    </row>
    <row r="746" spans="1:26" ht="18.75" hidden="1">
      <c r="A746" s="649"/>
      <c r="B746" s="607"/>
      <c r="C746" s="759"/>
      <c r="D746" s="759"/>
      <c r="E746" s="759"/>
      <c r="F746" s="759" t="s">
        <v>190</v>
      </c>
      <c r="G746" s="603"/>
      <c r="H746" s="165" t="s">
        <v>12</v>
      </c>
      <c r="I746" s="617"/>
      <c r="J746" s="617"/>
      <c r="K746" s="93"/>
      <c r="L746" s="93"/>
      <c r="M746" s="93"/>
      <c r="N746" s="93"/>
      <c r="O746" s="93"/>
      <c r="P746" s="93"/>
      <c r="Q746" s="604"/>
      <c r="R746" s="604"/>
      <c r="S746" s="604"/>
      <c r="T746" s="604"/>
      <c r="U746" s="604"/>
      <c r="V746" s="604"/>
      <c r="W746" s="604"/>
      <c r="X746" s="604"/>
      <c r="Y746" s="604"/>
      <c r="Z746" s="604"/>
    </row>
    <row r="747" spans="1:26" ht="19.5" hidden="1">
      <c r="A747" s="599"/>
      <c r="B747" s="607"/>
      <c r="C747" s="759"/>
      <c r="D747" s="645" t="s">
        <v>21</v>
      </c>
      <c r="E747" s="759"/>
      <c r="F747" s="759"/>
      <c r="G747" s="603"/>
      <c r="H747" s="783" t="s">
        <v>12</v>
      </c>
      <c r="I747" s="166"/>
      <c r="J747" s="166"/>
      <c r="K747" s="167"/>
      <c r="L747" s="647">
        <f t="shared" ref="L747:N747" si="299">L748+L749</f>
        <v>0</v>
      </c>
      <c r="M747" s="647">
        <f t="shared" si="299"/>
        <v>0</v>
      </c>
      <c r="N747" s="647">
        <f t="shared" si="299"/>
        <v>0</v>
      </c>
      <c r="O747" s="647">
        <f t="shared" ref="O747:O749" si="300">IF(L747&gt;0,N747*100/L747,0)</f>
        <v>0</v>
      </c>
      <c r="P747" s="647">
        <f t="shared" ref="P747:P749" si="301">IF(M747&gt;0,N747*100/M747,0)</f>
        <v>0</v>
      </c>
      <c r="Q747" s="604"/>
      <c r="R747" s="604"/>
      <c r="S747" s="604"/>
      <c r="T747" s="604"/>
      <c r="U747" s="604"/>
      <c r="V747" s="604"/>
      <c r="W747" s="604"/>
      <c r="X747" s="604"/>
      <c r="Y747" s="604"/>
      <c r="Z747" s="604"/>
    </row>
    <row r="748" spans="1:26" ht="18.75" hidden="1">
      <c r="A748" s="599"/>
      <c r="B748" s="607"/>
      <c r="C748" s="759"/>
      <c r="D748" s="759"/>
      <c r="E748" s="759" t="s">
        <v>18</v>
      </c>
      <c r="F748" s="759"/>
      <c r="G748" s="603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4"/>
      <c r="R748" s="604"/>
      <c r="S748" s="604"/>
      <c r="T748" s="604"/>
      <c r="U748" s="604"/>
      <c r="V748" s="604"/>
      <c r="W748" s="604"/>
      <c r="X748" s="604"/>
      <c r="Y748" s="604"/>
      <c r="Z748" s="604"/>
    </row>
    <row r="749" spans="1:26" ht="18.75" hidden="1">
      <c r="A749" s="599"/>
      <c r="B749" s="607"/>
      <c r="C749" s="759"/>
      <c r="D749" s="759"/>
      <c r="E749" s="759" t="s">
        <v>19</v>
      </c>
      <c r="F749" s="759"/>
      <c r="G749" s="603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4"/>
      <c r="R749" s="604"/>
      <c r="S749" s="604"/>
      <c r="T749" s="604"/>
      <c r="U749" s="604"/>
      <c r="V749" s="604"/>
      <c r="W749" s="604"/>
      <c r="X749" s="604"/>
      <c r="Y749" s="604"/>
      <c r="Z749" s="604"/>
    </row>
    <row r="750" spans="1:26" ht="19.5" hidden="1">
      <c r="A750" s="614"/>
      <c r="B750" s="616"/>
      <c r="C750" s="759" t="s">
        <v>16</v>
      </c>
      <c r="D750" s="899" t="s">
        <v>38</v>
      </c>
      <c r="E750" s="651"/>
      <c r="F750" s="651"/>
      <c r="G750" s="652"/>
      <c r="H750" s="366"/>
      <c r="I750" s="166"/>
      <c r="J750" s="166"/>
      <c r="K750" s="167"/>
      <c r="L750" s="167"/>
      <c r="M750" s="167"/>
      <c r="N750" s="167"/>
      <c r="O750" s="167"/>
      <c r="P750" s="167"/>
      <c r="Q750" s="604"/>
      <c r="R750" s="604"/>
      <c r="S750" s="604"/>
      <c r="T750" s="604"/>
      <c r="U750" s="604"/>
      <c r="V750" s="604"/>
      <c r="W750" s="604"/>
      <c r="X750" s="604"/>
      <c r="Y750" s="604"/>
      <c r="Z750" s="604"/>
    </row>
    <row r="751" spans="1:26" ht="18.75" hidden="1">
      <c r="A751" s="649"/>
      <c r="B751" s="607"/>
      <c r="C751" s="759"/>
      <c r="D751" s="759"/>
      <c r="E751" s="759" t="s">
        <v>314</v>
      </c>
      <c r="F751" s="759"/>
      <c r="G751" s="603"/>
      <c r="H751" s="165" t="s">
        <v>46</v>
      </c>
      <c r="I751" s="617"/>
      <c r="J751" s="617"/>
      <c r="K751" s="93"/>
      <c r="L751" s="93"/>
      <c r="M751" s="93"/>
      <c r="N751" s="93"/>
      <c r="O751" s="93"/>
      <c r="P751" s="93"/>
      <c r="Q751" s="604"/>
      <c r="R751" s="604"/>
      <c r="S751" s="604"/>
      <c r="T751" s="604"/>
      <c r="U751" s="604"/>
      <c r="V751" s="604"/>
      <c r="W751" s="604"/>
      <c r="X751" s="604"/>
      <c r="Y751" s="604"/>
      <c r="Z751" s="604"/>
    </row>
    <row r="752" spans="1:26" ht="18.75" hidden="1">
      <c r="A752" s="649"/>
      <c r="B752" s="607"/>
      <c r="C752" s="759"/>
      <c r="D752" s="759"/>
      <c r="E752" s="759"/>
      <c r="F752" s="759"/>
      <c r="G752" s="603"/>
      <c r="H752" s="165" t="s">
        <v>315</v>
      </c>
      <c r="I752" s="617"/>
      <c r="J752" s="617"/>
      <c r="K752" s="93"/>
      <c r="L752" s="93"/>
      <c r="M752" s="93"/>
      <c r="N752" s="93"/>
      <c r="O752" s="93"/>
      <c r="P752" s="93"/>
      <c r="Q752" s="604"/>
      <c r="R752" s="604"/>
      <c r="S752" s="604"/>
      <c r="T752" s="604"/>
      <c r="U752" s="604"/>
      <c r="V752" s="604"/>
      <c r="W752" s="604"/>
      <c r="X752" s="604"/>
      <c r="Y752" s="604"/>
      <c r="Z752" s="604"/>
    </row>
    <row r="753" spans="1:26" ht="19.5" hidden="1">
      <c r="A753" s="785">
        <v>10</v>
      </c>
      <c r="B753" s="786" t="s">
        <v>316</v>
      </c>
      <c r="C753" s="787"/>
      <c r="D753" s="787"/>
      <c r="E753" s="787"/>
      <c r="F753" s="787"/>
      <c r="G753" s="788"/>
      <c r="H753" s="789" t="s">
        <v>46</v>
      </c>
      <c r="I753" s="790"/>
      <c r="J753" s="790">
        <f>J768</f>
        <v>0</v>
      </c>
      <c r="K753" s="791">
        <f>IF(I753&gt;0,J753*100/I753,0)</f>
        <v>0</v>
      </c>
      <c r="L753" s="792"/>
      <c r="M753" s="792"/>
      <c r="N753" s="792"/>
      <c r="O753" s="792"/>
      <c r="P753" s="792"/>
      <c r="Q753" s="604"/>
      <c r="R753" s="604"/>
      <c r="S753" s="604"/>
      <c r="T753" s="604"/>
      <c r="U753" s="604"/>
      <c r="V753" s="604"/>
      <c r="W753" s="604"/>
      <c r="X753" s="604"/>
      <c r="Y753" s="604"/>
      <c r="Z753" s="604"/>
    </row>
    <row r="754" spans="1:26" ht="19.5" hidden="1">
      <c r="A754" s="599"/>
      <c r="B754" s="759"/>
      <c r="C754" s="759" t="s">
        <v>16</v>
      </c>
      <c r="D754" s="864" t="s">
        <v>17</v>
      </c>
      <c r="E754" s="857"/>
      <c r="F754" s="857"/>
      <c r="G754" s="603"/>
      <c r="H754" s="646" t="s">
        <v>12</v>
      </c>
      <c r="I754" s="617"/>
      <c r="J754" s="617"/>
      <c r="K754" s="93"/>
      <c r="L754" s="647">
        <f t="shared" ref="L754:N754" si="302">L755+L756</f>
        <v>0</v>
      </c>
      <c r="M754" s="647">
        <f t="shared" si="302"/>
        <v>0</v>
      </c>
      <c r="N754" s="647">
        <f t="shared" si="302"/>
        <v>0</v>
      </c>
      <c r="O754" s="647">
        <f t="shared" ref="O754:O759" si="303">IF(L754&gt;0,N754*100/L754,0)</f>
        <v>0</v>
      </c>
      <c r="P754" s="647">
        <f t="shared" ref="P754:P759" si="304">IF(M754&gt;0,N754*100/M754,0)</f>
        <v>0</v>
      </c>
      <c r="Q754" s="604"/>
      <c r="R754" s="604"/>
      <c r="S754" s="604"/>
      <c r="T754" s="604"/>
      <c r="U754" s="604"/>
      <c r="V754" s="604"/>
      <c r="W754" s="604"/>
      <c r="X754" s="604"/>
      <c r="Y754" s="604"/>
      <c r="Z754" s="604"/>
    </row>
    <row r="755" spans="1:26" ht="18.75" hidden="1">
      <c r="A755" s="599"/>
      <c r="B755" s="759"/>
      <c r="C755" s="759"/>
      <c r="D755" s="720"/>
      <c r="E755" s="759" t="s">
        <v>185</v>
      </c>
      <c r="F755" s="759"/>
      <c r="G755" s="603"/>
      <c r="H755" s="165" t="s">
        <v>12</v>
      </c>
      <c r="I755" s="617"/>
      <c r="J755" s="617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4"/>
      <c r="R755" s="604"/>
      <c r="S755" s="604"/>
      <c r="T755" s="604"/>
      <c r="U755" s="604"/>
      <c r="V755" s="604"/>
      <c r="W755" s="604"/>
      <c r="X755" s="604"/>
      <c r="Y755" s="604"/>
      <c r="Z755" s="604"/>
    </row>
    <row r="756" spans="1:26" ht="18.75" hidden="1">
      <c r="A756" s="599"/>
      <c r="B756" s="607"/>
      <c r="C756" s="759"/>
      <c r="D756" s="720"/>
      <c r="E756" s="759" t="s">
        <v>186</v>
      </c>
      <c r="F756" s="759"/>
      <c r="G756" s="603"/>
      <c r="H756" s="165" t="s">
        <v>12</v>
      </c>
      <c r="I756" s="617"/>
      <c r="J756" s="617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4"/>
      <c r="R756" s="604"/>
      <c r="S756" s="604"/>
      <c r="T756" s="604"/>
      <c r="U756" s="604"/>
      <c r="V756" s="604"/>
      <c r="W756" s="604"/>
      <c r="X756" s="604"/>
      <c r="Y756" s="604"/>
      <c r="Z756" s="604"/>
    </row>
    <row r="757" spans="1:26" ht="19.5" hidden="1">
      <c r="A757" s="599"/>
      <c r="B757" s="607"/>
      <c r="C757" s="759"/>
      <c r="D757" s="645" t="s">
        <v>20</v>
      </c>
      <c r="E757" s="759"/>
      <c r="F757" s="759"/>
      <c r="G757" s="603"/>
      <c r="H757" s="646" t="s">
        <v>12</v>
      </c>
      <c r="I757" s="166"/>
      <c r="J757" s="166"/>
      <c r="K757" s="167"/>
      <c r="L757" s="647">
        <f t="shared" ref="L757:N757" si="306">L758+L759</f>
        <v>0</v>
      </c>
      <c r="M757" s="647">
        <f t="shared" si="306"/>
        <v>0</v>
      </c>
      <c r="N757" s="647">
        <f t="shared" si="306"/>
        <v>0</v>
      </c>
      <c r="O757" s="647">
        <f t="shared" si="303"/>
        <v>0</v>
      </c>
      <c r="P757" s="647">
        <f t="shared" si="304"/>
        <v>0</v>
      </c>
      <c r="Q757" s="604"/>
      <c r="R757" s="604"/>
      <c r="S757" s="604"/>
      <c r="T757" s="604"/>
      <c r="U757" s="604"/>
      <c r="V757" s="604"/>
      <c r="W757" s="604"/>
      <c r="X757" s="604"/>
      <c r="Y757" s="604"/>
      <c r="Z757" s="604"/>
    </row>
    <row r="758" spans="1:26" ht="18.75" hidden="1">
      <c r="A758" s="599"/>
      <c r="B758" s="607"/>
      <c r="C758" s="759"/>
      <c r="D758" s="720"/>
      <c r="E758" s="759" t="s">
        <v>185</v>
      </c>
      <c r="F758" s="759"/>
      <c r="G758" s="603"/>
      <c r="H758" s="165" t="s">
        <v>12</v>
      </c>
      <c r="I758" s="617"/>
      <c r="J758" s="617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4"/>
      <c r="R758" s="604"/>
      <c r="S758" s="604"/>
      <c r="T758" s="604"/>
      <c r="U758" s="604"/>
      <c r="V758" s="604"/>
      <c r="W758" s="604"/>
      <c r="X758" s="604"/>
      <c r="Y758" s="604"/>
      <c r="Z758" s="604"/>
    </row>
    <row r="759" spans="1:26" ht="18.75" hidden="1">
      <c r="A759" s="599"/>
      <c r="B759" s="607"/>
      <c r="C759" s="759"/>
      <c r="D759" s="720"/>
      <c r="E759" s="759" t="s">
        <v>186</v>
      </c>
      <c r="F759" s="759"/>
      <c r="G759" s="603"/>
      <c r="H759" s="165" t="s">
        <v>12</v>
      </c>
      <c r="I759" s="617"/>
      <c r="J759" s="617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4"/>
      <c r="R759" s="604"/>
      <c r="S759" s="604"/>
      <c r="T759" s="604"/>
      <c r="U759" s="604"/>
      <c r="V759" s="604"/>
      <c r="W759" s="604"/>
      <c r="X759" s="604"/>
      <c r="Y759" s="604"/>
      <c r="Z759" s="604"/>
    </row>
    <row r="760" spans="1:26" ht="18.75" hidden="1">
      <c r="A760" s="649"/>
      <c r="B760" s="607"/>
      <c r="C760" s="759"/>
      <c r="D760" s="759"/>
      <c r="E760" s="759"/>
      <c r="F760" s="759" t="s">
        <v>187</v>
      </c>
      <c r="G760" s="603"/>
      <c r="H760" s="165" t="s">
        <v>12</v>
      </c>
      <c r="I760" s="617"/>
      <c r="J760" s="617"/>
      <c r="K760" s="93"/>
      <c r="L760" s="93"/>
      <c r="M760" s="93"/>
      <c r="N760" s="93"/>
      <c r="O760" s="93"/>
      <c r="P760" s="93"/>
      <c r="Q760" s="604"/>
      <c r="R760" s="604"/>
      <c r="S760" s="604"/>
      <c r="T760" s="604"/>
      <c r="U760" s="604"/>
      <c r="V760" s="604"/>
      <c r="W760" s="604"/>
      <c r="X760" s="604"/>
      <c r="Y760" s="604"/>
      <c r="Z760" s="604"/>
    </row>
    <row r="761" spans="1:26" ht="18.75" hidden="1">
      <c r="A761" s="649"/>
      <c r="B761" s="607"/>
      <c r="C761" s="759"/>
      <c r="D761" s="759"/>
      <c r="E761" s="759"/>
      <c r="F761" s="759" t="s">
        <v>188</v>
      </c>
      <c r="G761" s="603"/>
      <c r="H761" s="165" t="s">
        <v>12</v>
      </c>
      <c r="I761" s="617"/>
      <c r="J761" s="617"/>
      <c r="K761" s="93"/>
      <c r="L761" s="93"/>
      <c r="M761" s="93"/>
      <c r="N761" s="93"/>
      <c r="O761" s="93"/>
      <c r="P761" s="93"/>
      <c r="Q761" s="604"/>
      <c r="R761" s="604"/>
      <c r="S761" s="604"/>
      <c r="T761" s="604"/>
      <c r="U761" s="604"/>
      <c r="V761" s="604"/>
      <c r="W761" s="604"/>
      <c r="X761" s="604"/>
      <c r="Y761" s="604"/>
      <c r="Z761" s="604"/>
    </row>
    <row r="762" spans="1:26" ht="18.75" hidden="1">
      <c r="A762" s="649"/>
      <c r="B762" s="607"/>
      <c r="C762" s="759"/>
      <c r="D762" s="759"/>
      <c r="E762" s="759"/>
      <c r="F762" s="759" t="s">
        <v>189</v>
      </c>
      <c r="G762" s="603"/>
      <c r="H762" s="165" t="s">
        <v>12</v>
      </c>
      <c r="I762" s="617"/>
      <c r="J762" s="617"/>
      <c r="K762" s="93"/>
      <c r="L762" s="93"/>
      <c r="M762" s="93"/>
      <c r="N762" s="93"/>
      <c r="O762" s="93"/>
      <c r="P762" s="93"/>
      <c r="Q762" s="604"/>
      <c r="R762" s="604"/>
      <c r="S762" s="604"/>
      <c r="T762" s="604"/>
      <c r="U762" s="604"/>
      <c r="V762" s="604"/>
      <c r="W762" s="604"/>
      <c r="X762" s="604"/>
      <c r="Y762" s="604"/>
      <c r="Z762" s="604"/>
    </row>
    <row r="763" spans="1:26" ht="18.75" hidden="1">
      <c r="A763" s="649"/>
      <c r="B763" s="607"/>
      <c r="C763" s="759"/>
      <c r="D763" s="759"/>
      <c r="E763" s="759"/>
      <c r="F763" s="759" t="s">
        <v>190</v>
      </c>
      <c r="G763" s="603"/>
      <c r="H763" s="165" t="s">
        <v>12</v>
      </c>
      <c r="I763" s="617"/>
      <c r="J763" s="617"/>
      <c r="K763" s="93"/>
      <c r="L763" s="93"/>
      <c r="M763" s="93"/>
      <c r="N763" s="93"/>
      <c r="O763" s="93"/>
      <c r="P763" s="93"/>
      <c r="Q763" s="604"/>
      <c r="R763" s="604"/>
      <c r="S763" s="604"/>
      <c r="T763" s="604"/>
      <c r="U763" s="604"/>
      <c r="V763" s="604"/>
      <c r="W763" s="604"/>
      <c r="X763" s="604"/>
      <c r="Y763" s="604"/>
      <c r="Z763" s="604"/>
    </row>
    <row r="764" spans="1:26" ht="19.5" hidden="1">
      <c r="A764" s="599"/>
      <c r="B764" s="607"/>
      <c r="C764" s="759"/>
      <c r="D764" s="645" t="s">
        <v>21</v>
      </c>
      <c r="E764" s="759"/>
      <c r="F764" s="759"/>
      <c r="G764" s="603"/>
      <c r="H764" s="783" t="s">
        <v>12</v>
      </c>
      <c r="I764" s="166"/>
      <c r="J764" s="166"/>
      <c r="K764" s="167"/>
      <c r="L764" s="647">
        <f t="shared" ref="L764:N764" si="307">L765+L766</f>
        <v>0</v>
      </c>
      <c r="M764" s="647">
        <f t="shared" si="307"/>
        <v>0</v>
      </c>
      <c r="N764" s="647">
        <f t="shared" si="307"/>
        <v>0</v>
      </c>
      <c r="O764" s="647">
        <f t="shared" ref="O764:O766" si="308">IF(L764&gt;0,N764*100/L764,0)</f>
        <v>0</v>
      </c>
      <c r="P764" s="647">
        <f t="shared" ref="P764:P766" si="309">IF(M764&gt;0,N764*100/M764,0)</f>
        <v>0</v>
      </c>
      <c r="Q764" s="604"/>
      <c r="R764" s="604"/>
      <c r="S764" s="604"/>
      <c r="T764" s="604"/>
      <c r="U764" s="604"/>
      <c r="V764" s="604"/>
      <c r="W764" s="604"/>
      <c r="X764" s="604"/>
      <c r="Y764" s="604"/>
      <c r="Z764" s="604"/>
    </row>
    <row r="765" spans="1:26" ht="18.75" hidden="1">
      <c r="A765" s="599"/>
      <c r="B765" s="607"/>
      <c r="C765" s="759"/>
      <c r="D765" s="759"/>
      <c r="E765" s="759" t="s">
        <v>18</v>
      </c>
      <c r="F765" s="759"/>
      <c r="G765" s="603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4"/>
      <c r="R765" s="604"/>
      <c r="S765" s="604"/>
      <c r="T765" s="604"/>
      <c r="U765" s="604"/>
      <c r="V765" s="604"/>
      <c r="W765" s="604"/>
      <c r="X765" s="604"/>
      <c r="Y765" s="604"/>
      <c r="Z765" s="604"/>
    </row>
    <row r="766" spans="1:26" ht="18.75" hidden="1">
      <c r="A766" s="599"/>
      <c r="B766" s="607"/>
      <c r="C766" s="759"/>
      <c r="D766" s="759"/>
      <c r="E766" s="759" t="s">
        <v>19</v>
      </c>
      <c r="F766" s="759"/>
      <c r="G766" s="603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4"/>
      <c r="R766" s="604"/>
      <c r="S766" s="604"/>
      <c r="T766" s="604"/>
      <c r="U766" s="604"/>
      <c r="V766" s="604"/>
      <c r="W766" s="604"/>
      <c r="X766" s="604"/>
      <c r="Y766" s="604"/>
      <c r="Z766" s="604"/>
    </row>
    <row r="767" spans="1:26" ht="19.5" hidden="1">
      <c r="A767" s="614"/>
      <c r="B767" s="616"/>
      <c r="C767" s="759" t="s">
        <v>16</v>
      </c>
      <c r="D767" s="899" t="s">
        <v>38</v>
      </c>
      <c r="E767" s="651"/>
      <c r="F767" s="651"/>
      <c r="G767" s="652"/>
      <c r="H767" s="366"/>
      <c r="I767" s="166"/>
      <c r="J767" s="166"/>
      <c r="K767" s="167"/>
      <c r="L767" s="167"/>
      <c r="M767" s="167"/>
      <c r="N767" s="167"/>
      <c r="O767" s="167"/>
      <c r="P767" s="167"/>
      <c r="Q767" s="604"/>
      <c r="R767" s="604"/>
      <c r="S767" s="604"/>
      <c r="T767" s="604"/>
      <c r="U767" s="604"/>
      <c r="V767" s="604"/>
      <c r="W767" s="604"/>
      <c r="X767" s="604"/>
      <c r="Y767" s="604"/>
      <c r="Z767" s="604"/>
    </row>
    <row r="768" spans="1:26" ht="18.75" hidden="1">
      <c r="A768" s="649"/>
      <c r="B768" s="607"/>
      <c r="C768" s="759"/>
      <c r="D768" s="759"/>
      <c r="E768" s="759" t="s">
        <v>317</v>
      </c>
      <c r="F768" s="759"/>
      <c r="G768" s="603"/>
      <c r="H768" s="165" t="s">
        <v>46</v>
      </c>
      <c r="I768" s="617"/>
      <c r="J768" s="617"/>
      <c r="K768" s="93"/>
      <c r="L768" s="93"/>
      <c r="M768" s="93"/>
      <c r="N768" s="93"/>
      <c r="O768" s="93"/>
      <c r="P768" s="93"/>
      <c r="Q768" s="604"/>
      <c r="R768" s="604"/>
      <c r="S768" s="604"/>
      <c r="T768" s="604"/>
      <c r="U768" s="604"/>
      <c r="V768" s="604"/>
      <c r="W768" s="604"/>
      <c r="X768" s="604"/>
      <c r="Y768" s="604"/>
      <c r="Z768" s="604"/>
    </row>
    <row r="769" spans="1:26" ht="19.5" hidden="1">
      <c r="A769" s="793">
        <v>11</v>
      </c>
      <c r="B769" s="794" t="s">
        <v>318</v>
      </c>
      <c r="C769" s="795"/>
      <c r="D769" s="795"/>
      <c r="E769" s="795"/>
      <c r="F769" s="795"/>
      <c r="G769" s="796"/>
      <c r="H769" s="797" t="s">
        <v>46</v>
      </c>
      <c r="I769" s="798"/>
      <c r="J769" s="798">
        <f>J784</f>
        <v>0</v>
      </c>
      <c r="K769" s="799">
        <f>IF(I769&gt;0,J769*100/I769,0)</f>
        <v>0</v>
      </c>
      <c r="L769" s="800"/>
      <c r="M769" s="800"/>
      <c r="N769" s="800"/>
      <c r="O769" s="800"/>
      <c r="P769" s="800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</row>
    <row r="770" spans="1:26" ht="19.5" hidden="1">
      <c r="A770" s="599"/>
      <c r="B770" s="759"/>
      <c r="C770" s="759" t="s">
        <v>16</v>
      </c>
      <c r="D770" s="864" t="s">
        <v>17</v>
      </c>
      <c r="E770" s="857"/>
      <c r="F770" s="857"/>
      <c r="G770" s="603"/>
      <c r="H770" s="646" t="s">
        <v>12</v>
      </c>
      <c r="I770" s="617"/>
      <c r="J770" s="617"/>
      <c r="K770" s="93"/>
      <c r="L770" s="647">
        <f t="shared" ref="L770:N770" si="310">L771+L772</f>
        <v>0</v>
      </c>
      <c r="M770" s="647">
        <f t="shared" si="310"/>
        <v>0</v>
      </c>
      <c r="N770" s="647">
        <f t="shared" si="310"/>
        <v>0</v>
      </c>
      <c r="O770" s="647">
        <f t="shared" ref="O770:O775" si="311">IF(L770&gt;0,N770*100/L770,0)</f>
        <v>0</v>
      </c>
      <c r="P770" s="647">
        <f t="shared" ref="P770:P775" si="312">IF(M770&gt;0,N770*100/M770,0)</f>
        <v>0</v>
      </c>
      <c r="Q770" s="604"/>
      <c r="R770" s="604"/>
      <c r="S770" s="604"/>
      <c r="T770" s="604"/>
      <c r="U770" s="604"/>
      <c r="V770" s="604"/>
      <c r="W770" s="604"/>
      <c r="X770" s="604"/>
      <c r="Y770" s="604"/>
      <c r="Z770" s="604"/>
    </row>
    <row r="771" spans="1:26" ht="18.75" hidden="1">
      <c r="A771" s="599"/>
      <c r="B771" s="759"/>
      <c r="C771" s="759"/>
      <c r="D771" s="720"/>
      <c r="E771" s="759" t="s">
        <v>185</v>
      </c>
      <c r="F771" s="759"/>
      <c r="G771" s="603"/>
      <c r="H771" s="165" t="s">
        <v>12</v>
      </c>
      <c r="I771" s="617"/>
      <c r="J771" s="617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4"/>
      <c r="R771" s="604"/>
      <c r="S771" s="604"/>
      <c r="T771" s="604"/>
      <c r="U771" s="604"/>
      <c r="V771" s="604"/>
      <c r="W771" s="604"/>
      <c r="X771" s="604"/>
      <c r="Y771" s="604"/>
      <c r="Z771" s="604"/>
    </row>
    <row r="772" spans="1:26" ht="18.75" hidden="1">
      <c r="A772" s="599"/>
      <c r="B772" s="607"/>
      <c r="C772" s="759"/>
      <c r="D772" s="720"/>
      <c r="E772" s="759" t="s">
        <v>186</v>
      </c>
      <c r="F772" s="759"/>
      <c r="G772" s="603"/>
      <c r="H772" s="165" t="s">
        <v>12</v>
      </c>
      <c r="I772" s="617"/>
      <c r="J772" s="617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4"/>
      <c r="R772" s="604"/>
      <c r="S772" s="604"/>
      <c r="T772" s="604"/>
      <c r="U772" s="604"/>
      <c r="V772" s="604"/>
      <c r="W772" s="604"/>
      <c r="X772" s="604"/>
      <c r="Y772" s="604"/>
      <c r="Z772" s="604"/>
    </row>
    <row r="773" spans="1:26" ht="19.5" hidden="1">
      <c r="A773" s="599"/>
      <c r="B773" s="607"/>
      <c r="C773" s="759"/>
      <c r="D773" s="645" t="s">
        <v>20</v>
      </c>
      <c r="E773" s="759"/>
      <c r="F773" s="759"/>
      <c r="G773" s="603"/>
      <c r="H773" s="646" t="s">
        <v>12</v>
      </c>
      <c r="I773" s="166"/>
      <c r="J773" s="166"/>
      <c r="K773" s="167"/>
      <c r="L773" s="647">
        <f t="shared" ref="L773:N773" si="314">L774+L775</f>
        <v>0</v>
      </c>
      <c r="M773" s="647">
        <f t="shared" si="314"/>
        <v>0</v>
      </c>
      <c r="N773" s="647">
        <f t="shared" si="314"/>
        <v>0</v>
      </c>
      <c r="O773" s="647">
        <f t="shared" si="311"/>
        <v>0</v>
      </c>
      <c r="P773" s="647">
        <f t="shared" si="312"/>
        <v>0</v>
      </c>
      <c r="Q773" s="604"/>
      <c r="R773" s="604"/>
      <c r="S773" s="604"/>
      <c r="T773" s="604"/>
      <c r="U773" s="604"/>
      <c r="V773" s="604"/>
      <c r="W773" s="604"/>
      <c r="X773" s="604"/>
      <c r="Y773" s="604"/>
      <c r="Z773" s="604"/>
    </row>
    <row r="774" spans="1:26" ht="18.75" hidden="1">
      <c r="A774" s="599"/>
      <c r="B774" s="607"/>
      <c r="C774" s="759"/>
      <c r="D774" s="720"/>
      <c r="E774" s="759" t="s">
        <v>185</v>
      </c>
      <c r="F774" s="759"/>
      <c r="G774" s="603"/>
      <c r="H774" s="165" t="s">
        <v>12</v>
      </c>
      <c r="I774" s="617"/>
      <c r="J774" s="617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4"/>
      <c r="R774" s="604"/>
      <c r="S774" s="604"/>
      <c r="T774" s="604"/>
      <c r="U774" s="604"/>
      <c r="V774" s="604"/>
      <c r="W774" s="604"/>
      <c r="X774" s="604"/>
      <c r="Y774" s="604"/>
      <c r="Z774" s="604"/>
    </row>
    <row r="775" spans="1:26" ht="18.75" hidden="1">
      <c r="A775" s="599"/>
      <c r="B775" s="607"/>
      <c r="C775" s="759"/>
      <c r="D775" s="720"/>
      <c r="E775" s="759" t="s">
        <v>186</v>
      </c>
      <c r="F775" s="759"/>
      <c r="G775" s="603"/>
      <c r="H775" s="165" t="s">
        <v>12</v>
      </c>
      <c r="I775" s="617"/>
      <c r="J775" s="617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4"/>
      <c r="R775" s="604"/>
      <c r="S775" s="604"/>
      <c r="T775" s="604"/>
      <c r="U775" s="604"/>
      <c r="V775" s="604"/>
      <c r="W775" s="604"/>
      <c r="X775" s="604"/>
      <c r="Y775" s="604"/>
      <c r="Z775" s="604"/>
    </row>
    <row r="776" spans="1:26" ht="18.75" hidden="1">
      <c r="A776" s="649"/>
      <c r="B776" s="607"/>
      <c r="C776" s="759"/>
      <c r="D776" s="759"/>
      <c r="E776" s="759"/>
      <c r="F776" s="759" t="s">
        <v>187</v>
      </c>
      <c r="G776" s="603"/>
      <c r="H776" s="165" t="s">
        <v>12</v>
      </c>
      <c r="I776" s="617"/>
      <c r="J776" s="617"/>
      <c r="K776" s="93"/>
      <c r="L776" s="93"/>
      <c r="M776" s="93"/>
      <c r="N776" s="93"/>
      <c r="O776" s="93"/>
      <c r="P776" s="93"/>
      <c r="Q776" s="604"/>
      <c r="R776" s="604"/>
      <c r="S776" s="604"/>
      <c r="T776" s="604"/>
      <c r="U776" s="604"/>
      <c r="V776" s="604"/>
      <c r="W776" s="604"/>
      <c r="X776" s="604"/>
      <c r="Y776" s="604"/>
      <c r="Z776" s="604"/>
    </row>
    <row r="777" spans="1:26" ht="18.75" hidden="1">
      <c r="A777" s="649"/>
      <c r="B777" s="607"/>
      <c r="C777" s="759"/>
      <c r="D777" s="759"/>
      <c r="E777" s="759"/>
      <c r="F777" s="759" t="s">
        <v>188</v>
      </c>
      <c r="G777" s="603"/>
      <c r="H777" s="165" t="s">
        <v>12</v>
      </c>
      <c r="I777" s="617"/>
      <c r="J777" s="617"/>
      <c r="K777" s="93"/>
      <c r="L777" s="93"/>
      <c r="M777" s="93"/>
      <c r="N777" s="93"/>
      <c r="O777" s="93"/>
      <c r="P777" s="93"/>
      <c r="Q777" s="604"/>
      <c r="R777" s="604"/>
      <c r="S777" s="604"/>
      <c r="T777" s="604"/>
      <c r="U777" s="604"/>
      <c r="V777" s="604"/>
      <c r="W777" s="604"/>
      <c r="X777" s="604"/>
      <c r="Y777" s="604"/>
      <c r="Z777" s="604"/>
    </row>
    <row r="778" spans="1:26" ht="18.75" hidden="1">
      <c r="A778" s="649"/>
      <c r="B778" s="607"/>
      <c r="C778" s="759"/>
      <c r="D778" s="759"/>
      <c r="E778" s="759"/>
      <c r="F778" s="759" t="s">
        <v>189</v>
      </c>
      <c r="G778" s="603"/>
      <c r="H778" s="165" t="s">
        <v>12</v>
      </c>
      <c r="I778" s="617"/>
      <c r="J778" s="617"/>
      <c r="K778" s="93"/>
      <c r="L778" s="93"/>
      <c r="M778" s="93"/>
      <c r="N778" s="93"/>
      <c r="O778" s="93"/>
      <c r="P778" s="93"/>
      <c r="Q778" s="604"/>
      <c r="R778" s="604"/>
      <c r="S778" s="604"/>
      <c r="T778" s="604"/>
      <c r="U778" s="604"/>
      <c r="V778" s="604"/>
      <c r="W778" s="604"/>
      <c r="X778" s="604"/>
      <c r="Y778" s="604"/>
      <c r="Z778" s="604"/>
    </row>
    <row r="779" spans="1:26" ht="18.75" hidden="1">
      <c r="A779" s="649"/>
      <c r="B779" s="607"/>
      <c r="C779" s="759"/>
      <c r="D779" s="759"/>
      <c r="E779" s="759"/>
      <c r="F779" s="759" t="s">
        <v>190</v>
      </c>
      <c r="G779" s="603"/>
      <c r="H779" s="165" t="s">
        <v>12</v>
      </c>
      <c r="I779" s="617"/>
      <c r="J779" s="617"/>
      <c r="K779" s="93"/>
      <c r="L779" s="93"/>
      <c r="M779" s="93"/>
      <c r="N779" s="93"/>
      <c r="O779" s="93"/>
      <c r="P779" s="93"/>
      <c r="Q779" s="604"/>
      <c r="R779" s="604"/>
      <c r="S779" s="604"/>
      <c r="T779" s="604"/>
      <c r="U779" s="604"/>
      <c r="V779" s="604"/>
      <c r="W779" s="604"/>
      <c r="X779" s="604"/>
      <c r="Y779" s="604"/>
      <c r="Z779" s="604"/>
    </row>
    <row r="780" spans="1:26" ht="19.5" hidden="1">
      <c r="A780" s="599"/>
      <c r="B780" s="607"/>
      <c r="C780" s="759"/>
      <c r="D780" s="645" t="s">
        <v>21</v>
      </c>
      <c r="E780" s="759"/>
      <c r="F780" s="759"/>
      <c r="G780" s="603"/>
      <c r="H780" s="783" t="s">
        <v>12</v>
      </c>
      <c r="I780" s="166"/>
      <c r="J780" s="166"/>
      <c r="K780" s="167"/>
      <c r="L780" s="647">
        <f t="shared" ref="L780:N780" si="315">L781+L782</f>
        <v>0</v>
      </c>
      <c r="M780" s="647">
        <f t="shared" si="315"/>
        <v>0</v>
      </c>
      <c r="N780" s="647">
        <f t="shared" si="315"/>
        <v>0</v>
      </c>
      <c r="O780" s="647">
        <f t="shared" ref="O780:O782" si="316">IF(L780&gt;0,N780*100/L780,0)</f>
        <v>0</v>
      </c>
      <c r="P780" s="647">
        <f t="shared" ref="P780:P782" si="317">IF(M780&gt;0,N780*100/M780,0)</f>
        <v>0</v>
      </c>
      <c r="Q780" s="604"/>
      <c r="R780" s="604"/>
      <c r="S780" s="604"/>
      <c r="T780" s="604"/>
      <c r="U780" s="604"/>
      <c r="V780" s="604"/>
      <c r="W780" s="604"/>
      <c r="X780" s="604"/>
      <c r="Y780" s="604"/>
      <c r="Z780" s="604"/>
    </row>
    <row r="781" spans="1:26" ht="18.75" hidden="1">
      <c r="A781" s="599"/>
      <c r="B781" s="607"/>
      <c r="C781" s="759"/>
      <c r="D781" s="759"/>
      <c r="E781" s="759" t="s">
        <v>18</v>
      </c>
      <c r="F781" s="759"/>
      <c r="G781" s="603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4"/>
      <c r="R781" s="604"/>
      <c r="S781" s="604"/>
      <c r="T781" s="604"/>
      <c r="U781" s="604"/>
      <c r="V781" s="604"/>
      <c r="W781" s="604"/>
      <c r="X781" s="604"/>
      <c r="Y781" s="604"/>
      <c r="Z781" s="604"/>
    </row>
    <row r="782" spans="1:26" ht="18.75" hidden="1">
      <c r="A782" s="599"/>
      <c r="B782" s="607"/>
      <c r="C782" s="759"/>
      <c r="D782" s="759"/>
      <c r="E782" s="759" t="s">
        <v>19</v>
      </c>
      <c r="F782" s="759"/>
      <c r="G782" s="603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4"/>
      <c r="R782" s="604"/>
      <c r="S782" s="604"/>
      <c r="T782" s="604"/>
      <c r="U782" s="604"/>
      <c r="V782" s="604"/>
      <c r="W782" s="604"/>
      <c r="X782" s="604"/>
      <c r="Y782" s="604"/>
      <c r="Z782" s="604"/>
    </row>
    <row r="783" spans="1:26" ht="19.5" hidden="1">
      <c r="A783" s="614"/>
      <c r="B783" s="616"/>
      <c r="C783" s="759" t="s">
        <v>16</v>
      </c>
      <c r="D783" s="899" t="s">
        <v>38</v>
      </c>
      <c r="E783" s="651"/>
      <c r="F783" s="651"/>
      <c r="G783" s="652"/>
      <c r="H783" s="801"/>
      <c r="I783" s="166"/>
      <c r="J783" s="166"/>
      <c r="K783" s="167"/>
      <c r="L783" s="167"/>
      <c r="M783" s="167"/>
      <c r="N783" s="167"/>
      <c r="O783" s="167"/>
      <c r="P783" s="167"/>
      <c r="Q783" s="604"/>
      <c r="R783" s="604"/>
      <c r="S783" s="604"/>
      <c r="T783" s="604"/>
      <c r="U783" s="604"/>
      <c r="V783" s="604"/>
      <c r="W783" s="604"/>
      <c r="X783" s="604"/>
      <c r="Y783" s="604"/>
      <c r="Z783" s="604"/>
    </row>
    <row r="784" spans="1:26" ht="18.75" hidden="1">
      <c r="A784" s="649"/>
      <c r="B784" s="607"/>
      <c r="C784" s="759"/>
      <c r="D784" s="759"/>
      <c r="E784" s="759" t="s">
        <v>319</v>
      </c>
      <c r="F784" s="759"/>
      <c r="G784" s="603"/>
      <c r="H784" s="165" t="s">
        <v>46</v>
      </c>
      <c r="I784" s="617"/>
      <c r="J784" s="617"/>
      <c r="K784" s="93"/>
      <c r="L784" s="93"/>
      <c r="M784" s="93"/>
      <c r="N784" s="93"/>
      <c r="O784" s="93"/>
      <c r="P784" s="93"/>
      <c r="Q784" s="604"/>
      <c r="R784" s="604"/>
      <c r="S784" s="604"/>
      <c r="T784" s="604"/>
      <c r="U784" s="604"/>
      <c r="V784" s="604"/>
      <c r="W784" s="604"/>
      <c r="X784" s="604"/>
      <c r="Y784" s="604"/>
      <c r="Z784" s="604"/>
    </row>
    <row r="785" spans="1:26" ht="19.5" hidden="1">
      <c r="A785" s="802">
        <v>12</v>
      </c>
      <c r="B785" s="803" t="s">
        <v>320</v>
      </c>
      <c r="C785" s="804"/>
      <c r="D785" s="804"/>
      <c r="E785" s="804"/>
      <c r="F785" s="804"/>
      <c r="G785" s="805"/>
      <c r="H785" s="900" t="s">
        <v>46</v>
      </c>
      <c r="I785" s="901">
        <f t="shared" ref="I785:J785" ca="1" si="318">I800</f>
        <v>0</v>
      </c>
      <c r="J785" s="902">
        <f t="shared" ca="1" si="318"/>
        <v>0</v>
      </c>
      <c r="K785" s="903">
        <f ca="1">IF(I785&gt;0,J785*100/I785,0)</f>
        <v>0</v>
      </c>
      <c r="L785" s="809"/>
      <c r="M785" s="809"/>
      <c r="N785" s="809"/>
      <c r="O785" s="809"/>
      <c r="P785" s="809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</row>
    <row r="786" spans="1:26" ht="19.5" hidden="1">
      <c r="A786" s="597"/>
      <c r="B786" s="575"/>
      <c r="C786" s="763" t="s">
        <v>16</v>
      </c>
      <c r="D786" s="863" t="s">
        <v>17</v>
      </c>
      <c r="E786" s="857"/>
      <c r="F786" s="857"/>
      <c r="G786" s="189"/>
      <c r="H786" s="598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</row>
    <row r="787" spans="1:26" ht="18.75" hidden="1">
      <c r="A787" s="599"/>
      <c r="B787" s="607"/>
      <c r="C787" s="759"/>
      <c r="D787" s="720"/>
      <c r="E787" s="759" t="s">
        <v>185</v>
      </c>
      <c r="F787" s="759"/>
      <c r="G787" s="603"/>
      <c r="H787" s="165" t="s">
        <v>12</v>
      </c>
      <c r="I787" s="617"/>
      <c r="J787" s="617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4"/>
      <c r="R787" s="604"/>
      <c r="S787" s="604"/>
      <c r="T787" s="604"/>
      <c r="U787" s="604"/>
      <c r="V787" s="604"/>
      <c r="W787" s="604"/>
      <c r="X787" s="604"/>
      <c r="Y787" s="604"/>
      <c r="Z787" s="604"/>
    </row>
    <row r="788" spans="1:26" ht="18.75" hidden="1">
      <c r="A788" s="599"/>
      <c r="B788" s="607"/>
      <c r="C788" s="607"/>
      <c r="D788" s="616"/>
      <c r="E788" s="759" t="s">
        <v>186</v>
      </c>
      <c r="F788" s="759"/>
      <c r="G788" s="603"/>
      <c r="H788" s="165" t="s">
        <v>12</v>
      </c>
      <c r="I788" s="617"/>
      <c r="J788" s="617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4"/>
      <c r="R788" s="604"/>
      <c r="S788" s="604"/>
      <c r="T788" s="604"/>
      <c r="U788" s="604"/>
      <c r="V788" s="604"/>
      <c r="W788" s="604"/>
      <c r="X788" s="604"/>
      <c r="Y788" s="604"/>
      <c r="Z788" s="604"/>
    </row>
    <row r="789" spans="1:26" ht="18.75" hidden="1">
      <c r="A789" s="597"/>
      <c r="B789" s="575"/>
      <c r="C789" s="575"/>
      <c r="D789" s="606" t="s">
        <v>20</v>
      </c>
      <c r="E789" s="763"/>
      <c r="F789" s="763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</row>
    <row r="790" spans="1:26" ht="18.75" hidden="1">
      <c r="A790" s="599"/>
      <c r="B790" s="607"/>
      <c r="C790" s="607"/>
      <c r="D790" s="616"/>
      <c r="E790" s="759" t="s">
        <v>185</v>
      </c>
      <c r="F790" s="759"/>
      <c r="G790" s="603"/>
      <c r="H790" s="165" t="s">
        <v>12</v>
      </c>
      <c r="I790" s="617"/>
      <c r="J790" s="617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4"/>
      <c r="R790" s="604"/>
      <c r="S790" s="604"/>
      <c r="T790" s="604"/>
      <c r="U790" s="604"/>
      <c r="V790" s="604"/>
      <c r="W790" s="604"/>
      <c r="X790" s="604"/>
      <c r="Y790" s="604"/>
      <c r="Z790" s="604"/>
    </row>
    <row r="791" spans="1:26" ht="18.75" hidden="1">
      <c r="A791" s="599"/>
      <c r="B791" s="607"/>
      <c r="C791" s="607"/>
      <c r="D791" s="616"/>
      <c r="E791" s="759" t="s">
        <v>186</v>
      </c>
      <c r="F791" s="759"/>
      <c r="G791" s="603"/>
      <c r="H791" s="165" t="s">
        <v>12</v>
      </c>
      <c r="I791" s="617"/>
      <c r="J791" s="617"/>
      <c r="K791" s="93"/>
      <c r="L791" s="93">
        <f ca="1">IFERROR(__xludf.DUMMYFUNCTION("IMPORTRANGE(""https://docs.google.com/spreadsheets/d/1QqKyyYR6Q21VydFLVH3TRQUabQu_ym0Zz7PgGX0-kHA/edit?usp=sharing"",""แผน!JJ35"")"),0)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4"/>
      <c r="R791" s="604"/>
      <c r="S791" s="604"/>
      <c r="T791" s="604"/>
      <c r="U791" s="604"/>
      <c r="V791" s="604"/>
      <c r="W791" s="604"/>
      <c r="X791" s="604"/>
      <c r="Y791" s="604"/>
      <c r="Z791" s="604"/>
    </row>
    <row r="792" spans="1:26" ht="18.75" hidden="1">
      <c r="A792" s="574"/>
      <c r="B792" s="575"/>
      <c r="C792" s="763"/>
      <c r="D792" s="763"/>
      <c r="E792" s="763"/>
      <c r="F792" s="763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40">
        <v>0</v>
      </c>
      <c r="O792" s="498"/>
      <c r="P792" s="49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</row>
    <row r="793" spans="1:26" ht="18.75" hidden="1">
      <c r="A793" s="574"/>
      <c r="B793" s="575"/>
      <c r="C793" s="763"/>
      <c r="D793" s="763"/>
      <c r="E793" s="763"/>
      <c r="F793" s="763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40">
        <v>0</v>
      </c>
      <c r="O793" s="498"/>
      <c r="P793" s="49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</row>
    <row r="794" spans="1:26" ht="18.75" hidden="1">
      <c r="A794" s="574"/>
      <c r="B794" s="575"/>
      <c r="C794" s="763"/>
      <c r="D794" s="763"/>
      <c r="E794" s="763"/>
      <c r="F794" s="763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40">
        <v>0</v>
      </c>
      <c r="O794" s="498"/>
      <c r="P794" s="49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</row>
    <row r="795" spans="1:26" ht="18.75" hidden="1">
      <c r="A795" s="574"/>
      <c r="B795" s="575"/>
      <c r="C795" s="763"/>
      <c r="D795" s="763"/>
      <c r="E795" s="763"/>
      <c r="F795" s="763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40">
        <v>0</v>
      </c>
      <c r="O795" s="498"/>
      <c r="P795" s="49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</row>
    <row r="796" spans="1:26" ht="18.75" hidden="1">
      <c r="A796" s="597"/>
      <c r="B796" s="575"/>
      <c r="C796" s="763"/>
      <c r="D796" s="606" t="s">
        <v>21</v>
      </c>
      <c r="E796" s="763"/>
      <c r="F796" s="763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</row>
    <row r="797" spans="1:26" ht="18.75" hidden="1">
      <c r="A797" s="599"/>
      <c r="B797" s="607"/>
      <c r="C797" s="759"/>
      <c r="D797" s="759"/>
      <c r="E797" s="759" t="s">
        <v>18</v>
      </c>
      <c r="F797" s="759"/>
      <c r="G797" s="603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4"/>
      <c r="R797" s="604"/>
      <c r="S797" s="604"/>
      <c r="T797" s="604"/>
      <c r="U797" s="604"/>
      <c r="V797" s="604"/>
      <c r="W797" s="604"/>
      <c r="X797" s="604"/>
      <c r="Y797" s="604"/>
      <c r="Z797" s="604"/>
    </row>
    <row r="798" spans="1:26" ht="18.75" hidden="1">
      <c r="A798" s="599"/>
      <c r="B798" s="607"/>
      <c r="C798" s="759"/>
      <c r="D798" s="759"/>
      <c r="E798" s="759" t="s">
        <v>19</v>
      </c>
      <c r="F798" s="759"/>
      <c r="G798" s="603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4"/>
      <c r="R798" s="604"/>
      <c r="S798" s="604"/>
      <c r="T798" s="604"/>
      <c r="U798" s="604"/>
      <c r="V798" s="604"/>
      <c r="W798" s="604"/>
      <c r="X798" s="604"/>
      <c r="Y798" s="604"/>
      <c r="Z798" s="604"/>
    </row>
    <row r="799" spans="1:26" ht="19.5" hidden="1">
      <c r="A799" s="608"/>
      <c r="B799" s="618"/>
      <c r="C799" s="763" t="s">
        <v>16</v>
      </c>
      <c r="D799" s="898" t="s">
        <v>38</v>
      </c>
      <c r="E799" s="761"/>
      <c r="F799" s="761"/>
      <c r="G799" s="613"/>
      <c r="H799" s="904"/>
      <c r="I799" s="184"/>
      <c r="J799" s="184"/>
      <c r="K799" s="163"/>
      <c r="L799" s="163"/>
      <c r="M799" s="163"/>
      <c r="N799" s="163"/>
      <c r="O799" s="163"/>
      <c r="P799" s="163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</row>
    <row r="800" spans="1:26" ht="18.75" hidden="1">
      <c r="A800" s="608"/>
      <c r="B800" s="618"/>
      <c r="C800" s="618"/>
      <c r="D800" s="618"/>
      <c r="E800" s="626"/>
      <c r="F800" s="626" t="s">
        <v>321</v>
      </c>
      <c r="G800" s="762"/>
      <c r="H800" s="185" t="s">
        <v>46</v>
      </c>
      <c r="I800" s="184">
        <f ca="1">IFERROR(__xludf.DUMMYFUNCTION("IMPORTRANGE(""https://docs.google.com/spreadsheets/d/1QqKyyYR6Q21VydFLVH3TRQUabQu_ym0Zz7PgGX0-kHA/edit?usp=sharing"",""แผน!JN35"")"),0)</f>
        <v>0</v>
      </c>
      <c r="J800" s="184">
        <f ca="1">IFERROR(__xludf.DUMMYFUNCTION("IMPORTRANGE(""https://docs.google.com/spreadsheets/d/1MaWodYyGHDf7siQLGxnXhG4mBNTNIuy296niS2xXulU/edit?usp=sharing"",""RTK!H35"")"),0)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</row>
    <row r="801" spans="1:26" ht="18.75" hidden="1">
      <c r="A801" s="608"/>
      <c r="B801" s="618"/>
      <c r="C801" s="618"/>
      <c r="D801" s="618"/>
      <c r="E801" s="626"/>
      <c r="F801" s="626"/>
      <c r="G801" s="762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IFERROR(__xludf.DUMMYFUNCTION("IMPORTRANGE(""https://docs.google.com/spreadsheets/d/1MaWodYyGHDf7siQLGxnXhG4mBNTNIuy296niS2xXulU/edit?usp=sharing"",""RTK!I35"")"),0)</f>
        <v>0</v>
      </c>
      <c r="K801" s="498"/>
      <c r="L801" s="498"/>
      <c r="M801" s="498"/>
      <c r="N801" s="498"/>
      <c r="O801" s="163"/>
      <c r="P801" s="163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</row>
    <row r="802" spans="1:26" ht="18.75" hidden="1">
      <c r="A802" s="614"/>
      <c r="B802" s="616"/>
      <c r="C802" s="616"/>
      <c r="D802" s="616"/>
      <c r="E802" s="720"/>
      <c r="F802" s="720" t="s">
        <v>322</v>
      </c>
      <c r="G802" s="366"/>
      <c r="H802" s="653" t="s">
        <v>46</v>
      </c>
      <c r="I802" s="166"/>
      <c r="J802" s="617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4"/>
      <c r="R802" s="604"/>
      <c r="S802" s="604"/>
      <c r="T802" s="604"/>
      <c r="U802" s="604"/>
      <c r="V802" s="604"/>
      <c r="W802" s="604"/>
      <c r="X802" s="604"/>
      <c r="Y802" s="604"/>
      <c r="Z802" s="604"/>
    </row>
    <row r="803" spans="1:26" ht="18.75" hidden="1">
      <c r="A803" s="614"/>
      <c r="B803" s="616"/>
      <c r="C803" s="616"/>
      <c r="D803" s="616"/>
      <c r="E803" s="720"/>
      <c r="F803" s="720"/>
      <c r="G803" s="366"/>
      <c r="H803" s="653" t="s">
        <v>34</v>
      </c>
      <c r="I803" s="166"/>
      <c r="J803" s="617">
        <v>0</v>
      </c>
      <c r="K803" s="167"/>
      <c r="L803" s="167"/>
      <c r="M803" s="167"/>
      <c r="N803" s="167"/>
      <c r="O803" s="167"/>
      <c r="P803" s="167"/>
      <c r="Q803" s="604"/>
      <c r="R803" s="604"/>
      <c r="S803" s="604"/>
      <c r="T803" s="604"/>
      <c r="U803" s="604"/>
      <c r="V803" s="604"/>
      <c r="W803" s="604"/>
      <c r="X803" s="604"/>
      <c r="Y803" s="604"/>
      <c r="Z803" s="604"/>
    </row>
    <row r="804" spans="1:26" ht="19.5" hidden="1">
      <c r="A804" s="793">
        <v>13</v>
      </c>
      <c r="B804" s="794" t="s">
        <v>323</v>
      </c>
      <c r="C804" s="795"/>
      <c r="D804" s="825"/>
      <c r="E804" s="795"/>
      <c r="F804" s="795"/>
      <c r="G804" s="796"/>
      <c r="H804" s="797" t="s">
        <v>46</v>
      </c>
      <c r="I804" s="798"/>
      <c r="J804" s="798">
        <f>J819</f>
        <v>0</v>
      </c>
      <c r="K804" s="799">
        <f>IF(I804&gt;0,J804*100/I804,0)</f>
        <v>0</v>
      </c>
      <c r="L804" s="800"/>
      <c r="M804" s="800"/>
      <c r="N804" s="800"/>
      <c r="O804" s="800"/>
      <c r="P804" s="800"/>
      <c r="Q804" s="604"/>
      <c r="R804" s="604"/>
      <c r="S804" s="604"/>
      <c r="T804" s="604"/>
      <c r="U804" s="604"/>
      <c r="V804" s="604"/>
      <c r="W804" s="604"/>
      <c r="X804" s="604"/>
      <c r="Y804" s="604"/>
      <c r="Z804" s="604"/>
    </row>
    <row r="805" spans="1:26" ht="19.5" hidden="1">
      <c r="A805" s="599"/>
      <c r="B805" s="759"/>
      <c r="C805" s="759" t="s">
        <v>16</v>
      </c>
      <c r="D805" s="864" t="s">
        <v>17</v>
      </c>
      <c r="E805" s="857"/>
      <c r="F805" s="857"/>
      <c r="G805" s="603"/>
      <c r="H805" s="646" t="s">
        <v>12</v>
      </c>
      <c r="I805" s="617"/>
      <c r="J805" s="617"/>
      <c r="K805" s="93"/>
      <c r="L805" s="647">
        <f t="shared" ref="L805:N805" si="327">L806+L807</f>
        <v>0</v>
      </c>
      <c r="M805" s="647">
        <f t="shared" si="327"/>
        <v>0</v>
      </c>
      <c r="N805" s="647">
        <f t="shared" si="327"/>
        <v>0</v>
      </c>
      <c r="O805" s="647">
        <f t="shared" ref="O805:O810" si="328">IF(L805&gt;0,N805*100/L805,0)</f>
        <v>0</v>
      </c>
      <c r="P805" s="647">
        <f t="shared" ref="P805:P810" si="329">IF(M805&gt;0,N805*100/M805,0)</f>
        <v>0</v>
      </c>
      <c r="Q805" s="604"/>
      <c r="R805" s="604"/>
      <c r="S805" s="604"/>
      <c r="T805" s="604"/>
      <c r="U805" s="604"/>
      <c r="V805" s="604"/>
      <c r="W805" s="604"/>
      <c r="X805" s="604"/>
      <c r="Y805" s="604"/>
      <c r="Z805" s="604"/>
    </row>
    <row r="806" spans="1:26" ht="18.75" hidden="1">
      <c r="A806" s="599"/>
      <c r="B806" s="759"/>
      <c r="C806" s="759"/>
      <c r="D806" s="616"/>
      <c r="E806" s="759" t="s">
        <v>185</v>
      </c>
      <c r="F806" s="759"/>
      <c r="G806" s="603"/>
      <c r="H806" s="165" t="s">
        <v>12</v>
      </c>
      <c r="I806" s="617"/>
      <c r="J806" s="617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4"/>
      <c r="R806" s="604"/>
      <c r="S806" s="604"/>
      <c r="T806" s="604"/>
      <c r="U806" s="604"/>
      <c r="V806" s="604"/>
      <c r="W806" s="604"/>
      <c r="X806" s="604"/>
      <c r="Y806" s="604"/>
      <c r="Z806" s="604"/>
    </row>
    <row r="807" spans="1:26" ht="18.75" hidden="1">
      <c r="A807" s="599"/>
      <c r="B807" s="759"/>
      <c r="C807" s="759"/>
      <c r="D807" s="616"/>
      <c r="E807" s="759" t="s">
        <v>186</v>
      </c>
      <c r="F807" s="759"/>
      <c r="G807" s="603"/>
      <c r="H807" s="165" t="s">
        <v>12</v>
      </c>
      <c r="I807" s="617"/>
      <c r="J807" s="617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4"/>
      <c r="R807" s="604"/>
      <c r="S807" s="604"/>
      <c r="T807" s="604"/>
      <c r="U807" s="604"/>
      <c r="V807" s="604"/>
      <c r="W807" s="604"/>
      <c r="X807" s="604"/>
      <c r="Y807" s="604"/>
      <c r="Z807" s="604"/>
    </row>
    <row r="808" spans="1:26" ht="19.5" hidden="1">
      <c r="A808" s="599"/>
      <c r="B808" s="607"/>
      <c r="C808" s="759"/>
      <c r="D808" s="905" t="s">
        <v>20</v>
      </c>
      <c r="E808" s="857"/>
      <c r="F808" s="857"/>
      <c r="G808" s="603"/>
      <c r="H808" s="646" t="s">
        <v>12</v>
      </c>
      <c r="I808" s="166"/>
      <c r="J808" s="166"/>
      <c r="K808" s="167"/>
      <c r="L808" s="647">
        <f t="shared" ref="L808:N808" si="331">L809+L810</f>
        <v>0</v>
      </c>
      <c r="M808" s="647">
        <f t="shared" si="331"/>
        <v>0</v>
      </c>
      <c r="N808" s="647">
        <f t="shared" si="331"/>
        <v>0</v>
      </c>
      <c r="O808" s="647">
        <f t="shared" si="328"/>
        <v>0</v>
      </c>
      <c r="P808" s="647">
        <f t="shared" si="329"/>
        <v>0</v>
      </c>
      <c r="Q808" s="604"/>
      <c r="R808" s="604"/>
      <c r="S808" s="604"/>
      <c r="T808" s="604"/>
      <c r="U808" s="604"/>
      <c r="V808" s="604"/>
      <c r="W808" s="604"/>
      <c r="X808" s="604"/>
      <c r="Y808" s="604"/>
      <c r="Z808" s="604"/>
    </row>
    <row r="809" spans="1:26" ht="18.75" hidden="1">
      <c r="A809" s="599"/>
      <c r="B809" s="759"/>
      <c r="C809" s="759"/>
      <c r="D809" s="616"/>
      <c r="E809" s="759" t="s">
        <v>185</v>
      </c>
      <c r="F809" s="759"/>
      <c r="G809" s="603"/>
      <c r="H809" s="165" t="s">
        <v>12</v>
      </c>
      <c r="I809" s="617"/>
      <c r="J809" s="617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4"/>
      <c r="R809" s="604"/>
      <c r="S809" s="604"/>
      <c r="T809" s="604"/>
      <c r="U809" s="604"/>
      <c r="V809" s="604"/>
      <c r="W809" s="604"/>
      <c r="X809" s="604"/>
      <c r="Y809" s="604"/>
      <c r="Z809" s="604"/>
    </row>
    <row r="810" spans="1:26" ht="18.75" hidden="1">
      <c r="A810" s="599"/>
      <c r="B810" s="759"/>
      <c r="C810" s="759"/>
      <c r="D810" s="616"/>
      <c r="E810" s="759" t="s">
        <v>186</v>
      </c>
      <c r="F810" s="759"/>
      <c r="G810" s="603"/>
      <c r="H810" s="165" t="s">
        <v>12</v>
      </c>
      <c r="I810" s="617"/>
      <c r="J810" s="617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4"/>
      <c r="R810" s="604"/>
      <c r="S810" s="604"/>
      <c r="T810" s="604"/>
      <c r="U810" s="604"/>
      <c r="V810" s="604"/>
      <c r="W810" s="604"/>
      <c r="X810" s="604"/>
      <c r="Y810" s="604"/>
      <c r="Z810" s="604"/>
    </row>
    <row r="811" spans="1:26" ht="18.75" hidden="1">
      <c r="A811" s="649"/>
      <c r="B811" s="607"/>
      <c r="C811" s="759"/>
      <c r="D811" s="607"/>
      <c r="E811" s="759"/>
      <c r="F811" s="759" t="s">
        <v>187</v>
      </c>
      <c r="G811" s="603"/>
      <c r="H811" s="165" t="s">
        <v>12</v>
      </c>
      <c r="I811" s="617"/>
      <c r="J811" s="617"/>
      <c r="K811" s="93"/>
      <c r="L811" s="93"/>
      <c r="M811" s="93"/>
      <c r="N811" s="93"/>
      <c r="O811" s="93"/>
      <c r="P811" s="93"/>
      <c r="Q811" s="604"/>
      <c r="R811" s="604"/>
      <c r="S811" s="604"/>
      <c r="T811" s="604"/>
      <c r="U811" s="604"/>
      <c r="V811" s="604"/>
      <c r="W811" s="604"/>
      <c r="X811" s="604"/>
      <c r="Y811" s="604"/>
      <c r="Z811" s="604"/>
    </row>
    <row r="812" spans="1:26" ht="18.75" hidden="1">
      <c r="A812" s="649"/>
      <c r="B812" s="607"/>
      <c r="C812" s="759"/>
      <c r="D812" s="607"/>
      <c r="E812" s="759"/>
      <c r="F812" s="759" t="s">
        <v>188</v>
      </c>
      <c r="G812" s="603"/>
      <c r="H812" s="165" t="s">
        <v>12</v>
      </c>
      <c r="I812" s="617"/>
      <c r="J812" s="617"/>
      <c r="K812" s="93"/>
      <c r="L812" s="93"/>
      <c r="M812" s="93"/>
      <c r="N812" s="93"/>
      <c r="O812" s="93"/>
      <c r="P812" s="93"/>
      <c r="Q812" s="604"/>
      <c r="R812" s="604"/>
      <c r="S812" s="604"/>
      <c r="T812" s="604"/>
      <c r="U812" s="604"/>
      <c r="V812" s="604"/>
      <c r="W812" s="604"/>
      <c r="X812" s="604"/>
      <c r="Y812" s="604"/>
      <c r="Z812" s="604"/>
    </row>
    <row r="813" spans="1:26" ht="18.75" hidden="1">
      <c r="A813" s="649"/>
      <c r="B813" s="607"/>
      <c r="C813" s="759"/>
      <c r="D813" s="607"/>
      <c r="E813" s="759"/>
      <c r="F813" s="759" t="s">
        <v>189</v>
      </c>
      <c r="G813" s="603"/>
      <c r="H813" s="165" t="s">
        <v>12</v>
      </c>
      <c r="I813" s="617"/>
      <c r="J813" s="617"/>
      <c r="K813" s="93"/>
      <c r="L813" s="93"/>
      <c r="M813" s="93"/>
      <c r="N813" s="93"/>
      <c r="O813" s="93"/>
      <c r="P813" s="93"/>
      <c r="Q813" s="604"/>
      <c r="R813" s="604"/>
      <c r="S813" s="604"/>
      <c r="T813" s="604"/>
      <c r="U813" s="604"/>
      <c r="V813" s="604"/>
      <c r="W813" s="604"/>
      <c r="X813" s="604"/>
      <c r="Y813" s="604"/>
      <c r="Z813" s="604"/>
    </row>
    <row r="814" spans="1:26" ht="18.75" hidden="1">
      <c r="A814" s="649"/>
      <c r="B814" s="607"/>
      <c r="C814" s="759"/>
      <c r="D814" s="607"/>
      <c r="E814" s="759"/>
      <c r="F814" s="759" t="s">
        <v>190</v>
      </c>
      <c r="G814" s="603"/>
      <c r="H814" s="165" t="s">
        <v>12</v>
      </c>
      <c r="I814" s="617"/>
      <c r="J814" s="617"/>
      <c r="K814" s="93"/>
      <c r="L814" s="93"/>
      <c r="M814" s="93"/>
      <c r="N814" s="93"/>
      <c r="O814" s="93"/>
      <c r="P814" s="93"/>
      <c r="Q814" s="604"/>
      <c r="R814" s="604"/>
      <c r="S814" s="604"/>
      <c r="T814" s="604"/>
      <c r="U814" s="604"/>
      <c r="V814" s="604"/>
      <c r="W814" s="604"/>
      <c r="X814" s="604"/>
      <c r="Y814" s="604"/>
      <c r="Z814" s="604"/>
    </row>
    <row r="815" spans="1:26" ht="19.5" hidden="1">
      <c r="A815" s="599"/>
      <c r="B815" s="607"/>
      <c r="C815" s="759"/>
      <c r="D815" s="905" t="s">
        <v>21</v>
      </c>
      <c r="E815" s="857"/>
      <c r="F815" s="857"/>
      <c r="G815" s="603"/>
      <c r="H815" s="783" t="s">
        <v>12</v>
      </c>
      <c r="I815" s="166"/>
      <c r="J815" s="166"/>
      <c r="K815" s="167"/>
      <c r="L815" s="647">
        <f t="shared" ref="L815:N815" si="332">L816+L817</f>
        <v>0</v>
      </c>
      <c r="M815" s="647">
        <f t="shared" si="332"/>
        <v>0</v>
      </c>
      <c r="N815" s="647">
        <f t="shared" si="332"/>
        <v>0</v>
      </c>
      <c r="O815" s="647">
        <f t="shared" ref="O815:O817" si="333">IF(L815&gt;0,N815*100/L815,0)</f>
        <v>0</v>
      </c>
      <c r="P815" s="647">
        <f t="shared" ref="P815:P817" si="334">IF(M815&gt;0,N815*100/M815,0)</f>
        <v>0</v>
      </c>
      <c r="Q815" s="604"/>
      <c r="R815" s="604"/>
      <c r="S815" s="604"/>
      <c r="T815" s="604"/>
      <c r="U815" s="604"/>
      <c r="V815" s="604"/>
      <c r="W815" s="604"/>
      <c r="X815" s="604"/>
      <c r="Y815" s="604"/>
      <c r="Z815" s="604"/>
    </row>
    <row r="816" spans="1:26" ht="18.75" hidden="1">
      <c r="A816" s="599"/>
      <c r="B816" s="607"/>
      <c r="C816" s="759"/>
      <c r="D816" s="607"/>
      <c r="E816" s="759" t="s">
        <v>18</v>
      </c>
      <c r="F816" s="759"/>
      <c r="G816" s="603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4"/>
      <c r="R816" s="604"/>
      <c r="S816" s="604"/>
      <c r="T816" s="604"/>
      <c r="U816" s="604"/>
      <c r="V816" s="604"/>
      <c r="W816" s="604"/>
      <c r="X816" s="604"/>
      <c r="Y816" s="604"/>
      <c r="Z816" s="604"/>
    </row>
    <row r="817" spans="1:26" ht="18.75" hidden="1">
      <c r="A817" s="599"/>
      <c r="B817" s="607"/>
      <c r="C817" s="759"/>
      <c r="D817" s="607"/>
      <c r="E817" s="759" t="s">
        <v>19</v>
      </c>
      <c r="F817" s="759"/>
      <c r="G817" s="603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4"/>
      <c r="R817" s="604"/>
      <c r="S817" s="604"/>
      <c r="T817" s="604"/>
      <c r="U817" s="604"/>
      <c r="V817" s="604"/>
      <c r="W817" s="604"/>
      <c r="X817" s="604"/>
      <c r="Y817" s="604"/>
      <c r="Z817" s="604"/>
    </row>
    <row r="818" spans="1:26" ht="19.5" hidden="1">
      <c r="A818" s="614"/>
      <c r="B818" s="616"/>
      <c r="C818" s="759" t="s">
        <v>16</v>
      </c>
      <c r="D818" s="906" t="s">
        <v>38</v>
      </c>
      <c r="E818" s="651"/>
      <c r="F818" s="651"/>
      <c r="G818" s="652"/>
      <c r="H818" s="366"/>
      <c r="I818" s="166"/>
      <c r="J818" s="166"/>
      <c r="K818" s="167"/>
      <c r="L818" s="167"/>
      <c r="M818" s="167"/>
      <c r="N818" s="167"/>
      <c r="O818" s="167"/>
      <c r="P818" s="167"/>
      <c r="Q818" s="604"/>
      <c r="R818" s="604"/>
      <c r="S818" s="604"/>
      <c r="T818" s="604"/>
      <c r="U818" s="604"/>
      <c r="V818" s="604"/>
      <c r="W818" s="604"/>
      <c r="X818" s="604"/>
      <c r="Y818" s="604"/>
      <c r="Z818" s="604"/>
    </row>
    <row r="819" spans="1:26" ht="19.5" hidden="1" thickBot="1">
      <c r="A819" s="827"/>
      <c r="B819" s="828"/>
      <c r="C819" s="830"/>
      <c r="D819" s="828"/>
      <c r="E819" s="830" t="s">
        <v>324</v>
      </c>
      <c r="F819" s="830"/>
      <c r="G819" s="831"/>
      <c r="H819" s="832" t="s">
        <v>46</v>
      </c>
      <c r="I819" s="833"/>
      <c r="J819" s="833"/>
      <c r="K819" s="834"/>
      <c r="L819" s="834"/>
      <c r="M819" s="834"/>
      <c r="N819" s="834"/>
      <c r="O819" s="834"/>
      <c r="P819" s="834"/>
      <c r="Q819" s="604"/>
      <c r="R819" s="604"/>
      <c r="S819" s="604"/>
      <c r="T819" s="604"/>
      <c r="U819" s="604"/>
      <c r="V819" s="604"/>
      <c r="W819" s="604"/>
      <c r="X819" s="604"/>
      <c r="Y819" s="604"/>
      <c r="Z819" s="604"/>
    </row>
    <row r="820" spans="1:26" ht="19.5">
      <c r="A820" s="907" t="s">
        <v>337</v>
      </c>
      <c r="B820" s="908"/>
      <c r="C820" s="908"/>
      <c r="D820" s="909"/>
      <c r="E820" s="908"/>
      <c r="F820" s="908"/>
      <c r="G820" s="910"/>
      <c r="H820" s="91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912"/>
      <c r="J820" s="912"/>
      <c r="K820" s="913"/>
      <c r="L820" s="913"/>
      <c r="M820" s="913"/>
      <c r="N820" s="913"/>
      <c r="O820" s="913"/>
      <c r="P820" s="913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</row>
    <row r="821" spans="1:26" ht="18.75">
      <c r="A821" s="744"/>
      <c r="B821" s="763" t="s">
        <v>326</v>
      </c>
      <c r="C821" s="763"/>
      <c r="D821" s="575"/>
      <c r="E821" s="763"/>
      <c r="F821" s="763"/>
      <c r="G821" s="189"/>
      <c r="H821" s="623" t="s">
        <v>12</v>
      </c>
      <c r="I821" s="270">
        <f ca="1">IFERROR(__xludf.DUMMYFUNCTION("IMPORTRANGE(""https://docs.google.com/spreadsheets/d/19vJNZY_5yjcGF2XGBMNZRCAIB0Kwfpjp8YEOfu-bneM/edit?usp=sharing"",""งานกองทุน!D35"")"),2413709.51)</f>
        <v>2413709.5099999998</v>
      </c>
      <c r="J821" s="270">
        <f ca="1">IFERROR(__xludf.DUMMYFUNCTION("IMPORTRANGE(""https://docs.google.com/spreadsheets/d/19vJNZY_5yjcGF2XGBMNZRCAIB0Kwfpjp8YEOfu-bneM/edit?usp=sharing"",""งานกองทุน!F35"")"),2282952.1)</f>
        <v>2282952.1</v>
      </c>
      <c r="K821" s="498">
        <f t="shared" ref="K821:K828" ca="1" si="335">IF(I821&gt;0,J821*100/I821,0)</f>
        <v>94.582719691070039</v>
      </c>
      <c r="L821" s="498"/>
      <c r="M821" s="498"/>
      <c r="N821" s="498"/>
      <c r="O821" s="498"/>
      <c r="P821" s="49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</row>
    <row r="822" spans="1:26" ht="18.75">
      <c r="A822" s="744"/>
      <c r="B822" s="763"/>
      <c r="C822" s="763"/>
      <c r="D822" s="575"/>
      <c r="E822" s="763"/>
      <c r="F822" s="763"/>
      <c r="G822" s="189"/>
      <c r="H822" s="623" t="s">
        <v>35</v>
      </c>
      <c r="I822" s="270">
        <f ca="1">IFERROR(__xludf.DUMMYFUNCTION("IMPORTRANGE(""https://docs.google.com/spreadsheets/d/19vJNZY_5yjcGF2XGBMNZRCAIB0Kwfpjp8YEOfu-bneM/edit?usp=sharing"",""งานกองทุน!C35"")"),241)</f>
        <v>241</v>
      </c>
      <c r="J822" s="270">
        <f ca="1">IFERROR(__xludf.DUMMYFUNCTION("IMPORTRANGE(""https://docs.google.com/spreadsheets/d/19vJNZY_5yjcGF2XGBMNZRCAIB0Kwfpjp8YEOfu-bneM/edit?usp=sharing"",""งานกองทุน!E35"")"),233)</f>
        <v>233</v>
      </c>
      <c r="K822" s="498">
        <f t="shared" ca="1" si="335"/>
        <v>96.680497925311201</v>
      </c>
      <c r="L822" s="498"/>
      <c r="M822" s="498"/>
      <c r="N822" s="498"/>
      <c r="O822" s="498"/>
      <c r="P822" s="49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</row>
    <row r="823" spans="1:26" ht="18.75">
      <c r="A823" s="744"/>
      <c r="B823" s="763" t="s">
        <v>327</v>
      </c>
      <c r="C823" s="763"/>
      <c r="D823" s="575"/>
      <c r="E823" s="763"/>
      <c r="F823" s="763"/>
      <c r="G823" s="189"/>
      <c r="H823" s="623" t="s">
        <v>12</v>
      </c>
      <c r="I823" s="270">
        <f ca="1">IFERROR(__xludf.DUMMYFUNCTION("IMPORTRANGE(""https://docs.google.com/spreadsheets/d/19vJNZY_5yjcGF2XGBMNZRCAIB0Kwfpjp8YEOfu-bneM/edit?usp=sharing"",""งานกองทุน!I35"")"),2701770.85)</f>
        <v>2701770.85</v>
      </c>
      <c r="J823" s="270">
        <f ca="1">IFERROR(__xludf.DUMMYFUNCTION("IMPORTRANGE(""https://docs.google.com/spreadsheets/d/19vJNZY_5yjcGF2XGBMNZRCAIB0Kwfpjp8YEOfu-bneM/edit?usp=sharing"",""งานกองทุน!K35"")"),375897.2)</f>
        <v>375897.2</v>
      </c>
      <c r="K823" s="498">
        <f t="shared" ca="1" si="335"/>
        <v>13.912993398385359</v>
      </c>
      <c r="L823" s="498"/>
      <c r="M823" s="498"/>
      <c r="N823" s="498"/>
      <c r="O823" s="498"/>
      <c r="P823" s="49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</row>
    <row r="824" spans="1:26" ht="18.75">
      <c r="A824" s="744"/>
      <c r="B824" s="763"/>
      <c r="C824" s="763"/>
      <c r="D824" s="575"/>
      <c r="E824" s="763"/>
      <c r="F824" s="763"/>
      <c r="G824" s="189"/>
      <c r="H824" s="623" t="s">
        <v>35</v>
      </c>
      <c r="I824" s="270">
        <f ca="1">IFERROR(__xludf.DUMMYFUNCTION("IMPORTRANGE(""https://docs.google.com/spreadsheets/d/19vJNZY_5yjcGF2XGBMNZRCAIB0Kwfpjp8YEOfu-bneM/edit?usp=sharing"",""งานกองทุน!H35"")"),123)</f>
        <v>123</v>
      </c>
      <c r="J824" s="270">
        <f ca="1">IFERROR(__xludf.DUMMYFUNCTION("IMPORTRANGE(""https://docs.google.com/spreadsheets/d/19vJNZY_5yjcGF2XGBMNZRCAIB0Kwfpjp8YEOfu-bneM/edit?usp=sharing"",""งานกองทุน!J35"")"),81)</f>
        <v>81</v>
      </c>
      <c r="K824" s="498">
        <f t="shared" ca="1" si="335"/>
        <v>65.853658536585371</v>
      </c>
      <c r="L824" s="498"/>
      <c r="M824" s="498"/>
      <c r="N824" s="498"/>
      <c r="O824" s="498"/>
      <c r="P824" s="49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</row>
    <row r="825" spans="1:26" ht="18.75">
      <c r="A825" s="744"/>
      <c r="B825" s="763" t="s">
        <v>328</v>
      </c>
      <c r="C825" s="763"/>
      <c r="D825" s="575"/>
      <c r="E825" s="763"/>
      <c r="F825" s="763"/>
      <c r="G825" s="189"/>
      <c r="H825" s="623" t="s">
        <v>12</v>
      </c>
      <c r="I825" s="270">
        <f ca="1">IFERROR(__xludf.DUMMYFUNCTION("IMPORTRANGE(""https://docs.google.com/spreadsheets/d/19vJNZY_5yjcGF2XGBMNZRCAIB0Kwfpjp8YEOfu-bneM/edit?usp=sharing"",""งานกองทุน!N35"")"),254772.33)</f>
        <v>254772.33</v>
      </c>
      <c r="J825" s="270">
        <f ca="1">IFERROR(__xludf.DUMMYFUNCTION("IMPORTRANGE(""https://docs.google.com/spreadsheets/d/19vJNZY_5yjcGF2XGBMNZRCAIB0Kwfpjp8YEOfu-bneM/edit?usp=sharing"",""งานกองทุน!P35"")"),11992.44)</f>
        <v>11992.44</v>
      </c>
      <c r="K825" s="498">
        <f t="shared" ca="1" si="335"/>
        <v>4.7071202747959324</v>
      </c>
      <c r="L825" s="498"/>
      <c r="M825" s="498"/>
      <c r="N825" s="498"/>
      <c r="O825" s="498"/>
      <c r="P825" s="49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</row>
    <row r="826" spans="1:26" ht="18.75">
      <c r="A826" s="744"/>
      <c r="B826" s="763"/>
      <c r="C826" s="763"/>
      <c r="D826" s="575"/>
      <c r="E826" s="763"/>
      <c r="F826" s="763"/>
      <c r="G826" s="189"/>
      <c r="H826" s="623" t="s">
        <v>35</v>
      </c>
      <c r="I826" s="270">
        <f ca="1">IFERROR(__xludf.DUMMYFUNCTION("IMPORTRANGE(""https://docs.google.com/spreadsheets/d/19vJNZY_5yjcGF2XGBMNZRCAIB0Kwfpjp8YEOfu-bneM/edit?usp=sharing"",""งานกองทุน!M35"")"),22)</f>
        <v>22</v>
      </c>
      <c r="J826" s="270">
        <f ca="1">IFERROR(__xludf.DUMMYFUNCTION("IMPORTRANGE(""https://docs.google.com/spreadsheets/d/19vJNZY_5yjcGF2XGBMNZRCAIB0Kwfpjp8YEOfu-bneM/edit?usp=sharing"",""งานกองทุน!O35"")"),17)</f>
        <v>17</v>
      </c>
      <c r="K826" s="498">
        <f t="shared" ca="1" si="335"/>
        <v>77.272727272727266</v>
      </c>
      <c r="L826" s="498"/>
      <c r="M826" s="498"/>
      <c r="N826" s="498"/>
      <c r="O826" s="498"/>
      <c r="P826" s="49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</row>
    <row r="827" spans="1:26" ht="18.75">
      <c r="A827" s="744"/>
      <c r="B827" s="763" t="s">
        <v>329</v>
      </c>
      <c r="C827" s="763"/>
      <c r="D827" s="575"/>
      <c r="E827" s="763"/>
      <c r="F827" s="763"/>
      <c r="G827" s="189"/>
      <c r="H827" s="623" t="s">
        <v>12</v>
      </c>
      <c r="I827" s="270">
        <f ca="1">IFERROR(__xludf.DUMMYFUNCTION("IMPORTRANGE(""https://docs.google.com/spreadsheets/d/19vJNZY_5yjcGF2XGBMNZRCAIB0Kwfpjp8YEOfu-bneM/edit?usp=sharing"",""งานกองทุน!S35"")"),2500000)</f>
        <v>2500000</v>
      </c>
      <c r="J827" s="270">
        <f ca="1">IFERROR(__xludf.DUMMYFUNCTION("IMPORTRANGE(""https://docs.google.com/spreadsheets/d/19vJNZY_5yjcGF2XGBMNZRCAIB0Kwfpjp8YEOfu-bneM/edit?usp=sharing"",""งานกองทุน!U35"")"),3015000)</f>
        <v>3015000</v>
      </c>
      <c r="K827" s="498">
        <f t="shared" ca="1" si="335"/>
        <v>120.6</v>
      </c>
      <c r="L827" s="498"/>
      <c r="M827" s="498"/>
      <c r="N827" s="498"/>
      <c r="O827" s="498"/>
      <c r="P827" s="49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</row>
    <row r="828" spans="1:26" ht="18.75">
      <c r="A828" s="841"/>
      <c r="B828" s="749"/>
      <c r="C828" s="749"/>
      <c r="D828" s="748"/>
      <c r="E828" s="749"/>
      <c r="F828" s="749"/>
      <c r="G828" s="842"/>
      <c r="H828" s="843" t="s">
        <v>35</v>
      </c>
      <c r="I828" s="506">
        <f ca="1">IFERROR(__xludf.DUMMYFUNCTION("IMPORTRANGE(""https://docs.google.com/spreadsheets/d/19vJNZY_5yjcGF2XGBMNZRCAIB0Kwfpjp8YEOfu-bneM/edit?usp=sharing"",""งานกองทุน!R35"")"),80)</f>
        <v>80</v>
      </c>
      <c r="J828" s="506">
        <f ca="1">IFERROR(__xludf.DUMMYFUNCTION("IMPORTRANGE(""https://docs.google.com/spreadsheets/d/19vJNZY_5yjcGF2XGBMNZRCAIB0Kwfpjp8YEOfu-bneM/edit?usp=sharing"",""งานกองทุน!T35"")"),90)</f>
        <v>90</v>
      </c>
      <c r="K828" s="507">
        <f t="shared" ca="1" si="335"/>
        <v>112.5</v>
      </c>
      <c r="L828" s="507"/>
      <c r="M828" s="507"/>
      <c r="N828" s="507"/>
      <c r="O828" s="507"/>
      <c r="P828" s="507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8F297-456F-4BA6-9C12-66E42C7CF2A3}">
  <sheetPr>
    <outlinePr summaryBelow="0" summaryRight="0"/>
    <pageSetUpPr fitToPage="1"/>
  </sheetPr>
  <dimension ref="A1:Z828"/>
  <sheetViews>
    <sheetView view="pageBreakPreview" topLeftCell="D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3" bestFit="1" customWidth="1"/>
    <col min="15" max="15" width="20.140625" bestFit="1" customWidth="1"/>
    <col min="16" max="16" width="22" bestFit="1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340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364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12058872</v>
      </c>
      <c r="M8" s="22">
        <f t="shared" ca="1" si="0"/>
        <v>12615983.869999999</v>
      </c>
      <c r="N8" s="22">
        <f t="shared" ca="1" si="0"/>
        <v>12615983.869999999</v>
      </c>
      <c r="O8" s="22">
        <f t="shared" ref="O8:O16" ca="1" si="1">IF(L8&gt;0,N8*100/L8,0)</f>
        <v>104.61993352280379</v>
      </c>
      <c r="P8" s="22">
        <f t="shared" ref="P8:P16" ca="1" si="2">IF(M8&gt;0,N8*100/M8,0)</f>
        <v>100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12058872</v>
      </c>
      <c r="M10" s="30">
        <f t="shared" ca="1" si="3"/>
        <v>12615983.869999999</v>
      </c>
      <c r="N10" s="30">
        <f t="shared" ca="1" si="3"/>
        <v>12615983.869999999</v>
      </c>
      <c r="O10" s="30">
        <f t="shared" ca="1" si="1"/>
        <v>104.61993352280379</v>
      </c>
      <c r="P10" s="30">
        <f t="shared" ca="1" si="2"/>
        <v>100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3" t="s">
        <v>12</v>
      </c>
      <c r="I11" s="270"/>
      <c r="J11" s="270"/>
      <c r="K11" s="498"/>
      <c r="L11" s="498">
        <f t="shared" ref="L11:N11" ca="1" si="4">L12+L13</f>
        <v>11647572</v>
      </c>
      <c r="M11" s="498">
        <f t="shared" ca="1" si="4"/>
        <v>12167183.869999999</v>
      </c>
      <c r="N11" s="498">
        <f t="shared" ca="1" si="4"/>
        <v>12167183.869999999</v>
      </c>
      <c r="O11" s="498">
        <f t="shared" ca="1" si="1"/>
        <v>104.46111747581385</v>
      </c>
      <c r="P11" s="498">
        <f t="shared" ca="1" si="2"/>
        <v>100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7"/>
      <c r="J12" s="617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7"/>
      <c r="J13" s="617"/>
      <c r="K13" s="93"/>
      <c r="L13" s="93">
        <f t="shared" ca="1" si="5"/>
        <v>11647572</v>
      </c>
      <c r="M13" s="93">
        <f t="shared" ca="1" si="5"/>
        <v>12167183.869999999</v>
      </c>
      <c r="N13" s="93">
        <f t="shared" ca="1" si="5"/>
        <v>12167183.869999999</v>
      </c>
      <c r="O13" s="93">
        <f t="shared" ca="1" si="1"/>
        <v>104.46111747581385</v>
      </c>
      <c r="P13" s="93">
        <f t="shared" ca="1" si="2"/>
        <v>100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3" t="s">
        <v>12</v>
      </c>
      <c r="I14" s="270"/>
      <c r="J14" s="270"/>
      <c r="K14" s="498"/>
      <c r="L14" s="498">
        <f t="shared" ref="L14:N14" ca="1" si="6">L15+L16</f>
        <v>411300</v>
      </c>
      <c r="M14" s="498">
        <f t="shared" ca="1" si="6"/>
        <v>448800</v>
      </c>
      <c r="N14" s="498">
        <f t="shared" ca="1" si="6"/>
        <v>448800</v>
      </c>
      <c r="O14" s="498">
        <f t="shared" ca="1" si="1"/>
        <v>109.11743253099927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7"/>
      <c r="J15" s="617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411300</v>
      </c>
      <c r="M16" s="52">
        <f t="shared" ca="1" si="7"/>
        <v>448800</v>
      </c>
      <c r="N16" s="52">
        <f t="shared" ca="1" si="7"/>
        <v>448800</v>
      </c>
      <c r="O16" s="52">
        <f t="shared" ca="1" si="1"/>
        <v>109.11743253099927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6554092</v>
      </c>
      <c r="M18" s="22">
        <f t="shared" ca="1" si="8"/>
        <v>7114257.7000000002</v>
      </c>
      <c r="N18" s="22">
        <f t="shared" ca="1" si="8"/>
        <v>7114257.7000000002</v>
      </c>
      <c r="O18" s="22">
        <f t="shared" ref="O18:O26" ca="1" si="9">IF(L18&gt;0,N18*100/L18,0)</f>
        <v>108.54680861971421</v>
      </c>
      <c r="P18" s="22">
        <f t="shared" ref="P18:P26" ca="1" si="10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6554092</v>
      </c>
      <c r="M20" s="30">
        <f t="shared" ca="1" si="11"/>
        <v>7114257.7000000002</v>
      </c>
      <c r="N20" s="30">
        <f t="shared" ca="1" si="11"/>
        <v>7114257.7000000002</v>
      </c>
      <c r="O20" s="30">
        <f t="shared" ca="1" si="9"/>
        <v>108.54680861971421</v>
      </c>
      <c r="P20" s="30">
        <f t="shared" ca="1" si="10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3" t="s">
        <v>12</v>
      </c>
      <c r="I21" s="270"/>
      <c r="J21" s="270"/>
      <c r="K21" s="498"/>
      <c r="L21" s="498">
        <f t="shared" ref="L21:N21" ca="1" si="12">L22+L23</f>
        <v>6142792</v>
      </c>
      <c r="M21" s="498">
        <f t="shared" ca="1" si="12"/>
        <v>6665457.7000000002</v>
      </c>
      <c r="N21" s="498">
        <f t="shared" ca="1" si="12"/>
        <v>6665457.7000000002</v>
      </c>
      <c r="O21" s="498">
        <f t="shared" ca="1" si="9"/>
        <v>108.50860162610097</v>
      </c>
      <c r="P21" s="498">
        <f t="shared" ca="1" si="10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7"/>
      <c r="J22" s="617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7"/>
      <c r="J23" s="617"/>
      <c r="K23" s="93"/>
      <c r="L23" s="93">
        <f t="shared" ca="1" si="13"/>
        <v>6142792</v>
      </c>
      <c r="M23" s="93">
        <f t="shared" ca="1" si="13"/>
        <v>6665457.7000000002</v>
      </c>
      <c r="N23" s="93">
        <f t="shared" ca="1" si="13"/>
        <v>6665457.7000000002</v>
      </c>
      <c r="O23" s="93">
        <f t="shared" ca="1" si="9"/>
        <v>108.50860162610097</v>
      </c>
      <c r="P23" s="93">
        <f t="shared" ca="1" si="10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3" t="s">
        <v>12</v>
      </c>
      <c r="I24" s="270"/>
      <c r="J24" s="270"/>
      <c r="K24" s="498"/>
      <c r="L24" s="498">
        <f t="shared" ref="L24:N24" ca="1" si="14">L25+L26</f>
        <v>411300</v>
      </c>
      <c r="M24" s="498">
        <f t="shared" ca="1" si="14"/>
        <v>448800</v>
      </c>
      <c r="N24" s="498">
        <f t="shared" ca="1" si="14"/>
        <v>448800</v>
      </c>
      <c r="O24" s="498">
        <f t="shared" ca="1" si="9"/>
        <v>109.11743253099927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7"/>
      <c r="J25" s="617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411300</v>
      </c>
      <c r="M26" s="52">
        <f t="shared" ca="1" si="15"/>
        <v>448800</v>
      </c>
      <c r="N26" s="52">
        <f t="shared" ca="1" si="15"/>
        <v>448800</v>
      </c>
      <c r="O26" s="52">
        <f t="shared" ca="1" si="9"/>
        <v>109.11743253099927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5504780</v>
      </c>
      <c r="M28" s="22">
        <f t="shared" ca="1" si="16"/>
        <v>5501726.169999999</v>
      </c>
      <c r="N28" s="22">
        <f t="shared" si="16"/>
        <v>5501726.169999999</v>
      </c>
      <c r="O28" s="22">
        <f t="shared" ref="O28:O37" ca="1" si="17">IF(L28&gt;0,N28*100/L28,0)</f>
        <v>99.944524031841397</v>
      </c>
      <c r="P28" s="22">
        <f t="shared" ref="P28:P37" ca="1" si="18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5504780</v>
      </c>
      <c r="M30" s="30">
        <f t="shared" ca="1" si="19"/>
        <v>5501726.169999999</v>
      </c>
      <c r="N30" s="30">
        <f t="shared" si="19"/>
        <v>5501726.169999999</v>
      </c>
      <c r="O30" s="30">
        <f t="shared" ca="1" si="17"/>
        <v>99.944524031841397</v>
      </c>
      <c r="P30" s="30">
        <f t="shared" ca="1" si="18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3" t="s">
        <v>12</v>
      </c>
      <c r="I31" s="270"/>
      <c r="J31" s="270"/>
      <c r="K31" s="498"/>
      <c r="L31" s="498">
        <f t="shared" ref="L31:N31" ca="1" si="20">L32+L33</f>
        <v>5504780</v>
      </c>
      <c r="M31" s="498">
        <f t="shared" ca="1" si="20"/>
        <v>5501726.169999999</v>
      </c>
      <c r="N31" s="498">
        <f t="shared" si="20"/>
        <v>5501726.169999999</v>
      </c>
      <c r="O31" s="498">
        <f t="shared" ca="1" si="17"/>
        <v>99.944524031841397</v>
      </c>
      <c r="P31" s="498">
        <f t="shared" ca="1" si="18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7"/>
      <c r="J32" s="617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7"/>
      <c r="J33" s="617"/>
      <c r="K33" s="93"/>
      <c r="L33" s="93">
        <f t="shared" ca="1" si="21"/>
        <v>5504780</v>
      </c>
      <c r="M33" s="93">
        <f t="shared" ca="1" si="21"/>
        <v>5501726.169999999</v>
      </c>
      <c r="N33" s="93">
        <f t="shared" si="21"/>
        <v>5501726.169999999</v>
      </c>
      <c r="O33" s="93">
        <f t="shared" ca="1" si="17"/>
        <v>99.944524031841397</v>
      </c>
      <c r="P33" s="93">
        <f t="shared" ca="1" si="18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3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7"/>
      <c r="J35" s="617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7" t="s">
        <v>24</v>
      </c>
      <c r="B37" s="868"/>
      <c r="C37" s="868"/>
      <c r="D37" s="868"/>
      <c r="E37" s="868"/>
      <c r="F37" s="868"/>
      <c r="G37" s="869"/>
      <c r="H37" s="870"/>
      <c r="I37" s="871"/>
      <c r="J37" s="871"/>
      <c r="K37" s="872"/>
      <c r="L37" s="873">
        <f t="shared" ref="L37:N37" ca="1" si="24">L41+L53+L66+L88+L119+L132+L149+L165+L181+L261+L277+L298+L315+L328+L345+L389+L402</f>
        <v>6554092</v>
      </c>
      <c r="M37" s="873">
        <f t="shared" ca="1" si="24"/>
        <v>7114257.7000000002</v>
      </c>
      <c r="N37" s="873">
        <f t="shared" ca="1" si="24"/>
        <v>7114257.7000000002</v>
      </c>
      <c r="O37" s="873">
        <f t="shared" ca="1" si="17"/>
        <v>108.54680861971421</v>
      </c>
      <c r="P37" s="873">
        <f t="shared" ca="1" si="18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710292</v>
      </c>
      <c r="M41" s="85">
        <f t="shared" ca="1" si="25"/>
        <v>915093</v>
      </c>
      <c r="N41" s="85">
        <f t="shared" ca="1" si="25"/>
        <v>915093</v>
      </c>
      <c r="O41" s="85">
        <f t="shared" ref="O41:O49" ca="1" si="26">IF(L41&gt;0,N41*100/L41,0)</f>
        <v>128.83335304353702</v>
      </c>
      <c r="P41" s="85">
        <f t="shared" ref="P41:P49" ca="1" si="27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710292</v>
      </c>
      <c r="M43" s="92">
        <f t="shared" ca="1" si="28"/>
        <v>915093</v>
      </c>
      <c r="N43" s="92">
        <f t="shared" ca="1" si="28"/>
        <v>915093</v>
      </c>
      <c r="O43" s="92">
        <f t="shared" ca="1" si="26"/>
        <v>128.83335304353702</v>
      </c>
      <c r="P43" s="92">
        <f t="shared" ca="1" si="27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3" t="s">
        <v>12</v>
      </c>
      <c r="I44" s="270"/>
      <c r="J44" s="270"/>
      <c r="K44" s="498"/>
      <c r="L44" s="498">
        <f t="shared" ref="L44:N44" ca="1" si="29">L45+L46</f>
        <v>710292</v>
      </c>
      <c r="M44" s="498">
        <f t="shared" ca="1" si="29"/>
        <v>915093</v>
      </c>
      <c r="N44" s="498">
        <f t="shared" ca="1" si="29"/>
        <v>915093</v>
      </c>
      <c r="O44" s="498">
        <f t="shared" ca="1" si="26"/>
        <v>128.83335304353702</v>
      </c>
      <c r="P44" s="498">
        <f t="shared" ca="1" si="27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7"/>
      <c r="J45" s="617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7"/>
      <c r="J46" s="617"/>
      <c r="K46" s="93"/>
      <c r="L46" s="93">
        <f ca="1">IFERROR(__xludf.DUMMYFUNCTION("IMPORTRANGE(""https://docs.google.com/spreadsheets/d/1MeEWN-I1oV_STSDYn1IFDPWt_1FKiwhDph83XaGc0o0/edit?usp=sharing"",""งบพรบ!M36"")"),710292)</f>
        <v>710292</v>
      </c>
      <c r="M46" s="93">
        <f ca="1">IFERROR(__xludf.DUMMYFUNCTION("IMPORTRANGE(""https://docs.google.com/spreadsheets/d/1MeEWN-I1oV_STSDYn1IFDPWt_1FKiwhDph83XaGc0o0/edit?usp=sharing"",""งบพรบ!R36"")"),915093)</f>
        <v>915093</v>
      </c>
      <c r="N46" s="93">
        <f ca="1">IFERROR(__xludf.DUMMYFUNCTION("IMPORTRANGE(""https://docs.google.com/spreadsheets/d/1MeEWN-I1oV_STSDYn1IFDPWt_1FKiwhDph83XaGc0o0/edit?usp=sharing"",""งบพรบ!T36"")"),915093)</f>
        <v>915093</v>
      </c>
      <c r="O46" s="93">
        <f t="shared" ca="1" si="26"/>
        <v>128.83335304353702</v>
      </c>
      <c r="P46" s="93">
        <f t="shared" ca="1" si="27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3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7"/>
      <c r="J48" s="617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IFERROR(__xludf.DUMMYFUNCTION("IMPORTRANGE(""https://docs.google.com/spreadsheets/d/1MeEWN-I1oV_STSDYn1IFDPWt_1FKiwhDph83XaGc0o0/edit?usp=sharing"",""งบพรบ!P36"")"),0)</f>
        <v>0</v>
      </c>
      <c r="M49" s="52">
        <f ca="1">IFERROR(__xludf.DUMMYFUNCTION("IMPORTRANGE(""https://docs.google.com/spreadsheets/d/1MeEWN-I1oV_STSDYn1IFDPWt_1FKiwhDph83XaGc0o0/edit?usp=sharing"",""งบพรบ!S36"")"),0)</f>
        <v>0</v>
      </c>
      <c r="N49" s="52">
        <f ca="1">IFERROR(__xludf.DUMMYFUNCTION("IMPORTRANGE(""https://docs.google.com/spreadsheets/d/1MeEWN-I1oV_STSDYn1IFDPWt_1FKiwhDph83XaGc0o0/edit?usp=sharing"",""งบพรบ!U36"")"),0)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1133200</v>
      </c>
      <c r="M53" s="116">
        <f t="shared" ca="1" si="31"/>
        <v>1327374.7</v>
      </c>
      <c r="N53" s="116">
        <f t="shared" ca="1" si="31"/>
        <v>1327374.7</v>
      </c>
      <c r="O53" s="116">
        <f t="shared" ref="O53:O61" ca="1" si="32">IF(L53&gt;0,N53*100/L53,0)</f>
        <v>117.13507765619485</v>
      </c>
      <c r="P53" s="116">
        <f t="shared" ref="P53:P61" ca="1" si="33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1133200</v>
      </c>
      <c r="M55" s="123">
        <f t="shared" ca="1" si="34"/>
        <v>1327374.7</v>
      </c>
      <c r="N55" s="123">
        <f t="shared" ca="1" si="34"/>
        <v>1327374.7</v>
      </c>
      <c r="O55" s="123">
        <f t="shared" ca="1" si="32"/>
        <v>117.13507765619485</v>
      </c>
      <c r="P55" s="123">
        <f t="shared" ca="1" si="33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3" t="s">
        <v>12</v>
      </c>
      <c r="I56" s="270"/>
      <c r="J56" s="270"/>
      <c r="K56" s="498"/>
      <c r="L56" s="498">
        <f t="shared" ref="L56:N56" ca="1" si="35">L57+L58</f>
        <v>1103300</v>
      </c>
      <c r="M56" s="498">
        <f t="shared" ca="1" si="35"/>
        <v>1297474.7</v>
      </c>
      <c r="N56" s="498">
        <f t="shared" ca="1" si="35"/>
        <v>1297474.7</v>
      </c>
      <c r="O56" s="498">
        <f t="shared" ca="1" si="32"/>
        <v>117.59944711320584</v>
      </c>
      <c r="P56" s="498">
        <f t="shared" ca="1" si="33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7"/>
      <c r="J57" s="617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7"/>
      <c r="J58" s="617"/>
      <c r="K58" s="93"/>
      <c r="L58" s="93">
        <f ca="1">IFERROR(__xludf.DUMMYFUNCTION("IMPORTRANGE(""https://docs.google.com/spreadsheets/d/1MeEWN-I1oV_STSDYn1IFDPWt_1FKiwhDph83XaGc0o0/edit?usp=sharing"",""งบพรบ!W36"")"),1103300)</f>
        <v>1103300</v>
      </c>
      <c r="M58" s="93">
        <f ca="1">IFERROR(__xludf.DUMMYFUNCTION("IMPORTRANGE(""https://docs.google.com/spreadsheets/d/1MeEWN-I1oV_STSDYn1IFDPWt_1FKiwhDph83XaGc0o0/edit?usp=sharing"",""งบพรบ!AB36"")"),1297474.7)</f>
        <v>1297474.7</v>
      </c>
      <c r="N58" s="93">
        <f ca="1">IFERROR(__xludf.DUMMYFUNCTION("IMPORTRANGE(""https://docs.google.com/spreadsheets/d/1MeEWN-I1oV_STSDYn1IFDPWt_1FKiwhDph83XaGc0o0/edit?usp=sharing"",""งบพรบ!AD36"")"),1297474.7)</f>
        <v>1297474.7</v>
      </c>
      <c r="O58" s="93">
        <f t="shared" ca="1" si="32"/>
        <v>117.59944711320584</v>
      </c>
      <c r="P58" s="93">
        <f t="shared" ca="1" si="33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3" t="s">
        <v>12</v>
      </c>
      <c r="I59" s="270"/>
      <c r="J59" s="270"/>
      <c r="K59" s="498"/>
      <c r="L59" s="498">
        <f t="shared" ref="L59:N59" ca="1" si="36">L60+L61</f>
        <v>29900</v>
      </c>
      <c r="M59" s="498">
        <f t="shared" ca="1" si="36"/>
        <v>29900</v>
      </c>
      <c r="N59" s="498">
        <f t="shared" ca="1" si="36"/>
        <v>29900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7"/>
      <c r="J60" s="617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IFERROR(__xludf.DUMMYFUNCTION("IMPORTRANGE(""https://docs.google.com/spreadsheets/d/1MeEWN-I1oV_STSDYn1IFDPWt_1FKiwhDph83XaGc0o0/edit?usp=sharing"",""งบพรบ!Z36"")"),29900)</f>
        <v>29900</v>
      </c>
      <c r="M61" s="52">
        <f ca="1">IFERROR(__xludf.DUMMYFUNCTION("IMPORTRANGE(""https://docs.google.com/spreadsheets/d/1MeEWN-I1oV_STSDYn1IFDPWt_1FKiwhDph83XaGc0o0/edit?usp=sharing"",""งบพรบ!AC36"")"),29900)</f>
        <v>29900</v>
      </c>
      <c r="N61" s="52">
        <f ca="1">IFERROR(__xludf.DUMMYFUNCTION("IMPORTRANGE(""https://docs.google.com/spreadsheets/d/1MeEWN-I1oV_STSDYn1IFDPWt_1FKiwhDph83XaGc0o0/edit?usp=sharing"",""งบพรบ!AE36"")"),29900)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7"/>
      <c r="J67" s="617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7"/>
      <c r="J68" s="617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IFERROR(__xludf.DUMMYFUNCTION("IMPORTRANGE(""https://docs.google.com/spreadsheets/d/1MeEWN-I1oV_STSDYn1IFDPWt_1FKiwhDph83XaGc0o0/edit?usp=sharing"",""งบพรบ!AG36"")"),0)</f>
        <v>0</v>
      </c>
      <c r="M71" s="93">
        <f ca="1">IFERROR(__xludf.DUMMYFUNCTION("IMPORTRANGE(""https://docs.google.com/spreadsheets/d/1MeEWN-I1oV_STSDYn1IFDPWt_1FKiwhDph83XaGc0o0/edit?usp=sharing"",""งบพรบ!AL36"")"),0)</f>
        <v>0</v>
      </c>
      <c r="N71" s="93">
        <f ca="1">IFERROR(__xludf.DUMMYFUNCTION("IMPORTRANGE(""https://docs.google.com/spreadsheets/d/1MeEWN-I1oV_STSDYn1IFDPWt_1FKiwhDph83XaGc0o0/edit?usp=sharing"",""งบพรบ!AN36"")"),0)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IFERROR(__xludf.DUMMYFUNCTION("IMPORTRANGE(""https://docs.google.com/spreadsheets/d/1MeEWN-I1oV_STSDYn1IFDPWt_1FKiwhDph83XaGc0o0/edit?usp=sharing"",""งบพรบ!AJ36"")"),0)</f>
        <v>0</v>
      </c>
      <c r="M74" s="93">
        <f ca="1">IFERROR(__xludf.DUMMYFUNCTION("IMPORTRANGE(""https://docs.google.com/spreadsheets/d/1MeEWN-I1oV_STSDYn1IFDPWt_1FKiwhDph83XaGc0o0/edit?usp=sharing"",""งบพรบ!AM36"")"),0)</f>
        <v>0</v>
      </c>
      <c r="N74" s="93">
        <f ca="1">IFERROR(__xludf.DUMMYFUNCTION("IMPORTRANGE(""https://docs.google.com/spreadsheets/d/1MeEWN-I1oV_STSDYn1IFDPWt_1FKiwhDph83XaGc0o0/edit?usp=sharing"",""งบพรบ!AO36"")"),0)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7" t="s">
        <v>38</v>
      </c>
      <c r="E75" s="173"/>
      <c r="F75" s="173"/>
      <c r="G75" s="174"/>
      <c r="H75" s="762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4" t="s">
        <v>34</v>
      </c>
      <c r="I78" s="184">
        <f ca="1">IFERROR(__xludf.DUMMYFUNCTION("IMPORTRANGE(""https://docs.google.com/spreadsheets/d/1QqKyyYR6Q21VydFLVH3TRQUabQu_ym0Zz7PgGX0-kHA/edit?usp=sharing"",""แผน!H36"")"),0)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4" t="s">
        <v>35</v>
      </c>
      <c r="I79" s="184">
        <f ca="1">IFERROR(__xludf.DUMMYFUNCTION("IMPORTRANGE(""https://docs.google.com/spreadsheets/d/1QqKyyYR6Q21VydFLVH3TRQUabQu_ym0Zz7PgGX0-kHA/edit?usp=sharing"",""แผน!I36"")"),0)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4" t="s">
        <v>34</v>
      </c>
      <c r="I80" s="184">
        <f ca="1">IFERROR(__xludf.DUMMYFUNCTION("IMPORTRANGE(""https://docs.google.com/spreadsheets/d/1QqKyyYR6Q21VydFLVH3TRQUabQu_ym0Zz7PgGX0-kHA/edit?usp=sharing"",""แผน!F36"")"),0)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4" t="s">
        <v>35</v>
      </c>
      <c r="I81" s="184">
        <f ca="1">IFERROR(__xludf.DUMMYFUNCTION("IMPORTRANGE(""https://docs.google.com/spreadsheets/d/1QqKyyYR6Q21VydFLVH3TRQUabQu_ym0Zz7PgGX0-kHA/edit?usp=sharing"",""แผน!G36"")"),0)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4" t="s">
        <v>34</v>
      </c>
      <c r="I82" s="184">
        <f ca="1">IFERROR(__xludf.DUMMYFUNCTION("IMPORTRANGE(""https://docs.google.com/spreadsheets/d/1QqKyyYR6Q21VydFLVH3TRQUabQu_ym0Zz7PgGX0-kHA/edit?usp=sharing"",""แผน!D36"")"),0)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4" t="s">
        <v>35</v>
      </c>
      <c r="I83" s="184">
        <f ca="1">IFERROR(__xludf.DUMMYFUNCTION("IMPORTRANGE(""https://docs.google.com/spreadsheets/d/1QqKyyYR6Q21VydFLVH3TRQUabQu_ym0Zz7PgGX0-kHA/edit?usp=sharing"",""แผน!E36"")"),0)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63900</v>
      </c>
      <c r="M88" s="155">
        <f t="shared" ca="1" si="49"/>
        <v>63900</v>
      </c>
      <c r="N88" s="155">
        <f t="shared" ca="1" si="49"/>
        <v>63900</v>
      </c>
      <c r="O88" s="155">
        <f t="shared" ref="O88:O96" ca="1" si="50">IF(L88&gt;0,N88*100/L88,0)</f>
        <v>100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7"/>
      <c r="J89" s="617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7"/>
      <c r="J90" s="617"/>
      <c r="K90" s="93"/>
      <c r="L90" s="93">
        <f t="shared" ca="1" si="52"/>
        <v>63900</v>
      </c>
      <c r="M90" s="93">
        <f t="shared" ca="1" si="52"/>
        <v>63900</v>
      </c>
      <c r="N90" s="93">
        <f t="shared" ca="1" si="52"/>
        <v>63900</v>
      </c>
      <c r="O90" s="93">
        <f t="shared" ca="1" si="50"/>
        <v>100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63900</v>
      </c>
      <c r="M91" s="498">
        <f t="shared" ca="1" si="53"/>
        <v>63900</v>
      </c>
      <c r="N91" s="498">
        <f t="shared" ca="1" si="53"/>
        <v>63900</v>
      </c>
      <c r="O91" s="498">
        <f t="shared" ca="1" si="50"/>
        <v>100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IFERROR(__xludf.DUMMYFUNCTION("IMPORTRANGE(""https://docs.google.com/spreadsheets/d/1MeEWN-I1oV_STSDYn1IFDPWt_1FKiwhDph83XaGc0o0/edit?usp=sharing"",""งบพรบ!AQ36"")"),63900)</f>
        <v>63900</v>
      </c>
      <c r="M93" s="93">
        <f ca="1">IFERROR(__xludf.DUMMYFUNCTION("IMPORTRANGE(""https://docs.google.com/spreadsheets/d/1MeEWN-I1oV_STSDYn1IFDPWt_1FKiwhDph83XaGc0o0/edit?usp=sharing"",""งบพรบ!AV36"")"),63900)</f>
        <v>63900</v>
      </c>
      <c r="N93" s="93">
        <f ca="1">IFERROR(__xludf.DUMMYFUNCTION("IMPORTRANGE(""https://docs.google.com/spreadsheets/d/1MeEWN-I1oV_STSDYn1IFDPWt_1FKiwhDph83XaGc0o0/edit?usp=sharing"",""งบพรบ!AX36"")"),63900)</f>
        <v>63900</v>
      </c>
      <c r="O93" s="93">
        <f t="shared" ca="1" si="50"/>
        <v>100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IFERROR(__xludf.DUMMYFUNCTION("IMPORTRANGE(""https://docs.google.com/spreadsheets/d/1MeEWN-I1oV_STSDYn1IFDPWt_1FKiwhDph83XaGc0o0/edit?usp=sharing"",""งบพรบ!AT36"")"),0)</f>
        <v>0</v>
      </c>
      <c r="M96" s="93">
        <f ca="1">IFERROR(__xludf.DUMMYFUNCTION("IMPORTRANGE(""https://docs.google.com/spreadsheets/d/1MeEWN-I1oV_STSDYn1IFDPWt_1FKiwhDph83XaGc0o0/edit?usp=sharing"",""งบพรบ!AW36"")"),0)</f>
        <v>0</v>
      </c>
      <c r="N96" s="93">
        <f ca="1">IFERROR(__xludf.DUMMYFUNCTION("IMPORTRANGE(""https://docs.google.com/spreadsheets/d/1MeEWN-I1oV_STSDYn1IFDPWt_1FKiwhDph83XaGc0o0/edit?usp=sharing"",""งบพรบ!AY36"")"),0)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7" t="s">
        <v>38</v>
      </c>
      <c r="E97" s="173"/>
      <c r="F97" s="173"/>
      <c r="G97" s="174"/>
      <c r="H97" s="762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3" t="s">
        <v>46</v>
      </c>
      <c r="I98" s="270">
        <f ca="1">IFERROR(__xludf.DUMMYFUNCTION("IMPORTRANGE(""https://docs.google.com/spreadsheets/d/1QqKyyYR6Q21VydFLVH3TRQUabQu_ym0Zz7PgGX0-kHA/edit?usp=sharing"",""แผน!K36"")"),75)</f>
        <v>75</v>
      </c>
      <c r="J98" s="270">
        <f>J102</f>
        <v>75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3" t="s">
        <v>35</v>
      </c>
      <c r="I99" s="270">
        <f ca="1">IFERROR(__xludf.DUMMYFUNCTION("IMPORTRANGE(""https://docs.google.com/spreadsheets/d/1QqKyyYR6Q21VydFLVH3TRQUabQu_ym0Zz7PgGX0-kHA/edit?usp=sharing"",""แผน!L36"")"),25)</f>
        <v>25</v>
      </c>
      <c r="J99" s="270">
        <f>J104</f>
        <v>25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3" t="s">
        <v>49</v>
      </c>
      <c r="I100" s="270">
        <f ca="1">IFERROR(__xludf.DUMMYFUNCTION("IMPORTRANGE(""https://docs.google.com/spreadsheets/d/1QqKyyYR6Q21VydFLVH3TRQUabQu_ym0Zz7PgGX0-kHA/edit?usp=sharing"",""แผน!M36"")"),0)</f>
        <v>0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3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6" t="s">
        <v>47</v>
      </c>
      <c r="F102" s="178"/>
      <c r="G102" s="179"/>
      <c r="H102" s="623" t="s">
        <v>46</v>
      </c>
      <c r="I102" s="270">
        <f ca="1">IFERROR(__xludf.DUMMYFUNCTION("IMPORTRANGE(""https://docs.google.com/spreadsheets/d/1QqKyyYR6Q21VydFLVH3TRQUabQu_ym0Zz7PgGX0-kHA/edit?usp=sharing"",""แผน!N36"")"),75)</f>
        <v>75</v>
      </c>
      <c r="J102" s="215">
        <v>75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3" t="s">
        <v>35</v>
      </c>
      <c r="I103" s="270">
        <f ca="1">IFERROR(__xludf.DUMMYFUNCTION("IMPORTRANGE(""https://docs.google.com/spreadsheets/d/1QqKyyYR6Q21VydFLVH3TRQUabQu_ym0Zz7PgGX0-kHA/edit?usp=sharing"",""แผน!O36"")"),25)</f>
        <v>25</v>
      </c>
      <c r="J103" s="215">
        <v>25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3" t="s">
        <v>35</v>
      </c>
      <c r="I104" s="270">
        <f ca="1">IFERROR(__xludf.DUMMYFUNCTION("IMPORTRANGE(""https://docs.google.com/spreadsheets/d/1QqKyyYR6Q21VydFLVH3TRQUabQu_ym0Zz7PgGX0-kHA/edit?usp=sharing"",""แผน!O36"")"),25)</f>
        <v>25</v>
      </c>
      <c r="J104" s="215">
        <v>25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3" t="s">
        <v>49</v>
      </c>
      <c r="I106" s="270">
        <f ca="1">IFERROR(__xludf.DUMMYFUNCTION("IMPORTRANGE(""https://docs.google.com/spreadsheets/d/1QqKyyYR6Q21VydFLVH3TRQUabQu_ym0Zz7PgGX0-kHA/edit?usp=sharing"",""แผน!P36"")"),0)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3" t="s">
        <v>49</v>
      </c>
      <c r="I107" s="270">
        <f ca="1">IFERROR(__xludf.DUMMYFUNCTION("IMPORTRANGE(""https://docs.google.com/spreadsheets/d/1QqKyyYR6Q21VydFLVH3TRQUabQu_ym0Zz7PgGX0-kHA/edit?usp=sharing"",""แผน!P36"")"),0)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3" t="s">
        <v>49</v>
      </c>
      <c r="I109" s="270">
        <f ca="1">IFERROR(__xludf.DUMMYFUNCTION("IMPORTRANGE(""https://docs.google.com/spreadsheets/d/1QqKyyYR6Q21VydFLVH3TRQUabQu_ym0Zz7PgGX0-kHA/edit?usp=sharing"",""แผน!Q36"")"),0)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3" t="s">
        <v>49</v>
      </c>
      <c r="I110" s="270">
        <f ca="1">IFERROR(__xludf.DUMMYFUNCTION("IMPORTRANGE(""https://docs.google.com/spreadsheets/d/1QqKyyYR6Q21VydFLVH3TRQUabQu_ym0Zz7PgGX0-kHA/edit?usp=sharing"",""แผน!Q36"")"),0)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7" t="s">
        <v>35</v>
      </c>
      <c r="I111" s="193">
        <f ca="1">IFERROR(__xludf.DUMMYFUNCTION("IMPORTRANGE(""https://docs.google.com/spreadsheets/d/1QqKyyYR6Q21VydFLVH3TRQUabQu_ym0Zz7PgGX0-kHA/edit?usp=sharing"",""แผน!R36"")"),25)</f>
        <v>25</v>
      </c>
      <c r="J111" s="681">
        <f>J114</f>
        <v>25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81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2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IFERROR(__xludf.DUMMYFUNCTION("IMPORTRANGE(""https://docs.google.com/spreadsheets/d/1QqKyyYR6Q21VydFLVH3TRQUabQu_ym0Zz7PgGX0-kHA/edit?usp=sharing"",""แผน!R36"")"),25)</f>
        <v>25</v>
      </c>
      <c r="J113" s="215">
        <v>25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IFERROR(__xludf.DUMMYFUNCTION("IMPORTRANGE(""https://docs.google.com/spreadsheets/d/1QqKyyYR6Q21VydFLVH3TRQUabQu_ym0Zz7PgGX0-kHA/edit?usp=sharing"",""แผน!R36"")"),25)</f>
        <v>25</v>
      </c>
      <c r="J114" s="215">
        <v>25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IFERROR(__xludf.DUMMYFUNCTION("IMPORTRANGE(""https://docs.google.com/spreadsheets/d/1QqKyyYR6Q21VydFLVH3TRQUabQu_ym0Zz7PgGX0-kHA/edit?usp=sharing"",""แผน!S36"")"),0)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IFERROR(__xludf.DUMMYFUNCTION("IMPORTRANGE(""https://docs.google.com/spreadsheets/d/1QqKyyYR6Q21VydFLVH3TRQUabQu_ym0Zz7PgGX0-kHA/edit?usp=sharing"",""แผน!T36"")"),0)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17000</v>
      </c>
      <c r="M119" s="155">
        <f t="shared" ca="1" si="60"/>
        <v>17000</v>
      </c>
      <c r="N119" s="155">
        <f t="shared" ca="1" si="60"/>
        <v>17000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7"/>
      <c r="J120" s="617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7"/>
      <c r="J121" s="617"/>
      <c r="K121" s="93"/>
      <c r="L121" s="93">
        <f t="shared" ca="1" si="63"/>
        <v>17000</v>
      </c>
      <c r="M121" s="93">
        <f t="shared" ca="1" si="63"/>
        <v>17000</v>
      </c>
      <c r="N121" s="93">
        <f t="shared" ca="1" si="63"/>
        <v>17000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IFERROR(__xludf.DUMMYFUNCTION("IMPORTRANGE(""https://docs.google.com/spreadsheets/d/1MeEWN-I1oV_STSDYn1IFDPWt_1FKiwhDph83XaGc0o0/edit?usp=sharing"",""งบพรบ!BA36"")"),0)</f>
        <v>0</v>
      </c>
      <c r="M124" s="93">
        <f ca="1">IFERROR(__xludf.DUMMYFUNCTION("IMPORTRANGE(""https://docs.google.com/spreadsheets/d/1MeEWN-I1oV_STSDYn1IFDPWt_1FKiwhDph83XaGc0o0/edit?usp=sharing"",""งบพรบ!BF36"")"),0)</f>
        <v>0</v>
      </c>
      <c r="N124" s="93">
        <f ca="1">IFERROR(__xludf.DUMMYFUNCTION("IMPORTRANGE(""https://docs.google.com/spreadsheets/d/1MeEWN-I1oV_STSDYn1IFDPWt_1FKiwhDph83XaGc0o0/edit?usp=sharing"",""งบพรบ!BH36"")"),0)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17000</v>
      </c>
      <c r="M125" s="498">
        <f t="shared" ca="1" si="65"/>
        <v>17000</v>
      </c>
      <c r="N125" s="498">
        <f t="shared" ca="1" si="65"/>
        <v>17000</v>
      </c>
      <c r="O125" s="498">
        <f t="shared" ca="1" si="61"/>
        <v>100</v>
      </c>
      <c r="P125" s="498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IFERROR(__xludf.DUMMYFUNCTION("IMPORTRANGE(""https://docs.google.com/spreadsheets/d/1MeEWN-I1oV_STSDYn1IFDPWt_1FKiwhDph83XaGc0o0/edit?usp=sharing"",""งบพรบ!BD36"")"),17000)</f>
        <v>17000</v>
      </c>
      <c r="M127" s="93">
        <f ca="1">IFERROR(__xludf.DUMMYFUNCTION("IMPORTRANGE(""https://docs.google.com/spreadsheets/d/1MeEWN-I1oV_STSDYn1IFDPWt_1FKiwhDph83XaGc0o0/edit?usp=sharing"",""งบพรบ!BG36"")"),17000)</f>
        <v>17000</v>
      </c>
      <c r="N127" s="93">
        <f ca="1">IFERROR(__xludf.DUMMYFUNCTION("IMPORTRANGE(""https://docs.google.com/spreadsheets/d/1MeEWN-I1oV_STSDYn1IFDPWt_1FKiwhDph83XaGc0o0/edit?usp=sharing"",""งบพรบ!BI36"")"),17000)</f>
        <v>17000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303310</v>
      </c>
      <c r="M132" s="155">
        <f t="shared" ca="1" si="69"/>
        <v>348810</v>
      </c>
      <c r="N132" s="155">
        <f t="shared" ca="1" si="69"/>
        <v>348810</v>
      </c>
      <c r="O132" s="155">
        <f t="shared" ref="O132:O140" ca="1" si="70">IF(L132&gt;0,N132*100/L132,0)</f>
        <v>115.00115393491807</v>
      </c>
      <c r="P132" s="155">
        <f t="shared" ref="P132:P140" ca="1" si="71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7"/>
      <c r="J133" s="617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7"/>
      <c r="J134" s="617"/>
      <c r="K134" s="93"/>
      <c r="L134" s="93">
        <f t="shared" ca="1" si="72"/>
        <v>303310</v>
      </c>
      <c r="M134" s="93">
        <f t="shared" ca="1" si="72"/>
        <v>348810</v>
      </c>
      <c r="N134" s="93">
        <f t="shared" ca="1" si="72"/>
        <v>348810</v>
      </c>
      <c r="O134" s="93">
        <f t="shared" ca="1" si="70"/>
        <v>115.00115393491807</v>
      </c>
      <c r="P134" s="93">
        <f t="shared" ca="1" si="71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97310</v>
      </c>
      <c r="M135" s="498">
        <f t="shared" ca="1" si="73"/>
        <v>105310</v>
      </c>
      <c r="N135" s="498">
        <f t="shared" ca="1" si="73"/>
        <v>105310</v>
      </c>
      <c r="O135" s="498">
        <f t="shared" ca="1" si="70"/>
        <v>108.22114890555955</v>
      </c>
      <c r="P135" s="498">
        <f t="shared" ca="1" si="71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IFERROR(__xludf.DUMMYFUNCTION("IMPORTRANGE(""https://docs.google.com/spreadsheets/d/1MeEWN-I1oV_STSDYn1IFDPWt_1FKiwhDph83XaGc0o0/edit?usp=sharing"",""งบพรบ!BK36"")"),97310)</f>
        <v>97310</v>
      </c>
      <c r="M137" s="93">
        <f ca="1">IFERROR(__xludf.DUMMYFUNCTION("IMPORTRANGE(""https://docs.google.com/spreadsheets/d/1MeEWN-I1oV_STSDYn1IFDPWt_1FKiwhDph83XaGc0o0/edit?usp=sharing"",""งบพรบ!BP36"")"),105310)</f>
        <v>105310</v>
      </c>
      <c r="N137" s="93">
        <f ca="1">IFERROR(__xludf.DUMMYFUNCTION("IMPORTRANGE(""https://docs.google.com/spreadsheets/d/1MeEWN-I1oV_STSDYn1IFDPWt_1FKiwhDph83XaGc0o0/edit?usp=sharing"",""งบพรบ!BR36"")"),105310)</f>
        <v>105310</v>
      </c>
      <c r="O137" s="93">
        <f t="shared" ca="1" si="70"/>
        <v>108.22114890555955</v>
      </c>
      <c r="P137" s="93">
        <f t="shared" ca="1" si="71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206000</v>
      </c>
      <c r="M138" s="498">
        <f t="shared" ca="1" si="74"/>
        <v>243500</v>
      </c>
      <c r="N138" s="498">
        <f t="shared" ca="1" si="74"/>
        <v>243500</v>
      </c>
      <c r="O138" s="498">
        <f t="shared" ca="1" si="70"/>
        <v>118.20388349514563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IFERROR(__xludf.DUMMYFUNCTION("IMPORTRANGE(""https://docs.google.com/spreadsheets/d/1MeEWN-I1oV_STSDYn1IFDPWt_1FKiwhDph83XaGc0o0/edit?usp=sharing"",""งบพรบ!BN36"")"),206000)</f>
        <v>206000</v>
      </c>
      <c r="M140" s="93">
        <f ca="1">IFERROR(__xludf.DUMMYFUNCTION("IMPORTRANGE(""https://docs.google.com/spreadsheets/d/1MeEWN-I1oV_STSDYn1IFDPWt_1FKiwhDph83XaGc0o0/edit?usp=sharing"",""งบพรบ!BQ36"")"),243500)</f>
        <v>243500</v>
      </c>
      <c r="N140" s="93">
        <f ca="1">IFERROR(__xludf.DUMMYFUNCTION("IMPORTRANGE(""https://docs.google.com/spreadsheets/d/1MeEWN-I1oV_STSDYn1IFDPWt_1FKiwhDph83XaGc0o0/edit?usp=sharing"",""งบพรบ!BS36"")"),243500)</f>
        <v>243500</v>
      </c>
      <c r="O140" s="93">
        <f t="shared" ca="1" si="70"/>
        <v>118.20388349514563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20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IFERROR(__xludf.DUMMYFUNCTION("IMPORTRANGE(""https://docs.google.com/spreadsheets/d/1QqKyyYR6Q21VydFLVH3TRQUabQu_ym0Zz7PgGX0-kHA/edit?usp=sharing"",""แผน!U36"")"),10)</f>
        <v>10</v>
      </c>
      <c r="J144" s="215">
        <v>10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IFERROR(__xludf.DUMMYFUNCTION("IMPORTRANGE(""https://docs.google.com/spreadsheets/d/1QqKyyYR6Q21VydFLVH3TRQUabQu_ym0Zz7PgGX0-kHA/edit?usp=sharing"",""แผน!V36"")"),20)</f>
        <v>20</v>
      </c>
      <c r="J145" s="215">
        <v>20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IFERROR(__xludf.DUMMYFUNCTION("IMPORTRANGE(""https://docs.google.com/spreadsheets/d/1QqKyyYR6Q21VydFLVH3TRQUabQu_ym0Zz7PgGX0-kHA/edit?usp=sharing"",""แผน!W36"")"),2)</f>
        <v>2</v>
      </c>
      <c r="J146" s="215">
        <v>2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8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10000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7"/>
      <c r="J150" s="617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7"/>
      <c r="J151" s="617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10000</v>
      </c>
      <c r="O151" s="93">
        <f t="shared" ca="1" si="78"/>
        <v>100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10000</v>
      </c>
      <c r="N152" s="498">
        <f t="shared" ca="1" si="81"/>
        <v>10000</v>
      </c>
      <c r="O152" s="498">
        <f t="shared" ca="1" si="78"/>
        <v>100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IFERROR(__xludf.DUMMYFUNCTION("IMPORTRANGE(""https://docs.google.com/spreadsheets/d/1MeEWN-I1oV_STSDYn1IFDPWt_1FKiwhDph83XaGc0o0/edit?usp=sharing"",""งบพรบ!BU36"")"),10000)</f>
        <v>10000</v>
      </c>
      <c r="M154" s="93">
        <f ca="1">IFERROR(__xludf.DUMMYFUNCTION("IMPORTRANGE(""https://docs.google.com/spreadsheets/d/1MeEWN-I1oV_STSDYn1IFDPWt_1FKiwhDph83XaGc0o0/edit?usp=sharing"",""งบพรบ!BZ36"")"),10000)</f>
        <v>10000</v>
      </c>
      <c r="N154" s="93">
        <f ca="1">IFERROR(__xludf.DUMMYFUNCTION("IMPORTRANGE(""https://docs.google.com/spreadsheets/d/1MeEWN-I1oV_STSDYn1IFDPWt_1FKiwhDph83XaGc0o0/edit?usp=sharing"",""งบพรบ!CB36"")"),10000)</f>
        <v>10000</v>
      </c>
      <c r="O154" s="93">
        <f t="shared" ca="1" si="78"/>
        <v>100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IFERROR(__xludf.DUMMYFUNCTION("IMPORTRANGE(""https://docs.google.com/spreadsheets/d/1MeEWN-I1oV_STSDYn1IFDPWt_1FKiwhDph83XaGc0o0/edit?usp=sharing"",""งบพรบ!BX36"")"),0)</f>
        <v>0</v>
      </c>
      <c r="M157" s="93">
        <f ca="1">IFERROR(__xludf.DUMMYFUNCTION("IMPORTRANGE(""https://docs.google.com/spreadsheets/d/1MeEWN-I1oV_STSDYn1IFDPWt_1FKiwhDph83XaGc0o0/edit?usp=sharing"",""งบพรบ!CA36"")"),0)</f>
        <v>0</v>
      </c>
      <c r="N157" s="93">
        <f ca="1">IFERROR(__xludf.DUMMYFUNCTION("IMPORTRANGE(""https://docs.google.com/spreadsheets/d/1MeEWN-I1oV_STSDYn1IFDPWt_1FKiwhDph83XaGc0o0/edit?usp=sharing"",""งบพรบ!CC36"")"),0)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IFERROR(__xludf.DUMMYFUNCTION("IMPORTRANGE(""https://docs.google.com/spreadsheets/d/1QqKyyYR6Q21VydFLVH3TRQUabQu_ym0Zz7PgGX0-kHA/edit?usp=sharing"",""แผน!X36"")"),20)</f>
        <v>20</v>
      </c>
      <c r="J159" s="215">
        <v>20</v>
      </c>
      <c r="K159" s="498">
        <f ca="1">IF(I159&gt;0,J159*100/I159,0)</f>
        <v>100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7"/>
      <c r="J160" s="617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45480</v>
      </c>
      <c r="N165" s="155">
        <f t="shared" ca="1" si="84"/>
        <v>45480</v>
      </c>
      <c r="O165" s="155">
        <f t="shared" ref="O165:O173" ca="1" si="85">IF(L165&gt;0,N165*100/L165,0)</f>
        <v>216.05700712589075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7"/>
      <c r="J166" s="617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7"/>
      <c r="J167" s="617"/>
      <c r="K167" s="93"/>
      <c r="L167" s="93">
        <f t="shared" ca="1" si="87"/>
        <v>21050</v>
      </c>
      <c r="M167" s="93">
        <f t="shared" ca="1" si="87"/>
        <v>45480</v>
      </c>
      <c r="N167" s="93">
        <f t="shared" ca="1" si="87"/>
        <v>45480</v>
      </c>
      <c r="O167" s="93">
        <f t="shared" ca="1" si="85"/>
        <v>216.05700712589075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45480</v>
      </c>
      <c r="N168" s="498">
        <f t="shared" ca="1" si="88"/>
        <v>45480</v>
      </c>
      <c r="O168" s="498">
        <f t="shared" ca="1" si="85"/>
        <v>216.05700712589075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IFERROR(__xludf.DUMMYFUNCTION("IMPORTRANGE(""https://docs.google.com/spreadsheets/d/1MeEWN-I1oV_STSDYn1IFDPWt_1FKiwhDph83XaGc0o0/edit?usp=sharing"",""งบพรบ!CE36"")"),21050)</f>
        <v>21050</v>
      </c>
      <c r="M170" s="93">
        <f ca="1">IFERROR(__xludf.DUMMYFUNCTION("IMPORTRANGE(""https://docs.google.com/spreadsheets/d/1MeEWN-I1oV_STSDYn1IFDPWt_1FKiwhDph83XaGc0o0/edit?usp=sharing"",""งบพรบ!CJ36"")"),45480)</f>
        <v>45480</v>
      </c>
      <c r="N170" s="93">
        <f ca="1">IFERROR(__xludf.DUMMYFUNCTION("IMPORTRANGE(""https://docs.google.com/spreadsheets/d/1MeEWN-I1oV_STSDYn1IFDPWt_1FKiwhDph83XaGc0o0/edit?usp=sharing"",""งบพรบ!CL36"")"),45480)</f>
        <v>45480</v>
      </c>
      <c r="O170" s="93">
        <f t="shared" ca="1" si="85"/>
        <v>216.05700712589075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918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IFERROR(__xludf.DUMMYFUNCTION("IMPORTRANGE(""https://docs.google.com/spreadsheets/d/1MeEWN-I1oV_STSDYn1IFDPWt_1FKiwhDph83XaGc0o0/edit?usp=sharing"",""งบพรบ!CH36"")"),0)</f>
        <v>0</v>
      </c>
      <c r="M173" s="93">
        <f ca="1">IFERROR(__xludf.DUMMYFUNCTION("IMPORTRANGE(""https://docs.google.com/spreadsheets/d/1MeEWN-I1oV_STSDYn1IFDPWt_1FKiwhDph83XaGc0o0/edit?usp=sharing"",""งบพรบ!CK36"")"),0)</f>
        <v>0</v>
      </c>
      <c r="N173" s="93">
        <f ca="1">IFERROR(__xludf.DUMMYFUNCTION("IMPORTRANGE(""https://docs.google.com/spreadsheets/d/1MeEWN-I1oV_STSDYn1IFDPWt_1FKiwhDph83XaGc0o0/edit?usp=sharing"",""งบพรบ!CM36"")"),0)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7" t="s">
        <v>38</v>
      </c>
      <c r="E175" s="173"/>
      <c r="F175" s="173"/>
      <c r="G175" s="174"/>
      <c r="H175" s="76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6" t="s">
        <v>85</v>
      </c>
      <c r="E176" s="178"/>
      <c r="F176" s="178"/>
      <c r="G176" s="179"/>
      <c r="H176" s="623" t="s">
        <v>35</v>
      </c>
      <c r="I176" s="270">
        <f ca="1">IFERROR(__xludf.DUMMYFUNCTION("IMPORTRANGE(""https://docs.google.com/spreadsheets/d/1QqKyyYR6Q21VydFLVH3TRQUabQu_ym0Zz7PgGX0-kHA/edit?usp=sharing"",""แผน!Y36"")"),10)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583500</v>
      </c>
      <c r="M181" s="155">
        <f t="shared" ca="1" si="92"/>
        <v>591460</v>
      </c>
      <c r="N181" s="155">
        <f t="shared" ca="1" si="92"/>
        <v>591460</v>
      </c>
      <c r="O181" s="155">
        <f t="shared" ref="O181:O189" ca="1" si="93">IF(L181&gt;0,N181*100/L181,0)</f>
        <v>101.36418166238218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7"/>
      <c r="J182" s="617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7"/>
      <c r="J183" s="617"/>
      <c r="K183" s="93"/>
      <c r="L183" s="93">
        <f t="shared" ca="1" si="95"/>
        <v>583500</v>
      </c>
      <c r="M183" s="93">
        <f t="shared" ca="1" si="95"/>
        <v>591460</v>
      </c>
      <c r="N183" s="93">
        <f t="shared" ca="1" si="95"/>
        <v>591460</v>
      </c>
      <c r="O183" s="93">
        <f t="shared" ca="1" si="93"/>
        <v>101.36418166238218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583500</v>
      </c>
      <c r="M184" s="498">
        <f t="shared" ca="1" si="96"/>
        <v>591460</v>
      </c>
      <c r="N184" s="498">
        <f t="shared" ca="1" si="96"/>
        <v>591460</v>
      </c>
      <c r="O184" s="498">
        <f t="shared" ca="1" si="93"/>
        <v>101.36418166238218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IFERROR(__xludf.DUMMYFUNCTION("IMPORTRANGE(""https://docs.google.com/spreadsheets/d/1MeEWN-I1oV_STSDYn1IFDPWt_1FKiwhDph83XaGc0o0/edit?usp=sharing"",""งบพรบ!CO36"")"),583500)</f>
        <v>583500</v>
      </c>
      <c r="M186" s="93">
        <f ca="1">IFERROR(__xludf.DUMMYFUNCTION("IMPORTRANGE(""https://docs.google.com/spreadsheets/d/1MeEWN-I1oV_STSDYn1IFDPWt_1FKiwhDph83XaGc0o0/edit?usp=sharing"",""งบพรบ!CT36"")"),591460)</f>
        <v>591460</v>
      </c>
      <c r="N186" s="93">
        <f ca="1">IFERROR(__xludf.DUMMYFUNCTION("IMPORTRANGE(""https://docs.google.com/spreadsheets/d/1MeEWN-I1oV_STSDYn1IFDPWt_1FKiwhDph83XaGc0o0/edit?usp=sharing"",""งบพรบ!CV36"")"),591460)</f>
        <v>591460</v>
      </c>
      <c r="O186" s="93">
        <f t="shared" ca="1" si="93"/>
        <v>101.36418166238218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IFERROR(__xludf.DUMMYFUNCTION("IMPORTRANGE(""https://docs.google.com/spreadsheets/d/1MeEWN-I1oV_STSDYn1IFDPWt_1FKiwhDph83XaGc0o0/edit?usp=sharing"",""งบพรบ!CR36"")"),0)</f>
        <v>0</v>
      </c>
      <c r="M189" s="93">
        <f ca="1">IFERROR(__xludf.DUMMYFUNCTION("IMPORTRANGE(""https://docs.google.com/spreadsheets/d/1MeEWN-I1oV_STSDYn1IFDPWt_1FKiwhDph83XaGc0o0/edit?usp=sharing"",""งบพรบ!CU36"")"),0)</f>
        <v>0</v>
      </c>
      <c r="N189" s="93">
        <f ca="1">IFERROR(__xludf.DUMMYFUNCTION("IMPORTRANGE(""https://docs.google.com/spreadsheets/d/1MeEWN-I1oV_STSDYn1IFDPWt_1FKiwhDph83XaGc0o0/edit?usp=sharing"",""งบพรบ!CW36"")"),0)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8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IFERROR(__xludf.DUMMYFUNCTION("IMPORTRANGE(""https://docs.google.com/spreadsheets/d/1QqKyyYR6Q21VydFLVH3TRQUabQu_ym0Zz7PgGX0-kHA/edit?usp=sharing"",""แผน!Z36"")"),6000)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7" t="s">
        <v>38</v>
      </c>
      <c r="E192" s="173"/>
      <c r="F192" s="173"/>
      <c r="G192" s="174"/>
      <c r="H192" s="762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4" t="s">
        <v>90</v>
      </c>
      <c r="I193" s="270">
        <f ca="1">IFERROR(__xludf.DUMMYFUNCTION("IMPORTRANGE(""https://docs.google.com/spreadsheets/d/1QqKyyYR6Q21VydFLVH3TRQUabQu_ym0Zz7PgGX0-kHA/edit?usp=sharing"",""แผน!AC36"")"),4)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320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320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8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IFERROR(__xludf.DUMMYFUNCTION("IMPORTRANGE(""https://docs.google.com/spreadsheets/d/1QqKyyYR6Q21VydFLVH3TRQUabQu_ym0Zz7PgGX0-kHA/edit?usp=sharing"",""แผน!AE36"")"),2000)</f>
        <v>2000</v>
      </c>
      <c r="M199" s="498"/>
      <c r="N199" s="840">
        <v>2000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3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IFERROR(__xludf.DUMMYFUNCTION("IMPORTRANGE(""https://docs.google.com/spreadsheets/d/1QqKyyYR6Q21VydFLVH3TRQUabQu_ym0Zz7PgGX0-kHA/edit?usp=sharing"",""แผน!AF36"")"),16000)</f>
        <v>16000</v>
      </c>
      <c r="M200" s="498"/>
      <c r="N200" s="840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3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IFERROR(__xludf.DUMMYFUNCTION("IMPORTRANGE(""https://docs.google.com/spreadsheets/d/1QqKyyYR6Q21VydFLVH3TRQUabQu_ym0Zz7PgGX0-kHA/edit?usp=sharing"",""แผน!AG36"")"),8000)</f>
        <v>8000</v>
      </c>
      <c r="M201" s="498"/>
      <c r="N201" s="840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3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IFERROR(__xludf.DUMMYFUNCTION("IMPORTRANGE(""https://docs.google.com/spreadsheets/d/1QqKyyYR6Q21VydFLVH3TRQUabQu_ym0Zz7PgGX0-kHA/edit?usp=sharing"",""แผน!AH36"")"),0)</f>
        <v>0</v>
      </c>
      <c r="M202" s="498"/>
      <c r="N202" s="840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7" t="s">
        <v>38</v>
      </c>
      <c r="E203" s="173"/>
      <c r="F203" s="173"/>
      <c r="G203" s="174"/>
      <c r="H203" s="76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2" t="s">
        <v>96</v>
      </c>
      <c r="I204" s="270">
        <f ca="1">IFERROR(__xludf.DUMMYFUNCTION("IMPORTRANGE(""https://docs.google.com/spreadsheets/d/1QqKyyYR6Q21VydFLVH3TRQUabQu_ym0Zz7PgGX0-kHA/edit?usp=sharing"",""แผน!AI36"")"),2)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2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2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8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IFERROR(__xludf.DUMMYFUNCTION("IMPORTRANGE(""https://docs.google.com/spreadsheets/d/1QqKyyYR6Q21VydFLVH3TRQUabQu_ym0Zz7PgGX0-kHA/edit?usp=sharing"",""แผน!AK36"")"),0)</f>
        <v>0</v>
      </c>
      <c r="M210" s="498"/>
      <c r="N210" s="840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IFERROR(__xludf.DUMMYFUNCTION("IMPORTRANGE(""https://docs.google.com/spreadsheets/d/1QqKyyYR6Q21VydFLVH3TRQUabQu_ym0Zz7PgGX0-kHA/edit?usp=sharing"",""แผน!AL36"")"),0)</f>
        <v>0</v>
      </c>
      <c r="M211" s="498"/>
      <c r="N211" s="840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IFERROR(__xludf.DUMMYFUNCTION("IMPORTRANGE(""https://docs.google.com/spreadsheets/d/1QqKyyYR6Q21VydFLVH3TRQUabQu_ym0Zz7PgGX0-kHA/edit?usp=sharing"",""แผน!AM36"")"),0)</f>
        <v>0</v>
      </c>
      <c r="M212" s="498"/>
      <c r="N212" s="840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7" t="s">
        <v>38</v>
      </c>
      <c r="E213" s="173"/>
      <c r="F213" s="173"/>
      <c r="G213" s="174"/>
      <c r="H213" s="762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2" t="s">
        <v>96</v>
      </c>
      <c r="I214" s="270">
        <f ca="1">IFERROR(__xludf.DUMMYFUNCTION("IMPORTRANGE(""https://docs.google.com/spreadsheets/d/1QqKyyYR6Q21VydFLVH3TRQUabQu_ym0Zz7PgGX0-kHA/edit?usp=sharing"",""แผน!AN36"")"),0)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2" t="s">
        <v>96</v>
      </c>
      <c r="I215" s="270">
        <f ca="1">IFERROR(__xludf.DUMMYFUNCTION("IMPORTRANGE(""https://docs.google.com/spreadsheets/d/1QqKyyYR6Q21VydFLVH3TRQUabQu_ym0Zz7PgGX0-kHA/edit?usp=sharing"",""แผน!AN36"")"),0)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70000</v>
      </c>
      <c r="J216" s="272">
        <f t="shared" si="103"/>
        <v>70000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8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33500</v>
      </c>
      <c r="M217" s="155"/>
      <c r="N217" s="155">
        <f>N218+N219+N220</f>
        <v>33500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IFERROR(__xludf.DUMMYFUNCTION("IMPORTRANGE(""https://docs.google.com/spreadsheets/d/1QqKyyYR6Q21VydFLVH3TRQUabQu_ym0Zz7PgGX0-kHA/edit?usp=sharing"",""แผน!AP36"")"),5000)</f>
        <v>5000</v>
      </c>
      <c r="M218" s="498"/>
      <c r="N218" s="840">
        <v>5000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IFERROR(__xludf.DUMMYFUNCTION("IMPORTRANGE(""https://docs.google.com/spreadsheets/d/1QqKyyYR6Q21VydFLVH3TRQUabQu_ym0Zz7PgGX0-kHA/edit?usp=sharing"",""แผน!AQ36"")"),18500)</f>
        <v>18500</v>
      </c>
      <c r="M219" s="498"/>
      <c r="N219" s="840">
        <v>18500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IFERROR(__xludf.DUMMYFUNCTION("IMPORTRANGE(""https://docs.google.com/spreadsheets/d/1QqKyyYR6Q21VydFLVH3TRQUabQu_ym0Zz7PgGX0-kHA/edit?usp=sharing"",""แผน!AR36"")"),10000)</f>
        <v>10000</v>
      </c>
      <c r="M220" s="498"/>
      <c r="N220" s="840">
        <v>10000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7" t="s">
        <v>38</v>
      </c>
      <c r="E221" s="173"/>
      <c r="F221" s="173"/>
      <c r="G221" s="174"/>
      <c r="H221" s="76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4" t="s">
        <v>109</v>
      </c>
      <c r="I223" s="270">
        <f ca="1">IFERROR(__xludf.DUMMYFUNCTION("IMPORTRANGE(""https://docs.google.com/spreadsheets/d/1QqKyyYR6Q21VydFLVH3TRQUabQu_ym0Zz7PgGX0-kHA/edit?usp=sharing"",""แผน!AT36"")"),70000)</f>
        <v>70000</v>
      </c>
      <c r="J223" s="215">
        <v>70000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4" t="s">
        <v>109</v>
      </c>
      <c r="I224" s="270">
        <f ca="1">IFERROR(__xludf.DUMMYFUNCTION("IMPORTRANGE(""https://docs.google.com/spreadsheets/d/1QqKyyYR6Q21VydFLVH3TRQUabQu_ym0Zz7PgGX0-kHA/edit?usp=sharing"",""แผน!AT36"")"),70000)</f>
        <v>70000</v>
      </c>
      <c r="J224" s="215">
        <v>70000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4" t="s">
        <v>35</v>
      </c>
      <c r="I225" s="270">
        <f ca="1">IFERROR(__xludf.DUMMYFUNCTION("IMPORTRANGE(""https://docs.google.com/spreadsheets/d/1QqKyyYR6Q21VydFLVH3TRQUabQu_ym0Zz7PgGX0-kHA/edit?usp=sharing"",""แผน!AS36"")"),10)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8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2"/>
      <c r="P227" s="8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7"/>
      <c r="J229" s="617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7"/>
      <c r="J230" s="617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7"/>
      <c r="J231" s="617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7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7">
        <f t="shared" ref="I233:J233" ca="1" si="108">I244+I255</f>
        <v>0</v>
      </c>
      <c r="J233" s="617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7"/>
      <c r="J234" s="617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7">
        <f t="shared" ref="I235:J236" si="109">I246+I257</f>
        <v>0</v>
      </c>
      <c r="J235" s="617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7">
        <f t="shared" si="109"/>
        <v>0</v>
      </c>
      <c r="J236" s="617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IFERROR(__xludf.DUMMYFUNCTION("IMPORTRANGE(""https://docs.google.com/spreadsheets/d/1QqKyyYR6Q21VydFLVH3TRQUabQu_ym0Zz7PgGX0-kHA/edit?usp=sharing"",""แผน!AV36"")"),0)</f>
        <v>0</v>
      </c>
      <c r="M239" s="322"/>
      <c r="N239" s="88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IFERROR(__xludf.DUMMYFUNCTION("IMPORTRANGE(""https://docs.google.com/spreadsheets/d/1QqKyyYR6Q21VydFLVH3TRQUabQu_ym0Zz7PgGX0-kHA/edit?usp=sharing"",""แผน!AW36"")"),0)</f>
        <v>0</v>
      </c>
      <c r="M240" s="322"/>
      <c r="N240" s="88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IFERROR(__xludf.DUMMYFUNCTION("IMPORTRANGE(""https://docs.google.com/spreadsheets/d/1QqKyyYR6Q21VydFLVH3TRQUabQu_ym0Zz7PgGX0-kHA/edit?usp=sharing"",""แผน!AX36"")"),0)</f>
        <v>0</v>
      </c>
      <c r="M241" s="322"/>
      <c r="N241" s="88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IFERROR(__xludf.DUMMYFUNCTION("IMPORTRANGE(""https://docs.google.com/spreadsheets/d/1QqKyyYR6Q21VydFLVH3TRQUabQu_ym0Zz7PgGX0-kHA/edit?usp=sharing"",""แผน!AY36"")"),0)</f>
        <v>0</v>
      </c>
      <c r="M242" s="322"/>
      <c r="N242" s="88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7" t="s">
        <v>38</v>
      </c>
      <c r="E243" s="173"/>
      <c r="F243" s="173"/>
      <c r="G243" s="174"/>
      <c r="H243" s="762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4" t="s">
        <v>35</v>
      </c>
      <c r="I244" s="270">
        <f ca="1">IFERROR(__xludf.DUMMYFUNCTION("IMPORTRANGE(""https://docs.google.com/spreadsheets/d/1QqKyyYR6Q21VydFLVH3TRQUabQu_ym0Zz7PgGX0-kHA/edit?usp=sharing"",""แผน!BE36"")"),0)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4" t="s">
        <v>43</v>
      </c>
      <c r="E245" s="178"/>
      <c r="F245" s="178"/>
      <c r="G245" s="179"/>
      <c r="H245" s="764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4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4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8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IFERROR(__xludf.DUMMYFUNCTION("IMPORTRANGE(""https://docs.google.com/spreadsheets/d/1QqKyyYR6Q21VydFLVH3TRQUabQu_ym0Zz7PgGX0-kHA/edit?usp=sharing"",""แผน!AZ36"")"),0)</f>
        <v>0</v>
      </c>
      <c r="M250" s="322"/>
      <c r="N250" s="88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IFERROR(__xludf.DUMMYFUNCTION("IMPORTRANGE(""https://docs.google.com/spreadsheets/d/1QqKyyYR6Q21VydFLVH3TRQUabQu_ym0Zz7PgGX0-kHA/edit?usp=sharing"",""แผน!BA36"")"),0)</f>
        <v>0</v>
      </c>
      <c r="M251" s="322"/>
      <c r="N251" s="88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IFERROR(__xludf.DUMMYFUNCTION("IMPORTRANGE(""https://docs.google.com/spreadsheets/d/1QqKyyYR6Q21VydFLVH3TRQUabQu_ym0Zz7PgGX0-kHA/edit?usp=sharing"",""แผน!BB36"")"),0)</f>
        <v>0</v>
      </c>
      <c r="M252" s="322"/>
      <c r="N252" s="88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IFERROR(__xludf.DUMMYFUNCTION("IMPORTRANGE(""https://docs.google.com/spreadsheets/d/1QqKyyYR6Q21VydFLVH3TRQUabQu_ym0Zz7PgGX0-kHA/edit?usp=sharing"",""แผน!BC36"")"),0)</f>
        <v>0</v>
      </c>
      <c r="M253" s="322"/>
      <c r="N253" s="88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7" t="s">
        <v>38</v>
      </c>
      <c r="E254" s="173"/>
      <c r="F254" s="173"/>
      <c r="G254" s="174"/>
      <c r="H254" s="762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4" t="s">
        <v>35</v>
      </c>
      <c r="I255" s="270">
        <f ca="1">IFERROR(__xludf.DUMMYFUNCTION("IMPORTRANGE(""https://docs.google.com/spreadsheets/d/1QqKyyYR6Q21VydFLVH3TRQUabQu_ym0Zz7PgGX0-kHA/edit?usp=sharing"",""แผน!BF36"")"),0)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4" t="s">
        <v>43</v>
      </c>
      <c r="E256" s="178"/>
      <c r="F256" s="178"/>
      <c r="G256" s="179"/>
      <c r="H256" s="764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4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4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28800</v>
      </c>
      <c r="N261" s="155">
        <f t="shared" ca="1" si="116"/>
        <v>28800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7"/>
      <c r="J262" s="617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7"/>
      <c r="J263" s="617"/>
      <c r="K263" s="93"/>
      <c r="L263" s="93">
        <f t="shared" ca="1" si="119"/>
        <v>28800</v>
      </c>
      <c r="M263" s="93">
        <f t="shared" ca="1" si="119"/>
        <v>28800</v>
      </c>
      <c r="N263" s="93">
        <f t="shared" ca="1" si="119"/>
        <v>28800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28800</v>
      </c>
      <c r="M264" s="498">
        <f t="shared" ca="1" si="120"/>
        <v>28800</v>
      </c>
      <c r="N264" s="498">
        <f t="shared" ca="1" si="120"/>
        <v>28800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IFERROR(__xludf.DUMMYFUNCTION("IMPORTRANGE(""https://docs.google.com/spreadsheets/d/1MeEWN-I1oV_STSDYn1IFDPWt_1FKiwhDph83XaGc0o0/edit?usp=sharing"",""งบพรบ!CY36"")"),28800)</f>
        <v>28800</v>
      </c>
      <c r="M266" s="93">
        <f ca="1">IFERROR(__xludf.DUMMYFUNCTION("IMPORTRANGE(""https://docs.google.com/spreadsheets/d/1MeEWN-I1oV_STSDYn1IFDPWt_1FKiwhDph83XaGc0o0/edit?usp=sharing"",""งบพรบ!DD36"")"),28800)</f>
        <v>28800</v>
      </c>
      <c r="N266" s="93">
        <f ca="1">IFERROR(__xludf.DUMMYFUNCTION("IMPORTRANGE(""https://docs.google.com/spreadsheets/d/1MeEWN-I1oV_STSDYn1IFDPWt_1FKiwhDph83XaGc0o0/edit?usp=sharing"",""งบพรบ!DF36"")"),28800)</f>
        <v>28800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IFERROR(__xludf.DUMMYFUNCTION("IMPORTRANGE(""https://docs.google.com/spreadsheets/d/1MeEWN-I1oV_STSDYn1IFDPWt_1FKiwhDph83XaGc0o0/edit?usp=sharing"",""งบพรบ!DB36"")"),0)</f>
        <v>0</v>
      </c>
      <c r="M269" s="93">
        <f ca="1">IFERROR(__xludf.DUMMYFUNCTION("IMPORTRANGE(""https://docs.google.com/spreadsheets/d/1MeEWN-I1oV_STSDYn1IFDPWt_1FKiwhDph83XaGc0o0/edit?usp=sharing"",""งบพรบ!DE36"")"),0)</f>
        <v>0</v>
      </c>
      <c r="N269" s="93">
        <f ca="1">IFERROR(__xludf.DUMMYFUNCTION("IMPORTRANGE(""https://docs.google.com/spreadsheets/d/1MeEWN-I1oV_STSDYn1IFDPWt_1FKiwhDph83XaGc0o0/edit?usp=sharing"",""งบพรบ!DG36"")"),0)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7" t="s">
        <v>38</v>
      </c>
      <c r="E270" s="173"/>
      <c r="F270" s="173"/>
      <c r="G270" s="174"/>
      <c r="H270" s="76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IFERROR(__xludf.DUMMYFUNCTION("IMPORTRANGE(""https://docs.google.com/spreadsheets/d/1QqKyyYR6Q21VydFLVH3TRQUabQu_ym0Zz7PgGX0-kHA/edit?usp=sharing"",""แผน!EA36"")"),24)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6">
        <v>0</v>
      </c>
      <c r="J272" s="506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40</v>
      </c>
      <c r="J275" s="406">
        <f t="shared" ca="1" si="122"/>
        <v>40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400</v>
      </c>
      <c r="J276" s="406">
        <f t="shared" si="124"/>
        <v>400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147030</v>
      </c>
      <c r="M277" s="155">
        <f t="shared" ca="1" si="125"/>
        <v>147030</v>
      </c>
      <c r="N277" s="155">
        <f t="shared" ca="1" si="125"/>
        <v>147030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7"/>
      <c r="J278" s="617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7"/>
      <c r="J279" s="617"/>
      <c r="K279" s="93"/>
      <c r="L279" s="93">
        <f t="shared" ca="1" si="128"/>
        <v>147030</v>
      </c>
      <c r="M279" s="93">
        <f t="shared" ca="1" si="128"/>
        <v>147030</v>
      </c>
      <c r="N279" s="93">
        <f t="shared" ca="1" si="128"/>
        <v>147030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147030</v>
      </c>
      <c r="M280" s="498">
        <f t="shared" ca="1" si="129"/>
        <v>147030</v>
      </c>
      <c r="N280" s="498">
        <f t="shared" ca="1" si="129"/>
        <v>147030</v>
      </c>
      <c r="O280" s="498">
        <f t="shared" ca="1" si="126"/>
        <v>100</v>
      </c>
      <c r="P280" s="49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IFERROR(__xludf.DUMMYFUNCTION("IMPORTRANGE(""https://docs.google.com/spreadsheets/d/1MeEWN-I1oV_STSDYn1IFDPWt_1FKiwhDph83XaGc0o0/edit?usp=sharing"",""งบพรบ!DI36"")"),147030)</f>
        <v>147030</v>
      </c>
      <c r="M282" s="93">
        <f ca="1">IFERROR(__xludf.DUMMYFUNCTION("IMPORTRANGE(""https://docs.google.com/spreadsheets/d/1MeEWN-I1oV_STSDYn1IFDPWt_1FKiwhDph83XaGc0o0/edit?usp=sharing"",""งบพรบ!DN36"")"),147030)</f>
        <v>147030</v>
      </c>
      <c r="N282" s="93">
        <f ca="1">IFERROR(__xludf.DUMMYFUNCTION("IMPORTRANGE(""https://docs.google.com/spreadsheets/d/1MeEWN-I1oV_STSDYn1IFDPWt_1FKiwhDph83XaGc0o0/edit?usp=sharing"",""งบพรบ!DP36"")"),147030)</f>
        <v>147030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IFERROR(__xludf.DUMMYFUNCTION("IMPORTRANGE(""https://docs.google.com/spreadsheets/d/1MeEWN-I1oV_STSDYn1IFDPWt_1FKiwhDph83XaGc0o0/edit?usp=sharing"",""งบพรบ!DL36"")"),0)</f>
        <v>0</v>
      </c>
      <c r="M285" s="93">
        <f ca="1">IFERROR(__xludf.DUMMYFUNCTION("IMPORTRANGE(""https://docs.google.com/spreadsheets/d/1MeEWN-I1oV_STSDYn1IFDPWt_1FKiwhDph83XaGc0o0/edit?usp=sharing"",""งบพรบ!DO36"")"),0)</f>
        <v>0</v>
      </c>
      <c r="N285" s="93">
        <f ca="1">IFERROR(__xludf.DUMMYFUNCTION("IMPORTRANGE(""https://docs.google.com/spreadsheets/d/1MeEWN-I1oV_STSDYn1IFDPWt_1FKiwhDph83XaGc0o0/edit?usp=sharing"",""งบพรบ!DQ36"")"),0)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7" t="s">
        <v>38</v>
      </c>
      <c r="E286" s="173"/>
      <c r="F286" s="173"/>
      <c r="G286" s="174"/>
      <c r="H286" s="76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6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IFERROR(__xludf.DUMMYFUNCTION("IMPORTRANGE(""https://docs.google.com/spreadsheets/d/1QqKyyYR6Q21VydFLVH3TRQUabQu_ym0Zz7PgGX0-kHA/edit?usp=sharing"",""แผน!EC36"")"),400)</f>
        <v>400</v>
      </c>
      <c r="J287" s="215">
        <v>400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6" t="s">
        <v>130</v>
      </c>
      <c r="E288" s="171"/>
      <c r="F288" s="178"/>
      <c r="G288" s="179"/>
      <c r="H288" s="180" t="s">
        <v>35</v>
      </c>
      <c r="I288" s="681">
        <f ca="1">IFERROR(__xludf.DUMMYFUNCTION("IMPORTRANGE(""https://docs.google.com/spreadsheets/d/1QqKyyYR6Q21VydFLVH3TRQUabQu_ym0Zz7PgGX0-kHA/edit?usp=sharing"",""แผน!EB36"")"),40)</f>
        <v>40</v>
      </c>
      <c r="J288" s="681">
        <f ca="1">IF(AND(J291&gt;=I288,J294&gt;=I288),J294,0)</f>
        <v>40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6" t="s">
        <v>132</v>
      </c>
      <c r="F290" s="178"/>
      <c r="G290" s="179"/>
      <c r="H290" s="764" t="s">
        <v>35</v>
      </c>
      <c r="I290" s="184">
        <f ca="1">IFERROR(__xludf.DUMMYFUNCTION("IMPORTRANGE(""https://docs.google.com/spreadsheets/d/1QqKyyYR6Q21VydFLVH3TRQUabQu_ym0Zz7PgGX0-kHA/edit?usp=sharing"",""แผน!EB36"")"),40)</f>
        <v>40</v>
      </c>
      <c r="J290" s="215">
        <v>40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6" t="s">
        <v>133</v>
      </c>
      <c r="F291" s="178"/>
      <c r="G291" s="179"/>
      <c r="H291" s="764" t="s">
        <v>35</v>
      </c>
      <c r="I291" s="184">
        <f ca="1">IFERROR(__xludf.DUMMYFUNCTION("IMPORTRANGE(""https://docs.google.com/spreadsheets/d/1QqKyyYR6Q21VydFLVH3TRQUabQu_ym0Zz7PgGX0-kHA/edit?usp=sharing"",""แผน!EB36"")"),40)</f>
        <v>40</v>
      </c>
      <c r="J291" s="215">
        <v>40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6" t="s">
        <v>132</v>
      </c>
      <c r="F293" s="178"/>
      <c r="G293" s="179"/>
      <c r="H293" s="764" t="s">
        <v>35</v>
      </c>
      <c r="I293" s="184">
        <f ca="1">IFERROR(__xludf.DUMMYFUNCTION("IMPORTRANGE(""https://docs.google.com/spreadsheets/d/1QqKyyYR6Q21VydFLVH3TRQUabQu_ym0Zz7PgGX0-kHA/edit?usp=sharing"",""แผน!EB36"")"),40)</f>
        <v>40</v>
      </c>
      <c r="J293" s="215">
        <v>40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4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IFERROR(__xludf.DUMMYFUNCTION("IMPORTRANGE(""https://docs.google.com/spreadsheets/d/1QqKyyYR6Q21VydFLVH3TRQUabQu_ym0Zz7PgGX0-kHA/edit?usp=sharing"",""แผน!EB36"")"),40)</f>
        <v>40</v>
      </c>
      <c r="J294" s="424">
        <v>40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101000</v>
      </c>
      <c r="M298" s="155">
        <f t="shared" ca="1" si="135"/>
        <v>101000</v>
      </c>
      <c r="N298" s="155">
        <f t="shared" ca="1" si="135"/>
        <v>101000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7"/>
      <c r="J299" s="617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7"/>
      <c r="J300" s="617"/>
      <c r="K300" s="93"/>
      <c r="L300" s="93">
        <f t="shared" ca="1" si="138"/>
        <v>101000</v>
      </c>
      <c r="M300" s="93">
        <f t="shared" ca="1" si="138"/>
        <v>101000</v>
      </c>
      <c r="N300" s="93">
        <f t="shared" ca="1" si="138"/>
        <v>101000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101000</v>
      </c>
      <c r="M301" s="498">
        <f t="shared" ca="1" si="139"/>
        <v>101000</v>
      </c>
      <c r="N301" s="498">
        <f t="shared" ca="1" si="139"/>
        <v>101000</v>
      </c>
      <c r="O301" s="498">
        <f t="shared" ca="1" si="136"/>
        <v>100</v>
      </c>
      <c r="P301" s="49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IFERROR(__xludf.DUMMYFUNCTION("IMPORTRANGE(""https://docs.google.com/spreadsheets/d/1MeEWN-I1oV_STSDYn1IFDPWt_1FKiwhDph83XaGc0o0/edit?usp=sharing"",""งบพรบ!DS36"")"),101000)</f>
        <v>101000</v>
      </c>
      <c r="M303" s="93">
        <f ca="1">IFERROR(__xludf.DUMMYFUNCTION("IMPORTRANGE(""https://docs.google.com/spreadsheets/d/1MeEWN-I1oV_STSDYn1IFDPWt_1FKiwhDph83XaGc0o0/edit?usp=sharing"",""งบพรบ!DX36"")"),101000)</f>
        <v>101000</v>
      </c>
      <c r="N303" s="93">
        <f ca="1">IFERROR(__xludf.DUMMYFUNCTION("IMPORTRANGE(""https://docs.google.com/spreadsheets/d/1MeEWN-I1oV_STSDYn1IFDPWt_1FKiwhDph83XaGc0o0/edit?usp=sharing"",""งบพรบ!DZ36"")"),101000)</f>
        <v>101000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IFERROR(__xludf.DUMMYFUNCTION("IMPORTRANGE(""https://docs.google.com/spreadsheets/d/1MeEWN-I1oV_STSDYn1IFDPWt_1FKiwhDph83XaGc0o0/edit?usp=sharing"",""งบพรบ!DV36"")"),0)</f>
        <v>0</v>
      </c>
      <c r="M306" s="93">
        <f ca="1">IFERROR(__xludf.DUMMYFUNCTION("IMPORTRANGE(""https://docs.google.com/spreadsheets/d/1MeEWN-I1oV_STSDYn1IFDPWt_1FKiwhDph83XaGc0o0/edit?usp=sharing"",""งบพรบ!DY36"")"),0)</f>
        <v>0</v>
      </c>
      <c r="N306" s="93">
        <f ca="1">IFERROR(__xludf.DUMMYFUNCTION("IMPORTRANGE(""https://docs.google.com/spreadsheets/d/1MeEWN-I1oV_STSDYn1IFDPWt_1FKiwhDph83XaGc0o0/edit?usp=sharing"",""งบพรบ!EA36"")"),0)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7" t="s">
        <v>38</v>
      </c>
      <c r="E307" s="173"/>
      <c r="F307" s="173"/>
      <c r="G307" s="174"/>
      <c r="H307" s="762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4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4" t="s">
        <v>35</v>
      </c>
      <c r="I309" s="270">
        <f ca="1">IFERROR(__xludf.DUMMYFUNCTION("IMPORTRANGE(""https://docs.google.com/spreadsheets/d/1QqKyyYR6Q21VydFLVH3TRQUabQu_ym0Zz7PgGX0-kHA/edit?usp=sharing"",""แผน!ED36"")"),25)</f>
        <v>25</v>
      </c>
      <c r="J309" s="215">
        <v>25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4" t="s">
        <v>35</v>
      </c>
      <c r="I310" s="270">
        <f ca="1">IFERROR(__xludf.DUMMYFUNCTION("IMPORTRANGE(""https://docs.google.com/spreadsheets/d/1QqKyyYR6Q21VydFLVH3TRQUabQu_ym0Zz7PgGX0-kHA/edit?usp=sharing"",""แผน!ED36"")"),25)</f>
        <v>25</v>
      </c>
      <c r="J310" s="215">
        <v>25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4" t="s">
        <v>35</v>
      </c>
      <c r="I311" s="270">
        <f ca="1">IFERROR(__xludf.DUMMYFUNCTION("IMPORTRANGE(""https://docs.google.com/spreadsheets/d/1QqKyyYR6Q21VydFLVH3TRQUabQu_ym0Zz7PgGX0-kHA/edit?usp=sharing"",""แผน!ED36"")"),25)</f>
        <v>25</v>
      </c>
      <c r="J311" s="215">
        <v>25</v>
      </c>
      <c r="K311" s="498">
        <f t="shared" ca="1" si="141"/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4" t="s">
        <v>35</v>
      </c>
      <c r="I312" s="270">
        <f ca="1">IFERROR(__xludf.DUMMYFUNCTION("IMPORTRANGE(""https://docs.google.com/spreadsheets/d/1QqKyyYR6Q21VydFLVH3TRQUabQu_ym0Zz7PgGX0-kHA/edit?usp=sharing"",""แผน!EE36"")"),5)</f>
        <v>5</v>
      </c>
      <c r="J312" s="215">
        <v>5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7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439000</v>
      </c>
      <c r="M315" s="155">
        <f t="shared" ca="1" si="143"/>
        <v>439000</v>
      </c>
      <c r="N315" s="155">
        <f t="shared" ca="1" si="143"/>
        <v>439000</v>
      </c>
      <c r="O315" s="155">
        <f t="shared" ref="O315:O323" ca="1" si="144">IF(L315&gt;0,N315*100/L315,0)</f>
        <v>100</v>
      </c>
      <c r="P315" s="155">
        <f t="shared" ref="P315:P323" ca="1" si="145">IF(M315&gt;0,N315*100/M315,0)</f>
        <v>100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7"/>
      <c r="J316" s="617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7"/>
      <c r="J317" s="617"/>
      <c r="K317" s="93"/>
      <c r="L317" s="93">
        <f t="shared" ca="1" si="146"/>
        <v>439000</v>
      </c>
      <c r="M317" s="93">
        <f t="shared" ca="1" si="146"/>
        <v>439000</v>
      </c>
      <c r="N317" s="93">
        <f t="shared" ca="1" si="146"/>
        <v>439000</v>
      </c>
      <c r="O317" s="93">
        <f t="shared" ca="1" si="144"/>
        <v>100</v>
      </c>
      <c r="P317" s="93">
        <f t="shared" ca="1" si="145"/>
        <v>100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439000</v>
      </c>
      <c r="M318" s="498">
        <f t="shared" ca="1" si="147"/>
        <v>439000</v>
      </c>
      <c r="N318" s="498">
        <f t="shared" ca="1" si="147"/>
        <v>439000</v>
      </c>
      <c r="O318" s="498">
        <f t="shared" ca="1" si="144"/>
        <v>100</v>
      </c>
      <c r="P318" s="498">
        <f t="shared" ca="1" si="145"/>
        <v>100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IFERROR(__xludf.DUMMYFUNCTION("IMPORTRANGE(""https://docs.google.com/spreadsheets/d/1MeEWN-I1oV_STSDYn1IFDPWt_1FKiwhDph83XaGc0o0/edit?usp=sharing"",""งบพรบ!EC36"")"),439000)</f>
        <v>439000</v>
      </c>
      <c r="M320" s="93">
        <f ca="1">IFERROR(__xludf.DUMMYFUNCTION("IMPORTRANGE(""https://docs.google.com/spreadsheets/d/1MeEWN-I1oV_STSDYn1IFDPWt_1FKiwhDph83XaGc0o0/edit?usp=sharing"",""งบพรบ!EH36"")"),439000)</f>
        <v>439000</v>
      </c>
      <c r="N320" s="93">
        <f ca="1">IFERROR(__xludf.DUMMYFUNCTION("IMPORTRANGE(""https://docs.google.com/spreadsheets/d/1MeEWN-I1oV_STSDYn1IFDPWt_1FKiwhDph83XaGc0o0/edit?usp=sharing"",""งบพรบ!EJ36"")"),439000)</f>
        <v>439000</v>
      </c>
      <c r="O320" s="93">
        <f t="shared" ca="1" si="144"/>
        <v>100</v>
      </c>
      <c r="P320" s="93">
        <f t="shared" ca="1" si="145"/>
        <v>100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IFERROR(__xludf.DUMMYFUNCTION("IMPORTRANGE(""https://docs.google.com/spreadsheets/d/1MeEWN-I1oV_STSDYn1IFDPWt_1FKiwhDph83XaGc0o0/edit?usp=sharing"",""งบพรบ!EF36"")"),0)</f>
        <v>0</v>
      </c>
      <c r="M323" s="93">
        <f ca="1">IFERROR(__xludf.DUMMYFUNCTION("IMPORTRANGE(""https://docs.google.com/spreadsheets/d/1MeEWN-I1oV_STSDYn1IFDPWt_1FKiwhDph83XaGc0o0/edit?usp=sharing"",""งบพรบ!EI36"")"),0)</f>
        <v>0</v>
      </c>
      <c r="N323" s="93">
        <f ca="1">IFERROR(__xludf.DUMMYFUNCTION("IMPORTRANGE(""https://docs.google.com/spreadsheets/d/1MeEWN-I1oV_STSDYn1IFDPWt_1FKiwhDph83XaGc0o0/edit?usp=sharing"",""งบพรบ!EK36"")"),0)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77" t="s">
        <v>38</v>
      </c>
      <c r="E324" s="173"/>
      <c r="F324" s="173"/>
      <c r="G324" s="174"/>
      <c r="H324" s="762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23" t="s">
        <v>146</v>
      </c>
      <c r="I325" s="270">
        <f ca="1">IFERROR(__xludf.DUMMYFUNCTION("IMPORTRANGE(""https://docs.google.com/spreadsheets/d/1QqKyyYR6Q21VydFLVH3TRQUabQu_ym0Zz7PgGX0-kHA/edit?usp=sharing"",""แผน!EF36"")"),2)</f>
        <v>2</v>
      </c>
      <c r="J325" s="215">
        <v>2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IFERROR(__xludf.DUMMYFUNCTION("IMPORTRANGE(""https://docs.google.com/spreadsheets/d/1QqKyyYR6Q21VydFLVH3TRQUabQu_ym0Zz7PgGX0-kHA/edit?usp=sharing"",""แผน!EG36"")"),8620)</f>
        <v>8620</v>
      </c>
      <c r="J327" s="444">
        <f ca="1">J338+J341+J342+J343</f>
        <v>14431</v>
      </c>
      <c r="K327" s="445">
        <f ca="1">IF(I327&gt;0,J327*100/I327,0)</f>
        <v>167.41299303944317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198000</v>
      </c>
      <c r="M328" s="155">
        <f t="shared" ca="1" si="149"/>
        <v>200500</v>
      </c>
      <c r="N328" s="155">
        <f t="shared" ca="1" si="149"/>
        <v>200500</v>
      </c>
      <c r="O328" s="155">
        <f t="shared" ref="O328:O336" ca="1" si="150">IF(L328&gt;0,N328*100/L328,0)</f>
        <v>101.26262626262626</v>
      </c>
      <c r="P328" s="155">
        <f t="shared" ref="P328:P336" ca="1" si="151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7"/>
      <c r="J329" s="617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7"/>
      <c r="J330" s="617"/>
      <c r="K330" s="93"/>
      <c r="L330" s="93">
        <f t="shared" ca="1" si="152"/>
        <v>198000</v>
      </c>
      <c r="M330" s="93">
        <f t="shared" ca="1" si="152"/>
        <v>200500</v>
      </c>
      <c r="N330" s="93">
        <f t="shared" ca="1" si="152"/>
        <v>200500</v>
      </c>
      <c r="O330" s="93">
        <f t="shared" ca="1" si="150"/>
        <v>101.26262626262626</v>
      </c>
      <c r="P330" s="93">
        <f t="shared" ca="1" si="151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198000</v>
      </c>
      <c r="M331" s="498">
        <f t="shared" ca="1" si="153"/>
        <v>200500</v>
      </c>
      <c r="N331" s="498">
        <f t="shared" ca="1" si="153"/>
        <v>200500</v>
      </c>
      <c r="O331" s="498">
        <f t="shared" ca="1" si="150"/>
        <v>101.26262626262626</v>
      </c>
      <c r="P331" s="498">
        <f t="shared" ca="1" si="151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IFERROR(__xludf.DUMMYFUNCTION("IMPORTRANGE(""https://docs.google.com/spreadsheets/d/1MeEWN-I1oV_STSDYn1IFDPWt_1FKiwhDph83XaGc0o0/edit?usp=sharing"",""งบพรบ!EM36"")"),198000)</f>
        <v>198000</v>
      </c>
      <c r="M333" s="93">
        <f ca="1">IFERROR(__xludf.DUMMYFUNCTION("IMPORTRANGE(""https://docs.google.com/spreadsheets/d/1MeEWN-I1oV_STSDYn1IFDPWt_1FKiwhDph83XaGc0o0/edit?usp=sharing"",""งบพรบ!ER36"")"),200500)</f>
        <v>200500</v>
      </c>
      <c r="N333" s="93">
        <f ca="1">IFERROR(__xludf.DUMMYFUNCTION("IMPORTRANGE(""https://docs.google.com/spreadsheets/d/1MeEWN-I1oV_STSDYn1IFDPWt_1FKiwhDph83XaGc0o0/edit?usp=sharing"",""งบพรบ!ET36"")"),200500)</f>
        <v>200500</v>
      </c>
      <c r="O333" s="93">
        <f t="shared" ca="1" si="150"/>
        <v>101.26262626262626</v>
      </c>
      <c r="P333" s="93">
        <f t="shared" ca="1" si="151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IFERROR(__xludf.DUMMYFUNCTION("IMPORTRANGE(""https://docs.google.com/spreadsheets/d/1MeEWN-I1oV_STSDYn1IFDPWt_1FKiwhDph83XaGc0o0/edit?usp=sharing"",""งบพรบ!EP36"")"),0)</f>
        <v>0</v>
      </c>
      <c r="M336" s="93">
        <f ca="1">IFERROR(__xludf.DUMMYFUNCTION("IMPORTRANGE(""https://docs.google.com/spreadsheets/d/1MeEWN-I1oV_STSDYn1IFDPWt_1FKiwhDph83XaGc0o0/edit?usp=sharing"",""งบพรบ!ES36"")"),0)</f>
        <v>0</v>
      </c>
      <c r="N336" s="93">
        <f ca="1">IFERROR(__xludf.DUMMYFUNCTION("IMPORTRANGE(""https://docs.google.com/spreadsheets/d/1MeEWN-I1oV_STSDYn1IFDPWt_1FKiwhDph83XaGc0o0/edit?usp=sharing"",""งบพรบ!EU36"")"),0)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86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62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IFERROR(__xludf.DUMMYFUNCTION("IMPORTRANGE(""https://docs.google.com/spreadsheets/d/1QqKyyYR6Q21VydFLVH3TRQUabQu_ym0Zz7PgGX0-kHA/edit?usp=sharing"",""แผน!EG36"")"),8620)</f>
        <v>8620</v>
      </c>
      <c r="J338" s="270">
        <f ca="1">IFERROR(__xludf.DUMMYFUNCTION("IMPORTRANGE(""https://docs.google.com/spreadsheets/d/1kVcqe37tkHyjCSG3S0O1AXqVkqjo8mSIZil3BcpIysc/edit?usp=sharing"",""ศูนย์!D36"")"),11586)</f>
        <v>11586</v>
      </c>
      <c r="K338" s="498">
        <f ca="1">IF(I338&gt;0,J338*100/I338,0)</f>
        <v>134.40835266821347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IFERROR(__xludf.DUMMYFUNCTION("IMPORTRANGE(""https://docs.google.com/spreadsheets/d/1QqKyyYR6Q21VydFLVH3TRQUabQu_ym0Zz7PgGX0-kHA/edit?usp=sharing"",""แผน!EH36"")"),15)</f>
        <v>15</v>
      </c>
      <c r="J340" s="270">
        <f ca="1">IFERROR(__xludf.DUMMYFUNCTION("IMPORTRANGE(""https://docs.google.com/spreadsheets/d/1kVcqe37tkHyjCSG3S0O1AXqVkqjo8mSIZil3BcpIysc/edit?usp=sharing"",""ศูนย์!E36"")"),15)</f>
        <v>15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IFERROR(__xludf.DUMMYFUNCTION("IMPORTRANGE(""https://docs.google.com/spreadsheets/d/1kVcqe37tkHyjCSG3S0O1AXqVkqjo8mSIZil3BcpIysc/edit?usp=sharing"",""ศูนย์!F36"")"),1578)</f>
        <v>1578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IFERROR(__xludf.DUMMYFUNCTION("IMPORTRANGE(""https://docs.google.com/spreadsheets/d/1kVcqe37tkHyjCSG3S0O1AXqVkqjo8mSIZil3BcpIysc/edit?usp=sharing"",""ศูนย์!G36"")"),1261)</f>
        <v>1261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IFERROR(__xludf.DUMMYFUNCTION("IMPORTRANGE(""https://docs.google.com/spreadsheets/d/1kVcqe37tkHyjCSG3S0O1AXqVkqjo8mSIZil3BcpIysc/edit?usp=sharing"",""ศูนย์!H36"")"),6)</f>
        <v>6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2798010</v>
      </c>
      <c r="M345" s="155">
        <f t="shared" ca="1" si="155"/>
        <v>2878810</v>
      </c>
      <c r="N345" s="155">
        <f t="shared" ca="1" si="155"/>
        <v>2878810</v>
      </c>
      <c r="O345" s="155">
        <f t="shared" ref="O345:O353" ca="1" si="156">IF(L345&gt;0,N345*100/L345,0)</f>
        <v>102.8877666627353</v>
      </c>
      <c r="P345" s="155">
        <f t="shared" ref="P345:P353" ca="1" si="157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7"/>
      <c r="J346" s="617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7"/>
      <c r="J347" s="617"/>
      <c r="K347" s="93"/>
      <c r="L347" s="93">
        <f t="shared" ca="1" si="158"/>
        <v>2798010</v>
      </c>
      <c r="M347" s="93">
        <f t="shared" ca="1" si="158"/>
        <v>2878810</v>
      </c>
      <c r="N347" s="93">
        <f t="shared" ca="1" si="158"/>
        <v>2878810</v>
      </c>
      <c r="O347" s="93">
        <f t="shared" ca="1" si="156"/>
        <v>102.8877666627353</v>
      </c>
      <c r="P347" s="93">
        <f t="shared" ca="1" si="157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2639610</v>
      </c>
      <c r="M348" s="498">
        <f t="shared" ca="1" si="159"/>
        <v>2720410</v>
      </c>
      <c r="N348" s="498">
        <f t="shared" ca="1" si="159"/>
        <v>2720410</v>
      </c>
      <c r="O348" s="498">
        <f t="shared" ca="1" si="156"/>
        <v>103.06105826239482</v>
      </c>
      <c r="P348" s="498">
        <f t="shared" ca="1" si="157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IFERROR(__xludf.DUMMYFUNCTION("IMPORTRANGE(""https://docs.google.com/spreadsheets/d/1MeEWN-I1oV_STSDYn1IFDPWt_1FKiwhDph83XaGc0o0/edit?usp=sharing"",""งบพรบ!EW36"")"),2639610)</f>
        <v>2639610</v>
      </c>
      <c r="M350" s="93">
        <f ca="1">IFERROR(__xludf.DUMMYFUNCTION("IMPORTRANGE(""https://docs.google.com/spreadsheets/d/1MeEWN-I1oV_STSDYn1IFDPWt_1FKiwhDph83XaGc0o0/edit?usp=sharing"",""งบพรบ!FB36"")"),2720410)</f>
        <v>2720410</v>
      </c>
      <c r="N350" s="93">
        <f ca="1">IFERROR(__xludf.DUMMYFUNCTION("IMPORTRANGE(""https://docs.google.com/spreadsheets/d/1MeEWN-I1oV_STSDYn1IFDPWt_1FKiwhDph83XaGc0o0/edit?usp=sharing"",""งบพรบ!FD36"")"),2720410)</f>
        <v>2720410</v>
      </c>
      <c r="O350" s="93">
        <f t="shared" ca="1" si="156"/>
        <v>103.06105826239482</v>
      </c>
      <c r="P350" s="93">
        <f t="shared" ca="1" si="157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158400</v>
      </c>
      <c r="M351" s="498">
        <f t="shared" ca="1" si="160"/>
        <v>158400</v>
      </c>
      <c r="N351" s="498">
        <f t="shared" ca="1" si="160"/>
        <v>158400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IFERROR(__xludf.DUMMYFUNCTION("IMPORTRANGE(""https://docs.google.com/spreadsheets/d/1MeEWN-I1oV_STSDYn1IFDPWt_1FKiwhDph83XaGc0o0/edit?usp=sharing"",""งบพรบ!EZ36"")"),158400)</f>
        <v>158400</v>
      </c>
      <c r="M353" s="93">
        <f ca="1">IFERROR(__xludf.DUMMYFUNCTION("IMPORTRANGE(""https://docs.google.com/spreadsheets/d/1MeEWN-I1oV_STSDYn1IFDPWt_1FKiwhDph83XaGc0o0/edit?usp=sharing"",""งบพรบ!FC36"")"),158400)</f>
        <v>158400</v>
      </c>
      <c r="N353" s="93">
        <f ca="1">IFERROR(__xludf.DUMMYFUNCTION("IMPORTRANGE(""https://docs.google.com/spreadsheets/d/1MeEWN-I1oV_STSDYn1IFDPWt_1FKiwhDph83XaGc0o0/edit?usp=sharing"",""งบพรบ!FE36"")"),158400)</f>
        <v>158400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8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IFERROR(__xludf.DUMMYFUNCTION("IMPORTRANGE(""https://docs.google.com/spreadsheets/d/1QqKyyYR6Q21VydFLVH3TRQUabQu_ym0Zz7PgGX0-kHA/edit?usp=sharing"",""แผน!EP36"")"),2000)</f>
        <v>2000</v>
      </c>
      <c r="J355" s="465">
        <f ca="1">J362</f>
        <v>967</v>
      </c>
      <c r="K355" s="466">
        <f ca="1">IF(I355&gt;0,J355*100/I355,0)</f>
        <v>48.35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77" t="s">
        <v>38</v>
      </c>
      <c r="E357" s="173"/>
      <c r="F357" s="173"/>
      <c r="G357" s="174"/>
      <c r="H357" s="762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IFERROR(__xludf.DUMMYFUNCTION("IMPORTRANGE(""https://docs.google.com/spreadsheets/d/1XWAQStnk-4SwqDmLtmXYiTMKHgktTP8We1SCoS47DrQ/edit?usp=sharing"",""จัดที่ดิน!W36"")"),1499)</f>
        <v>1499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IFERROR(__xludf.DUMMYFUNCTION("IMPORTRANGE(""https://docs.google.com/spreadsheets/d/1QqKyyYR6Q21VydFLVH3TRQUabQu_ym0Zz7PgGX0-kHA/edit?usp=sharing"",""แผน!EO36"")"),20000)</f>
        <v>20000</v>
      </c>
      <c r="J359" s="270">
        <f ca="1">IFERROR(__xludf.DUMMYFUNCTION("IMPORTRANGE(""https://docs.google.com/spreadsheets/d/1XWAQStnk-4SwqDmLtmXYiTMKHgktTP8We1SCoS47DrQ/edit?usp=sharing"",""จัดที่ดิน!X36"")"),17801.85)</f>
        <v>17801.849999999999</v>
      </c>
      <c r="K359" s="498">
        <f t="shared" ca="1" si="161"/>
        <v>89.009249999999994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4" t="s">
        <v>35</v>
      </c>
      <c r="I360" s="270">
        <f ca="1">IFERROR(__xludf.DUMMYFUNCTION("IMPORTRANGE(""https://docs.google.com/spreadsheets/d/1QqKyyYR6Q21VydFLVH3TRQUabQu_ym0Zz7PgGX0-kHA/edit?usp=sharing"",""แผน!EP36"")"),2000)</f>
        <v>2000</v>
      </c>
      <c r="J360" s="270">
        <f ca="1">IFERROR(__xludf.DUMMYFUNCTION("IMPORTRANGE(""https://docs.google.com/spreadsheets/d/1XWAQStnk-4SwqDmLtmXYiTMKHgktTP8We1SCoS47DrQ/edit?usp=sharing"",""จัดที่ดิน!Y36"")"),1652)</f>
        <v>1652</v>
      </c>
      <c r="K360" s="498">
        <f t="shared" ca="1" si="161"/>
        <v>82.6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IFERROR(__xludf.DUMMYFUNCTION("IMPORTRANGE(""https://docs.google.com/spreadsheets/d/1XWAQStnk-4SwqDmLtmXYiTMKHgktTP8We1SCoS47DrQ/edit?usp=sharing"",""จัดที่ดิน!Z36"")"),18694.25)</f>
        <v>18694.25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4" t="s">
        <v>35</v>
      </c>
      <c r="I362" s="270">
        <f ca="1">IFERROR(__xludf.DUMMYFUNCTION("IMPORTRANGE(""https://docs.google.com/spreadsheets/d/1QqKyyYR6Q21VydFLVH3TRQUabQu_ym0Zz7PgGX0-kHA/edit?usp=sharing"",""แผน!EP36"")"),2000)</f>
        <v>2000</v>
      </c>
      <c r="J362" s="270">
        <f ca="1">IFERROR(__xludf.DUMMYFUNCTION("IMPORTRANGE(""https://docs.google.com/spreadsheets/d/1XWAQStnk-4SwqDmLtmXYiTMKHgktTP8We1SCoS47DrQ/edit?usp=sharing"",""จัดที่ดิน!AA36"")"),967)</f>
        <v>967</v>
      </c>
      <c r="K362" s="498">
        <f t="shared" ca="1" si="161"/>
        <v>48.35</v>
      </c>
      <c r="L362" s="163"/>
      <c r="M362" s="163"/>
      <c r="N362" s="163"/>
      <c r="O362" s="163"/>
      <c r="P362" s="163"/>
    </row>
    <row r="363" spans="1:26" ht="18.75" hidden="1">
      <c r="A363" s="499" t="s">
        <v>169</v>
      </c>
      <c r="B363" s="178"/>
      <c r="C363" s="171"/>
      <c r="D363" s="178"/>
      <c r="E363" s="447"/>
      <c r="F363" s="178"/>
      <c r="G363" s="179"/>
      <c r="H363" s="76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IFERROR(__xludf.DUMMYFUNCTION("IMPORTRANGE(""https://docs.google.com/spreadsheets/d/1XWAQStnk-4SwqDmLtmXYiTMKHgktTP8We1SCoS47DrQ/edit?usp=sharing"",""จัดที่ดิน!AB36"")"),11788.48)</f>
        <v>11788.48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t="shared" ref="I364:J364" ca="1" si="162">I365+I374</f>
        <v>3000</v>
      </c>
      <c r="J364" s="479">
        <f t="shared" ca="1" si="162"/>
        <v>2836</v>
      </c>
      <c r="K364" s="480">
        <f t="shared" ca="1" si="161"/>
        <v>94.533333333333331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IFERROR(__xludf.DUMMYFUNCTION("IMPORTRANGE(""https://docs.google.com/spreadsheets/d/1QqKyyYR6Q21VydFLVH3TRQUabQu_ym0Zz7PgGX0-kHA/edit?usp=sharing"",""แผน!EJ36"")"),1500)</f>
        <v>1500</v>
      </c>
      <c r="J365" s="491">
        <f ca="1">J372</f>
        <v>847</v>
      </c>
      <c r="K365" s="492">
        <f t="shared" ca="1" si="161"/>
        <v>56.466666666666669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77" t="s">
        <v>38</v>
      </c>
      <c r="E367" s="173"/>
      <c r="F367" s="173"/>
      <c r="G367" s="174"/>
      <c r="H367" s="762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IFERROR(__xludf.DUMMYFUNCTION("IMPORTRANGE(""https://docs.google.com/spreadsheets/d/1XWAQStnk-4SwqDmLtmXYiTMKHgktTP8We1SCoS47DrQ/edit?usp=sharing"",""จัดที่ดิน!E36"")"),791)</f>
        <v>791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IFERROR(__xludf.DUMMYFUNCTION("IMPORTRANGE(""https://docs.google.com/spreadsheets/d/1QqKyyYR6Q21VydFLVH3TRQUabQu_ym0Zz7PgGX0-kHA/edit?usp=sharing"",""แผน!EI36"")"),15000)</f>
        <v>15000</v>
      </c>
      <c r="J369" s="270">
        <f ca="1">IFERROR(__xludf.DUMMYFUNCTION("IMPORTRANGE(""https://docs.google.com/spreadsheets/d/1XWAQStnk-4SwqDmLtmXYiTMKHgktTP8We1SCoS47DrQ/edit?usp=sharing"",""จัดที่ดิน!F36"")"),11212.16)</f>
        <v>11212.16</v>
      </c>
      <c r="K369" s="498">
        <f t="shared" ca="1" si="163"/>
        <v>74.747733333333329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4" t="s">
        <v>35</v>
      </c>
      <c r="I370" s="270">
        <f ca="1">IFERROR(__xludf.DUMMYFUNCTION("IMPORTRANGE(""https://docs.google.com/spreadsheets/d/1QqKyyYR6Q21VydFLVH3TRQUabQu_ym0Zz7PgGX0-kHA/edit?usp=sharing"",""แผน!EJ36"")"),1500)</f>
        <v>1500</v>
      </c>
      <c r="J370" s="270">
        <f ca="1">IFERROR(__xludf.DUMMYFUNCTION("IMPORTRANGE(""https://docs.google.com/spreadsheets/d/1XWAQStnk-4SwqDmLtmXYiTMKHgktTP8We1SCoS47DrQ/edit?usp=sharing"",""จัดที่ดิน!G36"")"),943)</f>
        <v>943</v>
      </c>
      <c r="K370" s="498">
        <f t="shared" ca="1" si="163"/>
        <v>62.866666666666667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IFERROR(__xludf.DUMMYFUNCTION("IMPORTRANGE(""https://docs.google.com/spreadsheets/d/1XWAQStnk-4SwqDmLtmXYiTMKHgktTP8We1SCoS47DrQ/edit?usp=sharing"",""จัดที่ดิน!H36"")"),12078.31)</f>
        <v>12078.31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4" t="s">
        <v>35</v>
      </c>
      <c r="I372" s="270">
        <f ca="1">IFERROR(__xludf.DUMMYFUNCTION("IMPORTRANGE(""https://docs.google.com/spreadsheets/d/1QqKyyYR6Q21VydFLVH3TRQUabQu_ym0Zz7PgGX0-kHA/edit?usp=sharing"",""แผน!EJ36"")"),1500)</f>
        <v>1500</v>
      </c>
      <c r="J372" s="270">
        <f ca="1">IFERROR(__xludf.DUMMYFUNCTION("IMPORTRANGE(""https://docs.google.com/spreadsheets/d/1XWAQStnk-4SwqDmLtmXYiTMKHgktTP8We1SCoS47DrQ/edit?usp=sharing"",""จัดที่ดิน!I36"")"),847)</f>
        <v>847</v>
      </c>
      <c r="K372" s="498">
        <f t="shared" ca="1" si="163"/>
        <v>56.466666666666669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8"/>
      <c r="C373" s="171"/>
      <c r="D373" s="178"/>
      <c r="E373" s="447"/>
      <c r="F373" s="178"/>
      <c r="G373" s="179"/>
      <c r="H373" s="76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IFERROR(__xludf.DUMMYFUNCTION("IMPORTRANGE(""https://docs.google.com/spreadsheets/d/1XWAQStnk-4SwqDmLtmXYiTMKHgktTP8We1SCoS47DrQ/edit?usp=sharing"",""จัดที่ดิน!J36"")"),10655.85)</f>
        <v>10655.85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IFERROR(__xludf.DUMMYFUNCTION("IMPORTRANGE(""https://docs.google.com/spreadsheets/d/1QqKyyYR6Q21VydFLVH3TRQUabQu_ym0Zz7PgGX0-kHA/edit?usp=sharing"",""แผน!EU36"")"),1500)</f>
        <v>1500</v>
      </c>
      <c r="J374" s="491">
        <f ca="1">J381</f>
        <v>1989</v>
      </c>
      <c r="K374" s="492">
        <f t="shared" ca="1" si="163"/>
        <v>132.6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77" t="s">
        <v>38</v>
      </c>
      <c r="E376" s="173"/>
      <c r="F376" s="173"/>
      <c r="G376" s="174"/>
      <c r="H376" s="762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IFERROR(__xludf.DUMMYFUNCTION("IMPORTRANGE(""https://docs.google.com/spreadsheets/d/1XWAQStnk-4SwqDmLtmXYiTMKHgktTP8We1SCoS47DrQ/edit?usp=sharing"",""จัดที่ดิน!AH36"")"),708)</f>
        <v>708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IFERROR(__xludf.DUMMYFUNCTION("IMPORTRANGE(""https://docs.google.com/spreadsheets/d/1QqKyyYR6Q21VydFLVH3TRQUabQu_ym0Zz7PgGX0-kHA/edit?usp=sharing"",""แผน!ET36"")"),5000)</f>
        <v>5000</v>
      </c>
      <c r="J378" s="270">
        <f ca="1">IFERROR(__xludf.DUMMYFUNCTION("IMPORTRANGE(""https://docs.google.com/spreadsheets/d/1XWAQStnk-4SwqDmLtmXYiTMKHgktTP8We1SCoS47DrQ/edit?usp=sharing"",""จัดที่ดิน!AI36"")"),6589.69)</f>
        <v>6589.69</v>
      </c>
      <c r="K378" s="498">
        <f t="shared" ca="1" si="164"/>
        <v>131.7938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4" t="s">
        <v>35</v>
      </c>
      <c r="I379" s="270">
        <f ca="1">IFERROR(__xludf.DUMMYFUNCTION("IMPORTRANGE(""https://docs.google.com/spreadsheets/d/1QqKyyYR6Q21VydFLVH3TRQUabQu_ym0Zz7PgGX0-kHA/edit?usp=sharing"",""แผน!EU36"")"),1500)</f>
        <v>1500</v>
      </c>
      <c r="J379" s="270">
        <f ca="1">IFERROR(__xludf.DUMMYFUNCTION("IMPORTRANGE(""https://docs.google.com/spreadsheets/d/1XWAQStnk-4SwqDmLtmXYiTMKHgktTP8We1SCoS47DrQ/edit?usp=sharing"",""จัดที่ดิน!AJ36"")"),2579)</f>
        <v>2579</v>
      </c>
      <c r="K379" s="498">
        <f t="shared" ca="1" si="164"/>
        <v>171.93333333333334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IFERROR(__xludf.DUMMYFUNCTION("IMPORTRANGE(""https://docs.google.com/spreadsheets/d/1XWAQStnk-4SwqDmLtmXYiTMKHgktTP8We1SCoS47DrQ/edit?usp=sharing"",""จัดที่ดิน!AK36"")"),34547.11)</f>
        <v>34547.11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4" t="s">
        <v>35</v>
      </c>
      <c r="I381" s="270">
        <f ca="1">IFERROR(__xludf.DUMMYFUNCTION("IMPORTRANGE(""https://docs.google.com/spreadsheets/d/1QqKyyYR6Q21VydFLVH3TRQUabQu_ym0Zz7PgGX0-kHA/edit?usp=sharing"",""แผน!EU36"")"),1500)</f>
        <v>1500</v>
      </c>
      <c r="J381" s="270">
        <f ca="1">IFERROR(__xludf.DUMMYFUNCTION("IMPORTRANGE(""https://docs.google.com/spreadsheets/d/1XWAQStnk-4SwqDmLtmXYiTMKHgktTP8We1SCoS47DrQ/edit?usp=sharing"",""จัดที่ดิน!AL36"")"),1989)</f>
        <v>1989</v>
      </c>
      <c r="K381" s="498">
        <f t="shared" ca="1" si="164"/>
        <v>132.6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8"/>
      <c r="C382" s="171"/>
      <c r="D382" s="178"/>
      <c r="E382" s="447"/>
      <c r="F382" s="178"/>
      <c r="G382" s="179"/>
      <c r="H382" s="76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IFERROR(__xludf.DUMMYFUNCTION("IMPORTRANGE(""https://docs.google.com/spreadsheets/d/1XWAQStnk-4SwqDmLtmXYiTMKHgktTP8We1SCoS47DrQ/edit?usp=sharing"",""จัดที่ดิน!AM36"")"),29058.08)</f>
        <v>29058.080000000002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500"/>
      <c r="B383" s="501"/>
      <c r="C383" s="291"/>
      <c r="D383" s="889" t="s">
        <v>170</v>
      </c>
      <c r="E383" s="291"/>
      <c r="F383" s="291"/>
      <c r="G383" s="503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86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62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4" t="s">
        <v>171</v>
      </c>
      <c r="F385" s="381"/>
      <c r="G385" s="382"/>
      <c r="H385" s="505" t="s">
        <v>35</v>
      </c>
      <c r="I385" s="506">
        <f ca="1">IFERROR(__xludf.DUMMYFUNCTION("IMPORTRANGE(""https://docs.google.com/spreadsheets/d/1QqKyyYR6Q21VydFLVH3TRQUabQu_ym0Zz7PgGX0-kHA/edit?usp=sharing"",""แผน!EW36"")"),50)</f>
        <v>50</v>
      </c>
      <c r="J385" s="506">
        <f ca="1">IFERROR(__xludf.DUMMYFUNCTION("IMPORTRANGE(""https://docs.google.com/spreadsheets/d/1XWAQStnk-4SwqDmLtmXYiTMKHgktTP8We1SCoS47DrQ/edit?usp=sharing"",""จัดที่ดิน!AP36"")"),92)</f>
        <v>92</v>
      </c>
      <c r="K385" s="507">
        <f ca="1">IF(I385&gt;0,J385*100/I385,0)</f>
        <v>184</v>
      </c>
      <c r="L385" s="385"/>
      <c r="M385" s="385"/>
      <c r="N385" s="385"/>
      <c r="O385" s="385"/>
      <c r="P385" s="385"/>
    </row>
    <row r="386" spans="1:26" ht="19.5" hidden="1">
      <c r="A386" s="508" t="s">
        <v>172</v>
      </c>
      <c r="B386" s="509"/>
      <c r="C386" s="509"/>
      <c r="D386" s="509"/>
      <c r="E386" s="510"/>
      <c r="F386" s="510"/>
      <c r="G386" s="511"/>
      <c r="H386" s="512"/>
      <c r="I386" s="513"/>
      <c r="J386" s="513"/>
      <c r="K386" s="514"/>
      <c r="L386" s="514"/>
      <c r="M386" s="514"/>
      <c r="N386" s="514"/>
      <c r="O386" s="514"/>
      <c r="P386" s="514"/>
    </row>
    <row r="387" spans="1:26" ht="19.5" hidden="1">
      <c r="A387" s="515" t="s">
        <v>173</v>
      </c>
      <c r="B387" s="516"/>
      <c r="C387" s="516"/>
      <c r="D387" s="517"/>
      <c r="E387" s="516"/>
      <c r="F387" s="516"/>
      <c r="G387" s="516"/>
      <c r="H387" s="518"/>
      <c r="I387" s="519"/>
      <c r="J387" s="519"/>
      <c r="K387" s="520"/>
      <c r="L387" s="520"/>
      <c r="M387" s="520"/>
      <c r="N387" s="520"/>
      <c r="O387" s="520"/>
      <c r="P387" s="520"/>
    </row>
    <row r="388" spans="1:26" ht="19.5" hidden="1">
      <c r="A388" s="521"/>
      <c r="B388" s="522" t="s">
        <v>174</v>
      </c>
      <c r="C388" s="523"/>
      <c r="D388" s="524"/>
      <c r="E388" s="524"/>
      <c r="F388" s="524"/>
      <c r="G388" s="525"/>
      <c r="H388" s="526" t="s">
        <v>66</v>
      </c>
      <c r="I388" s="527">
        <f t="shared" ref="I388:J388" si="165">I400</f>
        <v>0</v>
      </c>
      <c r="J388" s="527">
        <f t="shared" si="165"/>
        <v>0</v>
      </c>
      <c r="K388" s="528">
        <f>IF(I388&gt;0,J388*100/I388,0)</f>
        <v>0</v>
      </c>
      <c r="L388" s="529"/>
      <c r="M388" s="529"/>
      <c r="N388" s="529"/>
      <c r="O388" s="529"/>
      <c r="P388" s="529"/>
    </row>
    <row r="389" spans="1:26" ht="19.5" hidden="1">
      <c r="A389" s="147"/>
      <c r="B389" s="148"/>
      <c r="C389" s="149" t="s">
        <v>16</v>
      </c>
      <c r="D389" s="87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7"/>
      <c r="J390" s="617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7"/>
      <c r="J391" s="617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IFERROR(__xludf.DUMMYFUNCTION("IMPORTRANGE(""https://docs.google.com/spreadsheets/d/1MeEWN-I1oV_STSDYn1IFDPWt_1FKiwhDph83XaGc0o0/edit?usp=sharing"",""งบพรบ!FG36"")"),0)</f>
        <v>0</v>
      </c>
      <c r="M394" s="93">
        <f ca="1">IFERROR(__xludf.DUMMYFUNCTION("IMPORTRANGE(""https://docs.google.com/spreadsheets/d/1MeEWN-I1oV_STSDYn1IFDPWt_1FKiwhDph83XaGc0o0/edit?usp=sharing"",""งบพรบ!FL36"")"),0)</f>
        <v>0</v>
      </c>
      <c r="N394" s="93">
        <f ca="1">IFERROR(__xludf.DUMMYFUNCTION("IMPORTRANGE(""https://docs.google.com/spreadsheets/d/1MeEWN-I1oV_STSDYn1IFDPWt_1FKiwhDph83XaGc0o0/edit?usp=sharing"",""งบพรบ!FN36"")"),0)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IFERROR(__xludf.DUMMYFUNCTION("IMPORTRANGE(""https://docs.google.com/spreadsheets/d/1MeEWN-I1oV_STSDYn1IFDPWt_1FKiwhDph83XaGc0o0/edit?usp=sharing"",""งบพรบ!FJ36"")"),0)</f>
        <v>0</v>
      </c>
      <c r="M397" s="93">
        <f ca="1">IFERROR(__xludf.DUMMYFUNCTION("IMPORTRANGE(""https://docs.google.com/spreadsheets/d/1MeEWN-I1oV_STSDYn1IFDPWt_1FKiwhDph83XaGc0o0/edit?usp=sharing"",""งบพรบ!FM36"")"),0)</f>
        <v>0</v>
      </c>
      <c r="N397" s="93">
        <f ca="1">IFERROR(__xludf.DUMMYFUNCTION("IMPORTRANGE(""https://docs.google.com/spreadsheets/d/1MeEWN-I1oV_STSDYn1IFDPWt_1FKiwhDph83XaGc0o0/edit?usp=sharing"",""งบพรบ!FO36"")"),0)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7" t="s">
        <v>38</v>
      </c>
      <c r="E398" s="173"/>
      <c r="F398" s="173"/>
      <c r="G398" s="174"/>
      <c r="H398" s="762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30"/>
      <c r="B399" s="148"/>
      <c r="C399" s="531"/>
      <c r="D399" s="532" t="s">
        <v>175</v>
      </c>
      <c r="E399" s="415"/>
      <c r="F399" s="148"/>
      <c r="G399" s="151"/>
      <c r="H399" s="533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4"/>
      <c r="M399" s="534"/>
      <c r="N399" s="534"/>
      <c r="O399" s="534"/>
      <c r="P399" s="534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1"/>
      <c r="B401" s="522" t="s">
        <v>177</v>
      </c>
      <c r="C401" s="523"/>
      <c r="D401" s="524"/>
      <c r="E401" s="524"/>
      <c r="F401" s="524"/>
      <c r="G401" s="525"/>
      <c r="H401" s="526" t="s">
        <v>66</v>
      </c>
      <c r="I401" s="527">
        <f t="shared" ref="I401:J401" si="173">I412</f>
        <v>0</v>
      </c>
      <c r="J401" s="527">
        <f t="shared" si="173"/>
        <v>0</v>
      </c>
      <c r="K401" s="528">
        <f t="shared" si="172"/>
        <v>0</v>
      </c>
      <c r="L401" s="529"/>
      <c r="M401" s="529"/>
      <c r="N401" s="529"/>
      <c r="O401" s="529"/>
      <c r="P401" s="529"/>
    </row>
    <row r="402" spans="1:26" ht="19.5" hidden="1">
      <c r="A402" s="147"/>
      <c r="B402" s="148"/>
      <c r="C402" s="149" t="s">
        <v>16</v>
      </c>
      <c r="D402" s="87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7"/>
      <c r="J403" s="617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7"/>
      <c r="J404" s="617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IFERROR(__xludf.DUMMYFUNCTION("IMPORTRANGE(""https://docs.google.com/spreadsheets/d/1MeEWN-I1oV_STSDYn1IFDPWt_1FKiwhDph83XaGc0o0/edit?usp=sharing"",""งบพรบ!FQ36"")"),0)</f>
        <v>0</v>
      </c>
      <c r="M407" s="93">
        <f ca="1">IFERROR(__xludf.DUMMYFUNCTION("IMPORTRANGE(""https://docs.google.com/spreadsheets/d/1MeEWN-I1oV_STSDYn1IFDPWt_1FKiwhDph83XaGc0o0/edit?usp=sharing"",""งบพรบ!FV36"")"),0)</f>
        <v>0</v>
      </c>
      <c r="N407" s="93">
        <f ca="1">IFERROR(__xludf.DUMMYFUNCTION("IMPORTRANGE(""https://docs.google.com/spreadsheets/d/1MeEWN-I1oV_STSDYn1IFDPWt_1FKiwhDph83XaGc0o0/edit?usp=sharing"",""งบพรบ!FX36"")"),0)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IFERROR(__xludf.DUMMYFUNCTION("IMPORTRANGE(""https://docs.google.com/spreadsheets/d/1MeEWN-I1oV_STSDYn1IFDPWt_1FKiwhDph83XaGc0o0/edit?usp=sharing"",""งบพรบ!FT36"")"),0)</f>
        <v>0</v>
      </c>
      <c r="M410" s="93">
        <f ca="1">IFERROR(__xludf.DUMMYFUNCTION("IMPORTRANGE(""https://docs.google.com/spreadsheets/d/1MeEWN-I1oV_STSDYn1IFDPWt_1FKiwhDph83XaGc0o0/edit?usp=sharing"",""งบพรบ!FW36"")"),0)</f>
        <v>0</v>
      </c>
      <c r="N410" s="93">
        <f ca="1">IFERROR(__xludf.DUMMYFUNCTION("IMPORTRANGE(""https://docs.google.com/spreadsheets/d/1MeEWN-I1oV_STSDYn1IFDPWt_1FKiwhDph83XaGc0o0/edit?usp=sharing"",""งบพรบ!FY36"")"),0)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90" t="s">
        <v>38</v>
      </c>
      <c r="E411" s="536"/>
      <c r="F411" s="536"/>
      <c r="G411" s="537"/>
      <c r="H411" s="762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8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9"/>
      <c r="B413" s="540"/>
      <c r="C413" s="540"/>
      <c r="D413" s="541" t="s">
        <v>179</v>
      </c>
      <c r="E413" s="540"/>
      <c r="F413" s="540"/>
      <c r="G413" s="542"/>
      <c r="H413" s="543" t="s">
        <v>180</v>
      </c>
      <c r="I413" s="544">
        <v>0</v>
      </c>
      <c r="J413" s="545">
        <v>0</v>
      </c>
      <c r="K413" s="546">
        <f t="shared" si="180"/>
        <v>0</v>
      </c>
      <c r="L413" s="547"/>
      <c r="M413" s="547"/>
      <c r="N413" s="547"/>
      <c r="O413" s="547"/>
      <c r="P413" s="547"/>
    </row>
    <row r="414" spans="1:26" ht="19.5">
      <c r="A414" s="548" t="s">
        <v>181</v>
      </c>
      <c r="B414" s="549"/>
      <c r="C414" s="549"/>
      <c r="D414" s="549"/>
      <c r="E414" s="549"/>
      <c r="F414" s="549"/>
      <c r="G414" s="550"/>
      <c r="H414" s="551"/>
      <c r="I414" s="552"/>
      <c r="J414" s="552"/>
      <c r="K414" s="553"/>
      <c r="L414" s="554">
        <f t="shared" ref="L414:N414" ca="1" si="181">L419+L444+L467+L502+L523+L544+L629+L655+L685+L737+L754+L770+L786+L805</f>
        <v>5504780</v>
      </c>
      <c r="M414" s="554">
        <f t="shared" ca="1" si="181"/>
        <v>5501726.169999999</v>
      </c>
      <c r="N414" s="554">
        <f t="shared" si="181"/>
        <v>5501726.169999999</v>
      </c>
      <c r="O414" s="554">
        <f ca="1">IF(L414&gt;0,N414*100/L414,0)</f>
        <v>99.944524031841397</v>
      </c>
      <c r="P414" s="554">
        <f ca="1">IF(M414&gt;0,N414*100/M414,0)</f>
        <v>100</v>
      </c>
    </row>
    <row r="415" spans="1:26" ht="19.5">
      <c r="A415" s="555" t="s">
        <v>182</v>
      </c>
      <c r="B415" s="556"/>
      <c r="C415" s="556"/>
      <c r="D415" s="556"/>
      <c r="E415" s="556"/>
      <c r="F415" s="556"/>
      <c r="G415" s="556"/>
      <c r="H415" s="557"/>
      <c r="I415" s="558"/>
      <c r="J415" s="558"/>
      <c r="K415" s="559"/>
      <c r="L415" s="560"/>
      <c r="M415" s="560"/>
      <c r="N415" s="560"/>
      <c r="O415" s="560"/>
      <c r="P415" s="560"/>
    </row>
    <row r="416" spans="1:26" ht="19.5">
      <c r="A416" s="555" t="s">
        <v>183</v>
      </c>
      <c r="B416" s="556"/>
      <c r="C416" s="556"/>
      <c r="D416" s="556"/>
      <c r="E416" s="556"/>
      <c r="F416" s="556"/>
      <c r="G416" s="561"/>
      <c r="H416" s="562"/>
      <c r="I416" s="563"/>
      <c r="J416" s="563"/>
      <c r="K416" s="560"/>
      <c r="L416" s="560"/>
      <c r="M416" s="560"/>
      <c r="N416" s="560"/>
      <c r="O416" s="560"/>
      <c r="P416" s="560"/>
    </row>
    <row r="417" spans="1:26" ht="39">
      <c r="A417" s="564">
        <v>1</v>
      </c>
      <c r="B417" s="566" t="s">
        <v>184</v>
      </c>
      <c r="C417" s="566"/>
      <c r="D417" s="567"/>
      <c r="E417" s="567"/>
      <c r="F417" s="567"/>
      <c r="G417" s="568"/>
      <c r="H417" s="569" t="s">
        <v>35</v>
      </c>
      <c r="I417" s="570">
        <f t="shared" ref="I417:J418" ca="1" si="182">I433</f>
        <v>70</v>
      </c>
      <c r="J417" s="570">
        <f t="shared" ca="1" si="182"/>
        <v>70</v>
      </c>
      <c r="K417" s="571">
        <f t="shared" ref="K417:K418" ca="1" si="183">IF(I417&gt;0,J417*100/I417,0)</f>
        <v>100</v>
      </c>
      <c r="L417" s="572"/>
      <c r="M417" s="572"/>
      <c r="N417" s="572"/>
      <c r="O417" s="572"/>
      <c r="P417" s="572"/>
    </row>
    <row r="418" spans="1:26" ht="19.5">
      <c r="A418" s="573"/>
      <c r="B418" s="564"/>
      <c r="C418" s="566"/>
      <c r="D418" s="567"/>
      <c r="E418" s="567"/>
      <c r="F418" s="567"/>
      <c r="G418" s="568"/>
      <c r="H418" s="569" t="s">
        <v>49</v>
      </c>
      <c r="I418" s="570">
        <f t="shared" ca="1" si="182"/>
        <v>2</v>
      </c>
      <c r="J418" s="570">
        <f t="shared" si="182"/>
        <v>2</v>
      </c>
      <c r="K418" s="571">
        <f t="shared" ca="1" si="183"/>
        <v>100</v>
      </c>
      <c r="L418" s="572"/>
      <c r="M418" s="572"/>
      <c r="N418" s="572"/>
      <c r="O418" s="572"/>
      <c r="P418" s="572"/>
    </row>
    <row r="419" spans="1:26" ht="19.5">
      <c r="A419" s="147"/>
      <c r="B419" s="148"/>
      <c r="C419" s="148" t="s">
        <v>16</v>
      </c>
      <c r="D419" s="891" t="s">
        <v>17</v>
      </c>
      <c r="E419" s="862"/>
      <c r="F419" s="86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216060</v>
      </c>
      <c r="M419" s="155">
        <f t="shared" ca="1" si="184"/>
        <v>234260</v>
      </c>
      <c r="N419" s="155">
        <f t="shared" si="184"/>
        <v>234260</v>
      </c>
      <c r="O419" s="155">
        <f t="shared" ref="O419:O424" ca="1" si="185">IF(L419&gt;0,N419*100/L419,0)</f>
        <v>108.42358604091456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7"/>
      <c r="J420" s="617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7"/>
      <c r="J421" s="617"/>
      <c r="K421" s="93"/>
      <c r="L421" s="93">
        <f t="shared" ca="1" si="187"/>
        <v>216060</v>
      </c>
      <c r="M421" s="93">
        <f t="shared" ca="1" si="187"/>
        <v>234260</v>
      </c>
      <c r="N421" s="93">
        <f t="shared" si="187"/>
        <v>234260</v>
      </c>
      <c r="O421" s="93">
        <f t="shared" ca="1" si="185"/>
        <v>108.42358604091456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216060</v>
      </c>
      <c r="M422" s="498">
        <f t="shared" ca="1" si="188"/>
        <v>234260</v>
      </c>
      <c r="N422" s="498">
        <f t="shared" si="188"/>
        <v>234260</v>
      </c>
      <c r="O422" s="498">
        <f t="shared" ca="1" si="185"/>
        <v>108.42358604091456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7"/>
      <c r="J423" s="617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7"/>
      <c r="J424" s="617"/>
      <c r="K424" s="93"/>
      <c r="L424" s="93">
        <f ca="1">IFERROR(__xludf.DUMMYFUNCTION("IMPORTRANGE(""https://docs.google.com/spreadsheets/d/1QqKyyYR6Q21VydFLVH3TRQUabQu_ym0Zz7PgGX0-kHA/edit?usp=sharing"",""แผน!EY36"")"),216060)</f>
        <v>216060</v>
      </c>
      <c r="M424" s="93">
        <f ca="1">L424+22200-4000</f>
        <v>234260</v>
      </c>
      <c r="N424" s="93">
        <f>N425+N426+N427+N428</f>
        <v>234260</v>
      </c>
      <c r="O424" s="93">
        <f t="shared" ca="1" si="185"/>
        <v>108.42358604091456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4"/>
      <c r="B425" s="575"/>
      <c r="C425" s="763"/>
      <c r="D425" s="763"/>
      <c r="E425" s="763"/>
      <c r="F425" s="763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40">
        <v>0</v>
      </c>
      <c r="O425" s="498"/>
      <c r="P425" s="49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</row>
    <row r="426" spans="1:26" ht="18.75">
      <c r="A426" s="574"/>
      <c r="B426" s="575"/>
      <c r="C426" s="763"/>
      <c r="D426" s="763"/>
      <c r="E426" s="763"/>
      <c r="F426" s="763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40">
        <v>0</v>
      </c>
      <c r="O426" s="498"/>
      <c r="P426" s="49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</row>
    <row r="427" spans="1:26" ht="18.75">
      <c r="A427" s="574"/>
      <c r="B427" s="575"/>
      <c r="C427" s="763"/>
      <c r="D427" s="763"/>
      <c r="E427" s="763"/>
      <c r="F427" s="763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40">
        <v>0</v>
      </c>
      <c r="O427" s="498"/>
      <c r="P427" s="49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40">
        <v>234260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92" t="s">
        <v>38</v>
      </c>
      <c r="E432" s="580"/>
      <c r="F432" s="580"/>
      <c r="G432" s="581"/>
      <c r="H432" s="582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1">
        <f ca="1">I435</f>
        <v>70</v>
      </c>
      <c r="J433" s="681">
        <f ca="1">IF(AND(J435=I435,J437=I437,J439=I439),I437+I439,IF(AND(J435=I437,J437=I437),I437,IF(AND(J435=I439,J439=I439),I439,0)))</f>
        <v>70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1">
        <f t="shared" ref="I434:J434" ca="1" si="193">I438+I440</f>
        <v>2</v>
      </c>
      <c r="J434" s="681">
        <f t="shared" si="193"/>
        <v>2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3" t="s">
        <v>35</v>
      </c>
      <c r="I435" s="583">
        <f ca="1">IFERROR(__xludf.DUMMYFUNCTION("IMPORTRANGE(""https://docs.google.com/spreadsheets/d/1QqKyyYR6Q21VydFLVH3TRQUabQu_ym0Zz7PgGX0-kHA/edit?usp=sharing"",""แผน!FC36"")"),70)</f>
        <v>70</v>
      </c>
      <c r="J435" s="584">
        <v>70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3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3" t="s">
        <v>35</v>
      </c>
      <c r="I437" s="583">
        <f ca="1">IFERROR(__xludf.DUMMYFUNCTION("IMPORTRANGE(""https://docs.google.com/spreadsheets/d/1QqKyyYR6Q21VydFLVH3TRQUabQu_ym0Zz7PgGX0-kHA/edit?usp=sharing"",""แผน!FD36"")"),50)</f>
        <v>50</v>
      </c>
      <c r="J437" s="584">
        <v>50</v>
      </c>
      <c r="K437" s="498">
        <f t="shared" ref="K437:K443" ca="1" si="194">IF(I437&gt;0,J437*100/I437,0)</f>
        <v>100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3" t="s">
        <v>49</v>
      </c>
      <c r="I438" s="270">
        <f ca="1">IFERROR(__xludf.DUMMYFUNCTION("IMPORTRANGE(""https://docs.google.com/spreadsheets/d/1QqKyyYR6Q21VydFLVH3TRQUabQu_ym0Zz7PgGX0-kHA/edit?usp=sharing"",""แผน!FE36"")"),1)</f>
        <v>1</v>
      </c>
      <c r="J438" s="215">
        <v>1</v>
      </c>
      <c r="K438" s="498">
        <f t="shared" ca="1" si="194"/>
        <v>100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3" t="s">
        <v>35</v>
      </c>
      <c r="I439" s="583">
        <f ca="1">IFERROR(__xludf.DUMMYFUNCTION("IMPORTRANGE(""https://docs.google.com/spreadsheets/d/1QqKyyYR6Q21VydFLVH3TRQUabQu_ym0Zz7PgGX0-kHA/edit?usp=sharing"",""แผน!FF36"")"),20)</f>
        <v>20</v>
      </c>
      <c r="J439" s="584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3" t="s">
        <v>49</v>
      </c>
      <c r="I440" s="270">
        <f ca="1">IFERROR(__xludf.DUMMYFUNCTION("IMPORTRANGE(""https://docs.google.com/spreadsheets/d/1QqKyyYR6Q21VydFLVH3TRQUabQu_ym0Zz7PgGX0-kHA/edit?usp=sharing"",""แผน!FG36"")"),1)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3" t="s">
        <v>35</v>
      </c>
      <c r="I441" s="270">
        <f ca="1">IFERROR(__xludf.DUMMYFUNCTION("IMPORTRANGE(""https://docs.google.com/spreadsheets/d/1QqKyyYR6Q21VydFLVH3TRQUabQu_ym0Zz7PgGX0-kHA/edit?usp=sharing"",""แผน!FH36"")"),0)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5">
        <v>2</v>
      </c>
      <c r="B442" s="586" t="s">
        <v>200</v>
      </c>
      <c r="C442" s="587"/>
      <c r="D442" s="587"/>
      <c r="E442" s="587"/>
      <c r="F442" s="587"/>
      <c r="G442" s="588"/>
      <c r="H442" s="589" t="s">
        <v>35</v>
      </c>
      <c r="I442" s="590">
        <f t="shared" ref="I442:J442" ca="1" si="195">I460</f>
        <v>70</v>
      </c>
      <c r="J442" s="590">
        <f t="shared" si="195"/>
        <v>70</v>
      </c>
      <c r="K442" s="591">
        <f t="shared" ca="1" si="194"/>
        <v>100</v>
      </c>
      <c r="L442" s="592"/>
      <c r="M442" s="592"/>
      <c r="N442" s="592"/>
      <c r="O442" s="592"/>
      <c r="P442" s="592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</row>
    <row r="443" spans="1:26" ht="19.5">
      <c r="A443" s="593"/>
      <c r="B443" s="594"/>
      <c r="C443" s="595"/>
      <c r="D443" s="595"/>
      <c r="E443" s="595"/>
      <c r="F443" s="595"/>
      <c r="G443" s="596"/>
      <c r="H443" s="569" t="s">
        <v>46</v>
      </c>
      <c r="I443" s="570">
        <f t="shared" ref="I443:J443" ca="1" si="196">I462</f>
        <v>140</v>
      </c>
      <c r="J443" s="570">
        <f t="shared" si="196"/>
        <v>140</v>
      </c>
      <c r="K443" s="571">
        <f t="shared" ca="1" si="194"/>
        <v>100</v>
      </c>
      <c r="L443" s="572"/>
      <c r="M443" s="572"/>
      <c r="N443" s="572"/>
      <c r="O443" s="572"/>
      <c r="P443" s="572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</row>
    <row r="444" spans="1:26" ht="19.5">
      <c r="A444" s="597"/>
      <c r="B444" s="763"/>
      <c r="C444" s="763" t="s">
        <v>16</v>
      </c>
      <c r="D444" s="863" t="s">
        <v>17</v>
      </c>
      <c r="E444" s="857"/>
      <c r="F444" s="857"/>
      <c r="G444" s="189"/>
      <c r="H444" s="598" t="s">
        <v>12</v>
      </c>
      <c r="I444" s="270"/>
      <c r="J444" s="270"/>
      <c r="K444" s="498"/>
      <c r="L444" s="195">
        <f t="shared" ref="L444:N444" ca="1" si="197">L445+L446</f>
        <v>444200</v>
      </c>
      <c r="M444" s="195">
        <f t="shared" ca="1" si="197"/>
        <v>453603.36</v>
      </c>
      <c r="N444" s="195">
        <f t="shared" si="197"/>
        <v>453603.36</v>
      </c>
      <c r="O444" s="195">
        <f t="shared" ref="O444:O449" ca="1" si="198">IF(L444&gt;0,N444*100/L444,0)</f>
        <v>102.1169203061684</v>
      </c>
      <c r="P444" s="195">
        <f t="shared" ref="P444:P449" ca="1" si="199">IF(M444&gt;0,N444*100/M444,0)</f>
        <v>100</v>
      </c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</row>
    <row r="445" spans="1:26" ht="18.75" hidden="1">
      <c r="A445" s="599"/>
      <c r="B445" s="759"/>
      <c r="C445" s="759"/>
      <c r="D445" s="720"/>
      <c r="E445" s="759" t="s">
        <v>185</v>
      </c>
      <c r="F445" s="759"/>
      <c r="G445" s="603"/>
      <c r="H445" s="165" t="s">
        <v>12</v>
      </c>
      <c r="I445" s="617"/>
      <c r="J445" s="617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4"/>
      <c r="R445" s="604"/>
      <c r="S445" s="604"/>
      <c r="T445" s="604"/>
      <c r="U445" s="604"/>
      <c r="V445" s="604"/>
      <c r="W445" s="604"/>
      <c r="X445" s="604"/>
      <c r="Y445" s="604"/>
      <c r="Z445" s="604"/>
    </row>
    <row r="446" spans="1:26" ht="18.75" hidden="1">
      <c r="A446" s="599"/>
      <c r="B446" s="607"/>
      <c r="C446" s="759"/>
      <c r="D446" s="720"/>
      <c r="E446" s="759" t="s">
        <v>186</v>
      </c>
      <c r="F446" s="759"/>
      <c r="G446" s="603"/>
      <c r="H446" s="165" t="s">
        <v>12</v>
      </c>
      <c r="I446" s="617"/>
      <c r="J446" s="617"/>
      <c r="K446" s="93"/>
      <c r="L446" s="93">
        <f t="shared" ca="1" si="200"/>
        <v>444200</v>
      </c>
      <c r="M446" s="93">
        <f t="shared" ca="1" si="200"/>
        <v>453603.36</v>
      </c>
      <c r="N446" s="93">
        <f t="shared" si="200"/>
        <v>453603.36</v>
      </c>
      <c r="O446" s="93">
        <f t="shared" ca="1" si="198"/>
        <v>102.1169203061684</v>
      </c>
      <c r="P446" s="93">
        <f t="shared" ca="1" si="199"/>
        <v>100</v>
      </c>
      <c r="Q446" s="604"/>
      <c r="R446" s="604"/>
      <c r="S446" s="604"/>
      <c r="T446" s="604"/>
      <c r="U446" s="604"/>
      <c r="V446" s="604"/>
      <c r="W446" s="604"/>
      <c r="X446" s="604"/>
      <c r="Y446" s="604"/>
      <c r="Z446" s="604"/>
    </row>
    <row r="447" spans="1:26" ht="18.75">
      <c r="A447" s="597"/>
      <c r="B447" s="575"/>
      <c r="C447" s="763"/>
      <c r="D447" s="606" t="s">
        <v>20</v>
      </c>
      <c r="E447" s="763"/>
      <c r="F447" s="763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444200</v>
      </c>
      <c r="M447" s="498">
        <f t="shared" ca="1" si="201"/>
        <v>453603.36</v>
      </c>
      <c r="N447" s="498">
        <f t="shared" si="201"/>
        <v>453603.36</v>
      </c>
      <c r="O447" s="498">
        <f t="shared" ca="1" si="198"/>
        <v>102.1169203061684</v>
      </c>
      <c r="P447" s="498">
        <f t="shared" ca="1" si="199"/>
        <v>100</v>
      </c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</row>
    <row r="448" spans="1:26" ht="18.75" hidden="1">
      <c r="A448" s="599"/>
      <c r="B448" s="607"/>
      <c r="C448" s="759"/>
      <c r="D448" s="720"/>
      <c r="E448" s="759" t="s">
        <v>185</v>
      </c>
      <c r="F448" s="759"/>
      <c r="G448" s="603"/>
      <c r="H448" s="165" t="s">
        <v>12</v>
      </c>
      <c r="I448" s="617"/>
      <c r="J448" s="617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</row>
    <row r="449" spans="1:26" ht="18.75" hidden="1">
      <c r="A449" s="599"/>
      <c r="B449" s="607"/>
      <c r="C449" s="759"/>
      <c r="D449" s="720"/>
      <c r="E449" s="759" t="s">
        <v>186</v>
      </c>
      <c r="F449" s="759"/>
      <c r="G449" s="603"/>
      <c r="H449" s="165" t="s">
        <v>12</v>
      </c>
      <c r="I449" s="617"/>
      <c r="J449" s="617"/>
      <c r="K449" s="93"/>
      <c r="L449" s="93">
        <f ca="1">IFERROR(__xludf.DUMMYFUNCTION("IMPORTRANGE(""https://docs.google.com/spreadsheets/d/1QqKyyYR6Q21VydFLVH3TRQUabQu_ym0Zz7PgGX0-kHA/edit?usp=sharing"",""แผน!FJ36"")"),444200)</f>
        <v>444200</v>
      </c>
      <c r="M449" s="93">
        <f ca="1">L449+12870-3466.64</f>
        <v>453603.36</v>
      </c>
      <c r="N449" s="93">
        <f>N450+N451+N452+N453</f>
        <v>453603.36</v>
      </c>
      <c r="O449" s="93">
        <f t="shared" ca="1" si="198"/>
        <v>102.1169203061684</v>
      </c>
      <c r="P449" s="93">
        <f t="shared" ca="1" si="199"/>
        <v>100</v>
      </c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</row>
    <row r="450" spans="1:26" ht="18.75">
      <c r="A450" s="574"/>
      <c r="B450" s="575"/>
      <c r="C450" s="763"/>
      <c r="D450" s="763"/>
      <c r="E450" s="763"/>
      <c r="F450" s="763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40">
        <v>129625</v>
      </c>
      <c r="O450" s="498"/>
      <c r="P450" s="49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</row>
    <row r="451" spans="1:26" ht="18.75">
      <c r="A451" s="574"/>
      <c r="B451" s="575"/>
      <c r="C451" s="763"/>
      <c r="D451" s="763"/>
      <c r="E451" s="763"/>
      <c r="F451" s="763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40">
        <v>159000</v>
      </c>
      <c r="O451" s="498"/>
      <c r="P451" s="49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</row>
    <row r="452" spans="1:26" ht="18.75">
      <c r="A452" s="574"/>
      <c r="B452" s="575"/>
      <c r="C452" s="575"/>
      <c r="D452" s="575"/>
      <c r="E452" s="575"/>
      <c r="F452" s="763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40">
        <v>139533.35999999999</v>
      </c>
      <c r="O452" s="498"/>
      <c r="P452" s="49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</row>
    <row r="453" spans="1:26" ht="18.75">
      <c r="A453" s="574"/>
      <c r="B453" s="575"/>
      <c r="C453" s="575"/>
      <c r="D453" s="575"/>
      <c r="E453" s="575"/>
      <c r="F453" s="763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40">
        <v>25445</v>
      </c>
      <c r="O453" s="498"/>
      <c r="P453" s="49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</row>
    <row r="454" spans="1:26" ht="18.75">
      <c r="A454" s="597"/>
      <c r="B454" s="575"/>
      <c r="C454" s="575"/>
      <c r="D454" s="606" t="s">
        <v>21</v>
      </c>
      <c r="E454" s="575"/>
      <c r="F454" s="763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</row>
    <row r="455" spans="1:26" ht="18.75" hidden="1">
      <c r="A455" s="599"/>
      <c r="B455" s="607"/>
      <c r="C455" s="607"/>
      <c r="D455" s="607"/>
      <c r="E455" s="607" t="s">
        <v>18</v>
      </c>
      <c r="F455" s="759"/>
      <c r="G455" s="603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4"/>
      <c r="R455" s="604"/>
      <c r="S455" s="604"/>
      <c r="T455" s="604"/>
      <c r="U455" s="604"/>
      <c r="V455" s="604"/>
      <c r="W455" s="604"/>
      <c r="X455" s="604"/>
      <c r="Y455" s="604"/>
      <c r="Z455" s="604"/>
    </row>
    <row r="456" spans="1:26" ht="18.75" hidden="1">
      <c r="A456" s="599"/>
      <c r="B456" s="607"/>
      <c r="C456" s="607"/>
      <c r="D456" s="607"/>
      <c r="E456" s="607" t="s">
        <v>19</v>
      </c>
      <c r="F456" s="759"/>
      <c r="G456" s="603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4"/>
      <c r="R456" s="604"/>
      <c r="S456" s="604"/>
      <c r="T456" s="604"/>
      <c r="U456" s="604"/>
      <c r="V456" s="604"/>
      <c r="W456" s="604"/>
      <c r="X456" s="604"/>
      <c r="Y456" s="604"/>
      <c r="Z456" s="604"/>
    </row>
    <row r="457" spans="1:26" ht="19.5">
      <c r="A457" s="608"/>
      <c r="B457" s="618"/>
      <c r="C457" s="575" t="s">
        <v>16</v>
      </c>
      <c r="D457" s="893" t="s">
        <v>38</v>
      </c>
      <c r="E457" s="611"/>
      <c r="F457" s="761"/>
      <c r="G457" s="613"/>
      <c r="H457" s="762"/>
      <c r="I457" s="270"/>
      <c r="J457" s="270"/>
      <c r="K457" s="498"/>
      <c r="L457" s="498"/>
      <c r="M457" s="498"/>
      <c r="N457" s="498"/>
      <c r="O457" s="498"/>
      <c r="P457" s="49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</row>
    <row r="458" spans="1:26" ht="18.75" hidden="1">
      <c r="A458" s="614"/>
      <c r="B458" s="616"/>
      <c r="C458" s="616"/>
      <c r="D458" s="616" t="s">
        <v>201</v>
      </c>
      <c r="E458" s="616"/>
      <c r="F458" s="720"/>
      <c r="G458" s="366"/>
      <c r="H458" s="370" t="s">
        <v>35</v>
      </c>
      <c r="I458" s="617">
        <v>0</v>
      </c>
      <c r="J458" s="617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4"/>
      <c r="R458" s="604"/>
      <c r="S458" s="604"/>
      <c r="T458" s="604"/>
      <c r="U458" s="604"/>
      <c r="V458" s="604"/>
      <c r="W458" s="604"/>
      <c r="X458" s="604"/>
      <c r="Y458" s="604"/>
      <c r="Z458" s="604"/>
    </row>
    <row r="459" spans="1:26" ht="18.75" hidden="1">
      <c r="A459" s="614"/>
      <c r="B459" s="616"/>
      <c r="C459" s="616"/>
      <c r="D459" s="616" t="s">
        <v>202</v>
      </c>
      <c r="E459" s="616"/>
      <c r="F459" s="720"/>
      <c r="G459" s="366"/>
      <c r="H459" s="370"/>
      <c r="I459" s="617"/>
      <c r="J459" s="617"/>
      <c r="K459" s="93"/>
      <c r="L459" s="93"/>
      <c r="M459" s="93"/>
      <c r="N459" s="93"/>
      <c r="O459" s="93"/>
      <c r="P459" s="93"/>
      <c r="Q459" s="604"/>
      <c r="R459" s="604"/>
      <c r="S459" s="604"/>
      <c r="T459" s="604"/>
      <c r="U459" s="604"/>
      <c r="V459" s="604"/>
      <c r="W459" s="604"/>
      <c r="X459" s="604"/>
      <c r="Y459" s="604"/>
      <c r="Z459" s="604"/>
    </row>
    <row r="460" spans="1:26" ht="18.75">
      <c r="A460" s="608"/>
      <c r="B460" s="618"/>
      <c r="C460" s="618"/>
      <c r="D460" s="618" t="s">
        <v>203</v>
      </c>
      <c r="E460" s="618"/>
      <c r="F460" s="626"/>
      <c r="G460" s="762"/>
      <c r="H460" s="764" t="s">
        <v>35</v>
      </c>
      <c r="I460" s="270">
        <f ca="1">IFERROR(__xludf.DUMMYFUNCTION("IMPORTRANGE(""https://docs.google.com/spreadsheets/d/1QqKyyYR6Q21VydFLVH3TRQUabQu_ym0Zz7PgGX0-kHA/edit?usp=sharing"",""แผน!FN36"")"),70)</f>
        <v>70</v>
      </c>
      <c r="J460" s="215">
        <v>70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</row>
    <row r="461" spans="1:26" ht="18.75">
      <c r="A461" s="608"/>
      <c r="B461" s="618"/>
      <c r="C461" s="618"/>
      <c r="D461" s="618" t="s">
        <v>204</v>
      </c>
      <c r="E461" s="626"/>
      <c r="F461" s="626"/>
      <c r="G461" s="762"/>
      <c r="H461" s="764"/>
      <c r="I461" s="270"/>
      <c r="J461" s="270"/>
      <c r="K461" s="498"/>
      <c r="L461" s="498"/>
      <c r="M461" s="498"/>
      <c r="N461" s="498"/>
      <c r="O461" s="498"/>
      <c r="P461" s="49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</row>
    <row r="462" spans="1:26" ht="18.75">
      <c r="A462" s="608"/>
      <c r="B462" s="618"/>
      <c r="C462" s="618"/>
      <c r="D462" s="618" t="s">
        <v>205</v>
      </c>
      <c r="E462" s="626"/>
      <c r="F462" s="626"/>
      <c r="G462" s="762"/>
      <c r="H462" s="764" t="s">
        <v>46</v>
      </c>
      <c r="I462" s="270">
        <f ca="1">IFERROR(__xludf.DUMMYFUNCTION("IMPORTRANGE(""https://docs.google.com/spreadsheets/d/1QqKyyYR6Q21VydFLVH3TRQUabQu_ym0Zz7PgGX0-kHA/edit?usp=sharing"",""แผน!FO36"")"),140)</f>
        <v>140</v>
      </c>
      <c r="J462" s="215">
        <v>140</v>
      </c>
      <c r="K462" s="498">
        <f t="shared" ref="K462:K466" ca="1" si="205">IF(I462&gt;0,J462*100/I462,0)</f>
        <v>100</v>
      </c>
      <c r="L462" s="498"/>
      <c r="M462" s="498"/>
      <c r="N462" s="498"/>
      <c r="O462" s="498"/>
      <c r="P462" s="49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</row>
    <row r="463" spans="1:26" ht="18.75">
      <c r="A463" s="608"/>
      <c r="B463" s="618"/>
      <c r="C463" s="618"/>
      <c r="D463" s="618" t="s">
        <v>59</v>
      </c>
      <c r="E463" s="626"/>
      <c r="F463" s="763"/>
      <c r="G463" s="189"/>
      <c r="H463" s="764" t="s">
        <v>46</v>
      </c>
      <c r="I463" s="270">
        <f ca="1">IFERROR(__xludf.DUMMYFUNCTION("IMPORTRANGE(""https://docs.google.com/spreadsheets/d/1QqKyyYR6Q21VydFLVH3TRQUabQu_ym0Zz7PgGX0-kHA/edit?usp=sharing"",""แผน!FO36"")"),140)</f>
        <v>140</v>
      </c>
      <c r="J463" s="215">
        <v>140</v>
      </c>
      <c r="K463" s="498">
        <f t="shared" ca="1" si="205"/>
        <v>100</v>
      </c>
      <c r="L463" s="498"/>
      <c r="M463" s="498"/>
      <c r="N463" s="498"/>
      <c r="O463" s="498"/>
      <c r="P463" s="49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</row>
    <row r="464" spans="1:26" ht="19.5">
      <c r="A464" s="608"/>
      <c r="B464" s="618"/>
      <c r="C464" s="618"/>
      <c r="D464" s="618"/>
      <c r="E464" s="626"/>
      <c r="F464" s="626"/>
      <c r="G464" s="620"/>
      <c r="H464" s="764" t="s">
        <v>35</v>
      </c>
      <c r="I464" s="270">
        <f ca="1">IFERROR(__xludf.DUMMYFUNCTION("IMPORTRANGE(""https://docs.google.com/spreadsheets/d/1QqKyyYR6Q21VydFLVH3TRQUabQu_ym0Zz7PgGX0-kHA/edit?usp=sharing"",""แผน!FN36"")"),70)</f>
        <v>70</v>
      </c>
      <c r="J464" s="215">
        <v>70</v>
      </c>
      <c r="K464" s="498">
        <f t="shared" ca="1" si="205"/>
        <v>100</v>
      </c>
      <c r="L464" s="498"/>
      <c r="M464" s="498"/>
      <c r="N464" s="498"/>
      <c r="O464" s="498"/>
      <c r="P464" s="49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</row>
    <row r="465" spans="1:26" ht="19.5">
      <c r="A465" s="585">
        <v>3</v>
      </c>
      <c r="B465" s="586" t="s">
        <v>206</v>
      </c>
      <c r="C465" s="587"/>
      <c r="D465" s="587"/>
      <c r="E465" s="587"/>
      <c r="F465" s="587"/>
      <c r="G465" s="588"/>
      <c r="H465" s="589" t="s">
        <v>35</v>
      </c>
      <c r="I465" s="590">
        <f ca="1">IFERROR(__xludf.DUMMYFUNCTION("IMPORTRANGE(""https://docs.google.com/spreadsheets/d/1QqKyyYR6Q21VydFLVH3TRQUabQu_ym0Zz7PgGX0-kHA/edit?usp=sharing"",""แผน!FX36"")"),131)</f>
        <v>131</v>
      </c>
      <c r="J465" s="590">
        <f>J485+J489+J492</f>
        <v>135</v>
      </c>
      <c r="K465" s="591">
        <f t="shared" ca="1" si="205"/>
        <v>103.05343511450381</v>
      </c>
      <c r="L465" s="592"/>
      <c r="M465" s="592"/>
      <c r="N465" s="592"/>
      <c r="O465" s="592"/>
      <c r="P465" s="592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</row>
    <row r="466" spans="1:26" ht="19.5">
      <c r="A466" s="593"/>
      <c r="B466" s="594"/>
      <c r="C466" s="595"/>
      <c r="D466" s="595"/>
      <c r="E466" s="595"/>
      <c r="F466" s="595"/>
      <c r="G466" s="596"/>
      <c r="H466" s="569" t="s">
        <v>46</v>
      </c>
      <c r="I466" s="570">
        <f ca="1">IFERROR(__xludf.DUMMYFUNCTION("IMPORTRANGE(""https://docs.google.com/spreadsheets/d/1QqKyyYR6Q21VydFLVH3TRQUabQu_ym0Zz7PgGX0-kHA/edit?usp=sharing"",""แผน!FW36"")"),1300)</f>
        <v>1300</v>
      </c>
      <c r="J466" s="570">
        <f>J495+J498</f>
        <v>1303</v>
      </c>
      <c r="K466" s="571">
        <f t="shared" ca="1" si="205"/>
        <v>100.23076923076923</v>
      </c>
      <c r="L466" s="572"/>
      <c r="M466" s="572"/>
      <c r="N466" s="572"/>
      <c r="O466" s="572"/>
      <c r="P466" s="572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</row>
    <row r="467" spans="1:26" ht="19.5">
      <c r="A467" s="597"/>
      <c r="B467" s="763"/>
      <c r="C467" s="763" t="s">
        <v>16</v>
      </c>
      <c r="D467" s="863" t="s">
        <v>17</v>
      </c>
      <c r="E467" s="857"/>
      <c r="F467" s="857"/>
      <c r="G467" s="189"/>
      <c r="H467" s="598" t="s">
        <v>12</v>
      </c>
      <c r="I467" s="270"/>
      <c r="J467" s="270"/>
      <c r="K467" s="498"/>
      <c r="L467" s="195">
        <f t="shared" ref="L467:N467" ca="1" si="206">L468+L469</f>
        <v>1161548</v>
      </c>
      <c r="M467" s="195">
        <f t="shared" ca="1" si="206"/>
        <v>1018668.02</v>
      </c>
      <c r="N467" s="195">
        <f t="shared" si="206"/>
        <v>1018668.02</v>
      </c>
      <c r="O467" s="195">
        <f t="shared" ref="O467:O472" ca="1" si="207">IF(L467&gt;0,N467*100/L467,0)</f>
        <v>87.699175582928987</v>
      </c>
      <c r="P467" s="195">
        <f t="shared" ref="P467:P472" ca="1" si="208">IF(M467&gt;0,N467*100/M467,0)</f>
        <v>100</v>
      </c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</row>
    <row r="468" spans="1:26" ht="18.75" hidden="1">
      <c r="A468" s="599"/>
      <c r="B468" s="759"/>
      <c r="C468" s="759"/>
      <c r="D468" s="720"/>
      <c r="E468" s="759" t="s">
        <v>185</v>
      </c>
      <c r="F468" s="759"/>
      <c r="G468" s="603"/>
      <c r="H468" s="165" t="s">
        <v>12</v>
      </c>
      <c r="I468" s="617"/>
      <c r="J468" s="617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4"/>
      <c r="R468" s="604"/>
      <c r="S468" s="604"/>
      <c r="T468" s="604"/>
      <c r="U468" s="604"/>
      <c r="V468" s="604"/>
      <c r="W468" s="604"/>
      <c r="X468" s="604"/>
      <c r="Y468" s="604"/>
      <c r="Z468" s="604"/>
    </row>
    <row r="469" spans="1:26" ht="18.75" hidden="1">
      <c r="A469" s="599"/>
      <c r="B469" s="607"/>
      <c r="C469" s="759"/>
      <c r="D469" s="720"/>
      <c r="E469" s="759" t="s">
        <v>186</v>
      </c>
      <c r="F469" s="759"/>
      <c r="G469" s="603"/>
      <c r="H469" s="165" t="s">
        <v>12</v>
      </c>
      <c r="I469" s="617"/>
      <c r="J469" s="617"/>
      <c r="K469" s="93"/>
      <c r="L469" s="93">
        <f t="shared" ca="1" si="209"/>
        <v>1161548</v>
      </c>
      <c r="M469" s="93">
        <f t="shared" ca="1" si="209"/>
        <v>1018668.02</v>
      </c>
      <c r="N469" s="93">
        <f t="shared" si="209"/>
        <v>1018668.02</v>
      </c>
      <c r="O469" s="93">
        <f t="shared" ca="1" si="207"/>
        <v>87.699175582928987</v>
      </c>
      <c r="P469" s="93">
        <f t="shared" ca="1" si="208"/>
        <v>100</v>
      </c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</row>
    <row r="470" spans="1:26" ht="18.75">
      <c r="A470" s="597"/>
      <c r="B470" s="575"/>
      <c r="C470" s="763"/>
      <c r="D470" s="606" t="s">
        <v>20</v>
      </c>
      <c r="E470" s="763"/>
      <c r="F470" s="763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1161548</v>
      </c>
      <c r="M470" s="498">
        <f t="shared" ca="1" si="210"/>
        <v>1018668.02</v>
      </c>
      <c r="N470" s="498">
        <f t="shared" si="210"/>
        <v>1018668.02</v>
      </c>
      <c r="O470" s="498">
        <f t="shared" ca="1" si="207"/>
        <v>87.699175582928987</v>
      </c>
      <c r="P470" s="498">
        <f t="shared" ca="1" si="208"/>
        <v>100</v>
      </c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</row>
    <row r="471" spans="1:26" ht="18.75" hidden="1">
      <c r="A471" s="599"/>
      <c r="B471" s="607"/>
      <c r="C471" s="759"/>
      <c r="D471" s="720"/>
      <c r="E471" s="759" t="s">
        <v>185</v>
      </c>
      <c r="F471" s="759"/>
      <c r="G471" s="603"/>
      <c r="H471" s="165" t="s">
        <v>12</v>
      </c>
      <c r="I471" s="617"/>
      <c r="J471" s="617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4"/>
      <c r="R471" s="604"/>
      <c r="S471" s="604"/>
      <c r="T471" s="604"/>
      <c r="U471" s="604"/>
      <c r="V471" s="604"/>
      <c r="W471" s="604"/>
      <c r="X471" s="604"/>
      <c r="Y471" s="604"/>
      <c r="Z471" s="604"/>
    </row>
    <row r="472" spans="1:26" ht="18.75" hidden="1">
      <c r="A472" s="599"/>
      <c r="B472" s="607"/>
      <c r="C472" s="759"/>
      <c r="D472" s="720"/>
      <c r="E472" s="759" t="s">
        <v>186</v>
      </c>
      <c r="F472" s="759"/>
      <c r="G472" s="603"/>
      <c r="H472" s="165" t="s">
        <v>12</v>
      </c>
      <c r="I472" s="617"/>
      <c r="J472" s="617"/>
      <c r="K472" s="93"/>
      <c r="L472" s="93">
        <f ca="1">IFERROR(__xludf.DUMMYFUNCTION("IMPORTRANGE(""https://docs.google.com/spreadsheets/d/1QqKyyYR6Q21VydFLVH3TRQUabQu_ym0Zz7PgGX0-kHA/edit?usp=sharing"",""แผน!FS36"")"),1161548)</f>
        <v>1161548</v>
      </c>
      <c r="M472" s="93">
        <f ca="1">L472+5710-132456.65-16133.33</f>
        <v>1018668.02</v>
      </c>
      <c r="N472" s="93">
        <f>N473+N474+N475+N476</f>
        <v>1018668.02</v>
      </c>
      <c r="O472" s="93">
        <f t="shared" ca="1" si="207"/>
        <v>87.699175582928987</v>
      </c>
      <c r="P472" s="93">
        <f t="shared" ca="1" si="208"/>
        <v>100</v>
      </c>
      <c r="Q472" s="604"/>
      <c r="R472" s="604"/>
      <c r="S472" s="604"/>
      <c r="T472" s="604"/>
      <c r="U472" s="604"/>
      <c r="V472" s="604"/>
      <c r="W472" s="604"/>
      <c r="X472" s="604"/>
      <c r="Y472" s="604"/>
      <c r="Z472" s="604"/>
    </row>
    <row r="473" spans="1:26" ht="18.75">
      <c r="A473" s="574"/>
      <c r="B473" s="575"/>
      <c r="C473" s="763"/>
      <c r="D473" s="763"/>
      <c r="E473" s="763"/>
      <c r="F473" s="763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40">
        <v>180050</v>
      </c>
      <c r="O473" s="498"/>
      <c r="P473" s="49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</row>
    <row r="474" spans="1:26" ht="18.75">
      <c r="A474" s="574"/>
      <c r="B474" s="575"/>
      <c r="C474" s="763"/>
      <c r="D474" s="763"/>
      <c r="E474" s="763"/>
      <c r="F474" s="763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40">
        <v>664010</v>
      </c>
      <c r="O474" s="498"/>
      <c r="P474" s="49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</row>
    <row r="475" spans="1:26" ht="18.75">
      <c r="A475" s="574"/>
      <c r="B475" s="575"/>
      <c r="C475" s="575"/>
      <c r="D475" s="575"/>
      <c r="E475" s="575"/>
      <c r="F475" s="763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40">
        <v>140400.01999999999</v>
      </c>
      <c r="O475" s="498"/>
      <c r="P475" s="49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</row>
    <row r="476" spans="1:26" ht="18.75">
      <c r="A476" s="574"/>
      <c r="B476" s="575"/>
      <c r="C476" s="575"/>
      <c r="D476" s="575"/>
      <c r="E476" s="575"/>
      <c r="F476" s="763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40">
        <v>34208</v>
      </c>
      <c r="O476" s="498"/>
      <c r="P476" s="49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</row>
    <row r="477" spans="1:26" ht="18.75">
      <c r="A477" s="597"/>
      <c r="B477" s="575"/>
      <c r="C477" s="575"/>
      <c r="D477" s="606" t="s">
        <v>21</v>
      </c>
      <c r="E477" s="575"/>
      <c r="F477" s="575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</row>
    <row r="478" spans="1:26" ht="18.75" hidden="1">
      <c r="A478" s="599"/>
      <c r="B478" s="607"/>
      <c r="C478" s="607"/>
      <c r="D478" s="607"/>
      <c r="E478" s="607" t="s">
        <v>18</v>
      </c>
      <c r="F478" s="607"/>
      <c r="G478" s="603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4"/>
      <c r="R478" s="604"/>
      <c r="S478" s="604"/>
      <c r="T478" s="604"/>
      <c r="U478" s="604"/>
      <c r="V478" s="604"/>
      <c r="W478" s="604"/>
      <c r="X478" s="604"/>
      <c r="Y478" s="604"/>
      <c r="Z478" s="604"/>
    </row>
    <row r="479" spans="1:26" ht="18.75" hidden="1">
      <c r="A479" s="599"/>
      <c r="B479" s="607"/>
      <c r="C479" s="607"/>
      <c r="D479" s="607"/>
      <c r="E479" s="607" t="s">
        <v>19</v>
      </c>
      <c r="F479" s="607"/>
      <c r="G479" s="603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4"/>
      <c r="R479" s="604"/>
      <c r="S479" s="604"/>
      <c r="T479" s="604"/>
      <c r="U479" s="604"/>
      <c r="V479" s="604"/>
      <c r="W479" s="604"/>
      <c r="X479" s="604"/>
      <c r="Y479" s="604"/>
      <c r="Z479" s="604"/>
    </row>
    <row r="480" spans="1:26" ht="19.5">
      <c r="A480" s="608"/>
      <c r="B480" s="618"/>
      <c r="C480" s="575" t="s">
        <v>16</v>
      </c>
      <c r="D480" s="894" t="s">
        <v>38</v>
      </c>
      <c r="E480" s="611"/>
      <c r="F480" s="761"/>
      <c r="G480" s="613"/>
      <c r="H480" s="762"/>
      <c r="I480" s="270"/>
      <c r="J480" s="270"/>
      <c r="K480" s="498"/>
      <c r="L480" s="498"/>
      <c r="M480" s="498"/>
      <c r="N480" s="498"/>
      <c r="O480" s="498"/>
      <c r="P480" s="49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</row>
    <row r="481" spans="1:26" ht="19.5">
      <c r="A481" s="608"/>
      <c r="B481" s="618"/>
      <c r="C481" s="618"/>
      <c r="D481" s="625" t="s">
        <v>207</v>
      </c>
      <c r="E481" s="618"/>
      <c r="F481" s="618"/>
      <c r="G481" s="762"/>
      <c r="H481" s="189"/>
      <c r="I481" s="270"/>
      <c r="J481" s="270"/>
      <c r="K481" s="498"/>
      <c r="L481" s="498"/>
      <c r="M481" s="498"/>
      <c r="N481" s="498"/>
      <c r="O481" s="498"/>
      <c r="P481" s="49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</row>
    <row r="482" spans="1:26" ht="18.75">
      <c r="A482" s="608"/>
      <c r="B482" s="618"/>
      <c r="C482" s="618"/>
      <c r="D482" s="618"/>
      <c r="E482" s="618" t="s">
        <v>208</v>
      </c>
      <c r="F482" s="618"/>
      <c r="G482" s="762"/>
      <c r="H482" s="189"/>
      <c r="I482" s="270"/>
      <c r="J482" s="270"/>
      <c r="K482" s="498"/>
      <c r="L482" s="498"/>
      <c r="M482" s="498"/>
      <c r="N482" s="498"/>
      <c r="O482" s="498"/>
      <c r="P482" s="49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</row>
    <row r="483" spans="1:26" ht="18.75">
      <c r="A483" s="608"/>
      <c r="B483" s="618"/>
      <c r="C483" s="618"/>
      <c r="D483" s="618"/>
      <c r="E483" s="618"/>
      <c r="F483" s="618" t="s">
        <v>209</v>
      </c>
      <c r="G483" s="762"/>
      <c r="H483" s="623" t="s">
        <v>46</v>
      </c>
      <c r="I483" s="270">
        <f ca="1">IFERROR(__xludf.DUMMYFUNCTION("IMPORTRANGE(""https://docs.google.com/spreadsheets/d/1QqKyyYR6Q21VydFLVH3TRQUabQu_ym0Zz7PgGX0-kHA/edit?usp=sharing"",""แผน!FY36"")"),1170)</f>
        <v>1170</v>
      </c>
      <c r="J483" s="215">
        <v>1243</v>
      </c>
      <c r="K483" s="498">
        <f ca="1">IF(I483&gt;0,J483*100/I483,0)</f>
        <v>106.23931623931624</v>
      </c>
      <c r="L483" s="498"/>
      <c r="M483" s="498"/>
      <c r="N483" s="498"/>
      <c r="O483" s="498"/>
      <c r="P483" s="49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</row>
    <row r="484" spans="1:26" ht="18.75">
      <c r="A484" s="608"/>
      <c r="B484" s="618"/>
      <c r="C484" s="618"/>
      <c r="D484" s="618"/>
      <c r="E484" s="618"/>
      <c r="F484" s="618" t="s">
        <v>210</v>
      </c>
      <c r="G484" s="762"/>
      <c r="H484" s="623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</row>
    <row r="485" spans="1:26" ht="18.75">
      <c r="A485" s="608"/>
      <c r="B485" s="618"/>
      <c r="C485" s="618"/>
      <c r="D485" s="618"/>
      <c r="E485" s="618"/>
      <c r="F485" s="618" t="s">
        <v>211</v>
      </c>
      <c r="G485" s="762"/>
      <c r="H485" s="623" t="s">
        <v>35</v>
      </c>
      <c r="I485" s="270">
        <f ca="1">IFERROR(__xludf.DUMMYFUNCTION("IMPORTRANGE(""https://docs.google.com/spreadsheets/d/1QqKyyYR6Q21VydFLVH3TRQUabQu_ym0Zz7PgGX0-kHA/edit?usp=sharing"",""แผน!FZ36"")"),117)</f>
        <v>117</v>
      </c>
      <c r="J485" s="215">
        <v>110</v>
      </c>
      <c r="K485" s="498">
        <f ca="1">IF(I485&gt;0,J485*100/I485,0)</f>
        <v>94.017094017094024</v>
      </c>
      <c r="L485" s="498"/>
      <c r="M485" s="498"/>
      <c r="N485" s="498"/>
      <c r="O485" s="498"/>
      <c r="P485" s="49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</row>
    <row r="486" spans="1:26" ht="18.75">
      <c r="A486" s="608"/>
      <c r="B486" s="618"/>
      <c r="C486" s="618"/>
      <c r="D486" s="618"/>
      <c r="E486" s="618" t="s">
        <v>62</v>
      </c>
      <c r="F486" s="618"/>
      <c r="G486" s="762"/>
      <c r="H486" s="623"/>
      <c r="I486" s="270"/>
      <c r="J486" s="270"/>
      <c r="K486" s="498"/>
      <c r="L486" s="498"/>
      <c r="M486" s="498"/>
      <c r="N486" s="498"/>
      <c r="O486" s="498"/>
      <c r="P486" s="49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</row>
    <row r="487" spans="1:26" ht="18.75">
      <c r="A487" s="608"/>
      <c r="B487" s="618"/>
      <c r="C487" s="618"/>
      <c r="D487" s="618"/>
      <c r="E487" s="618"/>
      <c r="F487" s="618" t="s">
        <v>209</v>
      </c>
      <c r="G487" s="762"/>
      <c r="H487" s="623" t="s">
        <v>46</v>
      </c>
      <c r="I487" s="270">
        <f ca="1">IFERROR(__xludf.DUMMYFUNCTION("IMPORTRANGE(""https://docs.google.com/spreadsheets/d/1QqKyyYR6Q21VydFLVH3TRQUabQu_ym0Zz7PgGX0-kHA/edit?usp=sharing"",""แผน!GA36"")"),130)</f>
        <v>130</v>
      </c>
      <c r="J487" s="215">
        <v>60</v>
      </c>
      <c r="K487" s="498">
        <f ca="1">IF(I487&gt;0,J487*100/I487,0)</f>
        <v>46.153846153846153</v>
      </c>
      <c r="L487" s="498"/>
      <c r="M487" s="498"/>
      <c r="N487" s="498"/>
      <c r="O487" s="498"/>
      <c r="P487" s="49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</row>
    <row r="488" spans="1:26" ht="18.75">
      <c r="A488" s="608"/>
      <c r="B488" s="618"/>
      <c r="C488" s="618"/>
      <c r="D488" s="618"/>
      <c r="E488" s="618"/>
      <c r="F488" s="618" t="s">
        <v>212</v>
      </c>
      <c r="G488" s="762"/>
      <c r="H488" s="623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</row>
    <row r="489" spans="1:26" ht="18.75">
      <c r="A489" s="608"/>
      <c r="B489" s="618"/>
      <c r="C489" s="618"/>
      <c r="D489" s="618"/>
      <c r="E489" s="618"/>
      <c r="F489" s="618" t="s">
        <v>213</v>
      </c>
      <c r="G489" s="762"/>
      <c r="H489" s="623" t="s">
        <v>35</v>
      </c>
      <c r="I489" s="270">
        <f ca="1">IFERROR(__xludf.DUMMYFUNCTION("IMPORTRANGE(""https://docs.google.com/spreadsheets/d/1QqKyyYR6Q21VydFLVH3TRQUabQu_ym0Zz7PgGX0-kHA/edit?usp=sharing"",""แผน!GB36"")"),13)</f>
        <v>13</v>
      </c>
      <c r="J489" s="215">
        <v>24</v>
      </c>
      <c r="K489" s="498">
        <f ca="1">IF(I489&gt;0,J489*100/I489,0)</f>
        <v>184.61538461538461</v>
      </c>
      <c r="L489" s="498"/>
      <c r="M489" s="498"/>
      <c r="N489" s="498"/>
      <c r="O489" s="498"/>
      <c r="P489" s="49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</row>
    <row r="490" spans="1:26" ht="18.75">
      <c r="A490" s="608"/>
      <c r="B490" s="618"/>
      <c r="C490" s="618"/>
      <c r="D490" s="618"/>
      <c r="E490" s="618" t="s">
        <v>63</v>
      </c>
      <c r="F490" s="626"/>
      <c r="G490" s="762"/>
      <c r="H490" s="623"/>
      <c r="I490" s="270"/>
      <c r="J490" s="270"/>
      <c r="K490" s="498"/>
      <c r="L490" s="498"/>
      <c r="M490" s="498"/>
      <c r="N490" s="498"/>
      <c r="O490" s="498"/>
      <c r="P490" s="49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</row>
    <row r="491" spans="1:26" ht="18.75">
      <c r="A491" s="608"/>
      <c r="B491" s="618"/>
      <c r="C491" s="618"/>
      <c r="D491" s="618"/>
      <c r="E491" s="618"/>
      <c r="F491" s="618" t="s">
        <v>214</v>
      </c>
      <c r="G491" s="762"/>
      <c r="H491" s="623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</row>
    <row r="492" spans="1:26" ht="18.75">
      <c r="A492" s="608"/>
      <c r="B492" s="618"/>
      <c r="C492" s="618"/>
      <c r="D492" s="618"/>
      <c r="E492" s="618"/>
      <c r="F492" s="618" t="s">
        <v>215</v>
      </c>
      <c r="G492" s="762"/>
      <c r="H492" s="623" t="s">
        <v>35</v>
      </c>
      <c r="I492" s="270">
        <f ca="1">IFERROR(__xludf.DUMMYFUNCTION("IMPORTRANGE(""https://docs.google.com/spreadsheets/d/1QqKyyYR6Q21VydFLVH3TRQUabQu_ym0Zz7PgGX0-kHA/edit?usp=sharing"",""แผน!GC36"")"),1)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</row>
    <row r="493" spans="1:26" ht="19.5">
      <c r="A493" s="608"/>
      <c r="B493" s="618"/>
      <c r="C493" s="618"/>
      <c r="D493" s="625" t="s">
        <v>59</v>
      </c>
      <c r="E493" s="618"/>
      <c r="F493" s="626"/>
      <c r="G493" s="762"/>
      <c r="H493" s="189"/>
      <c r="I493" s="270"/>
      <c r="J493" s="270"/>
      <c r="K493" s="498"/>
      <c r="L493" s="498"/>
      <c r="M493" s="498"/>
      <c r="N493" s="498"/>
      <c r="O493" s="498"/>
      <c r="P493" s="49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</row>
    <row r="494" spans="1:26" ht="18.75">
      <c r="A494" s="608"/>
      <c r="B494" s="618"/>
      <c r="C494" s="618"/>
      <c r="D494" s="618"/>
      <c r="E494" s="618" t="s">
        <v>208</v>
      </c>
      <c r="F494" s="626"/>
      <c r="G494" s="762"/>
      <c r="H494" s="189"/>
      <c r="I494" s="270"/>
      <c r="J494" s="270"/>
      <c r="K494" s="498"/>
      <c r="L494" s="498"/>
      <c r="M494" s="498"/>
      <c r="N494" s="498"/>
      <c r="O494" s="498"/>
      <c r="P494" s="49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</row>
    <row r="495" spans="1:26" ht="18.75">
      <c r="A495" s="608"/>
      <c r="B495" s="618"/>
      <c r="C495" s="618"/>
      <c r="D495" s="618"/>
      <c r="E495" s="618"/>
      <c r="F495" s="626" t="s">
        <v>216</v>
      </c>
      <c r="G495" s="762"/>
      <c r="H495" s="623" t="s">
        <v>46</v>
      </c>
      <c r="I495" s="270">
        <f ca="1">IFERROR(__xludf.DUMMYFUNCTION("IMPORTRANGE(""https://docs.google.com/spreadsheets/d/1QqKyyYR6Q21VydFLVH3TRQUabQu_ym0Zz7PgGX0-kHA/edit?usp=sharing"",""แผน!FY36"")"),1170)</f>
        <v>1170</v>
      </c>
      <c r="J495" s="215">
        <v>1243</v>
      </c>
      <c r="K495" s="498">
        <f ca="1">IF(I495&gt;0,J495*100/I495,0)</f>
        <v>106.23931623931624</v>
      </c>
      <c r="L495" s="498"/>
      <c r="M495" s="498"/>
      <c r="N495" s="498"/>
      <c r="O495" s="498"/>
      <c r="P495" s="49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</row>
    <row r="496" spans="1:26" ht="18.75">
      <c r="A496" s="608"/>
      <c r="B496" s="618"/>
      <c r="C496" s="618"/>
      <c r="D496" s="618"/>
      <c r="E496" s="618"/>
      <c r="F496" s="626" t="s">
        <v>217</v>
      </c>
      <c r="G496" s="762"/>
      <c r="H496" s="623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</row>
    <row r="497" spans="1:26" ht="18.75">
      <c r="A497" s="608"/>
      <c r="B497" s="618"/>
      <c r="C497" s="618"/>
      <c r="D497" s="618"/>
      <c r="E497" s="618" t="s">
        <v>62</v>
      </c>
      <c r="F497" s="626"/>
      <c r="G497" s="762"/>
      <c r="H497" s="189"/>
      <c r="I497" s="270"/>
      <c r="J497" s="270"/>
      <c r="K497" s="498"/>
      <c r="L497" s="498"/>
      <c r="M497" s="498"/>
      <c r="N497" s="498"/>
      <c r="O497" s="498"/>
      <c r="P497" s="49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</row>
    <row r="498" spans="1:26" ht="18.75">
      <c r="A498" s="608"/>
      <c r="B498" s="618"/>
      <c r="C498" s="618"/>
      <c r="D498" s="618"/>
      <c r="E498" s="626"/>
      <c r="F498" s="626" t="s">
        <v>218</v>
      </c>
      <c r="G498" s="762"/>
      <c r="H498" s="623" t="s">
        <v>46</v>
      </c>
      <c r="I498" s="270">
        <f ca="1">IFERROR(__xludf.DUMMYFUNCTION("IMPORTRANGE(""https://docs.google.com/spreadsheets/d/1QqKyyYR6Q21VydFLVH3TRQUabQu_ym0Zz7PgGX0-kHA/edit?usp=sharing"",""แผน!GA36"")"),130)</f>
        <v>130</v>
      </c>
      <c r="J498" s="215">
        <v>60</v>
      </c>
      <c r="K498" s="498">
        <f ca="1">IF(I498&gt;0,J498*100/I498,0)</f>
        <v>46.153846153846153</v>
      </c>
      <c r="L498" s="498"/>
      <c r="M498" s="498"/>
      <c r="N498" s="498"/>
      <c r="O498" s="498"/>
      <c r="P498" s="49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</row>
    <row r="499" spans="1:26" ht="18.75">
      <c r="A499" s="608"/>
      <c r="B499" s="618"/>
      <c r="C499" s="618"/>
      <c r="D499" s="618"/>
      <c r="E499" s="626"/>
      <c r="F499" s="626" t="s">
        <v>219</v>
      </c>
      <c r="G499" s="762"/>
      <c r="H499" s="623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</row>
    <row r="500" spans="1:26" ht="19.5" hidden="1">
      <c r="A500" s="627">
        <v>4</v>
      </c>
      <c r="B500" s="628" t="s">
        <v>220</v>
      </c>
      <c r="C500" s="629"/>
      <c r="D500" s="630"/>
      <c r="E500" s="630"/>
      <c r="F500" s="630"/>
      <c r="G500" s="631"/>
      <c r="H500" s="632" t="s">
        <v>109</v>
      </c>
      <c r="I500" s="633"/>
      <c r="J500" s="633">
        <f t="shared" ref="J500:J501" si="214">J516</f>
        <v>0</v>
      </c>
      <c r="K500" s="634">
        <f t="shared" ref="K500:K501" si="215">IF(I500&gt;0,J500*100/I500,0)</f>
        <v>0</v>
      </c>
      <c r="L500" s="635"/>
      <c r="M500" s="635"/>
      <c r="N500" s="635"/>
      <c r="O500" s="635"/>
      <c r="P500" s="635"/>
      <c r="Q500" s="604"/>
      <c r="R500" s="604"/>
      <c r="S500" s="604"/>
      <c r="T500" s="604"/>
      <c r="U500" s="604"/>
      <c r="V500" s="604"/>
      <c r="W500" s="604"/>
      <c r="X500" s="604"/>
      <c r="Y500" s="604"/>
      <c r="Z500" s="604"/>
    </row>
    <row r="501" spans="1:26" ht="19.5" hidden="1">
      <c r="A501" s="636"/>
      <c r="B501" s="638" t="s">
        <v>221</v>
      </c>
      <c r="C501" s="638"/>
      <c r="D501" s="639"/>
      <c r="E501" s="639"/>
      <c r="F501" s="639"/>
      <c r="G501" s="640"/>
      <c r="H501" s="641" t="s">
        <v>35</v>
      </c>
      <c r="I501" s="642"/>
      <c r="J501" s="642">
        <f t="shared" si="214"/>
        <v>0</v>
      </c>
      <c r="K501" s="643">
        <f t="shared" si="215"/>
        <v>0</v>
      </c>
      <c r="L501" s="644"/>
      <c r="M501" s="644"/>
      <c r="N501" s="644"/>
      <c r="O501" s="644"/>
      <c r="P501" s="64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</row>
    <row r="502" spans="1:26" ht="19.5" hidden="1">
      <c r="A502" s="599"/>
      <c r="B502" s="759"/>
      <c r="C502" s="759" t="s">
        <v>16</v>
      </c>
      <c r="D502" s="864" t="s">
        <v>17</v>
      </c>
      <c r="E502" s="857"/>
      <c r="F502" s="857"/>
      <c r="G502" s="603"/>
      <c r="H502" s="646" t="s">
        <v>12</v>
      </c>
      <c r="I502" s="617"/>
      <c r="J502" s="617"/>
      <c r="K502" s="93"/>
      <c r="L502" s="647">
        <f t="shared" ref="L502:N502" si="216">L503+L504</f>
        <v>0</v>
      </c>
      <c r="M502" s="647">
        <f t="shared" si="216"/>
        <v>0</v>
      </c>
      <c r="N502" s="647">
        <f t="shared" si="216"/>
        <v>0</v>
      </c>
      <c r="O502" s="647">
        <f t="shared" ref="O502:O507" si="217">IF(L502&gt;0,N502*100/L502,0)</f>
        <v>0</v>
      </c>
      <c r="P502" s="647">
        <f t="shared" ref="P502:P507" si="218">IF(M502&gt;0,N502*100/M502,0)</f>
        <v>0</v>
      </c>
      <c r="Q502" s="604"/>
      <c r="R502" s="604"/>
      <c r="S502" s="604"/>
      <c r="T502" s="604"/>
      <c r="U502" s="604"/>
      <c r="V502" s="604"/>
      <c r="W502" s="604"/>
      <c r="X502" s="604"/>
      <c r="Y502" s="604"/>
      <c r="Z502" s="604"/>
    </row>
    <row r="503" spans="1:26" ht="18.75" hidden="1">
      <c r="A503" s="599"/>
      <c r="B503" s="759"/>
      <c r="C503" s="759"/>
      <c r="D503" s="720"/>
      <c r="E503" s="759" t="s">
        <v>185</v>
      </c>
      <c r="F503" s="759"/>
      <c r="G503" s="603"/>
      <c r="H503" s="165" t="s">
        <v>12</v>
      </c>
      <c r="I503" s="617"/>
      <c r="J503" s="617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4"/>
      <c r="R503" s="604"/>
      <c r="S503" s="604"/>
      <c r="T503" s="604"/>
      <c r="U503" s="604"/>
      <c r="V503" s="604"/>
      <c r="W503" s="604"/>
      <c r="X503" s="604"/>
      <c r="Y503" s="604"/>
      <c r="Z503" s="604"/>
    </row>
    <row r="504" spans="1:26" ht="18.75" hidden="1">
      <c r="A504" s="599"/>
      <c r="B504" s="607"/>
      <c r="C504" s="759"/>
      <c r="D504" s="720"/>
      <c r="E504" s="759" t="s">
        <v>186</v>
      </c>
      <c r="F504" s="759"/>
      <c r="G504" s="603"/>
      <c r="H504" s="165" t="s">
        <v>12</v>
      </c>
      <c r="I504" s="617"/>
      <c r="J504" s="617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4"/>
      <c r="R504" s="604"/>
      <c r="S504" s="604"/>
      <c r="T504" s="604"/>
      <c r="U504" s="604"/>
      <c r="V504" s="604"/>
      <c r="W504" s="604"/>
      <c r="X504" s="604"/>
      <c r="Y504" s="604"/>
      <c r="Z504" s="604"/>
    </row>
    <row r="505" spans="1:26" ht="18.75" hidden="1">
      <c r="A505" s="599"/>
      <c r="B505" s="607"/>
      <c r="C505" s="759"/>
      <c r="D505" s="648" t="s">
        <v>20</v>
      </c>
      <c r="E505" s="759"/>
      <c r="F505" s="759"/>
      <c r="G505" s="603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4"/>
      <c r="R505" s="604"/>
      <c r="S505" s="604"/>
      <c r="T505" s="604"/>
      <c r="U505" s="604"/>
      <c r="V505" s="604"/>
      <c r="W505" s="604"/>
      <c r="X505" s="604"/>
      <c r="Y505" s="604"/>
      <c r="Z505" s="604"/>
    </row>
    <row r="506" spans="1:26" ht="18.75" hidden="1">
      <c r="A506" s="599"/>
      <c r="B506" s="607"/>
      <c r="C506" s="759"/>
      <c r="D506" s="720"/>
      <c r="E506" s="759" t="s">
        <v>185</v>
      </c>
      <c r="F506" s="759"/>
      <c r="G506" s="603"/>
      <c r="H506" s="165" t="s">
        <v>12</v>
      </c>
      <c r="I506" s="617"/>
      <c r="J506" s="617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4"/>
      <c r="R506" s="604"/>
      <c r="S506" s="604"/>
      <c r="T506" s="604"/>
      <c r="U506" s="604"/>
      <c r="V506" s="604"/>
      <c r="W506" s="604"/>
      <c r="X506" s="604"/>
      <c r="Y506" s="604"/>
      <c r="Z506" s="604"/>
    </row>
    <row r="507" spans="1:26" ht="18.75" hidden="1">
      <c r="A507" s="599"/>
      <c r="B507" s="607"/>
      <c r="C507" s="759"/>
      <c r="D507" s="720"/>
      <c r="E507" s="759" t="s">
        <v>186</v>
      </c>
      <c r="F507" s="759"/>
      <c r="G507" s="603"/>
      <c r="H507" s="165" t="s">
        <v>12</v>
      </c>
      <c r="I507" s="617"/>
      <c r="J507" s="617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4"/>
      <c r="R507" s="604"/>
      <c r="S507" s="604"/>
      <c r="T507" s="604"/>
      <c r="U507" s="604"/>
      <c r="V507" s="604"/>
      <c r="W507" s="604"/>
      <c r="X507" s="604"/>
      <c r="Y507" s="604"/>
      <c r="Z507" s="604"/>
    </row>
    <row r="508" spans="1:26" ht="18.75" hidden="1">
      <c r="A508" s="649"/>
      <c r="B508" s="607"/>
      <c r="C508" s="759"/>
      <c r="D508" s="759"/>
      <c r="E508" s="759"/>
      <c r="F508" s="759" t="s">
        <v>187</v>
      </c>
      <c r="G508" s="603"/>
      <c r="H508" s="165" t="s">
        <v>12</v>
      </c>
      <c r="I508" s="617"/>
      <c r="J508" s="617"/>
      <c r="K508" s="93"/>
      <c r="L508" s="93"/>
      <c r="M508" s="93"/>
      <c r="N508" s="93">
        <v>0</v>
      </c>
      <c r="O508" s="93"/>
      <c r="P508" s="93"/>
      <c r="Q508" s="604"/>
      <c r="R508" s="604"/>
      <c r="S508" s="604"/>
      <c r="T508" s="604"/>
      <c r="U508" s="604"/>
      <c r="V508" s="604"/>
      <c r="W508" s="604"/>
      <c r="X508" s="604"/>
      <c r="Y508" s="604"/>
      <c r="Z508" s="604"/>
    </row>
    <row r="509" spans="1:26" ht="18.75" hidden="1">
      <c r="A509" s="649"/>
      <c r="B509" s="607"/>
      <c r="C509" s="759"/>
      <c r="D509" s="759"/>
      <c r="E509" s="759"/>
      <c r="F509" s="759" t="s">
        <v>188</v>
      </c>
      <c r="G509" s="603"/>
      <c r="H509" s="165" t="s">
        <v>12</v>
      </c>
      <c r="I509" s="617"/>
      <c r="J509" s="617"/>
      <c r="K509" s="93"/>
      <c r="L509" s="93"/>
      <c r="M509" s="93"/>
      <c r="N509" s="93">
        <v>0</v>
      </c>
      <c r="O509" s="93"/>
      <c r="P509" s="93"/>
      <c r="Q509" s="604"/>
      <c r="R509" s="604"/>
      <c r="S509" s="604"/>
      <c r="T509" s="604"/>
      <c r="U509" s="604"/>
      <c r="V509" s="604"/>
      <c r="W509" s="604"/>
      <c r="X509" s="604"/>
      <c r="Y509" s="604"/>
      <c r="Z509" s="604"/>
    </row>
    <row r="510" spans="1:26" ht="18.75" hidden="1">
      <c r="A510" s="649"/>
      <c r="B510" s="607"/>
      <c r="C510" s="607"/>
      <c r="D510" s="607"/>
      <c r="E510" s="759"/>
      <c r="F510" s="759" t="s">
        <v>189</v>
      </c>
      <c r="G510" s="603"/>
      <c r="H510" s="165" t="s">
        <v>12</v>
      </c>
      <c r="I510" s="617"/>
      <c r="J510" s="617"/>
      <c r="K510" s="93"/>
      <c r="L510" s="93"/>
      <c r="M510" s="93"/>
      <c r="N510" s="93">
        <v>0</v>
      </c>
      <c r="O510" s="93"/>
      <c r="P510" s="93"/>
      <c r="Q510" s="604"/>
      <c r="R510" s="604"/>
      <c r="S510" s="604"/>
      <c r="T510" s="604"/>
      <c r="U510" s="604"/>
      <c r="V510" s="604"/>
      <c r="W510" s="604"/>
      <c r="X510" s="604"/>
      <c r="Y510" s="604"/>
      <c r="Z510" s="604"/>
    </row>
    <row r="511" spans="1:26" ht="18.75" hidden="1">
      <c r="A511" s="649"/>
      <c r="B511" s="607"/>
      <c r="C511" s="607"/>
      <c r="D511" s="607"/>
      <c r="E511" s="759"/>
      <c r="F511" s="759" t="s">
        <v>190</v>
      </c>
      <c r="G511" s="603"/>
      <c r="H511" s="165" t="s">
        <v>12</v>
      </c>
      <c r="I511" s="617"/>
      <c r="J511" s="617"/>
      <c r="K511" s="93"/>
      <c r="L511" s="93"/>
      <c r="M511" s="93"/>
      <c r="N511" s="93">
        <v>0</v>
      </c>
      <c r="O511" s="93"/>
      <c r="P511" s="93"/>
      <c r="Q511" s="604"/>
      <c r="R511" s="604"/>
      <c r="S511" s="604"/>
      <c r="T511" s="604"/>
      <c r="U511" s="604"/>
      <c r="V511" s="604"/>
      <c r="W511" s="604"/>
      <c r="X511" s="604"/>
      <c r="Y511" s="604"/>
      <c r="Z511" s="604"/>
    </row>
    <row r="512" spans="1:26" ht="18.75" hidden="1">
      <c r="A512" s="599"/>
      <c r="B512" s="607"/>
      <c r="C512" s="607"/>
      <c r="D512" s="648" t="s">
        <v>21</v>
      </c>
      <c r="E512" s="607"/>
      <c r="F512" s="759"/>
      <c r="G512" s="603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4"/>
      <c r="R512" s="604"/>
      <c r="S512" s="604"/>
      <c r="T512" s="604"/>
      <c r="U512" s="604"/>
      <c r="V512" s="604"/>
      <c r="W512" s="604"/>
      <c r="X512" s="604"/>
      <c r="Y512" s="604"/>
      <c r="Z512" s="604"/>
    </row>
    <row r="513" spans="1:26" ht="18.75" hidden="1">
      <c r="A513" s="599"/>
      <c r="B513" s="607"/>
      <c r="C513" s="607"/>
      <c r="D513" s="607"/>
      <c r="E513" s="607" t="s">
        <v>18</v>
      </c>
      <c r="F513" s="759"/>
      <c r="G513" s="603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4"/>
      <c r="R513" s="604"/>
      <c r="S513" s="604"/>
      <c r="T513" s="604"/>
      <c r="U513" s="604"/>
      <c r="V513" s="604"/>
      <c r="W513" s="604"/>
      <c r="X513" s="604"/>
      <c r="Y513" s="604"/>
      <c r="Z513" s="604"/>
    </row>
    <row r="514" spans="1:26" ht="18.75" hidden="1">
      <c r="A514" s="599"/>
      <c r="B514" s="607"/>
      <c r="C514" s="607"/>
      <c r="D514" s="759"/>
      <c r="E514" s="607" t="s">
        <v>19</v>
      </c>
      <c r="F514" s="759"/>
      <c r="G514" s="603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4"/>
      <c r="R514" s="604"/>
      <c r="S514" s="604"/>
      <c r="T514" s="604"/>
      <c r="U514" s="604"/>
      <c r="V514" s="604"/>
      <c r="W514" s="604"/>
      <c r="X514" s="604"/>
      <c r="Y514" s="604"/>
      <c r="Z514" s="604"/>
    </row>
    <row r="515" spans="1:26" ht="19.5" hidden="1">
      <c r="A515" s="614"/>
      <c r="B515" s="616"/>
      <c r="C515" s="607" t="s">
        <v>16</v>
      </c>
      <c r="D515" s="895" t="s">
        <v>38</v>
      </c>
      <c r="E515" s="651"/>
      <c r="F515" s="651"/>
      <c r="G515" s="652"/>
      <c r="H515" s="366"/>
      <c r="I515" s="166"/>
      <c r="J515" s="166"/>
      <c r="K515" s="167"/>
      <c r="L515" s="167"/>
      <c r="M515" s="167"/>
      <c r="N515" s="167"/>
      <c r="O515" s="167"/>
      <c r="P515" s="167"/>
      <c r="Q515" s="604"/>
      <c r="R515" s="604"/>
      <c r="S515" s="604"/>
      <c r="T515" s="604"/>
      <c r="U515" s="604"/>
      <c r="V515" s="604"/>
      <c r="W515" s="604"/>
      <c r="X515" s="604"/>
      <c r="Y515" s="604"/>
      <c r="Z515" s="604"/>
    </row>
    <row r="516" spans="1:26" ht="18.75" hidden="1">
      <c r="A516" s="614"/>
      <c r="B516" s="616"/>
      <c r="C516" s="616"/>
      <c r="D516" s="616" t="s">
        <v>222</v>
      </c>
      <c r="E516" s="720"/>
      <c r="F516" s="720"/>
      <c r="G516" s="366"/>
      <c r="H516" s="653" t="s">
        <v>109</v>
      </c>
      <c r="I516" s="617"/>
      <c r="J516" s="617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4"/>
      <c r="R516" s="604"/>
      <c r="S516" s="604"/>
      <c r="T516" s="604"/>
      <c r="U516" s="604"/>
      <c r="V516" s="604"/>
      <c r="W516" s="604"/>
      <c r="X516" s="604"/>
      <c r="Y516" s="604"/>
      <c r="Z516" s="604"/>
    </row>
    <row r="517" spans="1:26" ht="19.5" hidden="1">
      <c r="A517" s="614"/>
      <c r="B517" s="616"/>
      <c r="C517" s="616"/>
      <c r="D517" s="616" t="s">
        <v>223</v>
      </c>
      <c r="E517" s="720"/>
      <c r="F517" s="720"/>
      <c r="G517" s="366"/>
      <c r="H517" s="654" t="s">
        <v>35</v>
      </c>
      <c r="I517" s="655"/>
      <c r="J517" s="655">
        <f>J518+J519</f>
        <v>0</v>
      </c>
      <c r="K517" s="656">
        <f t="shared" si="224"/>
        <v>0</v>
      </c>
      <c r="L517" s="167"/>
      <c r="M517" s="167"/>
      <c r="N517" s="167"/>
      <c r="O517" s="167"/>
      <c r="P517" s="167"/>
      <c r="Q517" s="604"/>
      <c r="R517" s="604"/>
      <c r="S517" s="604"/>
      <c r="T517" s="604"/>
      <c r="U517" s="604"/>
      <c r="V517" s="604"/>
      <c r="W517" s="604"/>
      <c r="X517" s="604"/>
      <c r="Y517" s="604"/>
      <c r="Z517" s="604"/>
    </row>
    <row r="518" spans="1:26" ht="18.75" hidden="1">
      <c r="A518" s="614"/>
      <c r="B518" s="616"/>
      <c r="C518" s="616"/>
      <c r="D518" s="616"/>
      <c r="E518" s="616" t="s">
        <v>224</v>
      </c>
      <c r="F518" s="720"/>
      <c r="G518" s="366"/>
      <c r="H518" s="370" t="s">
        <v>35</v>
      </c>
      <c r="I518" s="617"/>
      <c r="J518" s="617"/>
      <c r="K518" s="167"/>
      <c r="L518" s="167"/>
      <c r="M518" s="167"/>
      <c r="N518" s="167"/>
      <c r="O518" s="167"/>
      <c r="P518" s="167"/>
      <c r="Q518" s="604"/>
      <c r="R518" s="604"/>
      <c r="S518" s="604"/>
      <c r="T518" s="604"/>
      <c r="U518" s="604"/>
      <c r="V518" s="604"/>
      <c r="W518" s="604"/>
      <c r="X518" s="604"/>
      <c r="Y518" s="604"/>
      <c r="Z518" s="604"/>
    </row>
    <row r="519" spans="1:26" ht="18.75" hidden="1">
      <c r="A519" s="614"/>
      <c r="B519" s="616"/>
      <c r="C519" s="616"/>
      <c r="D519" s="616"/>
      <c r="E519" s="616" t="s">
        <v>225</v>
      </c>
      <c r="F519" s="720"/>
      <c r="G519" s="366"/>
      <c r="H519" s="653" t="s">
        <v>35</v>
      </c>
      <c r="I519" s="617"/>
      <c r="J519" s="617"/>
      <c r="K519" s="167"/>
      <c r="L519" s="167"/>
      <c r="M519" s="167"/>
      <c r="N519" s="167"/>
      <c r="O519" s="167"/>
      <c r="P519" s="167"/>
      <c r="Q519" s="604"/>
      <c r="R519" s="604"/>
      <c r="S519" s="604"/>
      <c r="T519" s="604"/>
      <c r="U519" s="604"/>
      <c r="V519" s="604"/>
      <c r="W519" s="604"/>
      <c r="X519" s="604"/>
      <c r="Y519" s="604"/>
      <c r="Z519" s="604"/>
    </row>
    <row r="520" spans="1:26" ht="19.5">
      <c r="A520" s="657" t="s">
        <v>137</v>
      </c>
      <c r="B520" s="658"/>
      <c r="C520" s="658"/>
      <c r="D520" s="659"/>
      <c r="E520" s="659"/>
      <c r="F520" s="659"/>
      <c r="G520" s="660"/>
      <c r="H520" s="661"/>
      <c r="I520" s="662"/>
      <c r="J520" s="662"/>
      <c r="K520" s="663"/>
      <c r="L520" s="663"/>
      <c r="M520" s="663"/>
      <c r="N520" s="663"/>
      <c r="O520" s="663"/>
      <c r="P520" s="663"/>
    </row>
    <row r="521" spans="1:26" ht="19.5">
      <c r="A521" s="664">
        <v>5</v>
      </c>
      <c r="B521" s="665" t="s">
        <v>226</v>
      </c>
      <c r="C521" s="666"/>
      <c r="D521" s="667"/>
      <c r="E521" s="667"/>
      <c r="F521" s="667"/>
      <c r="G521" s="667"/>
      <c r="H521" s="668"/>
      <c r="I521" s="669"/>
      <c r="J521" s="669"/>
      <c r="K521" s="670"/>
      <c r="L521" s="670"/>
      <c r="M521" s="670"/>
      <c r="N521" s="670"/>
      <c r="O521" s="670"/>
      <c r="P521" s="670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</row>
    <row r="522" spans="1:26" ht="19.5">
      <c r="A522" s="671"/>
      <c r="B522" s="672" t="s">
        <v>227</v>
      </c>
      <c r="C522" s="673"/>
      <c r="D522" s="673"/>
      <c r="E522" s="673"/>
      <c r="F522" s="673"/>
      <c r="G522" s="674"/>
      <c r="H522" s="675" t="s">
        <v>35</v>
      </c>
      <c r="I522" s="708">
        <f t="shared" ref="I522:J522" ca="1" si="225">I537</f>
        <v>50</v>
      </c>
      <c r="J522" s="708">
        <f t="shared" ca="1" si="225"/>
        <v>50</v>
      </c>
      <c r="K522" s="677">
        <f ca="1">IF(I522&gt;0,J522*100/I522,0)</f>
        <v>100</v>
      </c>
      <c r="L522" s="678"/>
      <c r="M522" s="678"/>
      <c r="N522" s="678"/>
      <c r="O522" s="678"/>
      <c r="P522" s="6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</row>
    <row r="523" spans="1:26" ht="19.5">
      <c r="A523" s="597"/>
      <c r="B523" s="763"/>
      <c r="C523" s="763" t="s">
        <v>16</v>
      </c>
      <c r="D523" s="863" t="s">
        <v>17</v>
      </c>
      <c r="E523" s="857"/>
      <c r="F523" s="857"/>
      <c r="G523" s="189"/>
      <c r="H523" s="598" t="s">
        <v>12</v>
      </c>
      <c r="I523" s="270"/>
      <c r="J523" s="270"/>
      <c r="K523" s="498"/>
      <c r="L523" s="195">
        <f t="shared" ref="L523:N523" ca="1" si="226">L524+L525</f>
        <v>427460</v>
      </c>
      <c r="M523" s="195">
        <f t="shared" ca="1" si="226"/>
        <v>455560</v>
      </c>
      <c r="N523" s="195">
        <f t="shared" si="226"/>
        <v>455560</v>
      </c>
      <c r="O523" s="195">
        <f t="shared" ref="O523:O528" ca="1" si="227">IF(L523&gt;0,N523*100/L523,0)</f>
        <v>106.5737144996023</v>
      </c>
      <c r="P523" s="195">
        <f t="shared" ref="P523:P528" ca="1" si="228">IF(M523&gt;0,N523*100/M523,0)</f>
        <v>100</v>
      </c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</row>
    <row r="524" spans="1:26" ht="18.75" hidden="1">
      <c r="A524" s="599"/>
      <c r="B524" s="759"/>
      <c r="C524" s="759"/>
      <c r="D524" s="720"/>
      <c r="E524" s="759" t="s">
        <v>185</v>
      </c>
      <c r="F524" s="759"/>
      <c r="G524" s="603"/>
      <c r="H524" s="165" t="s">
        <v>12</v>
      </c>
      <c r="I524" s="617"/>
      <c r="J524" s="617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4"/>
      <c r="R524" s="604"/>
      <c r="S524" s="604"/>
      <c r="T524" s="604"/>
      <c r="U524" s="604"/>
      <c r="V524" s="604"/>
      <c r="W524" s="604"/>
      <c r="X524" s="604"/>
      <c r="Y524" s="604"/>
      <c r="Z524" s="604"/>
    </row>
    <row r="525" spans="1:26" ht="18.75" hidden="1">
      <c r="A525" s="599"/>
      <c r="B525" s="607"/>
      <c r="C525" s="759"/>
      <c r="D525" s="720"/>
      <c r="E525" s="759" t="s">
        <v>186</v>
      </c>
      <c r="F525" s="759"/>
      <c r="G525" s="603"/>
      <c r="H525" s="165" t="s">
        <v>12</v>
      </c>
      <c r="I525" s="617"/>
      <c r="J525" s="617"/>
      <c r="K525" s="93"/>
      <c r="L525" s="93">
        <f t="shared" ca="1" si="229"/>
        <v>427460</v>
      </c>
      <c r="M525" s="93">
        <f t="shared" ca="1" si="229"/>
        <v>455560</v>
      </c>
      <c r="N525" s="93">
        <f t="shared" si="229"/>
        <v>455560</v>
      </c>
      <c r="O525" s="93">
        <f t="shared" ca="1" si="227"/>
        <v>106.5737144996023</v>
      </c>
      <c r="P525" s="93">
        <f t="shared" ca="1" si="228"/>
        <v>100</v>
      </c>
      <c r="Q525" s="604"/>
      <c r="R525" s="604"/>
      <c r="S525" s="604"/>
      <c r="T525" s="604"/>
      <c r="U525" s="604"/>
      <c r="V525" s="604"/>
      <c r="W525" s="604"/>
      <c r="X525" s="604"/>
      <c r="Y525" s="604"/>
      <c r="Z525" s="604"/>
    </row>
    <row r="526" spans="1:26" ht="18.75">
      <c r="A526" s="597"/>
      <c r="B526" s="575"/>
      <c r="C526" s="763"/>
      <c r="D526" s="606" t="s">
        <v>20</v>
      </c>
      <c r="E526" s="763"/>
      <c r="F526" s="763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427460</v>
      </c>
      <c r="M526" s="498">
        <f t="shared" ca="1" si="230"/>
        <v>455560</v>
      </c>
      <c r="N526" s="498">
        <f t="shared" si="230"/>
        <v>455560</v>
      </c>
      <c r="O526" s="498">
        <f t="shared" ca="1" si="227"/>
        <v>106.5737144996023</v>
      </c>
      <c r="P526" s="498">
        <f t="shared" ca="1" si="228"/>
        <v>100</v>
      </c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</row>
    <row r="527" spans="1:26" ht="18.75" hidden="1">
      <c r="A527" s="599"/>
      <c r="B527" s="607"/>
      <c r="C527" s="759"/>
      <c r="D527" s="720"/>
      <c r="E527" s="759" t="s">
        <v>185</v>
      </c>
      <c r="F527" s="759"/>
      <c r="G527" s="603"/>
      <c r="H527" s="165" t="s">
        <v>12</v>
      </c>
      <c r="I527" s="617"/>
      <c r="J527" s="617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4"/>
      <c r="R527" s="604"/>
      <c r="S527" s="604"/>
      <c r="T527" s="604"/>
      <c r="U527" s="604"/>
      <c r="V527" s="604"/>
      <c r="W527" s="604"/>
      <c r="X527" s="604"/>
      <c r="Y527" s="604"/>
      <c r="Z527" s="604"/>
    </row>
    <row r="528" spans="1:26" ht="18.75" hidden="1">
      <c r="A528" s="599"/>
      <c r="B528" s="607"/>
      <c r="C528" s="759"/>
      <c r="D528" s="720"/>
      <c r="E528" s="759" t="s">
        <v>186</v>
      </c>
      <c r="F528" s="759"/>
      <c r="G528" s="603"/>
      <c r="H528" s="165" t="s">
        <v>12</v>
      </c>
      <c r="I528" s="617"/>
      <c r="J528" s="617"/>
      <c r="K528" s="93"/>
      <c r="L528" s="93">
        <f ca="1">IFERROR(__xludf.DUMMYFUNCTION("IMPORTRANGE(""https://docs.google.com/spreadsheets/d/1QqKyyYR6Q21VydFLVH3TRQUabQu_ym0Zz7PgGX0-kHA/edit?usp=sharing"",""แผน!GQ36"")"),427460)</f>
        <v>427460</v>
      </c>
      <c r="M528" s="93">
        <f ca="1">L528+28100</f>
        <v>455560</v>
      </c>
      <c r="N528" s="93">
        <f>N529+N530+N531+N532</f>
        <v>455560</v>
      </c>
      <c r="O528" s="93">
        <f t="shared" ca="1" si="227"/>
        <v>106.5737144996023</v>
      </c>
      <c r="P528" s="93">
        <f t="shared" ca="1" si="228"/>
        <v>100</v>
      </c>
      <c r="Q528" s="604"/>
      <c r="R528" s="604"/>
      <c r="S528" s="604"/>
      <c r="T528" s="604"/>
      <c r="U528" s="604"/>
      <c r="V528" s="604"/>
      <c r="W528" s="604"/>
      <c r="X528" s="604"/>
      <c r="Y528" s="604"/>
      <c r="Z528" s="604"/>
    </row>
    <row r="529" spans="1:26" ht="18.75">
      <c r="A529" s="574"/>
      <c r="B529" s="575"/>
      <c r="C529" s="763"/>
      <c r="D529" s="763"/>
      <c r="E529" s="763"/>
      <c r="F529" s="763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40">
        <v>151920</v>
      </c>
      <c r="O529" s="498"/>
      <c r="P529" s="49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</row>
    <row r="530" spans="1:26" ht="18.75">
      <c r="A530" s="574"/>
      <c r="B530" s="575"/>
      <c r="C530" s="763"/>
      <c r="D530" s="763"/>
      <c r="E530" s="763"/>
      <c r="F530" s="763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40">
        <v>249786.82</v>
      </c>
      <c r="O530" s="498"/>
      <c r="P530" s="49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</row>
    <row r="531" spans="1:26" ht="18.75">
      <c r="A531" s="574"/>
      <c r="B531" s="575"/>
      <c r="C531" s="763"/>
      <c r="D531" s="763"/>
      <c r="E531" s="763"/>
      <c r="F531" s="763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40">
        <v>0</v>
      </c>
      <c r="O531" s="498"/>
      <c r="P531" s="49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</row>
    <row r="532" spans="1:26" ht="18.75">
      <c r="A532" s="574"/>
      <c r="B532" s="575"/>
      <c r="C532" s="763"/>
      <c r="D532" s="763"/>
      <c r="E532" s="763"/>
      <c r="F532" s="763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40">
        <v>53853.18</v>
      </c>
      <c r="O532" s="498"/>
      <c r="P532" s="49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</row>
    <row r="533" spans="1:26" ht="18.75">
      <c r="A533" s="597"/>
      <c r="B533" s="575"/>
      <c r="C533" s="763"/>
      <c r="D533" s="606" t="s">
        <v>21</v>
      </c>
      <c r="E533" s="763"/>
      <c r="F533" s="763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</row>
    <row r="534" spans="1:26" ht="18.75" hidden="1">
      <c r="A534" s="599"/>
      <c r="B534" s="607"/>
      <c r="C534" s="759"/>
      <c r="D534" s="759"/>
      <c r="E534" s="759" t="s">
        <v>18</v>
      </c>
      <c r="F534" s="759"/>
      <c r="G534" s="603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4"/>
      <c r="R534" s="604"/>
      <c r="S534" s="604"/>
      <c r="T534" s="604"/>
      <c r="U534" s="604"/>
      <c r="V534" s="604"/>
      <c r="W534" s="604"/>
      <c r="X534" s="604"/>
      <c r="Y534" s="604"/>
      <c r="Z534" s="604"/>
    </row>
    <row r="535" spans="1:26" ht="18.75" hidden="1">
      <c r="A535" s="599"/>
      <c r="B535" s="607"/>
      <c r="C535" s="759"/>
      <c r="D535" s="759"/>
      <c r="E535" s="759" t="s">
        <v>19</v>
      </c>
      <c r="F535" s="759"/>
      <c r="G535" s="603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4"/>
      <c r="R535" s="604"/>
      <c r="S535" s="604"/>
      <c r="T535" s="604"/>
      <c r="U535" s="604"/>
      <c r="V535" s="604"/>
      <c r="W535" s="604"/>
      <c r="X535" s="604"/>
      <c r="Y535" s="604"/>
      <c r="Z535" s="604"/>
    </row>
    <row r="536" spans="1:26" ht="19.5">
      <c r="A536" s="608"/>
      <c r="B536" s="618"/>
      <c r="C536" s="763" t="s">
        <v>16</v>
      </c>
      <c r="D536" s="896" t="s">
        <v>38</v>
      </c>
      <c r="E536" s="761"/>
      <c r="F536" s="761"/>
      <c r="G536" s="613"/>
      <c r="H536" s="762"/>
      <c r="I536" s="184"/>
      <c r="J536" s="184"/>
      <c r="K536" s="163"/>
      <c r="L536" s="163"/>
      <c r="M536" s="163"/>
      <c r="N536" s="163"/>
      <c r="O536" s="163"/>
      <c r="P536" s="163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</row>
    <row r="537" spans="1:26" ht="19.5">
      <c r="A537" s="574"/>
      <c r="B537" s="575"/>
      <c r="C537" s="763"/>
      <c r="D537" s="763" t="s">
        <v>228</v>
      </c>
      <c r="E537" s="763"/>
      <c r="F537" s="763"/>
      <c r="G537" s="189"/>
      <c r="H537" s="623" t="s">
        <v>35</v>
      </c>
      <c r="I537" s="681">
        <f ca="1">IFERROR(__xludf.DUMMYFUNCTION("IMPORTRANGE(""https://docs.google.com/spreadsheets/d/1QqKyyYR6Q21VydFLVH3TRQUabQu_ym0Zz7PgGX0-kHA/edit?usp=sharing"",""แผน!GU36"")"),50)</f>
        <v>50</v>
      </c>
      <c r="J537" s="681">
        <f ca="1">IF(AND(J538=I538,J539=I539,J540=I540,J541=I541),I537,0)</f>
        <v>50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2"/>
      <c r="R537" s="682"/>
      <c r="S537" s="682"/>
      <c r="T537" s="682"/>
      <c r="U537" s="682"/>
      <c r="V537" s="682"/>
      <c r="W537" s="682"/>
      <c r="X537" s="682"/>
      <c r="Y537" s="682"/>
      <c r="Z537" s="682"/>
    </row>
    <row r="538" spans="1:26" ht="18.75">
      <c r="A538" s="574"/>
      <c r="B538" s="575"/>
      <c r="C538" s="763"/>
      <c r="D538" s="763"/>
      <c r="E538" s="763" t="s">
        <v>229</v>
      </c>
      <c r="F538" s="763"/>
      <c r="G538" s="189"/>
      <c r="H538" s="623" t="s">
        <v>35</v>
      </c>
      <c r="I538" s="270">
        <f ca="1">IFERROR(__xludf.DUMMYFUNCTION("IMPORTRANGE(""https://docs.google.com/spreadsheets/d/1QqKyyYR6Q21VydFLVH3TRQUabQu_ym0Zz7PgGX0-kHA/edit?usp=sharing"",""แผน!GV36"")"),50)</f>
        <v>50</v>
      </c>
      <c r="J538" s="215">
        <v>50</v>
      </c>
      <c r="K538" s="498">
        <f t="shared" ca="1" si="234"/>
        <v>100</v>
      </c>
      <c r="L538" s="498"/>
      <c r="M538" s="498"/>
      <c r="N538" s="498"/>
      <c r="O538" s="498"/>
      <c r="P538" s="498"/>
      <c r="Q538" s="682"/>
      <c r="R538" s="682"/>
      <c r="S538" s="682"/>
      <c r="T538" s="682"/>
      <c r="U538" s="682"/>
      <c r="V538" s="682"/>
      <c r="W538" s="682"/>
      <c r="X538" s="682"/>
      <c r="Y538" s="682"/>
      <c r="Z538" s="682"/>
    </row>
    <row r="539" spans="1:26" ht="18.75">
      <c r="A539" s="574"/>
      <c r="B539" s="575"/>
      <c r="C539" s="763"/>
      <c r="D539" s="763"/>
      <c r="E539" s="763" t="s">
        <v>230</v>
      </c>
      <c r="F539" s="763"/>
      <c r="G539" s="189"/>
      <c r="H539" s="623" t="s">
        <v>35</v>
      </c>
      <c r="I539" s="270">
        <f ca="1">IFERROR(__xludf.DUMMYFUNCTION("IMPORTRANGE(""https://docs.google.com/spreadsheets/d/1QqKyyYR6Q21VydFLVH3TRQUabQu_ym0Zz7PgGX0-kHA/edit?usp=sharing"",""แผน!GW36"")"),0)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2"/>
      <c r="R539" s="682"/>
      <c r="S539" s="682"/>
      <c r="T539" s="682"/>
      <c r="U539" s="682"/>
      <c r="V539" s="682"/>
      <c r="W539" s="682"/>
      <c r="X539" s="682"/>
      <c r="Y539" s="682"/>
      <c r="Z539" s="682"/>
    </row>
    <row r="540" spans="1:26" ht="18.75">
      <c r="A540" s="574"/>
      <c r="B540" s="575"/>
      <c r="C540" s="763"/>
      <c r="D540" s="763"/>
      <c r="E540" s="763" t="s">
        <v>231</v>
      </c>
      <c r="F540" s="763"/>
      <c r="G540" s="189"/>
      <c r="H540" s="623" t="s">
        <v>35</v>
      </c>
      <c r="I540" s="270">
        <f ca="1">IFERROR(__xludf.DUMMYFUNCTION("IMPORTRANGE(""https://docs.google.com/spreadsheets/d/1QqKyyYR6Q21VydFLVH3TRQUabQu_ym0Zz7PgGX0-kHA/edit?usp=sharing"",""แผน!GX36"")"),0)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2"/>
      <c r="R540" s="682"/>
      <c r="S540" s="682"/>
      <c r="T540" s="682"/>
      <c r="U540" s="682"/>
      <c r="V540" s="682"/>
      <c r="W540" s="682"/>
      <c r="X540" s="682"/>
      <c r="Y540" s="682"/>
      <c r="Z540" s="682"/>
    </row>
    <row r="541" spans="1:26" ht="18.75">
      <c r="A541" s="574"/>
      <c r="B541" s="575"/>
      <c r="C541" s="763"/>
      <c r="D541" s="763"/>
      <c r="E541" s="769" t="s">
        <v>232</v>
      </c>
      <c r="F541" s="763"/>
      <c r="G541" s="189"/>
      <c r="H541" s="623" t="s">
        <v>35</v>
      </c>
      <c r="I541" s="270">
        <f ca="1">IFERROR(__xludf.DUMMYFUNCTION("IMPORTRANGE(""https://docs.google.com/spreadsheets/d/1QqKyyYR6Q21VydFLVH3TRQUabQu_ym0Zz7PgGX0-kHA/edit?usp=sharing"",""แผน!GY36"")"),50)</f>
        <v>50</v>
      </c>
      <c r="J541" s="215">
        <v>50</v>
      </c>
      <c r="K541" s="498">
        <f t="shared" ca="1" si="234"/>
        <v>100</v>
      </c>
      <c r="L541" s="498"/>
      <c r="M541" s="498"/>
      <c r="N541" s="498"/>
      <c r="O541" s="498"/>
      <c r="P541" s="498"/>
      <c r="Q541" s="682"/>
      <c r="R541" s="682"/>
      <c r="S541" s="682"/>
      <c r="T541" s="682"/>
      <c r="U541" s="682"/>
      <c r="V541" s="682"/>
      <c r="W541" s="682"/>
      <c r="X541" s="682"/>
      <c r="Y541" s="682"/>
      <c r="Z541" s="682"/>
    </row>
    <row r="542" spans="1:26" ht="18.75">
      <c r="A542" s="574"/>
      <c r="B542" s="575"/>
      <c r="C542" s="763"/>
      <c r="D542" s="763" t="s">
        <v>59</v>
      </c>
      <c r="E542" s="763"/>
      <c r="F542" s="763"/>
      <c r="G542" s="189"/>
      <c r="H542" s="623" t="s">
        <v>35</v>
      </c>
      <c r="I542" s="270">
        <f ca="1">IFERROR(__xludf.DUMMYFUNCTION("IMPORTRANGE(""https://docs.google.com/spreadsheets/d/1QqKyyYR6Q21VydFLVH3TRQUabQu_ym0Zz7PgGX0-kHA/edit?usp=sharing"",""แผน!GZ36"")"),50)</f>
        <v>50</v>
      </c>
      <c r="J542" s="215">
        <v>50</v>
      </c>
      <c r="K542" s="498">
        <f t="shared" ca="1" si="234"/>
        <v>100</v>
      </c>
      <c r="L542" s="498"/>
      <c r="M542" s="498"/>
      <c r="N542" s="498"/>
      <c r="O542" s="498"/>
      <c r="P542" s="498"/>
      <c r="Q542" s="682"/>
      <c r="R542" s="682"/>
      <c r="S542" s="682"/>
      <c r="T542" s="682"/>
      <c r="U542" s="682"/>
      <c r="V542" s="682"/>
      <c r="W542" s="682"/>
      <c r="X542" s="682"/>
      <c r="Y542" s="682"/>
      <c r="Z542" s="682"/>
    </row>
    <row r="543" spans="1:26" ht="19.5">
      <c r="A543" s="664">
        <v>6</v>
      </c>
      <c r="B543" s="685" t="s">
        <v>233</v>
      </c>
      <c r="C543" s="667"/>
      <c r="D543" s="667"/>
      <c r="E543" s="667"/>
      <c r="F543" s="667"/>
      <c r="G543" s="668"/>
      <c r="H543" s="686" t="s">
        <v>46</v>
      </c>
      <c r="I543" s="687">
        <f t="shared" ref="I543:J543" ca="1" si="235">I559</f>
        <v>103382.1</v>
      </c>
      <c r="J543" s="687">
        <f t="shared" si="235"/>
        <v>103382.1</v>
      </c>
      <c r="K543" s="688">
        <f t="shared" ca="1" si="234"/>
        <v>100</v>
      </c>
      <c r="L543" s="670"/>
      <c r="M543" s="670"/>
      <c r="N543" s="670"/>
      <c r="O543" s="670"/>
      <c r="P543" s="670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</row>
    <row r="544" spans="1:26" ht="19.5">
      <c r="A544" s="689"/>
      <c r="B544" s="690"/>
      <c r="C544" s="690" t="s">
        <v>16</v>
      </c>
      <c r="D544" s="897" t="s">
        <v>17</v>
      </c>
      <c r="E544" s="862"/>
      <c r="F544" s="862"/>
      <c r="G544" s="691"/>
      <c r="H544" s="275" t="s">
        <v>12</v>
      </c>
      <c r="I544" s="420"/>
      <c r="J544" s="420"/>
      <c r="K544" s="154"/>
      <c r="L544" s="155">
        <f t="shared" ref="L544:N544" ca="1" si="236">L545+L546</f>
        <v>813187</v>
      </c>
      <c r="M544" s="155">
        <f t="shared" ca="1" si="236"/>
        <v>814887.01</v>
      </c>
      <c r="N544" s="155">
        <f t="shared" si="236"/>
        <v>814887.01</v>
      </c>
      <c r="O544" s="155">
        <f t="shared" ref="O544:O549" ca="1" si="237">IF(L544&gt;0,N544*100/L544,0)</f>
        <v>100.20905523575757</v>
      </c>
      <c r="P544" s="155">
        <f t="shared" ref="P544:P549" ca="1" si="238">IF(M544&gt;0,N544*100/M544,0)</f>
        <v>100</v>
      </c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</row>
    <row r="545" spans="1:26" ht="18.75" hidden="1">
      <c r="A545" s="599"/>
      <c r="B545" s="759"/>
      <c r="C545" s="759"/>
      <c r="D545" s="759"/>
      <c r="E545" s="759" t="s">
        <v>185</v>
      </c>
      <c r="F545" s="759"/>
      <c r="G545" s="603"/>
      <c r="H545" s="165" t="s">
        <v>12</v>
      </c>
      <c r="I545" s="617"/>
      <c r="J545" s="617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4"/>
      <c r="R545" s="604"/>
      <c r="S545" s="604"/>
      <c r="T545" s="604"/>
      <c r="U545" s="604"/>
      <c r="V545" s="604"/>
      <c r="W545" s="604"/>
      <c r="X545" s="604"/>
      <c r="Y545" s="604"/>
      <c r="Z545" s="604"/>
    </row>
    <row r="546" spans="1:26" ht="18.75" hidden="1">
      <c r="A546" s="599"/>
      <c r="B546" s="607"/>
      <c r="C546" s="759"/>
      <c r="D546" s="759"/>
      <c r="E546" s="759" t="s">
        <v>186</v>
      </c>
      <c r="F546" s="759"/>
      <c r="G546" s="603"/>
      <c r="H546" s="165" t="s">
        <v>12</v>
      </c>
      <c r="I546" s="617"/>
      <c r="J546" s="617"/>
      <c r="K546" s="93"/>
      <c r="L546" s="93">
        <f t="shared" ca="1" si="239"/>
        <v>813187</v>
      </c>
      <c r="M546" s="93">
        <f t="shared" ca="1" si="240"/>
        <v>814887.01</v>
      </c>
      <c r="N546" s="93">
        <f t="shared" si="240"/>
        <v>814887.01</v>
      </c>
      <c r="O546" s="93">
        <f t="shared" ca="1" si="237"/>
        <v>100.20905523575757</v>
      </c>
      <c r="P546" s="93">
        <f t="shared" ca="1" si="238"/>
        <v>100</v>
      </c>
      <c r="Q546" s="604"/>
      <c r="R546" s="604"/>
      <c r="S546" s="604"/>
      <c r="T546" s="604"/>
      <c r="U546" s="604"/>
      <c r="V546" s="604"/>
      <c r="W546" s="604"/>
      <c r="X546" s="604"/>
      <c r="Y546" s="604"/>
      <c r="Z546" s="604"/>
    </row>
    <row r="547" spans="1:26" ht="18.75">
      <c r="A547" s="597"/>
      <c r="B547" s="575"/>
      <c r="C547" s="763"/>
      <c r="D547" s="606" t="s">
        <v>20</v>
      </c>
      <c r="E547" s="763"/>
      <c r="F547" s="763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813187</v>
      </c>
      <c r="M547" s="498">
        <f t="shared" ca="1" si="241"/>
        <v>814887.01</v>
      </c>
      <c r="N547" s="498">
        <f t="shared" si="241"/>
        <v>814887.01</v>
      </c>
      <c r="O547" s="498">
        <f t="shared" ca="1" si="237"/>
        <v>100.20905523575757</v>
      </c>
      <c r="P547" s="498">
        <f t="shared" ca="1" si="238"/>
        <v>100</v>
      </c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</row>
    <row r="548" spans="1:26" ht="18.75" hidden="1">
      <c r="A548" s="599"/>
      <c r="B548" s="607"/>
      <c r="C548" s="759"/>
      <c r="D548" s="720"/>
      <c r="E548" s="759" t="s">
        <v>185</v>
      </c>
      <c r="F548" s="759"/>
      <c r="G548" s="603"/>
      <c r="H548" s="165" t="s">
        <v>12</v>
      </c>
      <c r="I548" s="617"/>
      <c r="J548" s="617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4"/>
      <c r="R548" s="604"/>
      <c r="S548" s="604"/>
      <c r="T548" s="604"/>
      <c r="U548" s="604"/>
      <c r="V548" s="604"/>
      <c r="W548" s="604"/>
      <c r="X548" s="604"/>
      <c r="Y548" s="604"/>
      <c r="Z548" s="604"/>
    </row>
    <row r="549" spans="1:26" ht="18.75" hidden="1">
      <c r="A549" s="599"/>
      <c r="B549" s="607"/>
      <c r="C549" s="759"/>
      <c r="D549" s="720"/>
      <c r="E549" s="759" t="s">
        <v>186</v>
      </c>
      <c r="F549" s="759"/>
      <c r="G549" s="603"/>
      <c r="H549" s="165" t="s">
        <v>12</v>
      </c>
      <c r="I549" s="617"/>
      <c r="J549" s="617"/>
      <c r="K549" s="93"/>
      <c r="L549" s="93">
        <f ca="1">IFERROR(__xludf.DUMMYFUNCTION("IMPORTRANGE(""https://docs.google.com/spreadsheets/d/1QqKyyYR6Q21VydFLVH3TRQUabQu_ym0Zz7PgGX0-kHA/edit?usp=sharing"",""แผน!HB36"")"),813187)</f>
        <v>813187</v>
      </c>
      <c r="M549" s="93">
        <f ca="1">L549+3000-866.66-433.33</f>
        <v>814887.01</v>
      </c>
      <c r="N549" s="93">
        <f>N550+N551+N552+N553+N554</f>
        <v>814887.01</v>
      </c>
      <c r="O549" s="93">
        <f t="shared" ca="1" si="237"/>
        <v>100.20905523575757</v>
      </c>
      <c r="P549" s="93">
        <f t="shared" ca="1" si="238"/>
        <v>100</v>
      </c>
      <c r="Q549" s="604"/>
      <c r="R549" s="604"/>
      <c r="S549" s="604"/>
      <c r="T549" s="604"/>
      <c r="U549" s="604"/>
      <c r="V549" s="604"/>
      <c r="W549" s="604"/>
      <c r="X549" s="604"/>
      <c r="Y549" s="604"/>
      <c r="Z549" s="604"/>
    </row>
    <row r="550" spans="1:26" ht="18.75">
      <c r="A550" s="574"/>
      <c r="B550" s="575"/>
      <c r="C550" s="763"/>
      <c r="D550" s="763"/>
      <c r="E550" s="763"/>
      <c r="F550" s="763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40">
        <v>0</v>
      </c>
      <c r="O550" s="498"/>
      <c r="P550" s="49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</row>
    <row r="551" spans="1:26" ht="18.75">
      <c r="A551" s="574"/>
      <c r="B551" s="575"/>
      <c r="C551" s="575"/>
      <c r="D551" s="575"/>
      <c r="E551" s="763"/>
      <c r="F551" s="763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40">
        <v>0</v>
      </c>
      <c r="O551" s="498"/>
      <c r="P551" s="49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</row>
    <row r="552" spans="1:26" ht="18.75">
      <c r="A552" s="574"/>
      <c r="B552" s="575"/>
      <c r="C552" s="763"/>
      <c r="D552" s="763"/>
      <c r="E552" s="763"/>
      <c r="F552" s="763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40">
        <v>141700.01</v>
      </c>
      <c r="O552" s="498"/>
      <c r="P552" s="498"/>
      <c r="Q552" s="578" t="s">
        <v>341</v>
      </c>
      <c r="R552" s="578"/>
      <c r="S552" s="578"/>
      <c r="T552" s="578"/>
      <c r="U552" s="578"/>
      <c r="V552" s="578"/>
      <c r="W552" s="578"/>
      <c r="X552" s="578"/>
      <c r="Y552" s="578"/>
      <c r="Z552" s="578"/>
    </row>
    <row r="553" spans="1:26" ht="18.75">
      <c r="A553" s="574"/>
      <c r="B553" s="575"/>
      <c r="C553" s="575"/>
      <c r="D553" s="575"/>
      <c r="E553" s="763"/>
      <c r="F553" s="763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40">
        <v>673187</v>
      </c>
      <c r="O553" s="498"/>
      <c r="P553" s="49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</row>
    <row r="554" spans="1:26" ht="18.75">
      <c r="A554" s="574"/>
      <c r="B554" s="575"/>
      <c r="C554" s="575"/>
      <c r="D554" s="575"/>
      <c r="E554" s="763"/>
      <c r="F554" s="763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40">
        <v>0</v>
      </c>
      <c r="O554" s="498"/>
      <c r="P554" s="49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</row>
    <row r="555" spans="1:26" ht="18.75">
      <c r="A555" s="597"/>
      <c r="B555" s="575"/>
      <c r="C555" s="575"/>
      <c r="D555" s="606" t="s">
        <v>21</v>
      </c>
      <c r="E555" s="763"/>
      <c r="F555" s="763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</row>
    <row r="556" spans="1:26" ht="18.75" hidden="1">
      <c r="A556" s="599"/>
      <c r="B556" s="607"/>
      <c r="C556" s="607"/>
      <c r="D556" s="759"/>
      <c r="E556" s="759" t="s">
        <v>18</v>
      </c>
      <c r="F556" s="759"/>
      <c r="G556" s="603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4"/>
      <c r="R556" s="604"/>
      <c r="S556" s="604"/>
      <c r="T556" s="604"/>
      <c r="U556" s="604"/>
      <c r="V556" s="604"/>
      <c r="W556" s="604"/>
      <c r="X556" s="604"/>
      <c r="Y556" s="604"/>
      <c r="Z556" s="604"/>
    </row>
    <row r="557" spans="1:26" ht="18.75" hidden="1">
      <c r="A557" s="599"/>
      <c r="B557" s="607"/>
      <c r="C557" s="607"/>
      <c r="D557" s="759"/>
      <c r="E557" s="759" t="s">
        <v>19</v>
      </c>
      <c r="F557" s="759"/>
      <c r="G557" s="603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4"/>
      <c r="R557" s="604"/>
      <c r="S557" s="604"/>
      <c r="T557" s="604"/>
      <c r="U557" s="604"/>
      <c r="V557" s="604"/>
      <c r="W557" s="604"/>
      <c r="X557" s="604"/>
      <c r="Y557" s="604"/>
      <c r="Z557" s="604"/>
    </row>
    <row r="558" spans="1:26" ht="19.5">
      <c r="A558" s="608"/>
      <c r="B558" s="618"/>
      <c r="C558" s="575" t="s">
        <v>16</v>
      </c>
      <c r="D558" s="896" t="s">
        <v>38</v>
      </c>
      <c r="E558" s="761"/>
      <c r="F558" s="761"/>
      <c r="G558" s="613"/>
      <c r="H558" s="762"/>
      <c r="I558" s="184"/>
      <c r="J558" s="184"/>
      <c r="K558" s="163"/>
      <c r="L558" s="163"/>
      <c r="M558" s="163"/>
      <c r="N558" s="163"/>
      <c r="O558" s="163"/>
      <c r="P558" s="163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</row>
    <row r="559" spans="1:26" ht="19.5">
      <c r="A559" s="692"/>
      <c r="B559" s="693" t="s">
        <v>235</v>
      </c>
      <c r="C559" s="694"/>
      <c r="D559" s="694"/>
      <c r="E559" s="673"/>
      <c r="F559" s="673"/>
      <c r="G559" s="674"/>
      <c r="H559" s="695" t="s">
        <v>46</v>
      </c>
      <c r="I559" s="708">
        <f t="shared" ref="I559:J559" ca="1" si="245">I576</f>
        <v>103382.1</v>
      </c>
      <c r="J559" s="708">
        <f t="shared" si="245"/>
        <v>103382.1</v>
      </c>
      <c r="K559" s="677">
        <f t="shared" ref="K559:K561" ca="1" si="246">IF(I559&gt;0,J559*100/I559,0)</f>
        <v>100</v>
      </c>
      <c r="L559" s="678"/>
      <c r="M559" s="678"/>
      <c r="N559" s="678"/>
      <c r="O559" s="678"/>
      <c r="P559" s="6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</row>
    <row r="560" spans="1:26" ht="19.5">
      <c r="A560" s="608"/>
      <c r="B560" s="618"/>
      <c r="C560" s="625" t="s">
        <v>236</v>
      </c>
      <c r="D560" s="618"/>
      <c r="E560" s="626"/>
      <c r="F560" s="626"/>
      <c r="G560" s="762"/>
      <c r="H560" s="767" t="s">
        <v>46</v>
      </c>
      <c r="I560" s="193">
        <f ca="1">IFERROR(__xludf.DUMMYFUNCTION("IMPORTRANGE(""https://docs.google.com/spreadsheets/d/1QqKyyYR6Q21VydFLVH3TRQUabQu_ym0Zz7PgGX0-kHA/edit?usp=sharing"",""แผน!HH36"")"),103382.1)</f>
        <v>103382.1</v>
      </c>
      <c r="J560" s="193">
        <f t="shared" ref="J560:J561" si="247">J562+J564+J566</f>
        <v>103382.3475</v>
      </c>
      <c r="K560" s="411">
        <f t="shared" ca="1" si="246"/>
        <v>100.00023940314618</v>
      </c>
      <c r="L560" s="163"/>
      <c r="M560" s="163"/>
      <c r="N560" s="163"/>
      <c r="O560" s="163"/>
      <c r="P560" s="163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</row>
    <row r="561" spans="1:26" ht="19.5">
      <c r="A561" s="608"/>
      <c r="B561" s="618"/>
      <c r="C561" s="618"/>
      <c r="D561" s="626"/>
      <c r="E561" s="626"/>
      <c r="F561" s="626"/>
      <c r="G561" s="762"/>
      <c r="H561" s="767" t="s">
        <v>34</v>
      </c>
      <c r="I561" s="193">
        <f ca="1">IFERROR(__xludf.DUMMYFUNCTION("IMPORTRANGE(""https://docs.google.com/spreadsheets/d/1QqKyyYR6Q21VydFLVH3TRQUabQu_ym0Zz7PgGX0-kHA/edit?usp=sharing"",""แผน!HG36"")"),10317)</f>
        <v>10317</v>
      </c>
      <c r="J561" s="193">
        <f t="shared" si="247"/>
        <v>10317</v>
      </c>
      <c r="K561" s="411">
        <f t="shared" ca="1" si="246"/>
        <v>100</v>
      </c>
      <c r="L561" s="163"/>
      <c r="M561" s="163"/>
      <c r="N561" s="163"/>
      <c r="O561" s="163"/>
      <c r="P561" s="163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</row>
    <row r="562" spans="1:26" ht="18.75">
      <c r="A562" s="608"/>
      <c r="B562" s="618"/>
      <c r="C562" s="618"/>
      <c r="D562" s="626" t="s">
        <v>237</v>
      </c>
      <c r="E562" s="626"/>
      <c r="F562" s="626"/>
      <c r="G562" s="762"/>
      <c r="H562" s="764" t="s">
        <v>46</v>
      </c>
      <c r="I562" s="184"/>
      <c r="J562" s="215">
        <v>75688.600000000006</v>
      </c>
      <c r="K562" s="163"/>
      <c r="L562" s="163"/>
      <c r="M562" s="163"/>
      <c r="N562" s="163"/>
      <c r="O562" s="163"/>
      <c r="P562" s="163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</row>
    <row r="563" spans="1:26" ht="18.75">
      <c r="A563" s="608"/>
      <c r="B563" s="618"/>
      <c r="C563" s="618"/>
      <c r="D563" s="618"/>
      <c r="E563" s="626"/>
      <c r="F563" s="626"/>
      <c r="G563" s="762"/>
      <c r="H563" s="764" t="s">
        <v>34</v>
      </c>
      <c r="I563" s="184"/>
      <c r="J563" s="215">
        <v>8094</v>
      </c>
      <c r="K563" s="163"/>
      <c r="L563" s="163"/>
      <c r="M563" s="163"/>
      <c r="N563" s="163"/>
      <c r="O563" s="163"/>
      <c r="P563" s="163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</row>
    <row r="564" spans="1:26" ht="18.75">
      <c r="A564" s="608"/>
      <c r="B564" s="618"/>
      <c r="C564" s="618"/>
      <c r="D564" s="626" t="s">
        <v>238</v>
      </c>
      <c r="E564" s="626"/>
      <c r="F564" s="626"/>
      <c r="G564" s="762"/>
      <c r="H564" s="764" t="s">
        <v>46</v>
      </c>
      <c r="I564" s="184"/>
      <c r="J564" s="215">
        <v>25321.647499999999</v>
      </c>
      <c r="K564" s="163"/>
      <c r="L564" s="163"/>
      <c r="M564" s="163"/>
      <c r="N564" s="163"/>
      <c r="O564" s="163"/>
      <c r="P564" s="163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</row>
    <row r="565" spans="1:26" ht="18.75">
      <c r="A565" s="608"/>
      <c r="B565" s="618"/>
      <c r="C565" s="618"/>
      <c r="D565" s="626"/>
      <c r="E565" s="626"/>
      <c r="F565" s="626"/>
      <c r="G565" s="762"/>
      <c r="H565" s="764" t="s">
        <v>34</v>
      </c>
      <c r="I565" s="184"/>
      <c r="J565" s="215">
        <v>2006</v>
      </c>
      <c r="K565" s="163"/>
      <c r="L565" s="163"/>
      <c r="M565" s="163"/>
      <c r="N565" s="163"/>
      <c r="O565" s="163"/>
      <c r="P565" s="163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</row>
    <row r="566" spans="1:26" ht="18.75">
      <c r="A566" s="608"/>
      <c r="B566" s="618"/>
      <c r="C566" s="618"/>
      <c r="D566" s="626" t="s">
        <v>239</v>
      </c>
      <c r="E566" s="626"/>
      <c r="F566" s="626"/>
      <c r="G566" s="762"/>
      <c r="H566" s="764" t="s">
        <v>46</v>
      </c>
      <c r="I566" s="184"/>
      <c r="J566" s="215">
        <v>2372.1</v>
      </c>
      <c r="K566" s="163"/>
      <c r="L566" s="163"/>
      <c r="M566" s="163"/>
      <c r="N566" s="163"/>
      <c r="O566" s="163"/>
      <c r="P566" s="163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</row>
    <row r="567" spans="1:26" ht="18.75">
      <c r="A567" s="608"/>
      <c r="B567" s="618"/>
      <c r="C567" s="618"/>
      <c r="D567" s="626"/>
      <c r="E567" s="626"/>
      <c r="F567" s="626"/>
      <c r="G567" s="762"/>
      <c r="H567" s="764" t="s">
        <v>34</v>
      </c>
      <c r="I567" s="184"/>
      <c r="J567" s="215">
        <v>217</v>
      </c>
      <c r="K567" s="163"/>
      <c r="L567" s="163"/>
      <c r="M567" s="163"/>
      <c r="N567" s="163"/>
      <c r="O567" s="163"/>
      <c r="P567" s="163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</row>
    <row r="568" spans="1:26" ht="19.5">
      <c r="A568" s="608"/>
      <c r="B568" s="618"/>
      <c r="C568" s="625" t="s">
        <v>240</v>
      </c>
      <c r="D568" s="626"/>
      <c r="E568" s="626"/>
      <c r="F568" s="626"/>
      <c r="G568" s="762"/>
      <c r="H568" s="767" t="s">
        <v>46</v>
      </c>
      <c r="I568" s="193">
        <f ca="1">IFERROR(__xludf.DUMMYFUNCTION("IMPORTRANGE(""https://docs.google.com/spreadsheets/d/1QqKyyYR6Q21VydFLVH3TRQUabQu_ym0Zz7PgGX0-kHA/edit?usp=sharing"",""แผน!HH36"")"),103382.1)</f>
        <v>103382.1</v>
      </c>
      <c r="J568" s="681">
        <f t="shared" ref="J568:J569" si="248">J570+J572+J574</f>
        <v>103382.13400000001</v>
      </c>
      <c r="K568" s="411">
        <f t="shared" ref="K568:K569" ca="1" si="249">IF(I568&gt;0,J568*100/I568,0)</f>
        <v>100.00003288770493</v>
      </c>
      <c r="L568" s="163"/>
      <c r="M568" s="163"/>
      <c r="N568" s="163"/>
      <c r="O568" s="163"/>
      <c r="P568" s="163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</row>
    <row r="569" spans="1:26" ht="19.5">
      <c r="A569" s="608"/>
      <c r="B569" s="618"/>
      <c r="C569" s="618"/>
      <c r="D569" s="618"/>
      <c r="E569" s="626"/>
      <c r="F569" s="626"/>
      <c r="G569" s="762"/>
      <c r="H569" s="767" t="s">
        <v>34</v>
      </c>
      <c r="I569" s="193">
        <f ca="1">IFERROR(__xludf.DUMMYFUNCTION("IMPORTRANGE(""https://docs.google.com/spreadsheets/d/1QqKyyYR6Q21VydFLVH3TRQUabQu_ym0Zz7PgGX0-kHA/edit?usp=sharing"",""แผน!HG36"")"),10317)</f>
        <v>10317</v>
      </c>
      <c r="J569" s="681">
        <f t="shared" si="248"/>
        <v>10317</v>
      </c>
      <c r="K569" s="411">
        <f t="shared" ca="1" si="249"/>
        <v>100</v>
      </c>
      <c r="L569" s="163"/>
      <c r="M569" s="163"/>
      <c r="N569" s="163"/>
      <c r="O569" s="163"/>
      <c r="P569" s="163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</row>
    <row r="570" spans="1:26" ht="18.75">
      <c r="A570" s="608"/>
      <c r="B570" s="618"/>
      <c r="C570" s="618"/>
      <c r="D570" s="626" t="s">
        <v>241</v>
      </c>
      <c r="E570" s="618"/>
      <c r="F570" s="626"/>
      <c r="G570" s="762"/>
      <c r="H570" s="764" t="s">
        <v>46</v>
      </c>
      <c r="I570" s="184"/>
      <c r="J570" s="215">
        <v>79701.981</v>
      </c>
      <c r="K570" s="163"/>
      <c r="L570" s="163"/>
      <c r="M570" s="163"/>
      <c r="N570" s="163"/>
      <c r="O570" s="163"/>
      <c r="P570" s="163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</row>
    <row r="571" spans="1:26" ht="18.75">
      <c r="A571" s="608"/>
      <c r="B571" s="618"/>
      <c r="C571" s="618"/>
      <c r="D571" s="618"/>
      <c r="E571" s="626"/>
      <c r="F571" s="626"/>
      <c r="G571" s="762"/>
      <c r="H571" s="764" t="s">
        <v>34</v>
      </c>
      <c r="I571" s="184"/>
      <c r="J571" s="215">
        <v>8455</v>
      </c>
      <c r="K571" s="163"/>
      <c r="L571" s="163"/>
      <c r="M571" s="163"/>
      <c r="N571" s="163"/>
      <c r="O571" s="163"/>
      <c r="P571" s="163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</row>
    <row r="572" spans="1:26" ht="18.75">
      <c r="A572" s="608"/>
      <c r="B572" s="618"/>
      <c r="C572" s="618"/>
      <c r="D572" s="626" t="s">
        <v>242</v>
      </c>
      <c r="E572" s="626"/>
      <c r="F572" s="626"/>
      <c r="G572" s="762"/>
      <c r="H572" s="764" t="s">
        <v>46</v>
      </c>
      <c r="I572" s="184"/>
      <c r="J572" s="215">
        <v>20680.03</v>
      </c>
      <c r="K572" s="163"/>
      <c r="L572" s="163"/>
      <c r="M572" s="163"/>
      <c r="N572" s="163"/>
      <c r="O572" s="163"/>
      <c r="P572" s="163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</row>
    <row r="573" spans="1:26" ht="18.75">
      <c r="A573" s="608"/>
      <c r="B573" s="618"/>
      <c r="C573" s="618"/>
      <c r="D573" s="626"/>
      <c r="E573" s="626"/>
      <c r="F573" s="626"/>
      <c r="G573" s="762"/>
      <c r="H573" s="764" t="s">
        <v>34</v>
      </c>
      <c r="I573" s="184"/>
      <c r="J573" s="215">
        <v>1588</v>
      </c>
      <c r="K573" s="163"/>
      <c r="L573" s="163"/>
      <c r="M573" s="163"/>
      <c r="N573" s="163"/>
      <c r="O573" s="163"/>
      <c r="P573" s="163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</row>
    <row r="574" spans="1:26" ht="18.75">
      <c r="A574" s="608"/>
      <c r="B574" s="618"/>
      <c r="C574" s="618"/>
      <c r="D574" s="626" t="s">
        <v>243</v>
      </c>
      <c r="E574" s="626"/>
      <c r="F574" s="626"/>
      <c r="G574" s="762"/>
      <c r="H574" s="764" t="s">
        <v>46</v>
      </c>
      <c r="I574" s="184"/>
      <c r="J574" s="215">
        <v>3000.123</v>
      </c>
      <c r="K574" s="163"/>
      <c r="L574" s="163"/>
      <c r="M574" s="163"/>
      <c r="N574" s="163"/>
      <c r="O574" s="163"/>
      <c r="P574" s="163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</row>
    <row r="575" spans="1:26" ht="18.75">
      <c r="A575" s="608"/>
      <c r="B575" s="618"/>
      <c r="C575" s="618"/>
      <c r="D575" s="618"/>
      <c r="E575" s="626"/>
      <c r="F575" s="626"/>
      <c r="G575" s="762"/>
      <c r="H575" s="764" t="s">
        <v>34</v>
      </c>
      <c r="I575" s="184"/>
      <c r="J575" s="215">
        <v>274</v>
      </c>
      <c r="K575" s="163"/>
      <c r="L575" s="163"/>
      <c r="M575" s="163"/>
      <c r="N575" s="163"/>
      <c r="O575" s="163"/>
      <c r="P575" s="163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</row>
    <row r="576" spans="1:26" ht="19.5">
      <c r="A576" s="608"/>
      <c r="B576" s="618"/>
      <c r="C576" s="625" t="s">
        <v>244</v>
      </c>
      <c r="D576" s="618"/>
      <c r="E576" s="618"/>
      <c r="F576" s="626"/>
      <c r="G576" s="762"/>
      <c r="H576" s="767" t="s">
        <v>46</v>
      </c>
      <c r="I576" s="193">
        <f ca="1">IFERROR(__xludf.DUMMYFUNCTION("IMPORTRANGE(""https://docs.google.com/spreadsheets/d/1QqKyyYR6Q21VydFLVH3TRQUabQu_ym0Zz7PgGX0-kHA/edit?usp=sharing"",""แผน!HH36"")"),103382.1)</f>
        <v>103382.1</v>
      </c>
      <c r="J576" s="681">
        <f t="shared" ref="J576:J577" si="250">J578+J580+J582+J588+J590</f>
        <v>103382.1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</row>
    <row r="577" spans="1:26" ht="19.5">
      <c r="A577" s="608"/>
      <c r="B577" s="618"/>
      <c r="C577" s="618"/>
      <c r="D577" s="618"/>
      <c r="E577" s="626"/>
      <c r="F577" s="626"/>
      <c r="G577" s="762"/>
      <c r="H577" s="767" t="s">
        <v>34</v>
      </c>
      <c r="I577" s="193">
        <f ca="1">IFERROR(__xludf.DUMMYFUNCTION("IMPORTRANGE(""https://docs.google.com/spreadsheets/d/1QqKyyYR6Q21VydFLVH3TRQUabQu_ym0Zz7PgGX0-kHA/edit?usp=sharing"",""แผน!HG36"")"),10317)</f>
        <v>10317</v>
      </c>
      <c r="J577" s="681">
        <f t="shared" si="250"/>
        <v>10317</v>
      </c>
      <c r="K577" s="411">
        <f t="shared" ca="1" si="251"/>
        <v>100</v>
      </c>
      <c r="L577" s="163"/>
      <c r="M577" s="163"/>
      <c r="N577" s="163"/>
      <c r="O577" s="163"/>
      <c r="P577" s="163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</row>
    <row r="578" spans="1:26" ht="18.75">
      <c r="A578" s="608"/>
      <c r="B578" s="618"/>
      <c r="C578" s="618"/>
      <c r="D578" s="626" t="s">
        <v>245</v>
      </c>
      <c r="E578" s="626"/>
      <c r="F578" s="626"/>
      <c r="G578" s="762"/>
      <c r="H578" s="764" t="s">
        <v>46</v>
      </c>
      <c r="I578" s="184"/>
      <c r="J578" s="215">
        <v>92325.397500000006</v>
      </c>
      <c r="K578" s="163"/>
      <c r="L578" s="163"/>
      <c r="M578" s="163"/>
      <c r="N578" s="163"/>
      <c r="O578" s="163"/>
      <c r="P578" s="163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</row>
    <row r="579" spans="1:26" ht="18.75">
      <c r="A579" s="608"/>
      <c r="B579" s="618"/>
      <c r="C579" s="618"/>
      <c r="D579" s="618"/>
      <c r="E579" s="626"/>
      <c r="F579" s="626"/>
      <c r="G579" s="762"/>
      <c r="H579" s="764" t="s">
        <v>34</v>
      </c>
      <c r="I579" s="184"/>
      <c r="J579" s="215">
        <v>9404</v>
      </c>
      <c r="K579" s="163"/>
      <c r="L579" s="163"/>
      <c r="M579" s="163"/>
      <c r="N579" s="163"/>
      <c r="O579" s="163"/>
      <c r="P579" s="163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</row>
    <row r="580" spans="1:26" ht="18.75">
      <c r="A580" s="608"/>
      <c r="B580" s="618"/>
      <c r="C580" s="618"/>
      <c r="D580" s="626" t="s">
        <v>246</v>
      </c>
      <c r="E580" s="626"/>
      <c r="F580" s="626"/>
      <c r="G580" s="762"/>
      <c r="H580" s="764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</row>
    <row r="581" spans="1:26" ht="18.75">
      <c r="A581" s="608"/>
      <c r="B581" s="618"/>
      <c r="C581" s="618"/>
      <c r="D581" s="618"/>
      <c r="E581" s="626"/>
      <c r="F581" s="626"/>
      <c r="G581" s="762"/>
      <c r="H581" s="764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</row>
    <row r="582" spans="1:26" ht="19.5">
      <c r="A582" s="608"/>
      <c r="B582" s="618"/>
      <c r="C582" s="618"/>
      <c r="D582" s="626" t="s">
        <v>247</v>
      </c>
      <c r="E582" s="626"/>
      <c r="F582" s="626"/>
      <c r="G582" s="762"/>
      <c r="H582" s="764" t="s">
        <v>46</v>
      </c>
      <c r="I582" s="184"/>
      <c r="J582" s="681">
        <f t="shared" ref="J582:J583" si="252">J584+J586</f>
        <v>2900.4025000000001</v>
      </c>
      <c r="K582" s="411"/>
      <c r="L582" s="163"/>
      <c r="M582" s="163"/>
      <c r="N582" s="163"/>
      <c r="O582" s="163"/>
      <c r="P582" s="163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</row>
    <row r="583" spans="1:26" ht="19.5">
      <c r="A583" s="608"/>
      <c r="B583" s="618"/>
      <c r="C583" s="618"/>
      <c r="D583" s="618"/>
      <c r="E583" s="626"/>
      <c r="F583" s="626"/>
      <c r="G583" s="762"/>
      <c r="H583" s="764" t="s">
        <v>34</v>
      </c>
      <c r="I583" s="184"/>
      <c r="J583" s="681">
        <f t="shared" si="252"/>
        <v>265</v>
      </c>
      <c r="K583" s="411"/>
      <c r="L583" s="163"/>
      <c r="M583" s="163"/>
      <c r="N583" s="163"/>
      <c r="O583" s="163"/>
      <c r="P583" s="163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</row>
    <row r="584" spans="1:26" ht="18.75">
      <c r="A584" s="608"/>
      <c r="B584" s="618"/>
      <c r="C584" s="618"/>
      <c r="D584" s="618"/>
      <c r="E584" s="626" t="s">
        <v>248</v>
      </c>
      <c r="F584" s="626"/>
      <c r="G584" s="762"/>
      <c r="H584" s="764" t="s">
        <v>46</v>
      </c>
      <c r="I584" s="184"/>
      <c r="J584" s="215">
        <v>2900.4025000000001</v>
      </c>
      <c r="K584" s="163"/>
      <c r="L584" s="163"/>
      <c r="M584" s="163"/>
      <c r="N584" s="163"/>
      <c r="O584" s="163"/>
      <c r="P584" s="163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</row>
    <row r="585" spans="1:26" ht="18.75">
      <c r="A585" s="608"/>
      <c r="B585" s="618"/>
      <c r="C585" s="618"/>
      <c r="D585" s="618"/>
      <c r="E585" s="626"/>
      <c r="F585" s="626"/>
      <c r="G585" s="762"/>
      <c r="H585" s="764" t="s">
        <v>34</v>
      </c>
      <c r="I585" s="184"/>
      <c r="J585" s="215">
        <v>265</v>
      </c>
      <c r="K585" s="163"/>
      <c r="L585" s="163"/>
      <c r="M585" s="163"/>
      <c r="N585" s="163"/>
      <c r="O585" s="163"/>
      <c r="P585" s="163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</row>
    <row r="586" spans="1:26" ht="18.75">
      <c r="A586" s="608"/>
      <c r="B586" s="618"/>
      <c r="C586" s="618"/>
      <c r="D586" s="618"/>
      <c r="E586" s="626" t="s">
        <v>249</v>
      </c>
      <c r="F586" s="626"/>
      <c r="G586" s="762"/>
      <c r="H586" s="76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</row>
    <row r="587" spans="1:26" ht="18.75">
      <c r="A587" s="608"/>
      <c r="B587" s="618"/>
      <c r="C587" s="618"/>
      <c r="D587" s="618"/>
      <c r="E587" s="618"/>
      <c r="F587" s="626"/>
      <c r="G587" s="762"/>
      <c r="H587" s="76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</row>
    <row r="588" spans="1:26" ht="18.75">
      <c r="A588" s="608"/>
      <c r="B588" s="618"/>
      <c r="C588" s="618"/>
      <c r="D588" s="626" t="s">
        <v>250</v>
      </c>
      <c r="E588" s="626"/>
      <c r="F588" s="626"/>
      <c r="G588" s="762"/>
      <c r="H588" s="764" t="s">
        <v>46</v>
      </c>
      <c r="I588" s="184"/>
      <c r="J588" s="215">
        <v>8156.3</v>
      </c>
      <c r="K588" s="163"/>
      <c r="L588" s="163"/>
      <c r="M588" s="163"/>
      <c r="N588" s="163"/>
      <c r="O588" s="163"/>
      <c r="P588" s="163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</row>
    <row r="589" spans="1:26" ht="18.75">
      <c r="A589" s="608"/>
      <c r="B589" s="618"/>
      <c r="C589" s="618"/>
      <c r="D589" s="618"/>
      <c r="E589" s="618"/>
      <c r="F589" s="626"/>
      <c r="G589" s="762"/>
      <c r="H589" s="764" t="s">
        <v>34</v>
      </c>
      <c r="I589" s="184"/>
      <c r="J589" s="215">
        <v>648</v>
      </c>
      <c r="K589" s="163"/>
      <c r="L589" s="163"/>
      <c r="M589" s="163"/>
      <c r="N589" s="163"/>
      <c r="O589" s="163"/>
      <c r="P589" s="163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</row>
    <row r="590" spans="1:26" ht="18.75">
      <c r="A590" s="608"/>
      <c r="B590" s="618"/>
      <c r="C590" s="618"/>
      <c r="D590" s="626" t="s">
        <v>251</v>
      </c>
      <c r="E590" s="626"/>
      <c r="F590" s="626"/>
      <c r="G590" s="762"/>
      <c r="H590" s="76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</row>
    <row r="591" spans="1:26" ht="18.75">
      <c r="A591" s="696"/>
      <c r="B591" s="697"/>
      <c r="C591" s="697"/>
      <c r="D591" s="697"/>
      <c r="E591" s="578"/>
      <c r="F591" s="578"/>
      <c r="G591" s="698"/>
      <c r="H591" s="699" t="s">
        <v>34</v>
      </c>
      <c r="I591" s="700"/>
      <c r="J591" s="215">
        <v>0</v>
      </c>
      <c r="K591" s="702"/>
      <c r="L591" s="702"/>
      <c r="M591" s="702"/>
      <c r="N591" s="702"/>
      <c r="O591" s="702"/>
      <c r="P591" s="702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</row>
    <row r="592" spans="1:26" ht="19.5">
      <c r="A592" s="692"/>
      <c r="B592" s="693" t="s">
        <v>252</v>
      </c>
      <c r="C592" s="694"/>
      <c r="D592" s="694"/>
      <c r="E592" s="673"/>
      <c r="F592" s="673"/>
      <c r="G592" s="674"/>
      <c r="H592" s="695" t="s">
        <v>46</v>
      </c>
      <c r="I592" s="703">
        <f t="shared" ref="I592:J592" ca="1" si="253">I593</f>
        <v>10751.98</v>
      </c>
      <c r="J592" s="708">
        <f t="shared" si="253"/>
        <v>10751.9825</v>
      </c>
      <c r="K592" s="677">
        <f t="shared" ref="K592:K594" ca="1" si="254">IF(I592&gt;0,J592*100/I592,0)</f>
        <v>100.00002325153135</v>
      </c>
      <c r="L592" s="678"/>
      <c r="M592" s="678"/>
      <c r="N592" s="678"/>
      <c r="O592" s="678"/>
      <c r="P592" s="6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</row>
    <row r="593" spans="1:26" ht="19.5">
      <c r="A593" s="608"/>
      <c r="B593" s="618"/>
      <c r="C593" s="625" t="s">
        <v>253</v>
      </c>
      <c r="D593" s="618"/>
      <c r="E593" s="618"/>
      <c r="F593" s="626"/>
      <c r="G593" s="762"/>
      <c r="H593" s="767" t="s">
        <v>46</v>
      </c>
      <c r="I593" s="704">
        <f ca="1">IFERROR(__xludf.DUMMYFUNCTION("IMPORTRANGE(""https://docs.google.com/spreadsheets/d/1QqKyyYR6Q21VydFLVH3TRQUabQu_ym0Zz7PgGX0-kHA/edit?usp=sharing"",""แผน!HJ36"")"),10751.98)</f>
        <v>10751.98</v>
      </c>
      <c r="J593" s="193">
        <f t="shared" ref="J593:J594" si="255">J595+J603+J609</f>
        <v>10751.9825</v>
      </c>
      <c r="K593" s="411">
        <f t="shared" ca="1" si="254"/>
        <v>100.00002325153135</v>
      </c>
      <c r="L593" s="163"/>
      <c r="M593" s="163"/>
      <c r="N593" s="163"/>
      <c r="O593" s="163"/>
      <c r="P593" s="163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</row>
    <row r="594" spans="1:26" ht="19.5">
      <c r="A594" s="608"/>
      <c r="B594" s="618"/>
      <c r="C594" s="618"/>
      <c r="D594" s="618"/>
      <c r="E594" s="626"/>
      <c r="F594" s="626"/>
      <c r="G594" s="762"/>
      <c r="H594" s="767" t="s">
        <v>34</v>
      </c>
      <c r="I594" s="193">
        <f ca="1">IFERROR(__xludf.DUMMYFUNCTION("IMPORTRANGE(""https://docs.google.com/spreadsheets/d/1QqKyyYR6Q21VydFLVH3TRQUabQu_ym0Zz7PgGX0-kHA/edit?usp=sharing"",""แผน!HI36"")"),823)</f>
        <v>823</v>
      </c>
      <c r="J594" s="193">
        <f t="shared" si="255"/>
        <v>823</v>
      </c>
      <c r="K594" s="411">
        <f t="shared" ca="1" si="254"/>
        <v>100</v>
      </c>
      <c r="L594" s="163"/>
      <c r="M594" s="163"/>
      <c r="N594" s="163"/>
      <c r="O594" s="163"/>
      <c r="P594" s="163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</row>
    <row r="595" spans="1:26" ht="18.75">
      <c r="A595" s="608"/>
      <c r="B595" s="618"/>
      <c r="C595" s="618" t="s">
        <v>254</v>
      </c>
      <c r="D595" s="618"/>
      <c r="E595" s="618"/>
      <c r="F595" s="626"/>
      <c r="G595" s="762"/>
      <c r="H595" s="764" t="s">
        <v>46</v>
      </c>
      <c r="I595" s="184"/>
      <c r="J595" s="184">
        <f t="shared" ref="J595:J596" si="256">J597+J599</f>
        <v>9976.92</v>
      </c>
      <c r="K595" s="163"/>
      <c r="L595" s="163"/>
      <c r="M595" s="163"/>
      <c r="N595" s="163"/>
      <c r="O595" s="163"/>
      <c r="P595" s="163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</row>
    <row r="596" spans="1:26" ht="18.75">
      <c r="A596" s="608"/>
      <c r="B596" s="618"/>
      <c r="C596" s="618"/>
      <c r="D596" s="618"/>
      <c r="E596" s="626"/>
      <c r="F596" s="626"/>
      <c r="G596" s="762"/>
      <c r="H596" s="764" t="s">
        <v>34</v>
      </c>
      <c r="I596" s="184"/>
      <c r="J596" s="184">
        <f t="shared" si="256"/>
        <v>749</v>
      </c>
      <c r="K596" s="163"/>
      <c r="L596" s="163"/>
      <c r="M596" s="163"/>
      <c r="N596" s="163"/>
      <c r="O596" s="163"/>
      <c r="P596" s="163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</row>
    <row r="597" spans="1:26" ht="18.75">
      <c r="A597" s="608"/>
      <c r="B597" s="618"/>
      <c r="C597" s="618"/>
      <c r="D597" s="746" t="s">
        <v>255</v>
      </c>
      <c r="E597" s="626"/>
      <c r="F597" s="626"/>
      <c r="G597" s="762"/>
      <c r="H597" s="764" t="s">
        <v>46</v>
      </c>
      <c r="I597" s="184"/>
      <c r="J597" s="215">
        <v>4367.6424999999999</v>
      </c>
      <c r="K597" s="163"/>
      <c r="L597" s="163"/>
      <c r="M597" s="163"/>
      <c r="N597" s="163"/>
      <c r="O597" s="163"/>
      <c r="P597" s="163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</row>
    <row r="598" spans="1:26" ht="18.75">
      <c r="A598" s="608"/>
      <c r="B598" s="618"/>
      <c r="C598" s="618"/>
      <c r="D598" s="618"/>
      <c r="E598" s="626"/>
      <c r="F598" s="626"/>
      <c r="G598" s="762"/>
      <c r="H598" s="764" t="s">
        <v>34</v>
      </c>
      <c r="I598" s="270"/>
      <c r="J598" s="215">
        <v>329</v>
      </c>
      <c r="K598" s="163"/>
      <c r="L598" s="163"/>
      <c r="M598" s="163"/>
      <c r="N598" s="163"/>
      <c r="O598" s="163"/>
      <c r="P598" s="163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</row>
    <row r="599" spans="1:26" ht="18.75">
      <c r="A599" s="608"/>
      <c r="B599" s="618"/>
      <c r="C599" s="618"/>
      <c r="D599" s="746" t="s">
        <v>256</v>
      </c>
      <c r="E599" s="626"/>
      <c r="F599" s="626"/>
      <c r="G599" s="762"/>
      <c r="H599" s="764" t="s">
        <v>46</v>
      </c>
      <c r="I599" s="270"/>
      <c r="J599" s="215">
        <v>5609.2775000000001</v>
      </c>
      <c r="K599" s="163"/>
      <c r="L599" s="163"/>
      <c r="M599" s="163"/>
      <c r="N599" s="163"/>
      <c r="O599" s="163"/>
      <c r="P599" s="163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</row>
    <row r="600" spans="1:26" ht="18.75">
      <c r="A600" s="608"/>
      <c r="B600" s="618"/>
      <c r="C600" s="618"/>
      <c r="D600" s="618"/>
      <c r="E600" s="626"/>
      <c r="F600" s="626"/>
      <c r="G600" s="762"/>
      <c r="H600" s="764" t="s">
        <v>34</v>
      </c>
      <c r="I600" s="270"/>
      <c r="J600" s="215">
        <v>420</v>
      </c>
      <c r="K600" s="163"/>
      <c r="L600" s="163"/>
      <c r="M600" s="163"/>
      <c r="N600" s="163"/>
      <c r="O600" s="163"/>
      <c r="P600" s="163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</row>
    <row r="601" spans="1:26" ht="18.75">
      <c r="A601" s="608"/>
      <c r="B601" s="618"/>
      <c r="C601" s="618"/>
      <c r="D601" s="746" t="s">
        <v>257</v>
      </c>
      <c r="E601" s="626"/>
      <c r="F601" s="626"/>
      <c r="G601" s="762"/>
      <c r="H601" s="76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</row>
    <row r="602" spans="1:26" ht="18.75">
      <c r="A602" s="608"/>
      <c r="B602" s="618"/>
      <c r="C602" s="618"/>
      <c r="D602" s="618"/>
      <c r="E602" s="626"/>
      <c r="F602" s="626"/>
      <c r="G602" s="762"/>
      <c r="H602" s="76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</row>
    <row r="603" spans="1:26" ht="18.75">
      <c r="A603" s="608"/>
      <c r="B603" s="618"/>
      <c r="C603" s="705" t="s">
        <v>258</v>
      </c>
      <c r="D603" s="618"/>
      <c r="E603" s="618"/>
      <c r="F603" s="626"/>
      <c r="G603" s="762"/>
      <c r="H603" s="764" t="s">
        <v>46</v>
      </c>
      <c r="I603" s="270"/>
      <c r="J603" s="270">
        <f t="shared" ref="J603:J604" si="257">J605+J607</f>
        <v>775.0625</v>
      </c>
      <c r="K603" s="163"/>
      <c r="L603" s="163"/>
      <c r="M603" s="163"/>
      <c r="N603" s="163"/>
      <c r="O603" s="163"/>
      <c r="P603" s="163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</row>
    <row r="604" spans="1:26" ht="18.75">
      <c r="A604" s="608"/>
      <c r="B604" s="618"/>
      <c r="C604" s="618"/>
      <c r="D604" s="618"/>
      <c r="E604" s="626"/>
      <c r="F604" s="626"/>
      <c r="G604" s="762"/>
      <c r="H604" s="764" t="s">
        <v>34</v>
      </c>
      <c r="I604" s="270"/>
      <c r="J604" s="270">
        <f t="shared" si="257"/>
        <v>74</v>
      </c>
      <c r="K604" s="163"/>
      <c r="L604" s="163"/>
      <c r="M604" s="163"/>
      <c r="N604" s="163"/>
      <c r="O604" s="163"/>
      <c r="P604" s="163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</row>
    <row r="605" spans="1:26" ht="18.75">
      <c r="A605" s="608"/>
      <c r="B605" s="618"/>
      <c r="C605" s="618"/>
      <c r="D605" s="705" t="s">
        <v>259</v>
      </c>
      <c r="E605" s="626"/>
      <c r="F605" s="626"/>
      <c r="G605" s="762"/>
      <c r="H605" s="764" t="s">
        <v>46</v>
      </c>
      <c r="I605" s="270"/>
      <c r="J605" s="215">
        <v>768.59749999999997</v>
      </c>
      <c r="K605" s="163"/>
      <c r="L605" s="163"/>
      <c r="M605" s="163"/>
      <c r="N605" s="163"/>
      <c r="O605" s="163"/>
      <c r="P605" s="163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</row>
    <row r="606" spans="1:26" ht="18.75">
      <c r="A606" s="608"/>
      <c r="B606" s="618"/>
      <c r="C606" s="618"/>
      <c r="D606" s="618"/>
      <c r="E606" s="618"/>
      <c r="F606" s="626"/>
      <c r="G606" s="762"/>
      <c r="H606" s="764" t="s">
        <v>34</v>
      </c>
      <c r="I606" s="270"/>
      <c r="J606" s="215">
        <v>73</v>
      </c>
      <c r="K606" s="163"/>
      <c r="L606" s="163"/>
      <c r="M606" s="163"/>
      <c r="N606" s="163"/>
      <c r="O606" s="163"/>
      <c r="P606" s="163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</row>
    <row r="607" spans="1:26" ht="18.75">
      <c r="A607" s="608"/>
      <c r="B607" s="618"/>
      <c r="C607" s="618"/>
      <c r="D607" s="705" t="s">
        <v>260</v>
      </c>
      <c r="E607" s="618"/>
      <c r="F607" s="626"/>
      <c r="G607" s="762"/>
      <c r="H607" s="764" t="s">
        <v>46</v>
      </c>
      <c r="I607" s="270"/>
      <c r="J607" s="215">
        <v>6.4649999999999999</v>
      </c>
      <c r="K607" s="163"/>
      <c r="L607" s="163"/>
      <c r="M607" s="163"/>
      <c r="N607" s="163"/>
      <c r="O607" s="163"/>
      <c r="P607" s="163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</row>
    <row r="608" spans="1:26" ht="18.75">
      <c r="A608" s="608"/>
      <c r="B608" s="618"/>
      <c r="C608" s="618"/>
      <c r="D608" s="618"/>
      <c r="E608" s="626"/>
      <c r="F608" s="626"/>
      <c r="G608" s="762"/>
      <c r="H608" s="764" t="s">
        <v>34</v>
      </c>
      <c r="I608" s="270"/>
      <c r="J608" s="215">
        <v>1</v>
      </c>
      <c r="K608" s="163"/>
      <c r="L608" s="163"/>
      <c r="M608" s="163"/>
      <c r="N608" s="163"/>
      <c r="O608" s="163"/>
      <c r="P608" s="163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</row>
    <row r="609" spans="1:26" ht="18.75">
      <c r="A609" s="608"/>
      <c r="B609" s="618"/>
      <c r="C609" s="618" t="s">
        <v>261</v>
      </c>
      <c r="D609" s="618"/>
      <c r="E609" s="618"/>
      <c r="F609" s="626"/>
      <c r="G609" s="762"/>
      <c r="H609" s="764" t="s">
        <v>46</v>
      </c>
      <c r="I609" s="270"/>
      <c r="J609" s="215"/>
      <c r="K609" s="163"/>
      <c r="L609" s="163"/>
      <c r="M609" s="163"/>
      <c r="N609" s="163"/>
      <c r="O609" s="163"/>
      <c r="P609" s="163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</row>
    <row r="610" spans="1:26" ht="18.75">
      <c r="A610" s="608"/>
      <c r="B610" s="618"/>
      <c r="C610" s="618"/>
      <c r="D610" s="618"/>
      <c r="E610" s="626"/>
      <c r="F610" s="626"/>
      <c r="G610" s="762"/>
      <c r="H610" s="764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</row>
    <row r="611" spans="1:26" ht="19.5">
      <c r="A611" s="692"/>
      <c r="B611" s="706" t="s">
        <v>262</v>
      </c>
      <c r="C611" s="694"/>
      <c r="D611" s="694"/>
      <c r="E611" s="673"/>
      <c r="F611" s="673"/>
      <c r="G611" s="674"/>
      <c r="H611" s="707" t="s">
        <v>46</v>
      </c>
      <c r="I611" s="708">
        <v>0</v>
      </c>
      <c r="J611" s="708">
        <f>J614+J616</f>
        <v>0</v>
      </c>
      <c r="K611" s="677">
        <f t="shared" ref="K611:K613" si="258">IF(I611&gt;0,J611*100/I611,0)</f>
        <v>0</v>
      </c>
      <c r="L611" s="678"/>
      <c r="M611" s="678"/>
      <c r="N611" s="678"/>
      <c r="O611" s="678"/>
      <c r="P611" s="6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</row>
    <row r="612" spans="1:26" ht="19.5" hidden="1">
      <c r="A612" s="709"/>
      <c r="B612" s="719"/>
      <c r="C612" s="711" t="s">
        <v>263</v>
      </c>
      <c r="D612" s="719"/>
      <c r="E612" s="719"/>
      <c r="F612" s="712"/>
      <c r="G612" s="713"/>
      <c r="H612" s="714" t="s">
        <v>46</v>
      </c>
      <c r="I612" s="716">
        <v>0</v>
      </c>
      <c r="J612" s="716">
        <f t="shared" ref="J612:J613" si="259">J614+J616</f>
        <v>0</v>
      </c>
      <c r="K612" s="717">
        <f t="shared" si="258"/>
        <v>0</v>
      </c>
      <c r="L612" s="718"/>
      <c r="M612" s="718"/>
      <c r="N612" s="718"/>
      <c r="O612" s="718"/>
      <c r="P612" s="718"/>
      <c r="Q612" s="604"/>
      <c r="R612" s="604"/>
      <c r="S612" s="604"/>
      <c r="T612" s="604"/>
      <c r="U612" s="604"/>
      <c r="V612" s="604"/>
      <c r="W612" s="604"/>
      <c r="X612" s="604"/>
      <c r="Y612" s="604"/>
      <c r="Z612" s="604"/>
    </row>
    <row r="613" spans="1:26" ht="19.5" hidden="1">
      <c r="A613" s="709"/>
      <c r="B613" s="719"/>
      <c r="C613" s="719" t="s">
        <v>264</v>
      </c>
      <c r="D613" s="719"/>
      <c r="E613" s="719"/>
      <c r="F613" s="712"/>
      <c r="G613" s="713"/>
      <c r="H613" s="714" t="s">
        <v>34</v>
      </c>
      <c r="I613" s="716">
        <v>0</v>
      </c>
      <c r="J613" s="716">
        <f t="shared" si="259"/>
        <v>0</v>
      </c>
      <c r="K613" s="717">
        <f t="shared" si="258"/>
        <v>0</v>
      </c>
      <c r="L613" s="718"/>
      <c r="M613" s="718"/>
      <c r="N613" s="718"/>
      <c r="O613" s="718"/>
      <c r="P613" s="718"/>
      <c r="Q613" s="604"/>
      <c r="R613" s="604"/>
      <c r="S613" s="604"/>
      <c r="T613" s="604"/>
      <c r="U613" s="604"/>
      <c r="V613" s="604"/>
      <c r="W613" s="604"/>
      <c r="X613" s="604"/>
      <c r="Y613" s="604"/>
      <c r="Z613" s="604"/>
    </row>
    <row r="614" spans="1:26" ht="18.75" hidden="1">
      <c r="A614" s="614"/>
      <c r="B614" s="616"/>
      <c r="C614" s="616"/>
      <c r="D614" s="720" t="s">
        <v>265</v>
      </c>
      <c r="E614" s="616"/>
      <c r="F614" s="720"/>
      <c r="G614" s="366"/>
      <c r="H614" s="370" t="s">
        <v>46</v>
      </c>
      <c r="I614" s="617"/>
      <c r="J614" s="617">
        <v>0</v>
      </c>
      <c r="K614" s="167"/>
      <c r="L614" s="167"/>
      <c r="M614" s="167"/>
      <c r="N614" s="167"/>
      <c r="O614" s="167"/>
      <c r="P614" s="167"/>
      <c r="Q614" s="604"/>
      <c r="R614" s="604"/>
      <c r="S614" s="604"/>
      <c r="T614" s="604"/>
      <c r="U614" s="604"/>
      <c r="V614" s="604"/>
      <c r="W614" s="604"/>
      <c r="X614" s="604"/>
      <c r="Y614" s="604"/>
      <c r="Z614" s="604"/>
    </row>
    <row r="615" spans="1:26" ht="18.75" hidden="1">
      <c r="A615" s="614"/>
      <c r="B615" s="616"/>
      <c r="C615" s="616"/>
      <c r="D615" s="616"/>
      <c r="E615" s="616"/>
      <c r="F615" s="720"/>
      <c r="G615" s="366"/>
      <c r="H615" s="370" t="s">
        <v>34</v>
      </c>
      <c r="I615" s="617"/>
      <c r="J615" s="617">
        <v>0</v>
      </c>
      <c r="K615" s="167"/>
      <c r="L615" s="167"/>
      <c r="M615" s="167"/>
      <c r="N615" s="167"/>
      <c r="O615" s="167"/>
      <c r="P615" s="167"/>
      <c r="Q615" s="604"/>
      <c r="R615" s="604"/>
      <c r="S615" s="604"/>
      <c r="T615" s="604"/>
      <c r="U615" s="604"/>
      <c r="V615" s="604"/>
      <c r="W615" s="604"/>
      <c r="X615" s="604"/>
      <c r="Y615" s="604"/>
      <c r="Z615" s="604"/>
    </row>
    <row r="616" spans="1:26" ht="18.75" hidden="1">
      <c r="A616" s="614"/>
      <c r="B616" s="616"/>
      <c r="C616" s="616"/>
      <c r="D616" s="721" t="s">
        <v>265</v>
      </c>
      <c r="E616" s="720"/>
      <c r="F616" s="720"/>
      <c r="G616" s="366"/>
      <c r="H616" s="370" t="s">
        <v>46</v>
      </c>
      <c r="I616" s="617"/>
      <c r="J616" s="617">
        <v>0</v>
      </c>
      <c r="K616" s="167"/>
      <c r="L616" s="167"/>
      <c r="M616" s="167"/>
      <c r="N616" s="167"/>
      <c r="O616" s="167"/>
      <c r="P616" s="167"/>
      <c r="Q616" s="604"/>
      <c r="R616" s="604"/>
      <c r="S616" s="604"/>
      <c r="T616" s="604"/>
      <c r="U616" s="604"/>
      <c r="V616" s="604"/>
      <c r="W616" s="604"/>
      <c r="X616" s="604"/>
      <c r="Y616" s="604"/>
      <c r="Z616" s="604"/>
    </row>
    <row r="617" spans="1:26" ht="18.75" hidden="1">
      <c r="A617" s="614"/>
      <c r="B617" s="616"/>
      <c r="C617" s="616"/>
      <c r="D617" s="616"/>
      <c r="E617" s="720"/>
      <c r="F617" s="720"/>
      <c r="G617" s="366"/>
      <c r="H617" s="370" t="s">
        <v>34</v>
      </c>
      <c r="I617" s="617"/>
      <c r="J617" s="617">
        <v>0</v>
      </c>
      <c r="K617" s="167"/>
      <c r="L617" s="167"/>
      <c r="M617" s="167"/>
      <c r="N617" s="167"/>
      <c r="O617" s="167"/>
      <c r="P617" s="167"/>
      <c r="Q617" s="604"/>
      <c r="R617" s="604"/>
      <c r="S617" s="604"/>
      <c r="T617" s="604"/>
      <c r="U617" s="604"/>
      <c r="V617" s="604"/>
      <c r="W617" s="604"/>
      <c r="X617" s="604"/>
      <c r="Y617" s="604"/>
      <c r="Z617" s="604"/>
    </row>
    <row r="618" spans="1:26" ht="18.75" hidden="1">
      <c r="A618" s="614"/>
      <c r="B618" s="616"/>
      <c r="C618" s="616"/>
      <c r="D618" s="721" t="s">
        <v>266</v>
      </c>
      <c r="E618" s="720"/>
      <c r="F618" s="720"/>
      <c r="G618" s="366"/>
      <c r="H618" s="370" t="s">
        <v>46</v>
      </c>
      <c r="I618" s="617"/>
      <c r="J618" s="617">
        <v>0</v>
      </c>
      <c r="K618" s="167"/>
      <c r="L618" s="167"/>
      <c r="M618" s="167"/>
      <c r="N618" s="167"/>
      <c r="O618" s="167"/>
      <c r="P618" s="167"/>
      <c r="Q618" s="604"/>
      <c r="R618" s="604"/>
      <c r="S618" s="604"/>
      <c r="T618" s="604"/>
      <c r="U618" s="604"/>
      <c r="V618" s="604"/>
      <c r="W618" s="604"/>
      <c r="X618" s="604"/>
      <c r="Y618" s="604"/>
      <c r="Z618" s="604"/>
    </row>
    <row r="619" spans="1:26" ht="18.75" hidden="1">
      <c r="A619" s="614"/>
      <c r="B619" s="616"/>
      <c r="C619" s="616"/>
      <c r="D619" s="616"/>
      <c r="E619" s="720"/>
      <c r="F619" s="720"/>
      <c r="G619" s="366"/>
      <c r="H619" s="370" t="s">
        <v>34</v>
      </c>
      <c r="I619" s="617"/>
      <c r="J619" s="617">
        <v>0</v>
      </c>
      <c r="K619" s="167"/>
      <c r="L619" s="167"/>
      <c r="M619" s="167"/>
      <c r="N619" s="167"/>
      <c r="O619" s="167"/>
      <c r="P619" s="167"/>
      <c r="Q619" s="604"/>
      <c r="R619" s="604"/>
      <c r="S619" s="604"/>
      <c r="T619" s="604"/>
      <c r="U619" s="604"/>
      <c r="V619" s="604"/>
      <c r="W619" s="604"/>
      <c r="X619" s="604"/>
      <c r="Y619" s="604"/>
      <c r="Z619" s="604"/>
    </row>
    <row r="620" spans="1:26" ht="19.5">
      <c r="A620" s="722"/>
      <c r="B620" s="731"/>
      <c r="C620" s="724" t="s">
        <v>267</v>
      </c>
      <c r="D620" s="731"/>
      <c r="E620" s="731"/>
      <c r="F620" s="725"/>
      <c r="G620" s="726"/>
      <c r="H620" s="727" t="s">
        <v>46</v>
      </c>
      <c r="I620" s="728">
        <f ca="1">IFERROR(__xludf.DUMMYFUNCTION("IMPORTRANGE(""https://docs.google.com/spreadsheets/d/1QqKyyYR6Q21VydFLVH3TRQUabQu_ym0Zz7PgGX0-kHA/edit?usp=sharing"",""แผน!HL36"")"),95)</f>
        <v>95</v>
      </c>
      <c r="J620" s="728">
        <f t="shared" ref="J620:J621" si="260">J622+J624+J626</f>
        <v>95</v>
      </c>
      <c r="K620" s="729">
        <f t="shared" ref="K620:K621" ca="1" si="261">IF(I620&gt;0,J620*100/I620,0)</f>
        <v>100</v>
      </c>
      <c r="L620" s="730"/>
      <c r="M620" s="730"/>
      <c r="N620" s="730"/>
      <c r="O620" s="730"/>
      <c r="P620" s="730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</row>
    <row r="621" spans="1:26" ht="19.5">
      <c r="A621" s="722"/>
      <c r="B621" s="731"/>
      <c r="C621" s="731" t="s">
        <v>268</v>
      </c>
      <c r="D621" s="731"/>
      <c r="E621" s="731"/>
      <c r="F621" s="725"/>
      <c r="G621" s="726"/>
      <c r="H621" s="727" t="s">
        <v>34</v>
      </c>
      <c r="I621" s="728">
        <f ca="1">IFERROR(__xludf.DUMMYFUNCTION("IMPORTRANGE(""https://docs.google.com/spreadsheets/d/1QqKyyYR6Q21VydFLVH3TRQUabQu_ym0Zz7PgGX0-kHA/edit?usp=sharing"",""แผน!HK36"")"),3)</f>
        <v>3</v>
      </c>
      <c r="J621" s="728">
        <f t="shared" si="260"/>
        <v>3</v>
      </c>
      <c r="K621" s="729">
        <f t="shared" ca="1" si="261"/>
        <v>100</v>
      </c>
      <c r="L621" s="730"/>
      <c r="M621" s="730"/>
      <c r="N621" s="730"/>
      <c r="O621" s="730"/>
      <c r="P621" s="730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</row>
    <row r="622" spans="1:26" ht="18.75">
      <c r="A622" s="608"/>
      <c r="B622" s="618"/>
      <c r="C622" s="618"/>
      <c r="D622" s="746" t="s">
        <v>269</v>
      </c>
      <c r="E622" s="626"/>
      <c r="F622" s="626"/>
      <c r="G622" s="762"/>
      <c r="H622" s="764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</row>
    <row r="623" spans="1:26" ht="18.75">
      <c r="A623" s="608"/>
      <c r="B623" s="618"/>
      <c r="C623" s="618"/>
      <c r="D623" s="618"/>
      <c r="E623" s="626"/>
      <c r="F623" s="626"/>
      <c r="G623" s="762"/>
      <c r="H623" s="764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</row>
    <row r="624" spans="1:26" ht="18.75">
      <c r="A624" s="608"/>
      <c r="B624" s="618"/>
      <c r="C624" s="618"/>
      <c r="D624" s="746" t="s">
        <v>265</v>
      </c>
      <c r="E624" s="626"/>
      <c r="F624" s="626"/>
      <c r="G624" s="762"/>
      <c r="H624" s="764" t="s">
        <v>46</v>
      </c>
      <c r="I624" s="270"/>
      <c r="J624" s="215">
        <v>95</v>
      </c>
      <c r="K624" s="163"/>
      <c r="L624" s="163"/>
      <c r="M624" s="163"/>
      <c r="N624" s="163"/>
      <c r="O624" s="163"/>
      <c r="P624" s="163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</row>
    <row r="625" spans="1:26" ht="18.75">
      <c r="A625" s="608"/>
      <c r="B625" s="618"/>
      <c r="C625" s="618"/>
      <c r="D625" s="618"/>
      <c r="E625" s="626"/>
      <c r="F625" s="626"/>
      <c r="G625" s="762"/>
      <c r="H625" s="764" t="s">
        <v>34</v>
      </c>
      <c r="I625" s="270"/>
      <c r="J625" s="215">
        <v>3</v>
      </c>
      <c r="K625" s="163"/>
      <c r="L625" s="163"/>
      <c r="M625" s="163"/>
      <c r="N625" s="163"/>
      <c r="O625" s="163"/>
      <c r="P625" s="163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</row>
    <row r="626" spans="1:26" ht="18.75">
      <c r="A626" s="608"/>
      <c r="B626" s="618"/>
      <c r="C626" s="618"/>
      <c r="D626" s="746" t="s">
        <v>270</v>
      </c>
      <c r="E626" s="626"/>
      <c r="F626" s="626"/>
      <c r="G626" s="762"/>
      <c r="H626" s="76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</row>
    <row r="627" spans="1:26" ht="18.75">
      <c r="A627" s="732"/>
      <c r="B627" s="733"/>
      <c r="C627" s="733"/>
      <c r="D627" s="733"/>
      <c r="E627" s="734"/>
      <c r="F627" s="734"/>
      <c r="G627" s="735"/>
      <c r="H627" s="422" t="s">
        <v>34</v>
      </c>
      <c r="I627" s="506"/>
      <c r="J627" s="424">
        <v>0</v>
      </c>
      <c r="K627" s="385"/>
      <c r="L627" s="385"/>
      <c r="M627" s="385"/>
      <c r="N627" s="385"/>
      <c r="O627" s="385"/>
      <c r="P627" s="385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</row>
    <row r="628" spans="1:26" ht="19.5">
      <c r="A628" s="736">
        <v>7</v>
      </c>
      <c r="B628" s="737" t="s">
        <v>271</v>
      </c>
      <c r="C628" s="738"/>
      <c r="D628" s="738"/>
      <c r="E628" s="738"/>
      <c r="F628" s="738"/>
      <c r="G628" s="739"/>
      <c r="H628" s="740" t="s">
        <v>35</v>
      </c>
      <c r="I628" s="741">
        <f t="shared" ref="I628:J628" ca="1" si="262">I651</f>
        <v>2500</v>
      </c>
      <c r="J628" s="741">
        <f t="shared" ca="1" si="262"/>
        <v>2620</v>
      </c>
      <c r="K628" s="742">
        <f ca="1">IF(I628&gt;0,J628*100/I628,0)</f>
        <v>104.8</v>
      </c>
      <c r="L628" s="743"/>
      <c r="M628" s="743"/>
      <c r="N628" s="743"/>
      <c r="O628" s="743"/>
      <c r="P628" s="743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</row>
    <row r="629" spans="1:26" ht="19.5">
      <c r="A629" s="597"/>
      <c r="B629" s="763"/>
      <c r="C629" s="763" t="s">
        <v>16</v>
      </c>
      <c r="D629" s="863" t="s">
        <v>17</v>
      </c>
      <c r="E629" s="857"/>
      <c r="F629" s="857"/>
      <c r="G629" s="189"/>
      <c r="H629" s="598" t="s">
        <v>12</v>
      </c>
      <c r="I629" s="270"/>
      <c r="J629" s="270"/>
      <c r="K629" s="498"/>
      <c r="L629" s="195">
        <f t="shared" ref="L629:N629" ca="1" si="263">L630+L631</f>
        <v>2073125</v>
      </c>
      <c r="M629" s="195">
        <f t="shared" ca="1" si="263"/>
        <v>2069658.06</v>
      </c>
      <c r="N629" s="195">
        <f t="shared" si="263"/>
        <v>2069658.06</v>
      </c>
      <c r="O629" s="195">
        <f t="shared" ref="O629:O634" ca="1" si="264">IF(L629&gt;0,N629*100/L629,0)</f>
        <v>99.832767440458241</v>
      </c>
      <c r="P629" s="195">
        <f t="shared" ref="P629:P634" ca="1" si="265">IF(M629&gt;0,N629*100/M629,0)</f>
        <v>100</v>
      </c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</row>
    <row r="630" spans="1:26" ht="18.75" hidden="1">
      <c r="A630" s="599"/>
      <c r="B630" s="759"/>
      <c r="C630" s="759"/>
      <c r="D630" s="720"/>
      <c r="E630" s="759" t="s">
        <v>185</v>
      </c>
      <c r="F630" s="759"/>
      <c r="G630" s="603"/>
      <c r="H630" s="165" t="s">
        <v>12</v>
      </c>
      <c r="I630" s="617"/>
      <c r="J630" s="617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4"/>
      <c r="R630" s="604"/>
      <c r="S630" s="604"/>
      <c r="T630" s="604"/>
      <c r="U630" s="604"/>
      <c r="V630" s="604"/>
      <c r="W630" s="604"/>
      <c r="X630" s="604"/>
      <c r="Y630" s="604"/>
      <c r="Z630" s="604"/>
    </row>
    <row r="631" spans="1:26" ht="18.75" hidden="1">
      <c r="A631" s="599"/>
      <c r="B631" s="607"/>
      <c r="C631" s="759"/>
      <c r="D631" s="720"/>
      <c r="E631" s="759" t="s">
        <v>186</v>
      </c>
      <c r="F631" s="759"/>
      <c r="G631" s="603"/>
      <c r="H631" s="165" t="s">
        <v>12</v>
      </c>
      <c r="I631" s="617"/>
      <c r="J631" s="617"/>
      <c r="K631" s="93"/>
      <c r="L631" s="93">
        <f t="shared" ca="1" si="266"/>
        <v>2073125</v>
      </c>
      <c r="M631" s="93">
        <f t="shared" ca="1" si="266"/>
        <v>2069658.06</v>
      </c>
      <c r="N631" s="93">
        <f t="shared" si="266"/>
        <v>2069658.06</v>
      </c>
      <c r="O631" s="93">
        <f t="shared" ca="1" si="264"/>
        <v>99.832767440458241</v>
      </c>
      <c r="P631" s="93">
        <f t="shared" ca="1" si="265"/>
        <v>100</v>
      </c>
      <c r="Q631" s="604"/>
      <c r="R631" s="604"/>
      <c r="S631" s="604"/>
      <c r="T631" s="604"/>
      <c r="U631" s="604"/>
      <c r="V631" s="604"/>
      <c r="W631" s="604"/>
      <c r="X631" s="604"/>
      <c r="Y631" s="604"/>
      <c r="Z631" s="604"/>
    </row>
    <row r="632" spans="1:26" ht="18.75">
      <c r="A632" s="597"/>
      <c r="B632" s="575"/>
      <c r="C632" s="763"/>
      <c r="D632" s="606" t="s">
        <v>20</v>
      </c>
      <c r="E632" s="763"/>
      <c r="F632" s="763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2073125</v>
      </c>
      <c r="M632" s="498">
        <f t="shared" ca="1" si="267"/>
        <v>2069658.06</v>
      </c>
      <c r="N632" s="498">
        <f t="shared" si="267"/>
        <v>2069658.06</v>
      </c>
      <c r="O632" s="498">
        <f t="shared" ca="1" si="264"/>
        <v>99.832767440458241</v>
      </c>
      <c r="P632" s="498">
        <f t="shared" ca="1" si="265"/>
        <v>100</v>
      </c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</row>
    <row r="633" spans="1:26" ht="18.75" hidden="1">
      <c r="A633" s="599"/>
      <c r="B633" s="607"/>
      <c r="C633" s="759"/>
      <c r="D633" s="720"/>
      <c r="E633" s="759" t="s">
        <v>185</v>
      </c>
      <c r="F633" s="759"/>
      <c r="G633" s="603"/>
      <c r="H633" s="165" t="s">
        <v>12</v>
      </c>
      <c r="I633" s="617"/>
      <c r="J633" s="617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4"/>
      <c r="R633" s="604"/>
      <c r="S633" s="604"/>
      <c r="T633" s="604"/>
      <c r="U633" s="604"/>
      <c r="V633" s="604"/>
      <c r="W633" s="604"/>
      <c r="X633" s="604"/>
      <c r="Y633" s="604"/>
      <c r="Z633" s="604"/>
    </row>
    <row r="634" spans="1:26" ht="18.75" hidden="1">
      <c r="A634" s="599"/>
      <c r="B634" s="607"/>
      <c r="C634" s="759"/>
      <c r="D634" s="720"/>
      <c r="E634" s="759" t="s">
        <v>186</v>
      </c>
      <c r="F634" s="759"/>
      <c r="G634" s="603"/>
      <c r="H634" s="165" t="s">
        <v>12</v>
      </c>
      <c r="I634" s="617"/>
      <c r="J634" s="617"/>
      <c r="K634" s="93"/>
      <c r="L634" s="93">
        <f ca="1">IFERROR(__xludf.DUMMYFUNCTION("IMPORTRANGE(""https://docs.google.com/spreadsheets/d/1QqKyyYR6Q21VydFLVH3TRQUabQu_ym0Zz7PgGX0-kHA/edit?usp=sharing"",""แผน!HN36"")"),2073125)</f>
        <v>2073125</v>
      </c>
      <c r="M634" s="93">
        <f ca="1">L634-3466.94</f>
        <v>2069658.06</v>
      </c>
      <c r="N634" s="93">
        <f>N635+N636+N637+N638</f>
        <v>2069658.06</v>
      </c>
      <c r="O634" s="93">
        <f t="shared" ca="1" si="264"/>
        <v>99.832767440458241</v>
      </c>
      <c r="P634" s="93">
        <f t="shared" ca="1" si="265"/>
        <v>100</v>
      </c>
      <c r="Q634" s="604"/>
      <c r="R634" s="604"/>
      <c r="S634" s="604"/>
      <c r="T634" s="604"/>
      <c r="U634" s="604"/>
      <c r="V634" s="604"/>
      <c r="W634" s="604"/>
      <c r="X634" s="604"/>
      <c r="Y634" s="604"/>
      <c r="Z634" s="604"/>
    </row>
    <row r="635" spans="1:26" ht="18.75">
      <c r="A635" s="574"/>
      <c r="B635" s="575"/>
      <c r="C635" s="763"/>
      <c r="D635" s="763"/>
      <c r="E635" s="763"/>
      <c r="F635" s="763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40">
        <v>0</v>
      </c>
      <c r="O635" s="498"/>
      <c r="P635" s="49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</row>
    <row r="636" spans="1:26" ht="18.75">
      <c r="A636" s="574"/>
      <c r="B636" s="575"/>
      <c r="C636" s="763"/>
      <c r="D636" s="763"/>
      <c r="E636" s="763"/>
      <c r="F636" s="763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40">
        <v>0</v>
      </c>
      <c r="O636" s="498"/>
      <c r="P636" s="49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</row>
    <row r="637" spans="1:26" ht="18.75">
      <c r="A637" s="574"/>
      <c r="B637" s="575"/>
      <c r="C637" s="763"/>
      <c r="D637" s="763"/>
      <c r="E637" s="763"/>
      <c r="F637" s="763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40">
        <v>425533.06</v>
      </c>
      <c r="O637" s="498"/>
      <c r="P637" s="498"/>
      <c r="Q637" s="578" t="s">
        <v>342</v>
      </c>
      <c r="R637" s="578"/>
      <c r="S637" s="578"/>
      <c r="T637" s="578"/>
      <c r="U637" s="578"/>
      <c r="V637" s="578"/>
      <c r="W637" s="578"/>
      <c r="X637" s="578"/>
      <c r="Y637" s="578"/>
      <c r="Z637" s="578"/>
    </row>
    <row r="638" spans="1:26" ht="18.75">
      <c r="A638" s="574"/>
      <c r="B638" s="575"/>
      <c r="C638" s="763"/>
      <c r="D638" s="763"/>
      <c r="E638" s="763"/>
      <c r="F638" s="763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40">
        <v>1644125</v>
      </c>
      <c r="O638" s="498"/>
      <c r="P638" s="49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</row>
    <row r="639" spans="1:26" ht="18.75">
      <c r="A639" s="597"/>
      <c r="B639" s="575"/>
      <c r="C639" s="763"/>
      <c r="D639" s="606" t="s">
        <v>21</v>
      </c>
      <c r="E639" s="763"/>
      <c r="F639" s="763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</row>
    <row r="640" spans="1:26" ht="18.75" hidden="1">
      <c r="A640" s="599"/>
      <c r="B640" s="607"/>
      <c r="C640" s="759"/>
      <c r="D640" s="759"/>
      <c r="E640" s="759" t="s">
        <v>18</v>
      </c>
      <c r="F640" s="759"/>
      <c r="G640" s="603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4"/>
      <c r="R640" s="604"/>
      <c r="S640" s="604"/>
      <c r="T640" s="604"/>
      <c r="U640" s="604"/>
      <c r="V640" s="604"/>
      <c r="W640" s="604"/>
      <c r="X640" s="604"/>
      <c r="Y640" s="604"/>
      <c r="Z640" s="604"/>
    </row>
    <row r="641" spans="1:26" ht="18.75" hidden="1">
      <c r="A641" s="599"/>
      <c r="B641" s="607"/>
      <c r="C641" s="759"/>
      <c r="D641" s="759"/>
      <c r="E641" s="759" t="s">
        <v>19</v>
      </c>
      <c r="F641" s="759"/>
      <c r="G641" s="603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4"/>
      <c r="R641" s="604"/>
      <c r="S641" s="604"/>
      <c r="T641" s="604"/>
      <c r="U641" s="604"/>
      <c r="V641" s="604"/>
      <c r="W641" s="604"/>
      <c r="X641" s="604"/>
      <c r="Y641" s="604"/>
      <c r="Z641" s="604"/>
    </row>
    <row r="642" spans="1:26" ht="19.5">
      <c r="A642" s="608"/>
      <c r="B642" s="618"/>
      <c r="C642" s="763" t="s">
        <v>16</v>
      </c>
      <c r="D642" s="896" t="s">
        <v>38</v>
      </c>
      <c r="E642" s="761"/>
      <c r="F642" s="761"/>
      <c r="G642" s="613"/>
      <c r="H642" s="762"/>
      <c r="I642" s="184"/>
      <c r="J642" s="184"/>
      <c r="K642" s="163"/>
      <c r="L642" s="163"/>
      <c r="M642" s="163"/>
      <c r="N642" s="163"/>
      <c r="O642" s="163"/>
      <c r="P642" s="163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</row>
    <row r="643" spans="1:26" ht="18.75">
      <c r="A643" s="744"/>
      <c r="B643" s="575"/>
      <c r="C643" s="763"/>
      <c r="D643" s="626"/>
      <c r="E643" s="746" t="s">
        <v>272</v>
      </c>
      <c r="F643" s="626"/>
      <c r="G643" s="762"/>
      <c r="H643" s="764" t="s">
        <v>273</v>
      </c>
      <c r="I643" s="270">
        <f ca="1">IFERROR(__xludf.DUMMYFUNCTION("IMPORTRANGE(""https://docs.google.com/spreadsheets/d/1QqKyyYR6Q21VydFLVH3TRQUabQu_ym0Zz7PgGX0-kHA/edit?usp=sharing"",""แผน!HR36"")"),0)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</row>
    <row r="644" spans="1:26" ht="18.75">
      <c r="A644" s="744"/>
      <c r="B644" s="575"/>
      <c r="C644" s="763"/>
      <c r="D644" s="626"/>
      <c r="E644" s="746" t="s">
        <v>274</v>
      </c>
      <c r="F644" s="626"/>
      <c r="G644" s="762"/>
      <c r="H644" s="764" t="s">
        <v>275</v>
      </c>
      <c r="I644" s="270">
        <f ca="1">IFERROR(__xludf.DUMMYFUNCTION("IMPORTRANGE(""https://docs.google.com/spreadsheets/d/1QqKyyYR6Q21VydFLVH3TRQUabQu_ym0Zz7PgGX0-kHA/edit?usp=sharing"",""แผน!HR36"")"),0)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</row>
    <row r="645" spans="1:26" ht="18.75">
      <c r="A645" s="744"/>
      <c r="B645" s="575"/>
      <c r="C645" s="763"/>
      <c r="D645" s="626"/>
      <c r="E645" s="746" t="s">
        <v>276</v>
      </c>
      <c r="F645" s="626"/>
      <c r="G645" s="762"/>
      <c r="H645" s="76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IFERROR(__xludf.DUMMYFUNCTION("IMPORTRANGE(""https://docs.google.com/spreadsheets/d/1XWAQStnk-4SwqDmLtmXYiTMKHgktTP8We1SCoS47DrQ/edit?usp=sharing"",""จัดที่ดิน!AS36"")"),2191)</f>
        <v>2191</v>
      </c>
      <c r="K645" s="163">
        <f t="shared" si="271"/>
        <v>0</v>
      </c>
      <c r="L645" s="163"/>
      <c r="M645" s="163"/>
      <c r="N645" s="498"/>
      <c r="O645" s="163"/>
      <c r="P645" s="163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</row>
    <row r="646" spans="1:26" ht="18.75">
      <c r="A646" s="744"/>
      <c r="B646" s="575"/>
      <c r="C646" s="763"/>
      <c r="D646" s="626"/>
      <c r="E646" s="626"/>
      <c r="F646" s="626"/>
      <c r="G646" s="762"/>
      <c r="H646" s="76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IFERROR(__xludf.DUMMYFUNCTION("IMPORTRANGE(""https://docs.google.com/spreadsheets/d/1XWAQStnk-4SwqDmLtmXYiTMKHgktTP8We1SCoS47DrQ/edit?usp=sharing"",""จัดที่ดิน!AT36"")"),1935.02)</f>
        <v>1935.02</v>
      </c>
      <c r="K646" s="498">
        <f t="shared" si="271"/>
        <v>0</v>
      </c>
      <c r="L646" s="163"/>
      <c r="M646" s="163"/>
      <c r="N646" s="498"/>
      <c r="O646" s="163"/>
      <c r="P646" s="163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</row>
    <row r="647" spans="1:26" ht="18.75">
      <c r="A647" s="744"/>
      <c r="B647" s="575"/>
      <c r="C647" s="763"/>
      <c r="D647" s="626"/>
      <c r="E647" s="746" t="s">
        <v>162</v>
      </c>
      <c r="F647" s="626"/>
      <c r="G647" s="762"/>
      <c r="H647" s="764" t="s">
        <v>35</v>
      </c>
      <c r="I647" s="270">
        <f ca="1">IFERROR(__xludf.DUMMYFUNCTION("IMPORTRANGE(""https://docs.google.com/spreadsheets/d/1QqKyyYR6Q21VydFLVH3TRQUabQu_ym0Zz7PgGX0-kHA/edit?usp=sharing"",""แผน!HS36"")"),2500)</f>
        <v>2500</v>
      </c>
      <c r="J647" s="270">
        <f ca="1">IFERROR(__xludf.DUMMYFUNCTION("IMPORTRANGE(""https://docs.google.com/spreadsheets/d/1XWAQStnk-4SwqDmLtmXYiTMKHgktTP8We1SCoS47DrQ/edit?usp=sharing"",""จัดที่ดิน!AU36"")"),2762)</f>
        <v>2762</v>
      </c>
      <c r="K647" s="163">
        <f t="shared" ca="1" si="271"/>
        <v>110.48</v>
      </c>
      <c r="L647" s="163"/>
      <c r="M647" s="163"/>
      <c r="N647" s="163"/>
      <c r="O647" s="163"/>
      <c r="P647" s="163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</row>
    <row r="648" spans="1:26" ht="18.75">
      <c r="A648" s="744"/>
      <c r="B648" s="575"/>
      <c r="C648" s="763"/>
      <c r="D648" s="626"/>
      <c r="E648" s="626"/>
      <c r="F648" s="626"/>
      <c r="G648" s="762"/>
      <c r="H648" s="76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IFERROR(__xludf.DUMMYFUNCTION("IMPORTRANGE(""https://docs.google.com/spreadsheets/d/1XWAQStnk-4SwqDmLtmXYiTMKHgktTP8We1SCoS47DrQ/edit?usp=sharing"",""จัดที่ดิน!AV36"")"),1665.13)</f>
        <v>1665.13</v>
      </c>
      <c r="K648" s="498">
        <f t="shared" si="271"/>
        <v>0</v>
      </c>
      <c r="L648" s="163"/>
      <c r="M648" s="163"/>
      <c r="N648" s="163"/>
      <c r="O648" s="163"/>
      <c r="P648" s="163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</row>
    <row r="649" spans="1:26" ht="18.75">
      <c r="A649" s="744"/>
      <c r="B649" s="575"/>
      <c r="C649" s="763"/>
      <c r="D649" s="626"/>
      <c r="E649" s="746" t="s">
        <v>277</v>
      </c>
      <c r="F649" s="626"/>
      <c r="G649" s="762"/>
      <c r="H649" s="764" t="s">
        <v>35</v>
      </c>
      <c r="I649" s="270">
        <f ca="1">IFERROR(__xludf.DUMMYFUNCTION("IMPORTRANGE(""https://docs.google.com/spreadsheets/d/1QqKyyYR6Q21VydFLVH3TRQUabQu_ym0Zz7PgGX0-kHA/edit?usp=sharing"",""แผน!HS36"")"),2500)</f>
        <v>2500</v>
      </c>
      <c r="J649" s="270">
        <f ca="1">IFERROR(__xludf.DUMMYFUNCTION("IMPORTRANGE(""https://docs.google.com/spreadsheets/d/1XWAQStnk-4SwqDmLtmXYiTMKHgktTP8We1SCoS47DrQ/edit?usp=sharing"",""จัดที่ดิน!AW36"")"),2728)</f>
        <v>2728</v>
      </c>
      <c r="K649" s="163">
        <f t="shared" ca="1" si="271"/>
        <v>109.12</v>
      </c>
      <c r="L649" s="163"/>
      <c r="M649" s="163"/>
      <c r="N649" s="163"/>
      <c r="O649" s="163"/>
      <c r="P649" s="163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</row>
    <row r="650" spans="1:26" ht="18.75">
      <c r="A650" s="744"/>
      <c r="B650" s="575"/>
      <c r="C650" s="763"/>
      <c r="D650" s="626"/>
      <c r="E650" s="626"/>
      <c r="F650" s="626"/>
      <c r="G650" s="762"/>
      <c r="H650" s="76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IFERROR(__xludf.DUMMYFUNCTION("IMPORTRANGE(""https://docs.google.com/spreadsheets/d/1XWAQStnk-4SwqDmLtmXYiTMKHgktTP8We1SCoS47DrQ/edit?usp=sharing"",""จัดที่ดิน!AX36"")"),1625.77)</f>
        <v>1625.77</v>
      </c>
      <c r="K650" s="498">
        <f t="shared" si="271"/>
        <v>0</v>
      </c>
      <c r="L650" s="163"/>
      <c r="M650" s="163"/>
      <c r="N650" s="163"/>
      <c r="O650" s="163"/>
      <c r="P650" s="163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</row>
    <row r="651" spans="1:26" ht="18.75">
      <c r="A651" s="744"/>
      <c r="B651" s="575"/>
      <c r="C651" s="763"/>
      <c r="D651" s="626"/>
      <c r="E651" s="746" t="s">
        <v>278</v>
      </c>
      <c r="F651" s="626"/>
      <c r="G651" s="762"/>
      <c r="H651" s="764" t="s">
        <v>35</v>
      </c>
      <c r="I651" s="270">
        <f ca="1">IFERROR(__xludf.DUMMYFUNCTION("IMPORTRANGE(""https://docs.google.com/spreadsheets/d/1QqKyyYR6Q21VydFLVH3TRQUabQu_ym0Zz7PgGX0-kHA/edit?usp=sharing"",""แผน!HS36"")"),2500)</f>
        <v>2500</v>
      </c>
      <c r="J651" s="270">
        <f ca="1">IFERROR(__xludf.DUMMYFUNCTION("IMPORTRANGE(""https://docs.google.com/spreadsheets/d/1XWAQStnk-4SwqDmLtmXYiTMKHgktTP8We1SCoS47DrQ/edit?usp=sharing"",""จัดที่ดิน!AY36"")"),2620)</f>
        <v>2620</v>
      </c>
      <c r="K651" s="163">
        <f t="shared" ca="1" si="271"/>
        <v>104.8</v>
      </c>
      <c r="L651" s="163"/>
      <c r="M651" s="163"/>
      <c r="N651" s="163"/>
      <c r="O651" s="163"/>
      <c r="P651" s="163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</row>
    <row r="652" spans="1:26" ht="18.75">
      <c r="A652" s="74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8"/>
      <c r="C652" s="749"/>
      <c r="D652" s="734"/>
      <c r="E652" s="734"/>
      <c r="F652" s="734"/>
      <c r="G652" s="735"/>
      <c r="H652" s="505" t="s">
        <v>46</v>
      </c>
      <c r="I652" s="506">
        <v>0</v>
      </c>
      <c r="J652" s="506">
        <f ca="1">IFERROR(__xludf.DUMMYFUNCTION("IMPORTRANGE(""https://docs.google.com/spreadsheets/d/1XWAQStnk-4SwqDmLtmXYiTMKHgktTP8We1SCoS47DrQ/edit?usp=sharing"",""จัดที่ดิน!AZ36"")"),1559.44)</f>
        <v>1559.44</v>
      </c>
      <c r="K652" s="507">
        <f t="shared" si="271"/>
        <v>0</v>
      </c>
      <c r="L652" s="385"/>
      <c r="M652" s="385"/>
      <c r="N652" s="385"/>
      <c r="O652" s="385"/>
      <c r="P652" s="385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</row>
    <row r="653" spans="1:26" ht="19.5">
      <c r="A653" s="750">
        <v>8</v>
      </c>
      <c r="B653" s="737" t="s">
        <v>279</v>
      </c>
      <c r="C653" s="738"/>
      <c r="D653" s="738"/>
      <c r="E653" s="738"/>
      <c r="F653" s="738"/>
      <c r="G653" s="739"/>
      <c r="H653" s="739"/>
      <c r="I653" s="751"/>
      <c r="J653" s="751"/>
      <c r="K653" s="743"/>
      <c r="L653" s="743"/>
      <c r="M653" s="743"/>
      <c r="N653" s="743"/>
      <c r="O653" s="743"/>
      <c r="P653" s="743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</row>
    <row r="654" spans="1:26" ht="19.5">
      <c r="A654" s="673"/>
      <c r="B654" s="672" t="s">
        <v>280</v>
      </c>
      <c r="C654" s="673"/>
      <c r="D654" s="673"/>
      <c r="E654" s="673"/>
      <c r="F654" s="673"/>
      <c r="G654" s="674"/>
      <c r="H654" s="707" t="s">
        <v>46</v>
      </c>
      <c r="I654" s="708">
        <f t="shared" ref="I654:J654" ca="1" si="272">I669</f>
        <v>320</v>
      </c>
      <c r="J654" s="708">
        <f t="shared" si="272"/>
        <v>0</v>
      </c>
      <c r="K654" s="677">
        <f ca="1">IF(I654&gt;0,J654*100/I654,0)</f>
        <v>0</v>
      </c>
      <c r="L654" s="678"/>
      <c r="M654" s="678"/>
      <c r="N654" s="678"/>
      <c r="O654" s="678"/>
      <c r="P654" s="6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</row>
    <row r="655" spans="1:26" ht="19.5">
      <c r="A655" s="597"/>
      <c r="B655" s="763"/>
      <c r="C655" s="763" t="s">
        <v>16</v>
      </c>
      <c r="D655" s="863" t="s">
        <v>17</v>
      </c>
      <c r="E655" s="857"/>
      <c r="F655" s="857"/>
      <c r="G655" s="189"/>
      <c r="H655" s="598" t="s">
        <v>12</v>
      </c>
      <c r="I655" s="270"/>
      <c r="J655" s="270"/>
      <c r="K655" s="498"/>
      <c r="L655" s="195">
        <f t="shared" ref="L655:N655" ca="1" si="273">L656+L657</f>
        <v>28800</v>
      </c>
      <c r="M655" s="195">
        <f t="shared" ca="1" si="273"/>
        <v>49140</v>
      </c>
      <c r="N655" s="195">
        <f t="shared" si="273"/>
        <v>49140</v>
      </c>
      <c r="O655" s="195">
        <f t="shared" ref="O655:O660" ca="1" si="274">IF(L655&gt;0,N655*100/L655,0)</f>
        <v>170.625</v>
      </c>
      <c r="P655" s="195">
        <f t="shared" ref="P655:P660" ca="1" si="275">IF(M655&gt;0,N655*100/M655,0)</f>
        <v>100</v>
      </c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</row>
    <row r="656" spans="1:26" ht="18.75" hidden="1">
      <c r="A656" s="599"/>
      <c r="B656" s="759"/>
      <c r="C656" s="759"/>
      <c r="D656" s="720"/>
      <c r="E656" s="759" t="s">
        <v>185</v>
      </c>
      <c r="F656" s="759"/>
      <c r="G656" s="603"/>
      <c r="H656" s="165" t="s">
        <v>12</v>
      </c>
      <c r="I656" s="617"/>
      <c r="J656" s="617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4"/>
      <c r="R656" s="604"/>
      <c r="S656" s="604"/>
      <c r="T656" s="604"/>
      <c r="U656" s="604"/>
      <c r="V656" s="604"/>
      <c r="W656" s="604"/>
      <c r="X656" s="604"/>
      <c r="Y656" s="604"/>
      <c r="Z656" s="604"/>
    </row>
    <row r="657" spans="1:26" ht="18.75" hidden="1">
      <c r="A657" s="599"/>
      <c r="B657" s="607"/>
      <c r="C657" s="759"/>
      <c r="D657" s="720"/>
      <c r="E657" s="759" t="s">
        <v>186</v>
      </c>
      <c r="F657" s="759"/>
      <c r="G657" s="603"/>
      <c r="H657" s="165" t="s">
        <v>12</v>
      </c>
      <c r="I657" s="617"/>
      <c r="J657" s="617"/>
      <c r="K657" s="93"/>
      <c r="L657" s="93">
        <f t="shared" ca="1" si="276"/>
        <v>28800</v>
      </c>
      <c r="M657" s="93">
        <f t="shared" ca="1" si="276"/>
        <v>49140</v>
      </c>
      <c r="N657" s="93">
        <f t="shared" si="276"/>
        <v>49140</v>
      </c>
      <c r="O657" s="93">
        <f t="shared" ca="1" si="274"/>
        <v>170.625</v>
      </c>
      <c r="P657" s="93">
        <f t="shared" ca="1" si="275"/>
        <v>100</v>
      </c>
      <c r="Q657" s="604"/>
      <c r="R657" s="604"/>
      <c r="S657" s="604"/>
      <c r="T657" s="604"/>
      <c r="U657" s="604"/>
      <c r="V657" s="604"/>
      <c r="W657" s="604"/>
      <c r="X657" s="604"/>
      <c r="Y657" s="604"/>
      <c r="Z657" s="604"/>
    </row>
    <row r="658" spans="1:26" ht="18.75">
      <c r="A658" s="597"/>
      <c r="B658" s="575"/>
      <c r="C658" s="763"/>
      <c r="D658" s="606" t="s">
        <v>20</v>
      </c>
      <c r="E658" s="763"/>
      <c r="F658" s="763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28800</v>
      </c>
      <c r="M658" s="498">
        <f t="shared" ca="1" si="277"/>
        <v>49140</v>
      </c>
      <c r="N658" s="498">
        <f t="shared" si="277"/>
        <v>49140</v>
      </c>
      <c r="O658" s="498">
        <f t="shared" ca="1" si="274"/>
        <v>170.625</v>
      </c>
      <c r="P658" s="498">
        <f t="shared" ca="1" si="275"/>
        <v>100</v>
      </c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</row>
    <row r="659" spans="1:26" ht="18.75" hidden="1">
      <c r="A659" s="599"/>
      <c r="B659" s="607"/>
      <c r="C659" s="759"/>
      <c r="D659" s="720"/>
      <c r="E659" s="759" t="s">
        <v>185</v>
      </c>
      <c r="F659" s="759"/>
      <c r="G659" s="603"/>
      <c r="H659" s="165" t="s">
        <v>12</v>
      </c>
      <c r="I659" s="617"/>
      <c r="J659" s="617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4"/>
      <c r="R659" s="604"/>
      <c r="S659" s="604"/>
      <c r="T659" s="604"/>
      <c r="U659" s="604"/>
      <c r="V659" s="604"/>
      <c r="W659" s="604"/>
      <c r="X659" s="604"/>
      <c r="Y659" s="604"/>
      <c r="Z659" s="604"/>
    </row>
    <row r="660" spans="1:26" ht="18.75" hidden="1">
      <c r="A660" s="599"/>
      <c r="B660" s="607"/>
      <c r="C660" s="759"/>
      <c r="D660" s="720"/>
      <c r="E660" s="759" t="s">
        <v>186</v>
      </c>
      <c r="F660" s="759"/>
      <c r="G660" s="603"/>
      <c r="H660" s="165" t="s">
        <v>12</v>
      </c>
      <c r="I660" s="617"/>
      <c r="J660" s="617"/>
      <c r="K660" s="93"/>
      <c r="L660" s="93">
        <f ca="1">IFERROR(__xludf.DUMMYFUNCTION("IMPORTRANGE(""https://docs.google.com/spreadsheets/d/1QqKyyYR6Q21VydFLVH3TRQUabQu_ym0Zz7PgGX0-kHA/edit?usp=sharing"",""แผน!HV36"")"),28800)</f>
        <v>28800</v>
      </c>
      <c r="M660" s="93">
        <f ca="1">L660+61020-30510-10170</f>
        <v>49140</v>
      </c>
      <c r="N660" s="93">
        <f>N661+N662+N663+N664</f>
        <v>49140</v>
      </c>
      <c r="O660" s="93">
        <f t="shared" ca="1" si="274"/>
        <v>170.625</v>
      </c>
      <c r="P660" s="93">
        <f t="shared" ca="1" si="275"/>
        <v>100</v>
      </c>
      <c r="Q660" s="604"/>
      <c r="R660" s="604"/>
      <c r="S660" s="604"/>
      <c r="T660" s="604"/>
      <c r="U660" s="604"/>
      <c r="V660" s="604"/>
      <c r="W660" s="604"/>
      <c r="X660" s="604"/>
      <c r="Y660" s="604"/>
      <c r="Z660" s="604"/>
    </row>
    <row r="661" spans="1:26" ht="18.75">
      <c r="A661" s="574"/>
      <c r="B661" s="575"/>
      <c r="C661" s="763"/>
      <c r="D661" s="763"/>
      <c r="E661" s="763"/>
      <c r="F661" s="763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40">
        <v>0</v>
      </c>
      <c r="O661" s="498"/>
      <c r="P661" s="49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</row>
    <row r="662" spans="1:26" ht="18.75">
      <c r="A662" s="574"/>
      <c r="B662" s="575"/>
      <c r="C662" s="763"/>
      <c r="D662" s="763"/>
      <c r="E662" s="763"/>
      <c r="F662" s="763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40">
        <v>0</v>
      </c>
      <c r="O662" s="498"/>
      <c r="P662" s="49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</row>
    <row r="663" spans="1:26" ht="18.75">
      <c r="A663" s="574"/>
      <c r="B663" s="575"/>
      <c r="C663" s="575"/>
      <c r="D663" s="763"/>
      <c r="E663" s="763"/>
      <c r="F663" s="763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40">
        <v>0</v>
      </c>
      <c r="O663" s="498"/>
      <c r="P663" s="49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</row>
    <row r="664" spans="1:26" ht="18.75">
      <c r="A664" s="574"/>
      <c r="B664" s="575"/>
      <c r="C664" s="575"/>
      <c r="D664" s="575"/>
      <c r="E664" s="763"/>
      <c r="F664" s="763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40">
        <v>49140</v>
      </c>
      <c r="O664" s="498"/>
      <c r="P664" s="49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</row>
    <row r="665" spans="1:26" ht="18.75">
      <c r="A665" s="597"/>
      <c r="B665" s="575"/>
      <c r="C665" s="575"/>
      <c r="D665" s="606" t="s">
        <v>21</v>
      </c>
      <c r="E665" s="763"/>
      <c r="F665" s="763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</row>
    <row r="666" spans="1:26" ht="18.75" hidden="1">
      <c r="A666" s="599"/>
      <c r="B666" s="607"/>
      <c r="C666" s="607"/>
      <c r="D666" s="607"/>
      <c r="E666" s="759" t="s">
        <v>18</v>
      </c>
      <c r="F666" s="759"/>
      <c r="G666" s="603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4"/>
      <c r="R666" s="604"/>
      <c r="S666" s="604"/>
      <c r="T666" s="604"/>
      <c r="U666" s="604"/>
      <c r="V666" s="604"/>
      <c r="W666" s="604"/>
      <c r="X666" s="604"/>
      <c r="Y666" s="604"/>
      <c r="Z666" s="604"/>
    </row>
    <row r="667" spans="1:26" ht="18.75" hidden="1">
      <c r="A667" s="599"/>
      <c r="B667" s="607"/>
      <c r="C667" s="607"/>
      <c r="D667" s="607"/>
      <c r="E667" s="759" t="s">
        <v>19</v>
      </c>
      <c r="F667" s="759"/>
      <c r="G667" s="603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4"/>
      <c r="R667" s="604"/>
      <c r="S667" s="604"/>
      <c r="T667" s="604"/>
      <c r="U667" s="604"/>
      <c r="V667" s="604"/>
      <c r="W667" s="604"/>
      <c r="X667" s="604"/>
      <c r="Y667" s="604"/>
      <c r="Z667" s="604"/>
    </row>
    <row r="668" spans="1:26" ht="19.5">
      <c r="A668" s="608"/>
      <c r="B668" s="618"/>
      <c r="C668" s="575" t="s">
        <v>16</v>
      </c>
      <c r="D668" s="893" t="s">
        <v>38</v>
      </c>
      <c r="E668" s="761"/>
      <c r="F668" s="761"/>
      <c r="G668" s="613"/>
      <c r="H668" s="762"/>
      <c r="I668" s="184"/>
      <c r="J668" s="184"/>
      <c r="K668" s="163"/>
      <c r="L668" s="163"/>
      <c r="M668" s="163"/>
      <c r="N668" s="163"/>
      <c r="O668" s="163"/>
      <c r="P668" s="163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</row>
    <row r="669" spans="1:26" ht="19.5">
      <c r="A669" s="608"/>
      <c r="B669" s="618"/>
      <c r="C669" s="618"/>
      <c r="D669" s="618" t="s">
        <v>281</v>
      </c>
      <c r="E669" s="626"/>
      <c r="F669" s="626"/>
      <c r="G669" s="762"/>
      <c r="H669" s="767" t="s">
        <v>46</v>
      </c>
      <c r="I669" s="681">
        <f ca="1">IFERROR(__xludf.DUMMYFUNCTION("IMPORTRANGE(""https://docs.google.com/spreadsheets/d/1QqKyyYR6Q21VydFLVH3TRQUabQu_ym0Zz7PgGX0-kHA/edit?usp=sharing"",""แผน!IA36"")"),320)</f>
        <v>320</v>
      </c>
      <c r="J669" s="681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</row>
    <row r="670" spans="1:26" ht="18.75">
      <c r="A670" s="608"/>
      <c r="B670" s="618"/>
      <c r="C670" s="618"/>
      <c r="D670" s="618"/>
      <c r="E670" s="626" t="s">
        <v>282</v>
      </c>
      <c r="F670" s="626"/>
      <c r="G670" s="762"/>
      <c r="H670" s="764" t="s">
        <v>66</v>
      </c>
      <c r="I670" s="270">
        <f ca="1">IFERROR(__xludf.DUMMYFUNCTION("IMPORTRANGE(""https://docs.google.com/spreadsheets/d/1QqKyyYR6Q21VydFLVH3TRQUabQu_ym0Zz7PgGX0-kHA/edit?usp=sharing"",""แผน!HZ36"")"),6)</f>
        <v>6</v>
      </c>
      <c r="J670" s="215">
        <v>6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</row>
    <row r="671" spans="1:26" ht="18.75">
      <c r="A671" s="608"/>
      <c r="B671" s="618"/>
      <c r="C671" s="618"/>
      <c r="D671" s="618"/>
      <c r="E671" s="626" t="s">
        <v>283</v>
      </c>
      <c r="F671" s="626"/>
      <c r="G671" s="762"/>
      <c r="H671" s="764" t="s">
        <v>66</v>
      </c>
      <c r="I671" s="270">
        <f ca="1">IFERROR(__xludf.DUMMYFUNCTION("IMPORTRANGE(""https://docs.google.com/spreadsheets/d/1QqKyyYR6Q21VydFLVH3TRQUabQu_ym0Zz7PgGX0-kHA/edit?usp=sharing"",""แผน!HZ36"")"),6)</f>
        <v>6</v>
      </c>
      <c r="J671" s="215">
        <v>6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</row>
    <row r="672" spans="1:26" ht="18.75">
      <c r="A672" s="608"/>
      <c r="B672" s="618"/>
      <c r="C672" s="618"/>
      <c r="D672" s="618"/>
      <c r="E672" s="626" t="s">
        <v>284</v>
      </c>
      <c r="F672" s="626"/>
      <c r="G672" s="762"/>
      <c r="H672" s="764" t="s">
        <v>46</v>
      </c>
      <c r="I672" s="270"/>
      <c r="J672" s="215">
        <v>2596</v>
      </c>
      <c r="K672" s="498">
        <f t="shared" ref="K672:K675" ca="1" si="281">IF(I$669&gt;0,J672*100/I$669,0)</f>
        <v>811.25</v>
      </c>
      <c r="L672" s="163"/>
      <c r="M672" s="163"/>
      <c r="N672" s="163"/>
      <c r="O672" s="163"/>
      <c r="P672" s="163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</row>
    <row r="673" spans="1:26" ht="18.75">
      <c r="A673" s="608"/>
      <c r="B673" s="618"/>
      <c r="C673" s="618"/>
      <c r="D673" s="618"/>
      <c r="E673" s="626" t="s">
        <v>285</v>
      </c>
      <c r="F673" s="626"/>
      <c r="G673" s="762"/>
      <c r="H673" s="764" t="s">
        <v>46</v>
      </c>
      <c r="I673" s="270"/>
      <c r="J673" s="215">
        <v>1223</v>
      </c>
      <c r="K673" s="498">
        <f t="shared" ca="1" si="281"/>
        <v>382.1875</v>
      </c>
      <c r="L673" s="163"/>
      <c r="M673" s="163"/>
      <c r="N673" s="163"/>
      <c r="O673" s="163"/>
      <c r="P673" s="163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</row>
    <row r="674" spans="1:26" ht="18.75">
      <c r="A674" s="608"/>
      <c r="B674" s="618"/>
      <c r="C674" s="618"/>
      <c r="D674" s="618"/>
      <c r="E674" s="626" t="s">
        <v>286</v>
      </c>
      <c r="F674" s="626"/>
      <c r="G674" s="762"/>
      <c r="H674" s="764" t="s">
        <v>46</v>
      </c>
      <c r="I674" s="270"/>
      <c r="J674" s="215">
        <v>582</v>
      </c>
      <c r="K674" s="498">
        <f t="shared" ca="1" si="281"/>
        <v>181.875</v>
      </c>
      <c r="L674" s="163"/>
      <c r="M674" s="163"/>
      <c r="N674" s="163"/>
      <c r="O674" s="163"/>
      <c r="P674" s="163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</row>
    <row r="675" spans="1:26" ht="19.5">
      <c r="A675" s="608"/>
      <c r="B675" s="618"/>
      <c r="C675" s="618"/>
      <c r="D675" s="618"/>
      <c r="E675" s="626" t="s">
        <v>287</v>
      </c>
      <c r="F675" s="626"/>
      <c r="G675" s="762"/>
      <c r="H675" s="764" t="s">
        <v>46</v>
      </c>
      <c r="I675" s="270"/>
      <c r="J675" s="681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</row>
    <row r="676" spans="1:26" ht="18.75">
      <c r="A676" s="608"/>
      <c r="B676" s="618"/>
      <c r="C676" s="618"/>
      <c r="D676" s="618"/>
      <c r="E676" s="626"/>
      <c r="F676" s="626" t="s">
        <v>288</v>
      </c>
      <c r="G676" s="762"/>
      <c r="H676" s="764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</row>
    <row r="677" spans="1:26" ht="18.75">
      <c r="A677" s="608"/>
      <c r="B677" s="618"/>
      <c r="C677" s="618"/>
      <c r="D677" s="618"/>
      <c r="E677" s="626"/>
      <c r="F677" s="626" t="s">
        <v>289</v>
      </c>
      <c r="G677" s="762"/>
      <c r="H677" s="764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</row>
    <row r="678" spans="1:26" ht="19.5">
      <c r="A678" s="608"/>
      <c r="B678" s="618"/>
      <c r="C678" s="618"/>
      <c r="D678" s="618" t="s">
        <v>290</v>
      </c>
      <c r="E678" s="626"/>
      <c r="F678" s="626"/>
      <c r="G678" s="762"/>
      <c r="H678" s="764" t="s">
        <v>46</v>
      </c>
      <c r="I678" s="681">
        <f ca="1">IFERROR(__xludf.DUMMYFUNCTION("IMPORTRANGE(""https://docs.google.com/spreadsheets/d/1QqKyyYR6Q21VydFLVH3TRQUabQu_ym0Zz7PgGX0-kHA/edit?usp=sharing"",""แผน!IB36"")"),0)</f>
        <v>0</v>
      </c>
      <c r="J678" s="681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</row>
    <row r="679" spans="1:26" ht="18.75">
      <c r="A679" s="608"/>
      <c r="B679" s="618"/>
      <c r="C679" s="618"/>
      <c r="D679" s="618"/>
      <c r="E679" s="626" t="s">
        <v>291</v>
      </c>
      <c r="F679" s="626"/>
      <c r="G679" s="762"/>
      <c r="H679" s="764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</row>
    <row r="680" spans="1:26" ht="18.75">
      <c r="A680" s="608"/>
      <c r="B680" s="618"/>
      <c r="C680" s="618"/>
      <c r="D680" s="618"/>
      <c r="E680" s="626"/>
      <c r="F680" s="626" t="s">
        <v>288</v>
      </c>
      <c r="G680" s="762"/>
      <c r="H680" s="764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</row>
    <row r="681" spans="1:26" ht="18.75">
      <c r="A681" s="608"/>
      <c r="B681" s="618"/>
      <c r="C681" s="618"/>
      <c r="D681" s="618"/>
      <c r="E681" s="626"/>
      <c r="F681" s="626" t="s">
        <v>289</v>
      </c>
      <c r="G681" s="762"/>
      <c r="H681" s="764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</row>
    <row r="682" spans="1:26" ht="18.75">
      <c r="A682" s="608"/>
      <c r="B682" s="618"/>
      <c r="C682" s="618"/>
      <c r="D682" s="618"/>
      <c r="E682" s="626" t="s">
        <v>292</v>
      </c>
      <c r="F682" s="626"/>
      <c r="G682" s="762"/>
      <c r="H682" s="764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</row>
    <row r="683" spans="1:26" ht="18.75">
      <c r="A683" s="608"/>
      <c r="B683" s="618"/>
      <c r="C683" s="618"/>
      <c r="D683" s="618"/>
      <c r="E683" s="626"/>
      <c r="F683" s="626" t="s">
        <v>293</v>
      </c>
      <c r="G683" s="762"/>
      <c r="H683" s="764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</row>
    <row r="684" spans="1:26" ht="19.5">
      <c r="A684" s="753"/>
      <c r="B684" s="754" t="s">
        <v>294</v>
      </c>
      <c r="C684" s="753"/>
      <c r="D684" s="753"/>
      <c r="E684" s="753"/>
      <c r="F684" s="753"/>
      <c r="G684" s="755"/>
      <c r="H684" s="755"/>
      <c r="I684" s="756"/>
      <c r="J684" s="756"/>
      <c r="K684" s="757"/>
      <c r="L684" s="757"/>
      <c r="M684" s="757"/>
      <c r="N684" s="757"/>
      <c r="O684" s="757"/>
      <c r="P684" s="757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</row>
    <row r="685" spans="1:26" ht="19.5">
      <c r="A685" s="597"/>
      <c r="B685" s="763"/>
      <c r="C685" s="763" t="s">
        <v>16</v>
      </c>
      <c r="D685" s="863" t="s">
        <v>17</v>
      </c>
      <c r="E685" s="857"/>
      <c r="F685" s="857"/>
      <c r="G685" s="189"/>
      <c r="H685" s="598" t="s">
        <v>12</v>
      </c>
      <c r="I685" s="270"/>
      <c r="J685" s="270"/>
      <c r="K685" s="498"/>
      <c r="L685" s="195">
        <f t="shared" ref="L685:N685" ca="1" si="282">L686+L687</f>
        <v>5200</v>
      </c>
      <c r="M685" s="195">
        <f t="shared" ca="1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</row>
    <row r="686" spans="1:26" ht="18.75" hidden="1">
      <c r="A686" s="599"/>
      <c r="B686" s="759"/>
      <c r="C686" s="759"/>
      <c r="D686" s="720"/>
      <c r="E686" s="759" t="s">
        <v>185</v>
      </c>
      <c r="F686" s="759"/>
      <c r="G686" s="603"/>
      <c r="H686" s="165" t="s">
        <v>12</v>
      </c>
      <c r="I686" s="617"/>
      <c r="J686" s="617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4"/>
      <c r="R686" s="604"/>
      <c r="S686" s="604"/>
      <c r="T686" s="604"/>
      <c r="U686" s="604"/>
      <c r="V686" s="604"/>
      <c r="W686" s="604"/>
      <c r="X686" s="604"/>
      <c r="Y686" s="604"/>
      <c r="Z686" s="604"/>
    </row>
    <row r="687" spans="1:26" ht="18.75" hidden="1">
      <c r="A687" s="599"/>
      <c r="B687" s="607"/>
      <c r="C687" s="759"/>
      <c r="D687" s="720"/>
      <c r="E687" s="759" t="s">
        <v>186</v>
      </c>
      <c r="F687" s="759"/>
      <c r="G687" s="603"/>
      <c r="H687" s="165" t="s">
        <v>12</v>
      </c>
      <c r="I687" s="617"/>
      <c r="J687" s="617"/>
      <c r="K687" s="93"/>
      <c r="L687" s="93">
        <f t="shared" ca="1" si="285"/>
        <v>5200</v>
      </c>
      <c r="M687" s="93">
        <f t="shared" ca="1" si="285"/>
        <v>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4"/>
      <c r="R687" s="604"/>
      <c r="S687" s="604"/>
      <c r="T687" s="604"/>
      <c r="U687" s="604"/>
      <c r="V687" s="604"/>
      <c r="W687" s="604"/>
      <c r="X687" s="604"/>
      <c r="Y687" s="604"/>
      <c r="Z687" s="604"/>
    </row>
    <row r="688" spans="1:26" ht="18.75">
      <c r="A688" s="597"/>
      <c r="B688" s="575"/>
      <c r="C688" s="763"/>
      <c r="D688" s="606" t="s">
        <v>20</v>
      </c>
      <c r="E688" s="763"/>
      <c r="F688" s="763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5200</v>
      </c>
      <c r="M688" s="498">
        <f t="shared" ca="1" si="286"/>
        <v>0</v>
      </c>
      <c r="N688" s="498">
        <f t="shared" si="286"/>
        <v>0</v>
      </c>
      <c r="O688" s="498">
        <f t="shared" ca="1" si="283"/>
        <v>0</v>
      </c>
      <c r="P688" s="498">
        <f t="shared" ca="1" si="284"/>
        <v>0</v>
      </c>
      <c r="Q688" s="578" t="s">
        <v>343</v>
      </c>
      <c r="R688" s="578"/>
      <c r="S688" s="578"/>
      <c r="T688" s="578"/>
      <c r="U688" s="578"/>
      <c r="V688" s="578"/>
      <c r="W688" s="578"/>
      <c r="X688" s="578"/>
      <c r="Y688" s="578"/>
      <c r="Z688" s="578"/>
    </row>
    <row r="689" spans="1:26" ht="18.75" hidden="1">
      <c r="A689" s="599"/>
      <c r="B689" s="607"/>
      <c r="C689" s="759"/>
      <c r="D689" s="720"/>
      <c r="E689" s="759" t="s">
        <v>185</v>
      </c>
      <c r="F689" s="759"/>
      <c r="G689" s="603"/>
      <c r="H689" s="165" t="s">
        <v>12</v>
      </c>
      <c r="I689" s="617"/>
      <c r="J689" s="617"/>
      <c r="K689" s="93"/>
      <c r="L689" s="93">
        <v>0</v>
      </c>
      <c r="M689" s="93">
        <v>0</v>
      </c>
      <c r="N689" s="93">
        <v>0</v>
      </c>
      <c r="O689" s="93"/>
      <c r="P689" s="93"/>
      <c r="Q689" s="604"/>
      <c r="R689" s="604"/>
      <c r="S689" s="604"/>
      <c r="T689" s="604"/>
      <c r="U689" s="604"/>
      <c r="V689" s="604"/>
      <c r="W689" s="604"/>
      <c r="X689" s="604"/>
      <c r="Y689" s="604"/>
      <c r="Z689" s="604"/>
    </row>
    <row r="690" spans="1:26" ht="18.75" hidden="1">
      <c r="A690" s="599"/>
      <c r="B690" s="607"/>
      <c r="C690" s="759"/>
      <c r="D690" s="720"/>
      <c r="E690" s="759" t="s">
        <v>186</v>
      </c>
      <c r="F690" s="759"/>
      <c r="G690" s="603"/>
      <c r="H690" s="165" t="s">
        <v>12</v>
      </c>
      <c r="I690" s="617"/>
      <c r="J690" s="617"/>
      <c r="K690" s="93"/>
      <c r="L690" s="93">
        <f ca="1">IFERROR(__xludf.DUMMYFUNCTION("IMPORTRANGE(""https://docs.google.com/spreadsheets/d/1QqKyyYR6Q21VydFLVH3TRQUabQu_ym0Zz7PgGX0-kHA/edit?usp=sharing"",""แผน!HW36"")"),5200)</f>
        <v>5200</v>
      </c>
      <c r="M690" s="93">
        <f ca="1">L690-5200</f>
        <v>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4"/>
      <c r="R690" s="604"/>
      <c r="S690" s="604"/>
      <c r="T690" s="604"/>
      <c r="U690" s="604"/>
      <c r="V690" s="604"/>
      <c r="W690" s="604"/>
      <c r="X690" s="604"/>
      <c r="Y690" s="604"/>
      <c r="Z690" s="604"/>
    </row>
    <row r="691" spans="1:26" ht="18.75">
      <c r="A691" s="574"/>
      <c r="B691" s="575"/>
      <c r="C691" s="763"/>
      <c r="D691" s="763"/>
      <c r="E691" s="763"/>
      <c r="F691" s="763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40">
        <v>0</v>
      </c>
      <c r="O691" s="498"/>
      <c r="P691" s="49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</row>
    <row r="692" spans="1:26" ht="18.75">
      <c r="A692" s="574"/>
      <c r="B692" s="575"/>
      <c r="C692" s="763"/>
      <c r="D692" s="763"/>
      <c r="E692" s="763"/>
      <c r="F692" s="763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40">
        <v>0</v>
      </c>
      <c r="O692" s="498"/>
      <c r="P692" s="49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</row>
    <row r="693" spans="1:26" ht="18.75">
      <c r="A693" s="574"/>
      <c r="B693" s="575"/>
      <c r="C693" s="763"/>
      <c r="D693" s="763"/>
      <c r="E693" s="763"/>
      <c r="F693" s="763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40">
        <v>0</v>
      </c>
      <c r="O693" s="498"/>
      <c r="P693" s="49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</row>
    <row r="694" spans="1:26" ht="18.75">
      <c r="A694" s="574"/>
      <c r="B694" s="575"/>
      <c r="C694" s="763"/>
      <c r="D694" s="763"/>
      <c r="E694" s="763"/>
      <c r="F694" s="763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40">
        <v>0</v>
      </c>
      <c r="O694" s="498"/>
      <c r="P694" s="49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</row>
    <row r="695" spans="1:26" ht="18.75">
      <c r="A695" s="597"/>
      <c r="B695" s="575"/>
      <c r="C695" s="763"/>
      <c r="D695" s="606" t="s">
        <v>21</v>
      </c>
      <c r="E695" s="763"/>
      <c r="F695" s="763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</row>
    <row r="696" spans="1:26" ht="18.75" hidden="1">
      <c r="A696" s="599"/>
      <c r="B696" s="607"/>
      <c r="C696" s="759"/>
      <c r="D696" s="759"/>
      <c r="E696" s="759" t="s">
        <v>18</v>
      </c>
      <c r="F696" s="759"/>
      <c r="G696" s="603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4"/>
      <c r="R696" s="604"/>
      <c r="S696" s="604"/>
      <c r="T696" s="604"/>
      <c r="U696" s="604"/>
      <c r="V696" s="604"/>
      <c r="W696" s="604"/>
      <c r="X696" s="604"/>
      <c r="Y696" s="604"/>
      <c r="Z696" s="604"/>
    </row>
    <row r="697" spans="1:26" ht="18.75" hidden="1">
      <c r="A697" s="599"/>
      <c r="B697" s="607"/>
      <c r="C697" s="759"/>
      <c r="D697" s="759"/>
      <c r="E697" s="759" t="s">
        <v>19</v>
      </c>
      <c r="F697" s="759"/>
      <c r="G697" s="603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4"/>
      <c r="R697" s="604"/>
      <c r="S697" s="604"/>
      <c r="T697" s="604"/>
      <c r="U697" s="604"/>
      <c r="V697" s="604"/>
      <c r="W697" s="604"/>
      <c r="X697" s="604"/>
      <c r="Y697" s="604"/>
      <c r="Z697" s="604"/>
    </row>
    <row r="698" spans="1:26" ht="19.5">
      <c r="A698" s="608"/>
      <c r="B698" s="618"/>
      <c r="C698" s="763" t="s">
        <v>16</v>
      </c>
      <c r="D698" s="898" t="s">
        <v>38</v>
      </c>
      <c r="E698" s="761"/>
      <c r="F698" s="761"/>
      <c r="G698" s="613"/>
      <c r="H698" s="762"/>
      <c r="I698" s="184"/>
      <c r="J698" s="184"/>
      <c r="K698" s="163"/>
      <c r="L698" s="163"/>
      <c r="M698" s="163"/>
      <c r="N698" s="163"/>
      <c r="O698" s="163"/>
      <c r="P698" s="163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</row>
    <row r="699" spans="1:26" ht="18.75">
      <c r="A699" s="744"/>
      <c r="B699" s="763"/>
      <c r="C699" s="763"/>
      <c r="D699" s="763" t="s">
        <v>295</v>
      </c>
      <c r="E699" s="763"/>
      <c r="F699" s="763"/>
      <c r="G699" s="189"/>
      <c r="H699" s="764" t="s">
        <v>46</v>
      </c>
      <c r="I699" s="765">
        <f ca="1">IFERROR(__xludf.DUMMYFUNCTION("IMPORTRANGE(""https://docs.google.com/spreadsheets/d/1QqKyyYR6Q21VydFLVH3TRQUabQu_ym0Zz7PgGX0-kHA/edit?usp=sharing"",""แผน!IC36"")"),0)</f>
        <v>0</v>
      </c>
      <c r="J699" s="270">
        <f ca="1">IFERROR(__xludf.DUMMYFUNCTION("IMPORTRANGE(""https://docs.google.com/spreadsheets/d/1XWAQStnk-4SwqDmLtmXYiTMKHgktTP8We1SCoS47DrQ/edit?usp=sharing"",""จัดที่ดิน!BB36"")"),0)</f>
        <v>0</v>
      </c>
      <c r="K699" s="498">
        <f t="shared" ref="K699:K701" ca="1" si="290">IF(I699&gt;0,J699*100/I699,0)</f>
        <v>0</v>
      </c>
      <c r="L699" s="498"/>
      <c r="M699" s="189"/>
      <c r="N699" s="766"/>
      <c r="O699" s="498"/>
      <c r="P699" s="49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</row>
    <row r="700" spans="1:26" ht="18.75">
      <c r="A700" s="744"/>
      <c r="B700" s="763"/>
      <c r="C700" s="763"/>
      <c r="D700" s="763" t="s">
        <v>296</v>
      </c>
      <c r="E700" s="763"/>
      <c r="F700" s="763"/>
      <c r="G700" s="189"/>
      <c r="H700" s="764" t="s">
        <v>35</v>
      </c>
      <c r="I700" s="765">
        <f ca="1">IFERROR(__xludf.DUMMYFUNCTION("IMPORTRANGE(""https://docs.google.com/spreadsheets/d/1QqKyyYR6Q21VydFLVH3TRQUabQu_ym0Zz7PgGX0-kHA/edit?usp=sharing"",""แผน!ID36"")"),35)</f>
        <v>35</v>
      </c>
      <c r="J700" s="270">
        <f ca="1">IFERROR(__xludf.DUMMYFUNCTION("IMPORTRANGE(""https://docs.google.com/spreadsheets/d/1XWAQStnk-4SwqDmLtmXYiTMKHgktTP8We1SCoS47DrQ/edit?usp=sharing"",""จัดที่ดิน!BD36"")"),5)</f>
        <v>5</v>
      </c>
      <c r="K700" s="498">
        <f t="shared" ca="1" si="290"/>
        <v>14.285714285714286</v>
      </c>
      <c r="L700" s="498"/>
      <c r="M700" s="189"/>
      <c r="N700" s="766"/>
      <c r="O700" s="498"/>
      <c r="P700" s="49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</row>
    <row r="701" spans="1:26" ht="19.5">
      <c r="A701" s="744"/>
      <c r="B701" s="763"/>
      <c r="C701" s="763"/>
      <c r="D701" s="763" t="s">
        <v>297</v>
      </c>
      <c r="E701" s="763"/>
      <c r="F701" s="763"/>
      <c r="G701" s="189"/>
      <c r="H701" s="767" t="s">
        <v>46</v>
      </c>
      <c r="I701" s="768">
        <f ca="1">IFERROR(__xludf.DUMMYFUNCTION("IMPORTRANGE(""https://docs.google.com/spreadsheets/d/1QqKyyYR6Q21VydFLVH3TRQUabQu_ym0Zz7PgGX0-kHA/edit?usp=sharing"",""แผน!IE36"")"),0)</f>
        <v>0</v>
      </c>
      <c r="J701" s="681">
        <f>J704+J707</f>
        <v>0</v>
      </c>
      <c r="K701" s="195">
        <f t="shared" ca="1" si="290"/>
        <v>0</v>
      </c>
      <c r="L701" s="498"/>
      <c r="M701" s="189"/>
      <c r="N701" s="766"/>
      <c r="O701" s="498"/>
      <c r="P701" s="49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</row>
    <row r="702" spans="1:26" ht="18.75">
      <c r="A702" s="744"/>
      <c r="B702" s="763"/>
      <c r="C702" s="763"/>
      <c r="D702" s="763"/>
      <c r="E702" s="763" t="s">
        <v>298</v>
      </c>
      <c r="F702" s="763"/>
      <c r="G702" s="189"/>
      <c r="H702" s="764" t="s">
        <v>35</v>
      </c>
      <c r="I702" s="765"/>
      <c r="J702" s="215">
        <v>0</v>
      </c>
      <c r="K702" s="498"/>
      <c r="L702" s="498"/>
      <c r="M702" s="189"/>
      <c r="N702" s="766"/>
      <c r="O702" s="498"/>
      <c r="P702" s="49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</row>
    <row r="703" spans="1:26" ht="18.75">
      <c r="A703" s="744"/>
      <c r="B703" s="763"/>
      <c r="C703" s="763"/>
      <c r="D703" s="763"/>
      <c r="E703" s="763"/>
      <c r="F703" s="763"/>
      <c r="G703" s="189"/>
      <c r="H703" s="764" t="s">
        <v>34</v>
      </c>
      <c r="I703" s="765"/>
      <c r="J703" s="215">
        <v>0</v>
      </c>
      <c r="K703" s="498"/>
      <c r="L703" s="498"/>
      <c r="M703" s="189"/>
      <c r="N703" s="766"/>
      <c r="O703" s="498"/>
      <c r="P703" s="49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</row>
    <row r="704" spans="1:26" ht="18.75">
      <c r="A704" s="744"/>
      <c r="B704" s="763"/>
      <c r="C704" s="763"/>
      <c r="D704" s="763"/>
      <c r="E704" s="763"/>
      <c r="F704" s="763"/>
      <c r="G704" s="189"/>
      <c r="H704" s="764" t="s">
        <v>46</v>
      </c>
      <c r="I704" s="765">
        <f ca="1">IFERROR(__xludf.DUMMYFUNCTION("IMPORTRANGE(""https://docs.google.com/spreadsheets/d/1QqKyyYR6Q21VydFLVH3TRQUabQu_ym0Zz7PgGX0-kHA/edit?usp=sharing"",""แผน!IF36"")"),0)</f>
        <v>0</v>
      </c>
      <c r="J704" s="215">
        <v>0</v>
      </c>
      <c r="K704" s="498"/>
      <c r="L704" s="498"/>
      <c r="M704" s="189"/>
      <c r="N704" s="766"/>
      <c r="O704" s="498"/>
      <c r="P704" s="49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</row>
    <row r="705" spans="1:26" ht="18.75">
      <c r="A705" s="744"/>
      <c r="B705" s="763"/>
      <c r="C705" s="763"/>
      <c r="D705" s="763"/>
      <c r="E705" s="763" t="s">
        <v>299</v>
      </c>
      <c r="F705" s="763"/>
      <c r="G705" s="189"/>
      <c r="H705" s="764" t="s">
        <v>35</v>
      </c>
      <c r="I705" s="765"/>
      <c r="J705" s="215">
        <v>0</v>
      </c>
      <c r="K705" s="498"/>
      <c r="L705" s="498"/>
      <c r="M705" s="189"/>
      <c r="N705" s="766"/>
      <c r="O705" s="498"/>
      <c r="P705" s="49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</row>
    <row r="706" spans="1:26" ht="18.75">
      <c r="A706" s="744"/>
      <c r="B706" s="763"/>
      <c r="C706" s="763"/>
      <c r="D706" s="763"/>
      <c r="E706" s="763"/>
      <c r="F706" s="763"/>
      <c r="G706" s="189"/>
      <c r="H706" s="764" t="s">
        <v>34</v>
      </c>
      <c r="I706" s="765"/>
      <c r="J706" s="215">
        <v>0</v>
      </c>
      <c r="K706" s="498"/>
      <c r="L706" s="498"/>
      <c r="M706" s="189"/>
      <c r="N706" s="766"/>
      <c r="O706" s="498"/>
      <c r="P706" s="49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</row>
    <row r="707" spans="1:26" ht="18.75">
      <c r="A707" s="744"/>
      <c r="B707" s="763"/>
      <c r="C707" s="763"/>
      <c r="D707" s="763"/>
      <c r="E707" s="763"/>
      <c r="F707" s="763"/>
      <c r="G707" s="189"/>
      <c r="H707" s="764" t="s">
        <v>46</v>
      </c>
      <c r="I707" s="765">
        <f ca="1">IFERROR(__xludf.DUMMYFUNCTION("IMPORTRANGE(""https://docs.google.com/spreadsheets/d/1QqKyyYR6Q21VydFLVH3TRQUabQu_ym0Zz7PgGX0-kHA/edit?usp=sharing"",""แผน!IG36"")"),0)</f>
        <v>0</v>
      </c>
      <c r="J707" s="215">
        <v>0</v>
      </c>
      <c r="K707" s="498"/>
      <c r="L707" s="498"/>
      <c r="M707" s="189"/>
      <c r="N707" s="766"/>
      <c r="O707" s="498"/>
      <c r="P707" s="49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</row>
    <row r="708" spans="1:26" ht="19.5">
      <c r="A708" s="744"/>
      <c r="B708" s="763"/>
      <c r="C708" s="763"/>
      <c r="D708" s="769" t="s">
        <v>300</v>
      </c>
      <c r="E708" s="763"/>
      <c r="F708" s="763"/>
      <c r="G708" s="189"/>
      <c r="H708" s="767" t="s">
        <v>46</v>
      </c>
      <c r="I708" s="768">
        <f ca="1">IFERROR(__xludf.DUMMYFUNCTION("IMPORTRANGE(""https://docs.google.com/spreadsheets/d/1QqKyyYR6Q21VydFLVH3TRQUabQu_ym0Zz7PgGX0-kHA/edit?usp=sharing"",""แผน!IH36"")"),0)</f>
        <v>0</v>
      </c>
      <c r="J708" s="681">
        <f>J714+J717</f>
        <v>0</v>
      </c>
      <c r="K708" s="195">
        <f ca="1">IF(I708&gt;0,J708*100/I708,0)</f>
        <v>0</v>
      </c>
      <c r="L708" s="498"/>
      <c r="M708" s="189"/>
      <c r="N708" s="766"/>
      <c r="O708" s="498"/>
      <c r="P708" s="49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</row>
    <row r="709" spans="1:26" ht="18.75">
      <c r="A709" s="744"/>
      <c r="B709" s="763"/>
      <c r="C709" s="763"/>
      <c r="D709" s="763"/>
      <c r="E709" s="763" t="s">
        <v>301</v>
      </c>
      <c r="F709" s="763"/>
      <c r="G709" s="189"/>
      <c r="H709" s="764" t="s">
        <v>34</v>
      </c>
      <c r="I709" s="765"/>
      <c r="J709" s="215">
        <v>0</v>
      </c>
      <c r="K709" s="498"/>
      <c r="L709" s="766"/>
      <c r="M709" s="189"/>
      <c r="N709" s="766"/>
      <c r="O709" s="498"/>
      <c r="P709" s="49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</row>
    <row r="710" spans="1:26" ht="18.75">
      <c r="A710" s="744"/>
      <c r="B710" s="763"/>
      <c r="C710" s="763"/>
      <c r="D710" s="763"/>
      <c r="E710" s="763"/>
      <c r="F710" s="763"/>
      <c r="G710" s="189"/>
      <c r="H710" s="764" t="s">
        <v>46</v>
      </c>
      <c r="I710" s="765"/>
      <c r="J710" s="215">
        <v>0</v>
      </c>
      <c r="K710" s="498"/>
      <c r="L710" s="766"/>
      <c r="M710" s="189"/>
      <c r="N710" s="766"/>
      <c r="O710" s="498"/>
      <c r="P710" s="49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</row>
    <row r="711" spans="1:26" ht="18.75">
      <c r="A711" s="744"/>
      <c r="B711" s="763"/>
      <c r="C711" s="763"/>
      <c r="D711" s="763"/>
      <c r="E711" s="763" t="s">
        <v>302</v>
      </c>
      <c r="F711" s="763"/>
      <c r="G711" s="189"/>
      <c r="H711" s="762"/>
      <c r="I711" s="765"/>
      <c r="J711" s="270"/>
      <c r="K711" s="498"/>
      <c r="L711" s="766"/>
      <c r="M711" s="189"/>
      <c r="N711" s="766"/>
      <c r="O711" s="498"/>
      <c r="P711" s="49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</row>
    <row r="712" spans="1:26" ht="18.75">
      <c r="A712" s="744"/>
      <c r="B712" s="763"/>
      <c r="C712" s="763"/>
      <c r="D712" s="763"/>
      <c r="E712" s="763"/>
      <c r="F712" s="763" t="s">
        <v>303</v>
      </c>
      <c r="G712" s="189"/>
      <c r="H712" s="764" t="s">
        <v>35</v>
      </c>
      <c r="I712" s="765"/>
      <c r="J712" s="215">
        <v>0</v>
      </c>
      <c r="K712" s="498"/>
      <c r="L712" s="766"/>
      <c r="M712" s="189"/>
      <c r="N712" s="766"/>
      <c r="O712" s="498"/>
      <c r="P712" s="49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</row>
    <row r="713" spans="1:26" ht="18.75">
      <c r="A713" s="744"/>
      <c r="B713" s="763"/>
      <c r="C713" s="763"/>
      <c r="D713" s="763"/>
      <c r="E713" s="763"/>
      <c r="F713" s="763"/>
      <c r="G713" s="189"/>
      <c r="H713" s="764" t="s">
        <v>34</v>
      </c>
      <c r="I713" s="765"/>
      <c r="J713" s="215">
        <v>0</v>
      </c>
      <c r="K713" s="498"/>
      <c r="L713" s="766"/>
      <c r="M713" s="189"/>
      <c r="N713" s="766"/>
      <c r="O713" s="498"/>
      <c r="P713" s="49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</row>
    <row r="714" spans="1:26" ht="18.75">
      <c r="A714" s="744"/>
      <c r="B714" s="763"/>
      <c r="C714" s="763"/>
      <c r="D714" s="763"/>
      <c r="E714" s="763"/>
      <c r="F714" s="763"/>
      <c r="G714" s="189"/>
      <c r="H714" s="764" t="s">
        <v>46</v>
      </c>
      <c r="I714" s="765"/>
      <c r="J714" s="215">
        <v>0</v>
      </c>
      <c r="K714" s="498"/>
      <c r="L714" s="766"/>
      <c r="M714" s="189"/>
      <c r="N714" s="766"/>
      <c r="O714" s="498"/>
      <c r="P714" s="49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</row>
    <row r="715" spans="1:26" ht="18.75">
      <c r="A715" s="744"/>
      <c r="B715" s="763"/>
      <c r="C715" s="763"/>
      <c r="D715" s="763"/>
      <c r="E715" s="763"/>
      <c r="F715" s="763" t="s">
        <v>304</v>
      </c>
      <c r="G715" s="189"/>
      <c r="H715" s="764" t="s">
        <v>35</v>
      </c>
      <c r="I715" s="765"/>
      <c r="J715" s="215">
        <v>0</v>
      </c>
      <c r="K715" s="498"/>
      <c r="L715" s="766"/>
      <c r="M715" s="189"/>
      <c r="N715" s="766"/>
      <c r="O715" s="498"/>
      <c r="P715" s="49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</row>
    <row r="716" spans="1:26" ht="18.75">
      <c r="A716" s="744"/>
      <c r="B716" s="763"/>
      <c r="C716" s="763"/>
      <c r="D716" s="763"/>
      <c r="E716" s="763"/>
      <c r="F716" s="763"/>
      <c r="G716" s="189"/>
      <c r="H716" s="764" t="s">
        <v>34</v>
      </c>
      <c r="I716" s="765"/>
      <c r="J716" s="215">
        <v>0</v>
      </c>
      <c r="K716" s="498"/>
      <c r="L716" s="766"/>
      <c r="M716" s="189"/>
      <c r="N716" s="766"/>
      <c r="O716" s="498"/>
      <c r="P716" s="49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</row>
    <row r="717" spans="1:26" ht="18.75">
      <c r="A717" s="744"/>
      <c r="B717" s="763"/>
      <c r="C717" s="763"/>
      <c r="D717" s="763"/>
      <c r="E717" s="763"/>
      <c r="F717" s="763"/>
      <c r="G717" s="189"/>
      <c r="H717" s="764" t="s">
        <v>46</v>
      </c>
      <c r="I717" s="765"/>
      <c r="J717" s="215">
        <v>0</v>
      </c>
      <c r="K717" s="498"/>
      <c r="L717" s="766"/>
      <c r="M717" s="189"/>
      <c r="N717" s="766"/>
      <c r="O717" s="498"/>
      <c r="P717" s="49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</row>
    <row r="718" spans="1:26" ht="18.75">
      <c r="A718" s="744"/>
      <c r="B718" s="763"/>
      <c r="C718" s="763"/>
      <c r="D718" s="763" t="s">
        <v>305</v>
      </c>
      <c r="E718" s="763"/>
      <c r="F718" s="763"/>
      <c r="G718" s="189"/>
      <c r="H718" s="764" t="s">
        <v>35</v>
      </c>
      <c r="I718" s="765"/>
      <c r="J718" s="270">
        <f ca="1">IFERROR(__xludf.DUMMYFUNCTION("IMPORTRANGE(""https://docs.google.com/spreadsheets/d/1XWAQStnk-4SwqDmLtmXYiTMKHgktTP8We1SCoS47DrQ/edit?usp=sharing"",""จัดที่ดิน!BF36"")"),0)</f>
        <v>0</v>
      </c>
      <c r="K718" s="498"/>
      <c r="L718" s="498"/>
      <c r="M718" s="189"/>
      <c r="N718" s="766"/>
      <c r="O718" s="498"/>
      <c r="P718" s="49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</row>
    <row r="719" spans="1:26" ht="18.75">
      <c r="A719" s="744"/>
      <c r="B719" s="763"/>
      <c r="C719" s="763"/>
      <c r="D719" s="763"/>
      <c r="E719" s="763"/>
      <c r="F719" s="763"/>
      <c r="G719" s="189"/>
      <c r="H719" s="764" t="s">
        <v>34</v>
      </c>
      <c r="I719" s="765"/>
      <c r="J719" s="270">
        <f ca="1">IFERROR(__xludf.DUMMYFUNCTION("IMPORTRANGE(""https://docs.google.com/spreadsheets/d/1XWAQStnk-4SwqDmLtmXYiTMKHgktTP8We1SCoS47DrQ/edit?usp=sharing"",""จัดที่ดิน!BG36"")"),0)</f>
        <v>0</v>
      </c>
      <c r="K719" s="498"/>
      <c r="L719" s="766"/>
      <c r="M719" s="189"/>
      <c r="N719" s="766"/>
      <c r="O719" s="498"/>
      <c r="P719" s="49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</row>
    <row r="720" spans="1:26" ht="18.75">
      <c r="A720" s="744"/>
      <c r="B720" s="763"/>
      <c r="C720" s="763"/>
      <c r="D720" s="763"/>
      <c r="E720" s="763"/>
      <c r="F720" s="763"/>
      <c r="G720" s="189"/>
      <c r="H720" s="764" t="s">
        <v>46</v>
      </c>
      <c r="I720" s="765">
        <f ca="1">IFERROR(__xludf.DUMMYFUNCTION("IMPORTRANGE(""https://docs.google.com/spreadsheets/d/1QqKyyYR6Q21VydFLVH3TRQUabQu_ym0Zz7PgGX0-kHA/edit?usp=sharing"",""แผน!II36"")"),0)</f>
        <v>0</v>
      </c>
      <c r="J720" s="270">
        <f ca="1">IFERROR(__xludf.DUMMYFUNCTION("IMPORTRANGE(""https://docs.google.com/spreadsheets/d/1XWAQStnk-4SwqDmLtmXYiTMKHgktTP8We1SCoS47DrQ/edit?usp=sharing"",""จัดที่ดิน!BH36"")"),0)</f>
        <v>0</v>
      </c>
      <c r="K720" s="498">
        <f t="shared" ref="K720:K723" ca="1" si="291">IF(I720&gt;0,J720*100/I720,0)</f>
        <v>0</v>
      </c>
      <c r="L720" s="766"/>
      <c r="M720" s="189"/>
      <c r="N720" s="766"/>
      <c r="O720" s="498"/>
      <c r="P720" s="49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</row>
    <row r="721" spans="1:26" ht="19.5">
      <c r="A721" s="744"/>
      <c r="B721" s="763"/>
      <c r="C721" s="763"/>
      <c r="D721" s="763" t="s">
        <v>306</v>
      </c>
      <c r="E721" s="763"/>
      <c r="F721" s="763"/>
      <c r="G721" s="189"/>
      <c r="H721" s="767" t="s">
        <v>35</v>
      </c>
      <c r="I721" s="768">
        <f ca="1">IFERROR(__xludf.DUMMYFUNCTION("IMPORTRANGE(""https://docs.google.com/spreadsheets/d/1QqKyyYR6Q21VydFLVH3TRQUabQu_ym0Zz7PgGX0-kHA/edit?usp=sharing"",""แผน!IJ36"")"),0)</f>
        <v>0</v>
      </c>
      <c r="J721" s="681">
        <f ca="1">J723+J726</f>
        <v>0</v>
      </c>
      <c r="K721" s="195">
        <f t="shared" ca="1" si="291"/>
        <v>0</v>
      </c>
      <c r="L721" s="766"/>
      <c r="M721" s="189"/>
      <c r="N721" s="766"/>
      <c r="O721" s="498"/>
      <c r="P721" s="49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</row>
    <row r="722" spans="1:26" ht="19.5">
      <c r="A722" s="744"/>
      <c r="B722" s="763"/>
      <c r="C722" s="763"/>
      <c r="D722" s="763"/>
      <c r="E722" s="763"/>
      <c r="F722" s="763"/>
      <c r="G722" s="189"/>
      <c r="H722" s="767" t="s">
        <v>46</v>
      </c>
      <c r="I722" s="768">
        <f ca="1">IFERROR(__xludf.DUMMYFUNCTION("IMPORTRANGE(""https://docs.google.com/spreadsheets/d/1QqKyyYR6Q21VydFLVH3TRQUabQu_ym0Zz7PgGX0-kHA/edit?usp=sharing"",""แผน!IK36"")"),0)</f>
        <v>0</v>
      </c>
      <c r="J722" s="681">
        <f ca="1">J725+J728</f>
        <v>0</v>
      </c>
      <c r="K722" s="195">
        <f t="shared" ca="1" si="291"/>
        <v>0</v>
      </c>
      <c r="L722" s="498"/>
      <c r="M722" s="189"/>
      <c r="N722" s="766"/>
      <c r="O722" s="498"/>
      <c r="P722" s="49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</row>
    <row r="723" spans="1:26" ht="18.75">
      <c r="A723" s="744"/>
      <c r="B723" s="763"/>
      <c r="C723" s="763"/>
      <c r="D723" s="763"/>
      <c r="E723" s="763" t="s">
        <v>307</v>
      </c>
      <c r="F723" s="763"/>
      <c r="G723" s="189"/>
      <c r="H723" s="764" t="s">
        <v>35</v>
      </c>
      <c r="I723" s="765">
        <f ca="1">IFERROR(__xludf.DUMMYFUNCTION("IMPORTRANGE(""https://docs.google.com/spreadsheets/d/1QqKyyYR6Q21VydFLVH3TRQUabQu_ym0Zz7PgGX0-kHA/edit?usp=sharing"",""แผน!IL36"")"),0)</f>
        <v>0</v>
      </c>
      <c r="J723" s="270">
        <f ca="1">IFERROR(__xludf.DUMMYFUNCTION("IMPORTRANGE(""https://docs.google.com/spreadsheets/d/1XWAQStnk-4SwqDmLtmXYiTMKHgktTP8We1SCoS47DrQ/edit?usp=sharing"",""จัดที่ดิน!BM36"")"),0)</f>
        <v>0</v>
      </c>
      <c r="K723" s="498">
        <f t="shared" ca="1" si="291"/>
        <v>0</v>
      </c>
      <c r="L723" s="498"/>
      <c r="M723" s="189"/>
      <c r="N723" s="766"/>
      <c r="O723" s="498"/>
      <c r="P723" s="49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</row>
    <row r="724" spans="1:26" ht="18.75">
      <c r="A724" s="744"/>
      <c r="B724" s="763"/>
      <c r="C724" s="763"/>
      <c r="D724" s="763"/>
      <c r="E724" s="763"/>
      <c r="F724" s="763"/>
      <c r="G724" s="189"/>
      <c r="H724" s="764" t="s">
        <v>34</v>
      </c>
      <c r="I724" s="765"/>
      <c r="J724" s="270">
        <f ca="1">IFERROR(__xludf.DUMMYFUNCTION("IMPORTRANGE(""https://docs.google.com/spreadsheets/d/1XWAQStnk-4SwqDmLtmXYiTMKHgktTP8We1SCoS47DrQ/edit?usp=sharing"",""จัดที่ดิน!BN36"")"),0)</f>
        <v>0</v>
      </c>
      <c r="K724" s="498"/>
      <c r="L724" s="766"/>
      <c r="M724" s="189"/>
      <c r="N724" s="766"/>
      <c r="O724" s="498"/>
      <c r="P724" s="49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</row>
    <row r="725" spans="1:26" ht="18.75">
      <c r="A725" s="744"/>
      <c r="B725" s="763"/>
      <c r="C725" s="763"/>
      <c r="D725" s="763"/>
      <c r="E725" s="763"/>
      <c r="F725" s="763"/>
      <c r="G725" s="189"/>
      <c r="H725" s="764" t="s">
        <v>46</v>
      </c>
      <c r="I725" s="765">
        <f ca="1">IFERROR(__xludf.DUMMYFUNCTION("IMPORTRANGE(""https://docs.google.com/spreadsheets/d/1QqKyyYR6Q21VydFLVH3TRQUabQu_ym0Zz7PgGX0-kHA/edit?usp=sharing"",""แผน!IM36"")"),0)</f>
        <v>0</v>
      </c>
      <c r="J725" s="270">
        <f ca="1">IFERROR(__xludf.DUMMYFUNCTION("IMPORTRANGE(""https://docs.google.com/spreadsheets/d/1XWAQStnk-4SwqDmLtmXYiTMKHgktTP8We1SCoS47DrQ/edit?usp=sharing"",""จัดที่ดิน!BO36"")"),0)</f>
        <v>0</v>
      </c>
      <c r="K725" s="498">
        <f t="shared" ref="K725:K726" ca="1" si="292">IF(I725&gt;0,J725*100/I725,0)</f>
        <v>0</v>
      </c>
      <c r="L725" s="766"/>
      <c r="M725" s="189"/>
      <c r="N725" s="766"/>
      <c r="O725" s="498"/>
      <c r="P725" s="49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</row>
    <row r="726" spans="1:26" ht="18.75">
      <c r="A726" s="744"/>
      <c r="B726" s="763"/>
      <c r="C726" s="763"/>
      <c r="D726" s="763"/>
      <c r="E726" s="763" t="s">
        <v>308</v>
      </c>
      <c r="F726" s="763"/>
      <c r="G726" s="189"/>
      <c r="H726" s="764" t="s">
        <v>35</v>
      </c>
      <c r="I726" s="765">
        <f ca="1">IFERROR(__xludf.DUMMYFUNCTION("IMPORTRANGE(""https://docs.google.com/spreadsheets/d/1QqKyyYR6Q21VydFLVH3TRQUabQu_ym0Zz7PgGX0-kHA/edit?usp=sharing"",""แผน!IN36"")"),0)</f>
        <v>0</v>
      </c>
      <c r="J726" s="270">
        <f ca="1">IFERROR(__xludf.DUMMYFUNCTION("IMPORTRANGE(""https://docs.google.com/spreadsheets/d/1XWAQStnk-4SwqDmLtmXYiTMKHgktTP8We1SCoS47DrQ/edit?usp=sharing"",""จัดที่ดิน!BR36"")"),0)</f>
        <v>0</v>
      </c>
      <c r="K726" s="498">
        <f t="shared" ca="1" si="292"/>
        <v>0</v>
      </c>
      <c r="L726" s="498"/>
      <c r="M726" s="189"/>
      <c r="N726" s="766"/>
      <c r="O726" s="498"/>
      <c r="P726" s="49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</row>
    <row r="727" spans="1:26" ht="18.75">
      <c r="A727" s="744"/>
      <c r="B727" s="763"/>
      <c r="C727" s="763"/>
      <c r="D727" s="763"/>
      <c r="E727" s="763"/>
      <c r="F727" s="763"/>
      <c r="G727" s="189"/>
      <c r="H727" s="764" t="s">
        <v>34</v>
      </c>
      <c r="I727" s="765"/>
      <c r="J727" s="270">
        <f ca="1">IFERROR(__xludf.DUMMYFUNCTION("IMPORTRANGE(""https://docs.google.com/spreadsheets/d/1XWAQStnk-4SwqDmLtmXYiTMKHgktTP8We1SCoS47DrQ/edit?usp=sharing"",""จัดที่ดิน!BS36"")"),0)</f>
        <v>0</v>
      </c>
      <c r="K727" s="498"/>
      <c r="L727" s="766"/>
      <c r="M727" s="189"/>
      <c r="N727" s="766"/>
      <c r="O727" s="498"/>
      <c r="P727" s="49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</row>
    <row r="728" spans="1:26" ht="18.75">
      <c r="A728" s="744"/>
      <c r="B728" s="763"/>
      <c r="C728" s="763"/>
      <c r="D728" s="763"/>
      <c r="E728" s="763"/>
      <c r="F728" s="763"/>
      <c r="G728" s="189"/>
      <c r="H728" s="764" t="s">
        <v>46</v>
      </c>
      <c r="I728" s="765">
        <f ca="1">IFERROR(__xludf.DUMMYFUNCTION("IMPORTRANGE(""https://docs.google.com/spreadsheets/d/1QqKyyYR6Q21VydFLVH3TRQUabQu_ym0Zz7PgGX0-kHA/edit?usp=sharing"",""แผน!IO36"")"),0)</f>
        <v>0</v>
      </c>
      <c r="J728" s="270">
        <f ca="1">IFERROR(__xludf.DUMMYFUNCTION("IMPORTRANGE(""https://docs.google.com/spreadsheets/d/1XWAQStnk-4SwqDmLtmXYiTMKHgktTP8We1SCoS47DrQ/edit?usp=sharing"",""จัดที่ดิน!BT36"")"),0)</f>
        <v>0</v>
      </c>
      <c r="K728" s="498">
        <f t="shared" ref="K728:K729" ca="1" si="293">IF(I728&gt;0,J728*100/I728,0)</f>
        <v>0</v>
      </c>
      <c r="L728" s="766"/>
      <c r="M728" s="189"/>
      <c r="N728" s="766"/>
      <c r="O728" s="498"/>
      <c r="P728" s="49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</row>
    <row r="729" spans="1:26" ht="19.5">
      <c r="A729" s="744"/>
      <c r="B729" s="763"/>
      <c r="C729" s="763"/>
      <c r="D729" s="763" t="s">
        <v>309</v>
      </c>
      <c r="E729" s="763"/>
      <c r="F729" s="763"/>
      <c r="G729" s="189"/>
      <c r="H729" s="767" t="s">
        <v>46</v>
      </c>
      <c r="I729" s="768">
        <f ca="1">IFERROR(__xludf.DUMMYFUNCTION("IMPORTRANGE(""https://docs.google.com/spreadsheets/d/1QqKyyYR6Q21VydFLVH3TRQUabQu_ym0Zz7PgGX0-kHA/edit?usp=sharing"",""แผน!IP36"")"),0)</f>
        <v>0</v>
      </c>
      <c r="J729" s="681">
        <f>J732+J735</f>
        <v>0</v>
      </c>
      <c r="K729" s="195">
        <f t="shared" ca="1" si="293"/>
        <v>0</v>
      </c>
      <c r="L729" s="498"/>
      <c r="M729" s="189"/>
      <c r="N729" s="766"/>
      <c r="O729" s="498"/>
      <c r="P729" s="49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</row>
    <row r="730" spans="1:26" ht="18.75">
      <c r="A730" s="744"/>
      <c r="B730" s="763"/>
      <c r="C730" s="763"/>
      <c r="D730" s="763"/>
      <c r="E730" s="763" t="s">
        <v>310</v>
      </c>
      <c r="F730" s="763"/>
      <c r="G730" s="189"/>
      <c r="H730" s="764" t="s">
        <v>35</v>
      </c>
      <c r="I730" s="765"/>
      <c r="J730" s="215">
        <v>0</v>
      </c>
      <c r="K730" s="498"/>
      <c r="L730" s="766"/>
      <c r="M730" s="498"/>
      <c r="N730" s="766"/>
      <c r="O730" s="498"/>
      <c r="P730" s="49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</row>
    <row r="731" spans="1:26" ht="18.75">
      <c r="A731" s="744"/>
      <c r="B731" s="763"/>
      <c r="C731" s="763"/>
      <c r="D731" s="763"/>
      <c r="E731" s="763"/>
      <c r="F731" s="763"/>
      <c r="G731" s="189"/>
      <c r="H731" s="764" t="s">
        <v>34</v>
      </c>
      <c r="I731" s="765"/>
      <c r="J731" s="215">
        <v>0</v>
      </c>
      <c r="K731" s="498"/>
      <c r="L731" s="766"/>
      <c r="M731" s="498"/>
      <c r="N731" s="766"/>
      <c r="O731" s="498"/>
      <c r="P731" s="49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</row>
    <row r="732" spans="1:26" ht="18.75">
      <c r="A732" s="744"/>
      <c r="B732" s="763"/>
      <c r="C732" s="763"/>
      <c r="D732" s="763"/>
      <c r="E732" s="763"/>
      <c r="F732" s="763"/>
      <c r="G732" s="189"/>
      <c r="H732" s="764" t="s">
        <v>46</v>
      </c>
      <c r="I732" s="765"/>
      <c r="J732" s="215">
        <v>0</v>
      </c>
      <c r="K732" s="498"/>
      <c r="L732" s="766"/>
      <c r="M732" s="498"/>
      <c r="N732" s="766"/>
      <c r="O732" s="498"/>
      <c r="P732" s="49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</row>
    <row r="733" spans="1:26" ht="18.75">
      <c r="A733" s="744"/>
      <c r="B733" s="763"/>
      <c r="C733" s="763"/>
      <c r="D733" s="763"/>
      <c r="E733" s="763" t="s">
        <v>311</v>
      </c>
      <c r="F733" s="763"/>
      <c r="G733" s="189"/>
      <c r="H733" s="764" t="s">
        <v>35</v>
      </c>
      <c r="I733" s="765"/>
      <c r="J733" s="215">
        <v>0</v>
      </c>
      <c r="K733" s="498"/>
      <c r="L733" s="766"/>
      <c r="M733" s="498"/>
      <c r="N733" s="766"/>
      <c r="O733" s="498"/>
      <c r="P733" s="49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</row>
    <row r="734" spans="1:26" ht="18.75">
      <c r="A734" s="744"/>
      <c r="B734" s="763"/>
      <c r="C734" s="763"/>
      <c r="D734" s="763"/>
      <c r="E734" s="763"/>
      <c r="F734" s="763"/>
      <c r="G734" s="189"/>
      <c r="H734" s="764" t="s">
        <v>34</v>
      </c>
      <c r="I734" s="765"/>
      <c r="J734" s="215">
        <v>0</v>
      </c>
      <c r="K734" s="498"/>
      <c r="L734" s="766"/>
      <c r="M734" s="498"/>
      <c r="N734" s="766"/>
      <c r="O734" s="498"/>
      <c r="P734" s="49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</row>
    <row r="735" spans="1:26" ht="19.5">
      <c r="A735" s="770"/>
      <c r="B735" s="771" t="s">
        <v>312</v>
      </c>
      <c r="C735" s="734"/>
      <c r="D735" s="734"/>
      <c r="E735" s="734"/>
      <c r="F735" s="734"/>
      <c r="G735" s="735"/>
      <c r="H735" s="422" t="s">
        <v>46</v>
      </c>
      <c r="I735" s="772"/>
      <c r="J735" s="424">
        <v>0</v>
      </c>
      <c r="K735" s="507"/>
      <c r="L735" s="773"/>
      <c r="M735" s="507"/>
      <c r="N735" s="773"/>
      <c r="O735" s="507"/>
      <c r="P735" s="507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</row>
    <row r="736" spans="1:26" ht="19.5" hidden="1">
      <c r="A736" s="774">
        <v>9</v>
      </c>
      <c r="B736" s="775" t="s">
        <v>313</v>
      </c>
      <c r="C736" s="776"/>
      <c r="D736" s="776"/>
      <c r="E736" s="776"/>
      <c r="F736" s="776"/>
      <c r="G736" s="777"/>
      <c r="H736" s="778" t="s">
        <v>46</v>
      </c>
      <c r="I736" s="779"/>
      <c r="J736" s="779">
        <f>J751</f>
        <v>0</v>
      </c>
      <c r="K736" s="780">
        <f>IF(I736&gt;0,J736*100/I736,0)</f>
        <v>0</v>
      </c>
      <c r="L736" s="781"/>
      <c r="M736" s="781"/>
      <c r="N736" s="781"/>
      <c r="O736" s="781"/>
      <c r="P736" s="781"/>
      <c r="Q736" s="604"/>
      <c r="R736" s="604"/>
      <c r="S736" s="604"/>
      <c r="T736" s="604"/>
      <c r="U736" s="604"/>
      <c r="V736" s="604"/>
      <c r="W736" s="604"/>
      <c r="X736" s="604"/>
      <c r="Y736" s="604"/>
      <c r="Z736" s="604"/>
    </row>
    <row r="737" spans="1:26" ht="19.5" hidden="1">
      <c r="A737" s="599"/>
      <c r="B737" s="759"/>
      <c r="C737" s="759" t="s">
        <v>16</v>
      </c>
      <c r="D737" s="864" t="s">
        <v>17</v>
      </c>
      <c r="E737" s="857"/>
      <c r="F737" s="857"/>
      <c r="G737" s="603"/>
      <c r="H737" s="646" t="s">
        <v>12</v>
      </c>
      <c r="I737" s="617"/>
      <c r="J737" s="617"/>
      <c r="K737" s="93"/>
      <c r="L737" s="647">
        <f t="shared" ref="L737:N737" si="294">L738+L739</f>
        <v>0</v>
      </c>
      <c r="M737" s="647">
        <f t="shared" si="294"/>
        <v>0</v>
      </c>
      <c r="N737" s="647">
        <f t="shared" si="294"/>
        <v>0</v>
      </c>
      <c r="O737" s="647">
        <f t="shared" ref="O737:O742" si="295">IF(L737&gt;0,N737*100/L737,0)</f>
        <v>0</v>
      </c>
      <c r="P737" s="647">
        <f t="shared" ref="P737:P742" si="296">IF(M737&gt;0,N737*100/M737,0)</f>
        <v>0</v>
      </c>
      <c r="Q737" s="604"/>
      <c r="R737" s="604"/>
      <c r="S737" s="604"/>
      <c r="T737" s="604"/>
      <c r="U737" s="604"/>
      <c r="V737" s="604"/>
      <c r="W737" s="604"/>
      <c r="X737" s="604"/>
      <c r="Y737" s="604"/>
      <c r="Z737" s="604"/>
    </row>
    <row r="738" spans="1:26" ht="18.75" hidden="1">
      <c r="A738" s="599"/>
      <c r="B738" s="759"/>
      <c r="C738" s="759"/>
      <c r="D738" s="720"/>
      <c r="E738" s="759" t="s">
        <v>185</v>
      </c>
      <c r="F738" s="759"/>
      <c r="G738" s="603"/>
      <c r="H738" s="165" t="s">
        <v>12</v>
      </c>
      <c r="I738" s="617"/>
      <c r="J738" s="617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4"/>
      <c r="R738" s="604"/>
      <c r="S738" s="604"/>
      <c r="T738" s="604"/>
      <c r="U738" s="604"/>
      <c r="V738" s="604"/>
      <c r="W738" s="604"/>
      <c r="X738" s="604"/>
      <c r="Y738" s="604"/>
      <c r="Z738" s="604"/>
    </row>
    <row r="739" spans="1:26" ht="18.75" hidden="1">
      <c r="A739" s="599"/>
      <c r="B739" s="607"/>
      <c r="C739" s="759"/>
      <c r="D739" s="720"/>
      <c r="E739" s="759" t="s">
        <v>186</v>
      </c>
      <c r="F739" s="759"/>
      <c r="G739" s="603"/>
      <c r="H739" s="165" t="s">
        <v>12</v>
      </c>
      <c r="I739" s="617"/>
      <c r="J739" s="617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4"/>
      <c r="R739" s="604"/>
      <c r="S739" s="604"/>
      <c r="T739" s="604"/>
      <c r="U739" s="604"/>
      <c r="V739" s="604"/>
      <c r="W739" s="604"/>
      <c r="X739" s="604"/>
      <c r="Y739" s="604"/>
      <c r="Z739" s="604"/>
    </row>
    <row r="740" spans="1:26" ht="19.5" hidden="1">
      <c r="A740" s="599"/>
      <c r="B740" s="607"/>
      <c r="C740" s="759"/>
      <c r="D740" s="645" t="s">
        <v>20</v>
      </c>
      <c r="E740" s="759"/>
      <c r="F740" s="759"/>
      <c r="G740" s="603"/>
      <c r="H740" s="646" t="s">
        <v>12</v>
      </c>
      <c r="I740" s="166"/>
      <c r="J740" s="166"/>
      <c r="K740" s="167"/>
      <c r="L740" s="647">
        <f t="shared" ref="L740:N740" si="298">L741+L742</f>
        <v>0</v>
      </c>
      <c r="M740" s="647">
        <f t="shared" si="298"/>
        <v>0</v>
      </c>
      <c r="N740" s="647">
        <f t="shared" si="298"/>
        <v>0</v>
      </c>
      <c r="O740" s="647">
        <f t="shared" si="295"/>
        <v>0</v>
      </c>
      <c r="P740" s="647">
        <f t="shared" si="296"/>
        <v>0</v>
      </c>
      <c r="Q740" s="604"/>
      <c r="R740" s="604"/>
      <c r="S740" s="604"/>
      <c r="T740" s="604"/>
      <c r="U740" s="604"/>
      <c r="V740" s="604"/>
      <c r="W740" s="604"/>
      <c r="X740" s="604"/>
      <c r="Y740" s="604"/>
      <c r="Z740" s="604"/>
    </row>
    <row r="741" spans="1:26" ht="18.75" hidden="1">
      <c r="A741" s="599"/>
      <c r="B741" s="607"/>
      <c r="C741" s="759"/>
      <c r="D741" s="720"/>
      <c r="E741" s="759" t="s">
        <v>185</v>
      </c>
      <c r="F741" s="759"/>
      <c r="G741" s="603"/>
      <c r="H741" s="165" t="s">
        <v>12</v>
      </c>
      <c r="I741" s="617"/>
      <c r="J741" s="617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4"/>
      <c r="R741" s="604"/>
      <c r="S741" s="604"/>
      <c r="T741" s="604"/>
      <c r="U741" s="604"/>
      <c r="V741" s="604"/>
      <c r="W741" s="604"/>
      <c r="X741" s="604"/>
      <c r="Y741" s="604"/>
      <c r="Z741" s="604"/>
    </row>
    <row r="742" spans="1:26" ht="18.75" hidden="1">
      <c r="A742" s="599"/>
      <c r="B742" s="607"/>
      <c r="C742" s="759"/>
      <c r="D742" s="720"/>
      <c r="E742" s="759" t="s">
        <v>186</v>
      </c>
      <c r="F742" s="759"/>
      <c r="G742" s="603"/>
      <c r="H742" s="165" t="s">
        <v>12</v>
      </c>
      <c r="I742" s="617"/>
      <c r="J742" s="617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4"/>
      <c r="R742" s="604"/>
      <c r="S742" s="604"/>
      <c r="T742" s="604"/>
      <c r="U742" s="604"/>
      <c r="V742" s="604"/>
      <c r="W742" s="604"/>
      <c r="X742" s="604"/>
      <c r="Y742" s="604"/>
      <c r="Z742" s="604"/>
    </row>
    <row r="743" spans="1:26" ht="18.75" hidden="1">
      <c r="A743" s="649"/>
      <c r="B743" s="607"/>
      <c r="C743" s="759"/>
      <c r="D743" s="759"/>
      <c r="E743" s="759"/>
      <c r="F743" s="759" t="s">
        <v>187</v>
      </c>
      <c r="G743" s="603"/>
      <c r="H743" s="165" t="s">
        <v>12</v>
      </c>
      <c r="I743" s="617"/>
      <c r="J743" s="617"/>
      <c r="K743" s="93"/>
      <c r="L743" s="93"/>
      <c r="M743" s="93"/>
      <c r="N743" s="93"/>
      <c r="O743" s="93"/>
      <c r="P743" s="93"/>
      <c r="Q743" s="604"/>
      <c r="R743" s="604"/>
      <c r="S743" s="604"/>
      <c r="T743" s="604"/>
      <c r="U743" s="604"/>
      <c r="V743" s="604"/>
      <c r="W743" s="604"/>
      <c r="X743" s="604"/>
      <c r="Y743" s="604"/>
      <c r="Z743" s="604"/>
    </row>
    <row r="744" spans="1:26" ht="18.75" hidden="1">
      <c r="A744" s="649"/>
      <c r="B744" s="607"/>
      <c r="C744" s="759"/>
      <c r="D744" s="759"/>
      <c r="E744" s="759"/>
      <c r="F744" s="759" t="s">
        <v>188</v>
      </c>
      <c r="G744" s="603"/>
      <c r="H744" s="165" t="s">
        <v>12</v>
      </c>
      <c r="I744" s="617"/>
      <c r="J744" s="617"/>
      <c r="K744" s="93"/>
      <c r="L744" s="93"/>
      <c r="M744" s="93"/>
      <c r="N744" s="93"/>
      <c r="O744" s="93"/>
      <c r="P744" s="93"/>
      <c r="Q744" s="604"/>
      <c r="R744" s="604"/>
      <c r="S744" s="604"/>
      <c r="T744" s="604"/>
      <c r="U744" s="604"/>
      <c r="V744" s="604"/>
      <c r="W744" s="604"/>
      <c r="X744" s="604"/>
      <c r="Y744" s="604"/>
      <c r="Z744" s="604"/>
    </row>
    <row r="745" spans="1:26" ht="18.75" hidden="1">
      <c r="A745" s="649"/>
      <c r="B745" s="607"/>
      <c r="C745" s="759"/>
      <c r="D745" s="759"/>
      <c r="E745" s="759"/>
      <c r="F745" s="759" t="s">
        <v>189</v>
      </c>
      <c r="G745" s="603"/>
      <c r="H745" s="165" t="s">
        <v>12</v>
      </c>
      <c r="I745" s="617"/>
      <c r="J745" s="617"/>
      <c r="K745" s="93"/>
      <c r="L745" s="93"/>
      <c r="M745" s="93"/>
      <c r="N745" s="93"/>
      <c r="O745" s="93"/>
      <c r="P745" s="93"/>
      <c r="Q745" s="604"/>
      <c r="R745" s="604"/>
      <c r="S745" s="604"/>
      <c r="T745" s="604"/>
      <c r="U745" s="604"/>
      <c r="V745" s="604"/>
      <c r="W745" s="604"/>
      <c r="X745" s="604"/>
      <c r="Y745" s="604"/>
      <c r="Z745" s="604"/>
    </row>
    <row r="746" spans="1:26" ht="18.75" hidden="1">
      <c r="A746" s="649"/>
      <c r="B746" s="607"/>
      <c r="C746" s="759"/>
      <c r="D746" s="759"/>
      <c r="E746" s="759"/>
      <c r="F746" s="759" t="s">
        <v>190</v>
      </c>
      <c r="G746" s="603"/>
      <c r="H746" s="165" t="s">
        <v>12</v>
      </c>
      <c r="I746" s="617"/>
      <c r="J746" s="617"/>
      <c r="K746" s="93"/>
      <c r="L746" s="93"/>
      <c r="M746" s="93"/>
      <c r="N746" s="93"/>
      <c r="O746" s="93"/>
      <c r="P746" s="93"/>
      <c r="Q746" s="604"/>
      <c r="R746" s="604"/>
      <c r="S746" s="604"/>
      <c r="T746" s="604"/>
      <c r="U746" s="604"/>
      <c r="V746" s="604"/>
      <c r="W746" s="604"/>
      <c r="X746" s="604"/>
      <c r="Y746" s="604"/>
      <c r="Z746" s="604"/>
    </row>
    <row r="747" spans="1:26" ht="19.5" hidden="1">
      <c r="A747" s="599"/>
      <c r="B747" s="607"/>
      <c r="C747" s="759"/>
      <c r="D747" s="645" t="s">
        <v>21</v>
      </c>
      <c r="E747" s="759"/>
      <c r="F747" s="759"/>
      <c r="G747" s="603"/>
      <c r="H747" s="783" t="s">
        <v>12</v>
      </c>
      <c r="I747" s="166"/>
      <c r="J747" s="166"/>
      <c r="K747" s="167"/>
      <c r="L747" s="647">
        <f t="shared" ref="L747:N747" si="299">L748+L749</f>
        <v>0</v>
      </c>
      <c r="M747" s="647">
        <f t="shared" si="299"/>
        <v>0</v>
      </c>
      <c r="N747" s="647">
        <f t="shared" si="299"/>
        <v>0</v>
      </c>
      <c r="O747" s="647">
        <f t="shared" ref="O747:O749" si="300">IF(L747&gt;0,N747*100/L747,0)</f>
        <v>0</v>
      </c>
      <c r="P747" s="647">
        <f t="shared" ref="P747:P749" si="301">IF(M747&gt;0,N747*100/M747,0)</f>
        <v>0</v>
      </c>
      <c r="Q747" s="604"/>
      <c r="R747" s="604"/>
      <c r="S747" s="604"/>
      <c r="T747" s="604"/>
      <c r="U747" s="604"/>
      <c r="V747" s="604"/>
      <c r="W747" s="604"/>
      <c r="X747" s="604"/>
      <c r="Y747" s="604"/>
      <c r="Z747" s="604"/>
    </row>
    <row r="748" spans="1:26" ht="18.75" hidden="1">
      <c r="A748" s="599"/>
      <c r="B748" s="607"/>
      <c r="C748" s="759"/>
      <c r="D748" s="759"/>
      <c r="E748" s="759" t="s">
        <v>18</v>
      </c>
      <c r="F748" s="759"/>
      <c r="G748" s="603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4"/>
      <c r="R748" s="604"/>
      <c r="S748" s="604"/>
      <c r="T748" s="604"/>
      <c r="U748" s="604"/>
      <c r="V748" s="604"/>
      <c r="W748" s="604"/>
      <c r="X748" s="604"/>
      <c r="Y748" s="604"/>
      <c r="Z748" s="604"/>
    </row>
    <row r="749" spans="1:26" ht="18.75" hidden="1">
      <c r="A749" s="599"/>
      <c r="B749" s="607"/>
      <c r="C749" s="759"/>
      <c r="D749" s="759"/>
      <c r="E749" s="759" t="s">
        <v>19</v>
      </c>
      <c r="F749" s="759"/>
      <c r="G749" s="603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4"/>
      <c r="R749" s="604"/>
      <c r="S749" s="604"/>
      <c r="T749" s="604"/>
      <c r="U749" s="604"/>
      <c r="V749" s="604"/>
      <c r="W749" s="604"/>
      <c r="X749" s="604"/>
      <c r="Y749" s="604"/>
      <c r="Z749" s="604"/>
    </row>
    <row r="750" spans="1:26" ht="19.5" hidden="1">
      <c r="A750" s="614"/>
      <c r="B750" s="616"/>
      <c r="C750" s="759" t="s">
        <v>16</v>
      </c>
      <c r="D750" s="899" t="s">
        <v>38</v>
      </c>
      <c r="E750" s="651"/>
      <c r="F750" s="651"/>
      <c r="G750" s="652"/>
      <c r="H750" s="366"/>
      <c r="I750" s="166"/>
      <c r="J750" s="166"/>
      <c r="K750" s="167"/>
      <c r="L750" s="167"/>
      <c r="M750" s="167"/>
      <c r="N750" s="167"/>
      <c r="O750" s="167"/>
      <c r="P750" s="167"/>
      <c r="Q750" s="604"/>
      <c r="R750" s="604"/>
      <c r="S750" s="604"/>
      <c r="T750" s="604"/>
      <c r="U750" s="604"/>
      <c r="V750" s="604"/>
      <c r="W750" s="604"/>
      <c r="X750" s="604"/>
      <c r="Y750" s="604"/>
      <c r="Z750" s="604"/>
    </row>
    <row r="751" spans="1:26" ht="18.75" hidden="1">
      <c r="A751" s="649"/>
      <c r="B751" s="607"/>
      <c r="C751" s="759"/>
      <c r="D751" s="759"/>
      <c r="E751" s="759" t="s">
        <v>314</v>
      </c>
      <c r="F751" s="759"/>
      <c r="G751" s="603"/>
      <c r="H751" s="165" t="s">
        <v>46</v>
      </c>
      <c r="I751" s="617"/>
      <c r="J751" s="617"/>
      <c r="K751" s="93"/>
      <c r="L751" s="93"/>
      <c r="M751" s="93"/>
      <c r="N751" s="93"/>
      <c r="O751" s="93"/>
      <c r="P751" s="93"/>
      <c r="Q751" s="604"/>
      <c r="R751" s="604"/>
      <c r="S751" s="604"/>
      <c r="T751" s="604"/>
      <c r="U751" s="604"/>
      <c r="V751" s="604"/>
      <c r="W751" s="604"/>
      <c r="X751" s="604"/>
      <c r="Y751" s="604"/>
      <c r="Z751" s="604"/>
    </row>
    <row r="752" spans="1:26" ht="18.75" hidden="1">
      <c r="A752" s="649"/>
      <c r="B752" s="607"/>
      <c r="C752" s="759"/>
      <c r="D752" s="759"/>
      <c r="E752" s="759"/>
      <c r="F752" s="759"/>
      <c r="G752" s="603"/>
      <c r="H752" s="165" t="s">
        <v>315</v>
      </c>
      <c r="I752" s="617"/>
      <c r="J752" s="617"/>
      <c r="K752" s="93"/>
      <c r="L752" s="93"/>
      <c r="M752" s="93"/>
      <c r="N752" s="93"/>
      <c r="O752" s="93"/>
      <c r="P752" s="93"/>
      <c r="Q752" s="604"/>
      <c r="R752" s="604"/>
      <c r="S752" s="604"/>
      <c r="T752" s="604"/>
      <c r="U752" s="604"/>
      <c r="V752" s="604"/>
      <c r="W752" s="604"/>
      <c r="X752" s="604"/>
      <c r="Y752" s="604"/>
      <c r="Z752" s="604"/>
    </row>
    <row r="753" spans="1:26" ht="19.5" hidden="1">
      <c r="A753" s="785">
        <v>10</v>
      </c>
      <c r="B753" s="786" t="s">
        <v>316</v>
      </c>
      <c r="C753" s="787"/>
      <c r="D753" s="787"/>
      <c r="E753" s="787"/>
      <c r="F753" s="787"/>
      <c r="G753" s="788"/>
      <c r="H753" s="789" t="s">
        <v>46</v>
      </c>
      <c r="I753" s="790"/>
      <c r="J753" s="790">
        <f>J768</f>
        <v>0</v>
      </c>
      <c r="K753" s="791">
        <f>IF(I753&gt;0,J753*100/I753,0)</f>
        <v>0</v>
      </c>
      <c r="L753" s="792"/>
      <c r="M753" s="792"/>
      <c r="N753" s="792"/>
      <c r="O753" s="792"/>
      <c r="P753" s="792"/>
      <c r="Q753" s="604"/>
      <c r="R753" s="604"/>
      <c r="S753" s="604"/>
      <c r="T753" s="604"/>
      <c r="U753" s="604"/>
      <c r="V753" s="604"/>
      <c r="W753" s="604"/>
      <c r="X753" s="604"/>
      <c r="Y753" s="604"/>
      <c r="Z753" s="604"/>
    </row>
    <row r="754" spans="1:26" ht="19.5" hidden="1">
      <c r="A754" s="599"/>
      <c r="B754" s="759"/>
      <c r="C754" s="759" t="s">
        <v>16</v>
      </c>
      <c r="D754" s="864" t="s">
        <v>17</v>
      </c>
      <c r="E754" s="857"/>
      <c r="F754" s="857"/>
      <c r="G754" s="603"/>
      <c r="H754" s="646" t="s">
        <v>12</v>
      </c>
      <c r="I754" s="617"/>
      <c r="J754" s="617"/>
      <c r="K754" s="93"/>
      <c r="L754" s="647">
        <f t="shared" ref="L754:N754" si="302">L755+L756</f>
        <v>0</v>
      </c>
      <c r="M754" s="647">
        <f t="shared" si="302"/>
        <v>0</v>
      </c>
      <c r="N754" s="647">
        <f t="shared" si="302"/>
        <v>0</v>
      </c>
      <c r="O754" s="647">
        <f t="shared" ref="O754:O759" si="303">IF(L754&gt;0,N754*100/L754,0)</f>
        <v>0</v>
      </c>
      <c r="P754" s="647">
        <f t="shared" ref="P754:P759" si="304">IF(M754&gt;0,N754*100/M754,0)</f>
        <v>0</v>
      </c>
      <c r="Q754" s="604"/>
      <c r="R754" s="604"/>
      <c r="S754" s="604"/>
      <c r="T754" s="604"/>
      <c r="U754" s="604"/>
      <c r="V754" s="604"/>
      <c r="W754" s="604"/>
      <c r="X754" s="604"/>
      <c r="Y754" s="604"/>
      <c r="Z754" s="604"/>
    </row>
    <row r="755" spans="1:26" ht="18.75" hidden="1">
      <c r="A755" s="599"/>
      <c r="B755" s="759"/>
      <c r="C755" s="759"/>
      <c r="D755" s="720"/>
      <c r="E755" s="759" t="s">
        <v>185</v>
      </c>
      <c r="F755" s="759"/>
      <c r="G755" s="603"/>
      <c r="H755" s="165" t="s">
        <v>12</v>
      </c>
      <c r="I755" s="617"/>
      <c r="J755" s="617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4"/>
      <c r="R755" s="604"/>
      <c r="S755" s="604"/>
      <c r="T755" s="604"/>
      <c r="U755" s="604"/>
      <c r="V755" s="604"/>
      <c r="W755" s="604"/>
      <c r="X755" s="604"/>
      <c r="Y755" s="604"/>
      <c r="Z755" s="604"/>
    </row>
    <row r="756" spans="1:26" ht="18.75" hidden="1">
      <c r="A756" s="599"/>
      <c r="B756" s="607"/>
      <c r="C756" s="759"/>
      <c r="D756" s="720"/>
      <c r="E756" s="759" t="s">
        <v>186</v>
      </c>
      <c r="F756" s="759"/>
      <c r="G756" s="603"/>
      <c r="H756" s="165" t="s">
        <v>12</v>
      </c>
      <c r="I756" s="617"/>
      <c r="J756" s="617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4"/>
      <c r="R756" s="604"/>
      <c r="S756" s="604"/>
      <c r="T756" s="604"/>
      <c r="U756" s="604"/>
      <c r="V756" s="604"/>
      <c r="W756" s="604"/>
      <c r="X756" s="604"/>
      <c r="Y756" s="604"/>
      <c r="Z756" s="604"/>
    </row>
    <row r="757" spans="1:26" ht="19.5" hidden="1">
      <c r="A757" s="599"/>
      <c r="B757" s="607"/>
      <c r="C757" s="759"/>
      <c r="D757" s="645" t="s">
        <v>20</v>
      </c>
      <c r="E757" s="759"/>
      <c r="F757" s="759"/>
      <c r="G757" s="603"/>
      <c r="H757" s="646" t="s">
        <v>12</v>
      </c>
      <c r="I757" s="166"/>
      <c r="J757" s="166"/>
      <c r="K757" s="167"/>
      <c r="L757" s="647">
        <f t="shared" ref="L757:N757" si="306">L758+L759</f>
        <v>0</v>
      </c>
      <c r="M757" s="647">
        <f t="shared" si="306"/>
        <v>0</v>
      </c>
      <c r="N757" s="647">
        <f t="shared" si="306"/>
        <v>0</v>
      </c>
      <c r="O757" s="647">
        <f t="shared" si="303"/>
        <v>0</v>
      </c>
      <c r="P757" s="647">
        <f t="shared" si="304"/>
        <v>0</v>
      </c>
      <c r="Q757" s="604"/>
      <c r="R757" s="604"/>
      <c r="S757" s="604"/>
      <c r="T757" s="604"/>
      <c r="U757" s="604"/>
      <c r="V757" s="604"/>
      <c r="W757" s="604"/>
      <c r="X757" s="604"/>
      <c r="Y757" s="604"/>
      <c r="Z757" s="604"/>
    </row>
    <row r="758" spans="1:26" ht="18.75" hidden="1">
      <c r="A758" s="599"/>
      <c r="B758" s="607"/>
      <c r="C758" s="759"/>
      <c r="D758" s="720"/>
      <c r="E758" s="759" t="s">
        <v>185</v>
      </c>
      <c r="F758" s="759"/>
      <c r="G758" s="603"/>
      <c r="H758" s="165" t="s">
        <v>12</v>
      </c>
      <c r="I758" s="617"/>
      <c r="J758" s="617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4"/>
      <c r="R758" s="604"/>
      <c r="S758" s="604"/>
      <c r="T758" s="604"/>
      <c r="U758" s="604"/>
      <c r="V758" s="604"/>
      <c r="W758" s="604"/>
      <c r="X758" s="604"/>
      <c r="Y758" s="604"/>
      <c r="Z758" s="604"/>
    </row>
    <row r="759" spans="1:26" ht="18.75" hidden="1">
      <c r="A759" s="599"/>
      <c r="B759" s="607"/>
      <c r="C759" s="759"/>
      <c r="D759" s="720"/>
      <c r="E759" s="759" t="s">
        <v>186</v>
      </c>
      <c r="F759" s="759"/>
      <c r="G759" s="603"/>
      <c r="H759" s="165" t="s">
        <v>12</v>
      </c>
      <c r="I759" s="617"/>
      <c r="J759" s="617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4"/>
      <c r="R759" s="604"/>
      <c r="S759" s="604"/>
      <c r="T759" s="604"/>
      <c r="U759" s="604"/>
      <c r="V759" s="604"/>
      <c r="W759" s="604"/>
      <c r="X759" s="604"/>
      <c r="Y759" s="604"/>
      <c r="Z759" s="604"/>
    </row>
    <row r="760" spans="1:26" ht="18.75" hidden="1">
      <c r="A760" s="649"/>
      <c r="B760" s="607"/>
      <c r="C760" s="759"/>
      <c r="D760" s="759"/>
      <c r="E760" s="759"/>
      <c r="F760" s="759" t="s">
        <v>187</v>
      </c>
      <c r="G760" s="603"/>
      <c r="H760" s="165" t="s">
        <v>12</v>
      </c>
      <c r="I760" s="617"/>
      <c r="J760" s="617"/>
      <c r="K760" s="93"/>
      <c r="L760" s="93"/>
      <c r="M760" s="93"/>
      <c r="N760" s="93"/>
      <c r="O760" s="93"/>
      <c r="P760" s="93"/>
      <c r="Q760" s="604"/>
      <c r="R760" s="604"/>
      <c r="S760" s="604"/>
      <c r="T760" s="604"/>
      <c r="U760" s="604"/>
      <c r="V760" s="604"/>
      <c r="W760" s="604"/>
      <c r="X760" s="604"/>
      <c r="Y760" s="604"/>
      <c r="Z760" s="604"/>
    </row>
    <row r="761" spans="1:26" ht="18.75" hidden="1">
      <c r="A761" s="649"/>
      <c r="B761" s="607"/>
      <c r="C761" s="759"/>
      <c r="D761" s="759"/>
      <c r="E761" s="759"/>
      <c r="F761" s="759" t="s">
        <v>188</v>
      </c>
      <c r="G761" s="603"/>
      <c r="H761" s="165" t="s">
        <v>12</v>
      </c>
      <c r="I761" s="617"/>
      <c r="J761" s="617"/>
      <c r="K761" s="93"/>
      <c r="L761" s="93"/>
      <c r="M761" s="93"/>
      <c r="N761" s="93"/>
      <c r="O761" s="93"/>
      <c r="P761" s="93"/>
      <c r="Q761" s="604"/>
      <c r="R761" s="604"/>
      <c r="S761" s="604"/>
      <c r="T761" s="604"/>
      <c r="U761" s="604"/>
      <c r="V761" s="604"/>
      <c r="W761" s="604"/>
      <c r="X761" s="604"/>
      <c r="Y761" s="604"/>
      <c r="Z761" s="604"/>
    </row>
    <row r="762" spans="1:26" ht="18.75" hidden="1">
      <c r="A762" s="649"/>
      <c r="B762" s="607"/>
      <c r="C762" s="759"/>
      <c r="D762" s="759"/>
      <c r="E762" s="759"/>
      <c r="F762" s="759" t="s">
        <v>189</v>
      </c>
      <c r="G762" s="603"/>
      <c r="H762" s="165" t="s">
        <v>12</v>
      </c>
      <c r="I762" s="617"/>
      <c r="J762" s="617"/>
      <c r="K762" s="93"/>
      <c r="L762" s="93"/>
      <c r="M762" s="93"/>
      <c r="N762" s="93"/>
      <c r="O762" s="93"/>
      <c r="P762" s="93"/>
      <c r="Q762" s="604"/>
      <c r="R762" s="604"/>
      <c r="S762" s="604"/>
      <c r="T762" s="604"/>
      <c r="U762" s="604"/>
      <c r="V762" s="604"/>
      <c r="W762" s="604"/>
      <c r="X762" s="604"/>
      <c r="Y762" s="604"/>
      <c r="Z762" s="604"/>
    </row>
    <row r="763" spans="1:26" ht="18.75" hidden="1">
      <c r="A763" s="649"/>
      <c r="B763" s="607"/>
      <c r="C763" s="759"/>
      <c r="D763" s="759"/>
      <c r="E763" s="759"/>
      <c r="F763" s="759" t="s">
        <v>190</v>
      </c>
      <c r="G763" s="603"/>
      <c r="H763" s="165" t="s">
        <v>12</v>
      </c>
      <c r="I763" s="617"/>
      <c r="J763" s="617"/>
      <c r="K763" s="93"/>
      <c r="L763" s="93"/>
      <c r="M763" s="93"/>
      <c r="N763" s="93"/>
      <c r="O763" s="93"/>
      <c r="P763" s="93"/>
      <c r="Q763" s="604"/>
      <c r="R763" s="604"/>
      <c r="S763" s="604"/>
      <c r="T763" s="604"/>
      <c r="U763" s="604"/>
      <c r="V763" s="604"/>
      <c r="W763" s="604"/>
      <c r="X763" s="604"/>
      <c r="Y763" s="604"/>
      <c r="Z763" s="604"/>
    </row>
    <row r="764" spans="1:26" ht="19.5" hidden="1">
      <c r="A764" s="599"/>
      <c r="B764" s="607"/>
      <c r="C764" s="759"/>
      <c r="D764" s="645" t="s">
        <v>21</v>
      </c>
      <c r="E764" s="759"/>
      <c r="F764" s="759"/>
      <c r="G764" s="603"/>
      <c r="H764" s="783" t="s">
        <v>12</v>
      </c>
      <c r="I764" s="166"/>
      <c r="J764" s="166"/>
      <c r="K764" s="167"/>
      <c r="L764" s="647">
        <f t="shared" ref="L764:N764" si="307">L765+L766</f>
        <v>0</v>
      </c>
      <c r="M764" s="647">
        <f t="shared" si="307"/>
        <v>0</v>
      </c>
      <c r="N764" s="647">
        <f t="shared" si="307"/>
        <v>0</v>
      </c>
      <c r="O764" s="647">
        <f t="shared" ref="O764:O766" si="308">IF(L764&gt;0,N764*100/L764,0)</f>
        <v>0</v>
      </c>
      <c r="P764" s="647">
        <f t="shared" ref="P764:P766" si="309">IF(M764&gt;0,N764*100/M764,0)</f>
        <v>0</v>
      </c>
      <c r="Q764" s="604"/>
      <c r="R764" s="604"/>
      <c r="S764" s="604"/>
      <c r="T764" s="604"/>
      <c r="U764" s="604"/>
      <c r="V764" s="604"/>
      <c r="W764" s="604"/>
      <c r="X764" s="604"/>
      <c r="Y764" s="604"/>
      <c r="Z764" s="604"/>
    </row>
    <row r="765" spans="1:26" ht="18.75" hidden="1">
      <c r="A765" s="599"/>
      <c r="B765" s="607"/>
      <c r="C765" s="759"/>
      <c r="D765" s="759"/>
      <c r="E765" s="759" t="s">
        <v>18</v>
      </c>
      <c r="F765" s="759"/>
      <c r="G765" s="603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4"/>
      <c r="R765" s="604"/>
      <c r="S765" s="604"/>
      <c r="T765" s="604"/>
      <c r="U765" s="604"/>
      <c r="V765" s="604"/>
      <c r="W765" s="604"/>
      <c r="X765" s="604"/>
      <c r="Y765" s="604"/>
      <c r="Z765" s="604"/>
    </row>
    <row r="766" spans="1:26" ht="18.75" hidden="1">
      <c r="A766" s="599"/>
      <c r="B766" s="607"/>
      <c r="C766" s="759"/>
      <c r="D766" s="759"/>
      <c r="E766" s="759" t="s">
        <v>19</v>
      </c>
      <c r="F766" s="759"/>
      <c r="G766" s="603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4"/>
      <c r="R766" s="604"/>
      <c r="S766" s="604"/>
      <c r="T766" s="604"/>
      <c r="U766" s="604"/>
      <c r="V766" s="604"/>
      <c r="W766" s="604"/>
      <c r="X766" s="604"/>
      <c r="Y766" s="604"/>
      <c r="Z766" s="604"/>
    </row>
    <row r="767" spans="1:26" ht="19.5" hidden="1">
      <c r="A767" s="614"/>
      <c r="B767" s="616"/>
      <c r="C767" s="759" t="s">
        <v>16</v>
      </c>
      <c r="D767" s="899" t="s">
        <v>38</v>
      </c>
      <c r="E767" s="651"/>
      <c r="F767" s="651"/>
      <c r="G767" s="652"/>
      <c r="H767" s="366"/>
      <c r="I767" s="166"/>
      <c r="J767" s="166"/>
      <c r="K767" s="167"/>
      <c r="L767" s="167"/>
      <c r="M767" s="167"/>
      <c r="N767" s="167"/>
      <c r="O767" s="167"/>
      <c r="P767" s="167"/>
      <c r="Q767" s="604"/>
      <c r="R767" s="604"/>
      <c r="S767" s="604"/>
      <c r="T767" s="604"/>
      <c r="U767" s="604"/>
      <c r="V767" s="604"/>
      <c r="W767" s="604"/>
      <c r="X767" s="604"/>
      <c r="Y767" s="604"/>
      <c r="Z767" s="604"/>
    </row>
    <row r="768" spans="1:26" ht="18.75" hidden="1">
      <c r="A768" s="649"/>
      <c r="B768" s="607"/>
      <c r="C768" s="759"/>
      <c r="D768" s="759"/>
      <c r="E768" s="759" t="s">
        <v>317</v>
      </c>
      <c r="F768" s="759"/>
      <c r="G768" s="603"/>
      <c r="H768" s="165" t="s">
        <v>46</v>
      </c>
      <c r="I768" s="617"/>
      <c r="J768" s="617"/>
      <c r="K768" s="93"/>
      <c r="L768" s="93"/>
      <c r="M768" s="93"/>
      <c r="N768" s="93"/>
      <c r="O768" s="93"/>
      <c r="P768" s="93"/>
      <c r="Q768" s="604"/>
      <c r="R768" s="604"/>
      <c r="S768" s="604"/>
      <c r="T768" s="604"/>
      <c r="U768" s="604"/>
      <c r="V768" s="604"/>
      <c r="W768" s="604"/>
      <c r="X768" s="604"/>
      <c r="Y768" s="604"/>
      <c r="Z768" s="604"/>
    </row>
    <row r="769" spans="1:26" ht="19.5" hidden="1">
      <c r="A769" s="793">
        <v>11</v>
      </c>
      <c r="B769" s="794" t="s">
        <v>318</v>
      </c>
      <c r="C769" s="795"/>
      <c r="D769" s="795"/>
      <c r="E769" s="795"/>
      <c r="F769" s="795"/>
      <c r="G769" s="796"/>
      <c r="H769" s="797" t="s">
        <v>46</v>
      </c>
      <c r="I769" s="798"/>
      <c r="J769" s="798">
        <f>J784</f>
        <v>0</v>
      </c>
      <c r="K769" s="799">
        <f>IF(I769&gt;0,J769*100/I769,0)</f>
        <v>0</v>
      </c>
      <c r="L769" s="800"/>
      <c r="M769" s="800"/>
      <c r="N769" s="800"/>
      <c r="O769" s="800"/>
      <c r="P769" s="800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</row>
    <row r="770" spans="1:26" ht="19.5" hidden="1">
      <c r="A770" s="599"/>
      <c r="B770" s="759"/>
      <c r="C770" s="759" t="s">
        <v>16</v>
      </c>
      <c r="D770" s="864" t="s">
        <v>17</v>
      </c>
      <c r="E770" s="857"/>
      <c r="F770" s="857"/>
      <c r="G770" s="603"/>
      <c r="H770" s="646" t="s">
        <v>12</v>
      </c>
      <c r="I770" s="617"/>
      <c r="J770" s="617"/>
      <c r="K770" s="93"/>
      <c r="L770" s="647">
        <f t="shared" ref="L770:N770" si="310">L771+L772</f>
        <v>0</v>
      </c>
      <c r="M770" s="647">
        <f t="shared" si="310"/>
        <v>0</v>
      </c>
      <c r="N770" s="647">
        <f t="shared" si="310"/>
        <v>0</v>
      </c>
      <c r="O770" s="647">
        <f t="shared" ref="O770:O775" si="311">IF(L770&gt;0,N770*100/L770,0)</f>
        <v>0</v>
      </c>
      <c r="P770" s="647">
        <f t="shared" ref="P770:P775" si="312">IF(M770&gt;0,N770*100/M770,0)</f>
        <v>0</v>
      </c>
      <c r="Q770" s="604"/>
      <c r="R770" s="604"/>
      <c r="S770" s="604"/>
      <c r="T770" s="604"/>
      <c r="U770" s="604"/>
      <c r="V770" s="604"/>
      <c r="W770" s="604"/>
      <c r="X770" s="604"/>
      <c r="Y770" s="604"/>
      <c r="Z770" s="604"/>
    </row>
    <row r="771" spans="1:26" ht="18.75" hidden="1">
      <c r="A771" s="599"/>
      <c r="B771" s="759"/>
      <c r="C771" s="759"/>
      <c r="D771" s="720"/>
      <c r="E771" s="759" t="s">
        <v>185</v>
      </c>
      <c r="F771" s="759"/>
      <c r="G771" s="603"/>
      <c r="H771" s="165" t="s">
        <v>12</v>
      </c>
      <c r="I771" s="617"/>
      <c r="J771" s="617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4"/>
      <c r="R771" s="604"/>
      <c r="S771" s="604"/>
      <c r="T771" s="604"/>
      <c r="U771" s="604"/>
      <c r="V771" s="604"/>
      <c r="W771" s="604"/>
      <c r="X771" s="604"/>
      <c r="Y771" s="604"/>
      <c r="Z771" s="604"/>
    </row>
    <row r="772" spans="1:26" ht="18.75" hidden="1">
      <c r="A772" s="599"/>
      <c r="B772" s="607"/>
      <c r="C772" s="759"/>
      <c r="D772" s="720"/>
      <c r="E772" s="759" t="s">
        <v>186</v>
      </c>
      <c r="F772" s="759"/>
      <c r="G772" s="603"/>
      <c r="H772" s="165" t="s">
        <v>12</v>
      </c>
      <c r="I772" s="617"/>
      <c r="J772" s="617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4"/>
      <c r="R772" s="604"/>
      <c r="S772" s="604"/>
      <c r="T772" s="604"/>
      <c r="U772" s="604"/>
      <c r="V772" s="604"/>
      <c r="W772" s="604"/>
      <c r="X772" s="604"/>
      <c r="Y772" s="604"/>
      <c r="Z772" s="604"/>
    </row>
    <row r="773" spans="1:26" ht="19.5" hidden="1">
      <c r="A773" s="599"/>
      <c r="B773" s="607"/>
      <c r="C773" s="759"/>
      <c r="D773" s="645" t="s">
        <v>20</v>
      </c>
      <c r="E773" s="759"/>
      <c r="F773" s="759"/>
      <c r="G773" s="603"/>
      <c r="H773" s="646" t="s">
        <v>12</v>
      </c>
      <c r="I773" s="166"/>
      <c r="J773" s="166"/>
      <c r="K773" s="167"/>
      <c r="L773" s="647">
        <f t="shared" ref="L773:N773" si="314">L774+L775</f>
        <v>0</v>
      </c>
      <c r="M773" s="647">
        <f t="shared" si="314"/>
        <v>0</v>
      </c>
      <c r="N773" s="647">
        <f t="shared" si="314"/>
        <v>0</v>
      </c>
      <c r="O773" s="647">
        <f t="shared" si="311"/>
        <v>0</v>
      </c>
      <c r="P773" s="647">
        <f t="shared" si="312"/>
        <v>0</v>
      </c>
      <c r="Q773" s="604"/>
      <c r="R773" s="604"/>
      <c r="S773" s="604"/>
      <c r="T773" s="604"/>
      <c r="U773" s="604"/>
      <c r="V773" s="604"/>
      <c r="W773" s="604"/>
      <c r="X773" s="604"/>
      <c r="Y773" s="604"/>
      <c r="Z773" s="604"/>
    </row>
    <row r="774" spans="1:26" ht="18.75" hidden="1">
      <c r="A774" s="599"/>
      <c r="B774" s="607"/>
      <c r="C774" s="759"/>
      <c r="D774" s="720"/>
      <c r="E774" s="759" t="s">
        <v>185</v>
      </c>
      <c r="F774" s="759"/>
      <c r="G774" s="603"/>
      <c r="H774" s="165" t="s">
        <v>12</v>
      </c>
      <c r="I774" s="617"/>
      <c r="J774" s="617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4"/>
      <c r="R774" s="604"/>
      <c r="S774" s="604"/>
      <c r="T774" s="604"/>
      <c r="U774" s="604"/>
      <c r="V774" s="604"/>
      <c r="W774" s="604"/>
      <c r="X774" s="604"/>
      <c r="Y774" s="604"/>
      <c r="Z774" s="604"/>
    </row>
    <row r="775" spans="1:26" ht="18.75" hidden="1">
      <c r="A775" s="599"/>
      <c r="B775" s="607"/>
      <c r="C775" s="759"/>
      <c r="D775" s="720"/>
      <c r="E775" s="759" t="s">
        <v>186</v>
      </c>
      <c r="F775" s="759"/>
      <c r="G775" s="603"/>
      <c r="H775" s="165" t="s">
        <v>12</v>
      </c>
      <c r="I775" s="617"/>
      <c r="J775" s="617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4"/>
      <c r="R775" s="604"/>
      <c r="S775" s="604"/>
      <c r="T775" s="604"/>
      <c r="U775" s="604"/>
      <c r="V775" s="604"/>
      <c r="W775" s="604"/>
      <c r="X775" s="604"/>
      <c r="Y775" s="604"/>
      <c r="Z775" s="604"/>
    </row>
    <row r="776" spans="1:26" ht="18.75" hidden="1">
      <c r="A776" s="649"/>
      <c r="B776" s="607"/>
      <c r="C776" s="759"/>
      <c r="D776" s="759"/>
      <c r="E776" s="759"/>
      <c r="F776" s="759" t="s">
        <v>187</v>
      </c>
      <c r="G776" s="603"/>
      <c r="H776" s="165" t="s">
        <v>12</v>
      </c>
      <c r="I776" s="617"/>
      <c r="J776" s="617"/>
      <c r="K776" s="93"/>
      <c r="L776" s="93"/>
      <c r="M776" s="93"/>
      <c r="N776" s="93"/>
      <c r="O776" s="93"/>
      <c r="P776" s="93"/>
      <c r="Q776" s="604"/>
      <c r="R776" s="604"/>
      <c r="S776" s="604"/>
      <c r="T776" s="604"/>
      <c r="U776" s="604"/>
      <c r="V776" s="604"/>
      <c r="W776" s="604"/>
      <c r="X776" s="604"/>
      <c r="Y776" s="604"/>
      <c r="Z776" s="604"/>
    </row>
    <row r="777" spans="1:26" ht="18.75" hidden="1">
      <c r="A777" s="649"/>
      <c r="B777" s="607"/>
      <c r="C777" s="759"/>
      <c r="D777" s="759"/>
      <c r="E777" s="759"/>
      <c r="F777" s="759" t="s">
        <v>188</v>
      </c>
      <c r="G777" s="603"/>
      <c r="H777" s="165" t="s">
        <v>12</v>
      </c>
      <c r="I777" s="617"/>
      <c r="J777" s="617"/>
      <c r="K777" s="93"/>
      <c r="L777" s="93"/>
      <c r="M777" s="93"/>
      <c r="N777" s="93"/>
      <c r="O777" s="93"/>
      <c r="P777" s="93"/>
      <c r="Q777" s="604"/>
      <c r="R777" s="604"/>
      <c r="S777" s="604"/>
      <c r="T777" s="604"/>
      <c r="U777" s="604"/>
      <c r="V777" s="604"/>
      <c r="W777" s="604"/>
      <c r="X777" s="604"/>
      <c r="Y777" s="604"/>
      <c r="Z777" s="604"/>
    </row>
    <row r="778" spans="1:26" ht="18.75" hidden="1">
      <c r="A778" s="649"/>
      <c r="B778" s="607"/>
      <c r="C778" s="759"/>
      <c r="D778" s="759"/>
      <c r="E778" s="759"/>
      <c r="F778" s="759" t="s">
        <v>189</v>
      </c>
      <c r="G778" s="603"/>
      <c r="H778" s="165" t="s">
        <v>12</v>
      </c>
      <c r="I778" s="617"/>
      <c r="J778" s="617"/>
      <c r="K778" s="93"/>
      <c r="L778" s="93"/>
      <c r="M778" s="93"/>
      <c r="N778" s="93"/>
      <c r="O778" s="93"/>
      <c r="P778" s="93"/>
      <c r="Q778" s="604"/>
      <c r="R778" s="604"/>
      <c r="S778" s="604"/>
      <c r="T778" s="604"/>
      <c r="U778" s="604"/>
      <c r="V778" s="604"/>
      <c r="W778" s="604"/>
      <c r="X778" s="604"/>
      <c r="Y778" s="604"/>
      <c r="Z778" s="604"/>
    </row>
    <row r="779" spans="1:26" ht="18.75" hidden="1">
      <c r="A779" s="649"/>
      <c r="B779" s="607"/>
      <c r="C779" s="759"/>
      <c r="D779" s="759"/>
      <c r="E779" s="759"/>
      <c r="F779" s="759" t="s">
        <v>190</v>
      </c>
      <c r="G779" s="603"/>
      <c r="H779" s="165" t="s">
        <v>12</v>
      </c>
      <c r="I779" s="617"/>
      <c r="J779" s="617"/>
      <c r="K779" s="93"/>
      <c r="L779" s="93"/>
      <c r="M779" s="93"/>
      <c r="N779" s="93"/>
      <c r="O779" s="93"/>
      <c r="P779" s="93"/>
      <c r="Q779" s="604"/>
      <c r="R779" s="604"/>
      <c r="S779" s="604"/>
      <c r="T779" s="604"/>
      <c r="U779" s="604"/>
      <c r="V779" s="604"/>
      <c r="W779" s="604"/>
      <c r="X779" s="604"/>
      <c r="Y779" s="604"/>
      <c r="Z779" s="604"/>
    </row>
    <row r="780" spans="1:26" ht="19.5" hidden="1">
      <c r="A780" s="599"/>
      <c r="B780" s="607"/>
      <c r="C780" s="759"/>
      <c r="D780" s="645" t="s">
        <v>21</v>
      </c>
      <c r="E780" s="759"/>
      <c r="F780" s="759"/>
      <c r="G780" s="603"/>
      <c r="H780" s="783" t="s">
        <v>12</v>
      </c>
      <c r="I780" s="166"/>
      <c r="J780" s="166"/>
      <c r="K780" s="167"/>
      <c r="L780" s="647">
        <f t="shared" ref="L780:N780" si="315">L781+L782</f>
        <v>0</v>
      </c>
      <c r="M780" s="647">
        <f t="shared" si="315"/>
        <v>0</v>
      </c>
      <c r="N780" s="647">
        <f t="shared" si="315"/>
        <v>0</v>
      </c>
      <c r="O780" s="647">
        <f t="shared" ref="O780:O782" si="316">IF(L780&gt;0,N780*100/L780,0)</f>
        <v>0</v>
      </c>
      <c r="P780" s="647">
        <f t="shared" ref="P780:P782" si="317">IF(M780&gt;0,N780*100/M780,0)</f>
        <v>0</v>
      </c>
      <c r="Q780" s="604"/>
      <c r="R780" s="604"/>
      <c r="S780" s="604"/>
      <c r="T780" s="604"/>
      <c r="U780" s="604"/>
      <c r="V780" s="604"/>
      <c r="W780" s="604"/>
      <c r="X780" s="604"/>
      <c r="Y780" s="604"/>
      <c r="Z780" s="604"/>
    </row>
    <row r="781" spans="1:26" ht="18.75" hidden="1">
      <c r="A781" s="599"/>
      <c r="B781" s="607"/>
      <c r="C781" s="759"/>
      <c r="D781" s="759"/>
      <c r="E781" s="759" t="s">
        <v>18</v>
      </c>
      <c r="F781" s="759"/>
      <c r="G781" s="603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4"/>
      <c r="R781" s="604"/>
      <c r="S781" s="604"/>
      <c r="T781" s="604"/>
      <c r="U781" s="604"/>
      <c r="V781" s="604"/>
      <c r="W781" s="604"/>
      <c r="X781" s="604"/>
      <c r="Y781" s="604"/>
      <c r="Z781" s="604"/>
    </row>
    <row r="782" spans="1:26" ht="18.75" hidden="1">
      <c r="A782" s="599"/>
      <c r="B782" s="607"/>
      <c r="C782" s="759"/>
      <c r="D782" s="759"/>
      <c r="E782" s="759" t="s">
        <v>19</v>
      </c>
      <c r="F782" s="759"/>
      <c r="G782" s="603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4"/>
      <c r="R782" s="604"/>
      <c r="S782" s="604"/>
      <c r="T782" s="604"/>
      <c r="U782" s="604"/>
      <c r="V782" s="604"/>
      <c r="W782" s="604"/>
      <c r="X782" s="604"/>
      <c r="Y782" s="604"/>
      <c r="Z782" s="604"/>
    </row>
    <row r="783" spans="1:26" ht="19.5" hidden="1">
      <c r="A783" s="614"/>
      <c r="B783" s="616"/>
      <c r="C783" s="759" t="s">
        <v>16</v>
      </c>
      <c r="D783" s="899" t="s">
        <v>38</v>
      </c>
      <c r="E783" s="651"/>
      <c r="F783" s="651"/>
      <c r="G783" s="652"/>
      <c r="H783" s="801"/>
      <c r="I783" s="166"/>
      <c r="J783" s="166"/>
      <c r="K783" s="167"/>
      <c r="L783" s="167"/>
      <c r="M783" s="167"/>
      <c r="N783" s="167"/>
      <c r="O783" s="167"/>
      <c r="P783" s="167"/>
      <c r="Q783" s="604"/>
      <c r="R783" s="604"/>
      <c r="S783" s="604"/>
      <c r="T783" s="604"/>
      <c r="U783" s="604"/>
      <c r="V783" s="604"/>
      <c r="W783" s="604"/>
      <c r="X783" s="604"/>
      <c r="Y783" s="604"/>
      <c r="Z783" s="604"/>
    </row>
    <row r="784" spans="1:26" ht="18.75" hidden="1">
      <c r="A784" s="649"/>
      <c r="B784" s="607"/>
      <c r="C784" s="759"/>
      <c r="D784" s="759"/>
      <c r="E784" s="759" t="s">
        <v>319</v>
      </c>
      <c r="F784" s="759"/>
      <c r="G784" s="603"/>
      <c r="H784" s="165" t="s">
        <v>46</v>
      </c>
      <c r="I784" s="617"/>
      <c r="J784" s="617"/>
      <c r="K784" s="93"/>
      <c r="L784" s="93"/>
      <c r="M784" s="93"/>
      <c r="N784" s="93"/>
      <c r="O784" s="93"/>
      <c r="P784" s="93"/>
      <c r="Q784" s="604"/>
      <c r="R784" s="604"/>
      <c r="S784" s="604"/>
      <c r="T784" s="604"/>
      <c r="U784" s="604"/>
      <c r="V784" s="604"/>
      <c r="W784" s="604"/>
      <c r="X784" s="604"/>
      <c r="Y784" s="604"/>
      <c r="Z784" s="604"/>
    </row>
    <row r="785" spans="1:26" ht="19.5">
      <c r="A785" s="802">
        <v>12</v>
      </c>
      <c r="B785" s="803" t="s">
        <v>320</v>
      </c>
      <c r="C785" s="804"/>
      <c r="D785" s="804"/>
      <c r="E785" s="804"/>
      <c r="F785" s="804"/>
      <c r="G785" s="805"/>
      <c r="H785" s="806" t="s">
        <v>46</v>
      </c>
      <c r="I785" s="807">
        <f t="shared" ref="I785:J785" ca="1" si="318">I801+I803</f>
        <v>5000</v>
      </c>
      <c r="J785" s="807">
        <f t="shared" ca="1" si="318"/>
        <v>5352</v>
      </c>
      <c r="K785" s="808">
        <f ca="1">IF(I785&gt;0,J785*100/I785,0)</f>
        <v>107.04</v>
      </c>
      <c r="L785" s="809"/>
      <c r="M785" s="809"/>
      <c r="N785" s="809"/>
      <c r="O785" s="809"/>
      <c r="P785" s="809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</row>
    <row r="786" spans="1:26" ht="19.5">
      <c r="A786" s="597"/>
      <c r="B786" s="575"/>
      <c r="C786" s="763" t="s">
        <v>16</v>
      </c>
      <c r="D786" s="863" t="s">
        <v>17</v>
      </c>
      <c r="E786" s="857"/>
      <c r="F786" s="857"/>
      <c r="G786" s="189"/>
      <c r="H786" s="810" t="s">
        <v>12</v>
      </c>
      <c r="I786" s="811"/>
      <c r="J786" s="811"/>
      <c r="K786" s="812"/>
      <c r="L786" s="195">
        <f t="shared" ref="L786:N786" ca="1" si="319">L787+L788</f>
        <v>335200</v>
      </c>
      <c r="M786" s="195">
        <f t="shared" ca="1" si="319"/>
        <v>405949.72</v>
      </c>
      <c r="N786" s="195">
        <f t="shared" si="319"/>
        <v>405949.72</v>
      </c>
      <c r="O786" s="195">
        <f t="shared" ref="O786:O791" ca="1" si="320">IF(L786&gt;0,N786*100/L786,0)</f>
        <v>121.1067183770883</v>
      </c>
      <c r="P786" s="195">
        <f t="shared" ref="P786:P791" ca="1" si="321">IF(M786&gt;0,N786*100/M786,0)</f>
        <v>100</v>
      </c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</row>
    <row r="787" spans="1:26" ht="18.75" hidden="1">
      <c r="A787" s="599"/>
      <c r="B787" s="607"/>
      <c r="C787" s="759"/>
      <c r="D787" s="720"/>
      <c r="E787" s="759" t="s">
        <v>185</v>
      </c>
      <c r="F787" s="759"/>
      <c r="G787" s="603"/>
      <c r="H787" s="813" t="s">
        <v>12</v>
      </c>
      <c r="I787" s="811"/>
      <c r="J787" s="811"/>
      <c r="K787" s="812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4"/>
      <c r="R787" s="604"/>
      <c r="S787" s="604"/>
      <c r="T787" s="604"/>
      <c r="U787" s="604"/>
      <c r="V787" s="604"/>
      <c r="W787" s="604"/>
      <c r="X787" s="604"/>
      <c r="Y787" s="604"/>
      <c r="Z787" s="604"/>
    </row>
    <row r="788" spans="1:26" ht="18.75" hidden="1">
      <c r="A788" s="599"/>
      <c r="B788" s="607"/>
      <c r="C788" s="607"/>
      <c r="D788" s="616"/>
      <c r="E788" s="759" t="s">
        <v>186</v>
      </c>
      <c r="F788" s="759"/>
      <c r="G788" s="603"/>
      <c r="H788" s="813" t="s">
        <v>12</v>
      </c>
      <c r="I788" s="811"/>
      <c r="J788" s="811"/>
      <c r="K788" s="812"/>
      <c r="L788" s="93">
        <f t="shared" ca="1" si="322"/>
        <v>335200</v>
      </c>
      <c r="M788" s="93">
        <f t="shared" ca="1" si="322"/>
        <v>405949.72</v>
      </c>
      <c r="N788" s="93">
        <f t="shared" si="322"/>
        <v>405949.72</v>
      </c>
      <c r="O788" s="93">
        <f t="shared" ca="1" si="320"/>
        <v>121.1067183770883</v>
      </c>
      <c r="P788" s="93">
        <f t="shared" ca="1" si="321"/>
        <v>100</v>
      </c>
      <c r="Q788" s="604"/>
      <c r="R788" s="604"/>
      <c r="S788" s="604"/>
      <c r="T788" s="604"/>
      <c r="U788" s="604"/>
      <c r="V788" s="604"/>
      <c r="W788" s="604"/>
      <c r="X788" s="604"/>
      <c r="Y788" s="604"/>
      <c r="Z788" s="604"/>
    </row>
    <row r="789" spans="1:26" ht="18.75">
      <c r="A789" s="597"/>
      <c r="B789" s="575"/>
      <c r="C789" s="575"/>
      <c r="D789" s="606" t="s">
        <v>20</v>
      </c>
      <c r="E789" s="763"/>
      <c r="F789" s="763"/>
      <c r="G789" s="189"/>
      <c r="H789" s="814" t="s">
        <v>12</v>
      </c>
      <c r="I789" s="815"/>
      <c r="J789" s="815"/>
      <c r="K789" s="816"/>
      <c r="L789" s="498">
        <f t="shared" ref="L789:N789" ca="1" si="323">L790+L791</f>
        <v>335200</v>
      </c>
      <c r="M789" s="498">
        <f t="shared" ca="1" si="323"/>
        <v>405949.72</v>
      </c>
      <c r="N789" s="498">
        <f t="shared" si="323"/>
        <v>405949.72</v>
      </c>
      <c r="O789" s="498">
        <f t="shared" ca="1" si="320"/>
        <v>121.1067183770883</v>
      </c>
      <c r="P789" s="498">
        <f t="shared" ca="1" si="321"/>
        <v>100</v>
      </c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</row>
    <row r="790" spans="1:26" ht="18.75" hidden="1">
      <c r="A790" s="599"/>
      <c r="B790" s="607"/>
      <c r="C790" s="607"/>
      <c r="D790" s="616"/>
      <c r="E790" s="759" t="s">
        <v>185</v>
      </c>
      <c r="F790" s="759"/>
      <c r="G790" s="603"/>
      <c r="H790" s="813" t="s">
        <v>12</v>
      </c>
      <c r="I790" s="811"/>
      <c r="J790" s="811"/>
      <c r="K790" s="812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4"/>
      <c r="R790" s="604"/>
      <c r="S790" s="604"/>
      <c r="T790" s="604"/>
      <c r="U790" s="604"/>
      <c r="V790" s="604"/>
      <c r="W790" s="604"/>
      <c r="X790" s="604"/>
      <c r="Y790" s="604"/>
      <c r="Z790" s="604"/>
    </row>
    <row r="791" spans="1:26" ht="18.75" hidden="1">
      <c r="A791" s="599"/>
      <c r="B791" s="607"/>
      <c r="C791" s="607"/>
      <c r="D791" s="616"/>
      <c r="E791" s="759" t="s">
        <v>186</v>
      </c>
      <c r="F791" s="759"/>
      <c r="G791" s="603"/>
      <c r="H791" s="813" t="s">
        <v>12</v>
      </c>
      <c r="I791" s="811"/>
      <c r="J791" s="811"/>
      <c r="K791" s="812"/>
      <c r="L791" s="93">
        <f ca="1">IFERROR(__xludf.DUMMYFUNCTION("IMPORTRANGE(""https://docs.google.com/spreadsheets/d/1QqKyyYR6Q21VydFLVH3TRQUabQu_ym0Zz7PgGX0-kHA/edit?usp=sharing"",""แผน!JJ36"")"),335200)</f>
        <v>335200</v>
      </c>
      <c r="M791" s="93">
        <f ca="1">L791+77000-6250.28</f>
        <v>405949.72</v>
      </c>
      <c r="N791" s="93">
        <f>N792+N793+N794+N795</f>
        <v>405949.72</v>
      </c>
      <c r="O791" s="93">
        <f t="shared" ca="1" si="320"/>
        <v>121.1067183770883</v>
      </c>
      <c r="P791" s="93">
        <f t="shared" ca="1" si="321"/>
        <v>100</v>
      </c>
      <c r="Q791" s="604"/>
      <c r="R791" s="604"/>
      <c r="S791" s="604"/>
      <c r="T791" s="604"/>
      <c r="U791" s="604"/>
      <c r="V791" s="604"/>
      <c r="W791" s="604"/>
      <c r="X791" s="604"/>
      <c r="Y791" s="604"/>
      <c r="Z791" s="604"/>
    </row>
    <row r="792" spans="1:26" ht="18.75">
      <c r="A792" s="574"/>
      <c r="B792" s="575"/>
      <c r="C792" s="763"/>
      <c r="D792" s="763"/>
      <c r="E792" s="763"/>
      <c r="F792" s="763" t="s">
        <v>187</v>
      </c>
      <c r="G792" s="189"/>
      <c r="H792" s="814" t="s">
        <v>12</v>
      </c>
      <c r="I792" s="811"/>
      <c r="J792" s="811"/>
      <c r="K792" s="812"/>
      <c r="L792" s="498"/>
      <c r="M792" s="498"/>
      <c r="N792" s="840">
        <v>0</v>
      </c>
      <c r="O792" s="498"/>
      <c r="P792" s="49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</row>
    <row r="793" spans="1:26" ht="18.75">
      <c r="A793" s="574"/>
      <c r="B793" s="575"/>
      <c r="C793" s="763"/>
      <c r="D793" s="763"/>
      <c r="E793" s="763"/>
      <c r="F793" s="763" t="s">
        <v>188</v>
      </c>
      <c r="G793" s="189"/>
      <c r="H793" s="814" t="s">
        <v>12</v>
      </c>
      <c r="I793" s="811"/>
      <c r="J793" s="811"/>
      <c r="K793" s="812"/>
      <c r="L793" s="498"/>
      <c r="M793" s="498"/>
      <c r="N793" s="840">
        <v>0</v>
      </c>
      <c r="O793" s="498"/>
      <c r="P793" s="49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</row>
    <row r="794" spans="1:26" ht="18.75">
      <c r="A794" s="574"/>
      <c r="B794" s="575"/>
      <c r="C794" s="763"/>
      <c r="D794" s="763"/>
      <c r="E794" s="763"/>
      <c r="F794" s="763" t="s">
        <v>189</v>
      </c>
      <c r="G794" s="189"/>
      <c r="H794" s="814" t="s">
        <v>12</v>
      </c>
      <c r="I794" s="811"/>
      <c r="J794" s="811"/>
      <c r="K794" s="812"/>
      <c r="L794" s="498"/>
      <c r="M794" s="498"/>
      <c r="N794" s="840">
        <v>127399.72</v>
      </c>
      <c r="O794" s="498"/>
      <c r="P794" s="49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</row>
    <row r="795" spans="1:26" ht="18.75">
      <c r="A795" s="574"/>
      <c r="B795" s="575"/>
      <c r="C795" s="763"/>
      <c r="D795" s="763"/>
      <c r="E795" s="763"/>
      <c r="F795" s="763" t="s">
        <v>190</v>
      </c>
      <c r="G795" s="189"/>
      <c r="H795" s="814" t="s">
        <v>12</v>
      </c>
      <c r="I795" s="811"/>
      <c r="J795" s="811"/>
      <c r="K795" s="812"/>
      <c r="L795" s="498"/>
      <c r="M795" s="498"/>
      <c r="N795" s="840">
        <v>278550</v>
      </c>
      <c r="O795" s="498"/>
      <c r="P795" s="49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</row>
    <row r="796" spans="1:26" ht="18.75">
      <c r="A796" s="597"/>
      <c r="B796" s="575"/>
      <c r="C796" s="763"/>
      <c r="D796" s="606" t="s">
        <v>21</v>
      </c>
      <c r="E796" s="763"/>
      <c r="F796" s="763"/>
      <c r="G796" s="189"/>
      <c r="H796" s="817" t="s">
        <v>12</v>
      </c>
      <c r="I796" s="815"/>
      <c r="J796" s="815"/>
      <c r="K796" s="816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</row>
    <row r="797" spans="1:26" ht="18.75" hidden="1">
      <c r="A797" s="599"/>
      <c r="B797" s="607"/>
      <c r="C797" s="759"/>
      <c r="D797" s="759"/>
      <c r="E797" s="759" t="s">
        <v>18</v>
      </c>
      <c r="F797" s="759"/>
      <c r="G797" s="603"/>
      <c r="H797" s="813" t="s">
        <v>12</v>
      </c>
      <c r="I797" s="815"/>
      <c r="J797" s="815"/>
      <c r="K797" s="816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4"/>
      <c r="R797" s="604"/>
      <c r="S797" s="604"/>
      <c r="T797" s="604"/>
      <c r="U797" s="604"/>
      <c r="V797" s="604"/>
      <c r="W797" s="604"/>
      <c r="X797" s="604"/>
      <c r="Y797" s="604"/>
      <c r="Z797" s="604"/>
    </row>
    <row r="798" spans="1:26" ht="18.75" hidden="1">
      <c r="A798" s="599"/>
      <c r="B798" s="607"/>
      <c r="C798" s="759"/>
      <c r="D798" s="759"/>
      <c r="E798" s="759" t="s">
        <v>19</v>
      </c>
      <c r="F798" s="759"/>
      <c r="G798" s="603"/>
      <c r="H798" s="818" t="s">
        <v>12</v>
      </c>
      <c r="I798" s="815"/>
      <c r="J798" s="815"/>
      <c r="K798" s="816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4"/>
      <c r="R798" s="604"/>
      <c r="S798" s="604"/>
      <c r="T798" s="604"/>
      <c r="U798" s="604"/>
      <c r="V798" s="604"/>
      <c r="W798" s="604"/>
      <c r="X798" s="604"/>
      <c r="Y798" s="604"/>
      <c r="Z798" s="604"/>
    </row>
    <row r="799" spans="1:26" ht="19.5">
      <c r="A799" s="608"/>
      <c r="B799" s="618"/>
      <c r="C799" s="763" t="s">
        <v>16</v>
      </c>
      <c r="D799" s="898" t="s">
        <v>38</v>
      </c>
      <c r="E799" s="761"/>
      <c r="F799" s="761"/>
      <c r="G799" s="613"/>
      <c r="H799" s="819"/>
      <c r="I799" s="815"/>
      <c r="J799" s="815"/>
      <c r="K799" s="816"/>
      <c r="L799" s="163"/>
      <c r="M799" s="163"/>
      <c r="N799" s="163"/>
      <c r="O799" s="163"/>
      <c r="P799" s="163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</row>
    <row r="800" spans="1:26" ht="18.75">
      <c r="A800" s="608"/>
      <c r="B800" s="618"/>
      <c r="C800" s="618"/>
      <c r="D800" s="618"/>
      <c r="E800" s="626"/>
      <c r="F800" s="626" t="s">
        <v>321</v>
      </c>
      <c r="G800" s="762"/>
      <c r="H800" s="820" t="s">
        <v>34</v>
      </c>
      <c r="I800" s="815"/>
      <c r="J800" s="821">
        <f ca="1">IFERROR(__xludf.DUMMYFUNCTION("IMPORTRANGE(""https://docs.google.com/spreadsheets/d/1MaWodYyGHDf7siQLGxnXhG4mBNTNIuy296niS2xXulU/edit?usp=sharing"",""RTK!H36"")"),245)</f>
        <v>245</v>
      </c>
      <c r="K800" s="812"/>
      <c r="L800" s="498"/>
      <c r="M800" s="498"/>
      <c r="N800" s="498"/>
      <c r="O800" s="163"/>
      <c r="P800" s="163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</row>
    <row r="801" spans="1:26" ht="18.75">
      <c r="A801" s="608"/>
      <c r="B801" s="618"/>
      <c r="C801" s="618"/>
      <c r="D801" s="618"/>
      <c r="E801" s="626"/>
      <c r="F801" s="626"/>
      <c r="G801" s="762"/>
      <c r="H801" s="814" t="s">
        <v>46</v>
      </c>
      <c r="I801" s="821">
        <f ca="1">IFERROR(__xludf.DUMMYFUNCTION("IMPORTRANGE(""https://docs.google.com/spreadsheets/d/1MaWodYyGHDf7siQLGxnXhG4mBNTNIuy296niS2xXulU/edit?usp=sharing"",""RTK!G36"")"),5000)</f>
        <v>5000</v>
      </c>
      <c r="J801" s="822">
        <f ca="1">IFERROR(__xludf.DUMMYFUNCTION("IMPORTRANGE(""https://docs.google.com/spreadsheets/d/1MaWodYyGHDf7siQLGxnXhG4mBNTNIuy296niS2xXulU/edit?usp=sharing"",""RTK!I36"")"),5352)</f>
        <v>5352</v>
      </c>
      <c r="K801" s="823">
        <f ca="1">IF(I801&gt;0,J801*100/I801,0)</f>
        <v>107.04</v>
      </c>
      <c r="L801" s="498"/>
      <c r="M801" s="498"/>
      <c r="N801" s="498"/>
      <c r="O801" s="163"/>
      <c r="P801" s="163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</row>
    <row r="802" spans="1:26" ht="18.75">
      <c r="A802" s="614"/>
      <c r="B802" s="616"/>
      <c r="C802" s="616"/>
      <c r="D802" s="616"/>
      <c r="E802" s="720"/>
      <c r="F802" s="824" t="s">
        <v>322</v>
      </c>
      <c r="G802" s="366"/>
      <c r="H802" s="820" t="s">
        <v>34</v>
      </c>
      <c r="I802" s="815"/>
      <c r="J802" s="821">
        <f ca="1">IFERROR(__xludf.DUMMYFUNCTION("IMPORTRANGE(""https://docs.google.com/spreadsheets/d/1MaWodYyGHDf7siQLGxnXhG4mBNTNIuy296niS2xXulU/edit?usp=sharing"",""RTK!L36"")"),0)</f>
        <v>0</v>
      </c>
      <c r="K802" s="812"/>
      <c r="L802" s="167"/>
      <c r="M802" s="167"/>
      <c r="N802" s="167"/>
      <c r="O802" s="167"/>
      <c r="P802" s="167"/>
      <c r="Q802" s="604"/>
      <c r="R802" s="604"/>
      <c r="S802" s="604"/>
      <c r="T802" s="604"/>
      <c r="U802" s="604"/>
      <c r="V802" s="604"/>
      <c r="W802" s="604"/>
      <c r="X802" s="604"/>
      <c r="Y802" s="604"/>
      <c r="Z802" s="604"/>
    </row>
    <row r="803" spans="1:26" ht="18.75">
      <c r="A803" s="614"/>
      <c r="B803" s="616"/>
      <c r="C803" s="616"/>
      <c r="D803" s="616"/>
      <c r="E803" s="720"/>
      <c r="F803" s="720"/>
      <c r="G803" s="366"/>
      <c r="H803" s="820" t="s">
        <v>46</v>
      </c>
      <c r="I803" s="821">
        <f ca="1">IFERROR(__xludf.DUMMYFUNCTION("IMPORTRANGE(""https://docs.google.com/spreadsheets/d/1MaWodYyGHDf7siQLGxnXhG4mBNTNIuy296niS2xXulU/edit?usp=sharing"",""RTK!K36"")"),0)</f>
        <v>0</v>
      </c>
      <c r="J803" s="822">
        <f ca="1">IFERROR(__xludf.DUMMYFUNCTION("IMPORTRANGE(""https://docs.google.com/spreadsheets/d/1MaWodYyGHDf7siQLGxnXhG4mBNTNIuy296niS2xXulU/edit?usp=sharing"",""RTK!M36"")"),0)</f>
        <v>0</v>
      </c>
      <c r="K803" s="823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4"/>
      <c r="R803" s="604"/>
      <c r="S803" s="604"/>
      <c r="T803" s="604"/>
      <c r="U803" s="604"/>
      <c r="V803" s="604"/>
      <c r="W803" s="604"/>
      <c r="X803" s="604"/>
      <c r="Y803" s="604"/>
      <c r="Z803" s="604"/>
    </row>
    <row r="804" spans="1:26" ht="19.5" hidden="1">
      <c r="A804" s="793">
        <v>13</v>
      </c>
      <c r="B804" s="794" t="s">
        <v>323</v>
      </c>
      <c r="C804" s="795"/>
      <c r="D804" s="825"/>
      <c r="E804" s="795"/>
      <c r="F804" s="795"/>
      <c r="G804" s="796"/>
      <c r="H804" s="797" t="s">
        <v>46</v>
      </c>
      <c r="I804" s="798"/>
      <c r="J804" s="798">
        <f>J819</f>
        <v>0</v>
      </c>
      <c r="K804" s="799">
        <f t="shared" si="327"/>
        <v>0</v>
      </c>
      <c r="L804" s="800"/>
      <c r="M804" s="800"/>
      <c r="N804" s="800"/>
      <c r="O804" s="800"/>
      <c r="P804" s="800"/>
      <c r="Q804" s="604"/>
      <c r="R804" s="604"/>
      <c r="S804" s="604"/>
      <c r="T804" s="604"/>
      <c r="U804" s="604"/>
      <c r="V804" s="604"/>
      <c r="W804" s="604"/>
      <c r="X804" s="604"/>
      <c r="Y804" s="604"/>
      <c r="Z804" s="604"/>
    </row>
    <row r="805" spans="1:26" ht="19.5" hidden="1">
      <c r="A805" s="599"/>
      <c r="B805" s="759"/>
      <c r="C805" s="759" t="s">
        <v>16</v>
      </c>
      <c r="D805" s="864" t="s">
        <v>17</v>
      </c>
      <c r="E805" s="857"/>
      <c r="F805" s="857"/>
      <c r="G805" s="603"/>
      <c r="H805" s="646" t="s">
        <v>12</v>
      </c>
      <c r="I805" s="617"/>
      <c r="J805" s="617"/>
      <c r="K805" s="93"/>
      <c r="L805" s="647">
        <f t="shared" ref="L805:N805" si="328">L806+L807</f>
        <v>0</v>
      </c>
      <c r="M805" s="647">
        <f t="shared" si="328"/>
        <v>0</v>
      </c>
      <c r="N805" s="647">
        <f t="shared" si="328"/>
        <v>0</v>
      </c>
      <c r="O805" s="647">
        <f t="shared" ref="O805:O810" si="329">IF(L805&gt;0,N805*100/L805,0)</f>
        <v>0</v>
      </c>
      <c r="P805" s="647">
        <f t="shared" ref="P805:P810" si="330">IF(M805&gt;0,N805*100/M805,0)</f>
        <v>0</v>
      </c>
      <c r="Q805" s="604"/>
      <c r="R805" s="604"/>
      <c r="S805" s="604"/>
      <c r="T805" s="604"/>
      <c r="U805" s="604"/>
      <c r="V805" s="604"/>
      <c r="W805" s="604"/>
      <c r="X805" s="604"/>
      <c r="Y805" s="604"/>
      <c r="Z805" s="604"/>
    </row>
    <row r="806" spans="1:26" ht="18.75" hidden="1">
      <c r="A806" s="599"/>
      <c r="B806" s="759"/>
      <c r="C806" s="759"/>
      <c r="D806" s="616"/>
      <c r="E806" s="759" t="s">
        <v>185</v>
      </c>
      <c r="F806" s="759"/>
      <c r="G806" s="603"/>
      <c r="H806" s="165" t="s">
        <v>12</v>
      </c>
      <c r="I806" s="617"/>
      <c r="J806" s="617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4"/>
      <c r="R806" s="604"/>
      <c r="S806" s="604"/>
      <c r="T806" s="604"/>
      <c r="U806" s="604"/>
      <c r="V806" s="604"/>
      <c r="W806" s="604"/>
      <c r="X806" s="604"/>
      <c r="Y806" s="604"/>
      <c r="Z806" s="604"/>
    </row>
    <row r="807" spans="1:26" ht="18.75" hidden="1">
      <c r="A807" s="599"/>
      <c r="B807" s="759"/>
      <c r="C807" s="759"/>
      <c r="D807" s="616"/>
      <c r="E807" s="759" t="s">
        <v>186</v>
      </c>
      <c r="F807" s="759"/>
      <c r="G807" s="603"/>
      <c r="H807" s="165" t="s">
        <v>12</v>
      </c>
      <c r="I807" s="617"/>
      <c r="J807" s="617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4"/>
      <c r="R807" s="604"/>
      <c r="S807" s="604"/>
      <c r="T807" s="604"/>
      <c r="U807" s="604"/>
      <c r="V807" s="604"/>
      <c r="W807" s="604"/>
      <c r="X807" s="604"/>
      <c r="Y807" s="604"/>
      <c r="Z807" s="604"/>
    </row>
    <row r="808" spans="1:26" ht="19.5" hidden="1">
      <c r="A808" s="599"/>
      <c r="B808" s="607"/>
      <c r="C808" s="759"/>
      <c r="D808" s="905" t="s">
        <v>20</v>
      </c>
      <c r="E808" s="857"/>
      <c r="F808" s="857"/>
      <c r="G808" s="603"/>
      <c r="H808" s="646" t="s">
        <v>12</v>
      </c>
      <c r="I808" s="166"/>
      <c r="J808" s="166"/>
      <c r="K808" s="167"/>
      <c r="L808" s="647">
        <f t="shared" ref="L808:N808" si="332">L809+L810</f>
        <v>0</v>
      </c>
      <c r="M808" s="647">
        <f t="shared" si="332"/>
        <v>0</v>
      </c>
      <c r="N808" s="647">
        <f t="shared" si="332"/>
        <v>0</v>
      </c>
      <c r="O808" s="647">
        <f t="shared" si="329"/>
        <v>0</v>
      </c>
      <c r="P808" s="647">
        <f t="shared" si="330"/>
        <v>0</v>
      </c>
      <c r="Q808" s="604"/>
      <c r="R808" s="604"/>
      <c r="S808" s="604"/>
      <c r="T808" s="604"/>
      <c r="U808" s="604"/>
      <c r="V808" s="604"/>
      <c r="W808" s="604"/>
      <c r="X808" s="604"/>
      <c r="Y808" s="604"/>
      <c r="Z808" s="604"/>
    </row>
    <row r="809" spans="1:26" ht="18.75" hidden="1">
      <c r="A809" s="599"/>
      <c r="B809" s="759"/>
      <c r="C809" s="759"/>
      <c r="D809" s="616"/>
      <c r="E809" s="759" t="s">
        <v>185</v>
      </c>
      <c r="F809" s="759"/>
      <c r="G809" s="603"/>
      <c r="H809" s="165" t="s">
        <v>12</v>
      </c>
      <c r="I809" s="617"/>
      <c r="J809" s="617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4"/>
      <c r="R809" s="604"/>
      <c r="S809" s="604"/>
      <c r="T809" s="604"/>
      <c r="U809" s="604"/>
      <c r="V809" s="604"/>
      <c r="W809" s="604"/>
      <c r="X809" s="604"/>
      <c r="Y809" s="604"/>
      <c r="Z809" s="604"/>
    </row>
    <row r="810" spans="1:26" ht="18.75" hidden="1">
      <c r="A810" s="599"/>
      <c r="B810" s="759"/>
      <c r="C810" s="759"/>
      <c r="D810" s="616"/>
      <c r="E810" s="759" t="s">
        <v>186</v>
      </c>
      <c r="F810" s="759"/>
      <c r="G810" s="603"/>
      <c r="H810" s="165" t="s">
        <v>12</v>
      </c>
      <c r="I810" s="617"/>
      <c r="J810" s="617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4"/>
      <c r="R810" s="604"/>
      <c r="S810" s="604"/>
      <c r="T810" s="604"/>
      <c r="U810" s="604"/>
      <c r="V810" s="604"/>
      <c r="W810" s="604"/>
      <c r="X810" s="604"/>
      <c r="Y810" s="604"/>
      <c r="Z810" s="604"/>
    </row>
    <row r="811" spans="1:26" ht="18.75" hidden="1">
      <c r="A811" s="649"/>
      <c r="B811" s="607"/>
      <c r="C811" s="759"/>
      <c r="D811" s="607"/>
      <c r="E811" s="759"/>
      <c r="F811" s="759" t="s">
        <v>187</v>
      </c>
      <c r="G811" s="603"/>
      <c r="H811" s="165" t="s">
        <v>12</v>
      </c>
      <c r="I811" s="617"/>
      <c r="J811" s="617"/>
      <c r="K811" s="93"/>
      <c r="L811" s="93"/>
      <c r="M811" s="93"/>
      <c r="N811" s="93"/>
      <c r="O811" s="93"/>
      <c r="P811" s="93"/>
      <c r="Q811" s="604"/>
      <c r="R811" s="604"/>
      <c r="S811" s="604"/>
      <c r="T811" s="604"/>
      <c r="U811" s="604"/>
      <c r="V811" s="604"/>
      <c r="W811" s="604"/>
      <c r="X811" s="604"/>
      <c r="Y811" s="604"/>
      <c r="Z811" s="604"/>
    </row>
    <row r="812" spans="1:26" ht="18.75" hidden="1">
      <c r="A812" s="649"/>
      <c r="B812" s="607"/>
      <c r="C812" s="759"/>
      <c r="D812" s="607"/>
      <c r="E812" s="759"/>
      <c r="F812" s="759" t="s">
        <v>188</v>
      </c>
      <c r="G812" s="603"/>
      <c r="H812" s="165" t="s">
        <v>12</v>
      </c>
      <c r="I812" s="617"/>
      <c r="J812" s="617"/>
      <c r="K812" s="93"/>
      <c r="L812" s="93"/>
      <c r="M812" s="93"/>
      <c r="N812" s="93"/>
      <c r="O812" s="93"/>
      <c r="P812" s="93"/>
      <c r="Q812" s="604"/>
      <c r="R812" s="604"/>
      <c r="S812" s="604"/>
      <c r="T812" s="604"/>
      <c r="U812" s="604"/>
      <c r="V812" s="604"/>
      <c r="W812" s="604"/>
      <c r="X812" s="604"/>
      <c r="Y812" s="604"/>
      <c r="Z812" s="604"/>
    </row>
    <row r="813" spans="1:26" ht="18.75" hidden="1">
      <c r="A813" s="649"/>
      <c r="B813" s="607"/>
      <c r="C813" s="759"/>
      <c r="D813" s="607"/>
      <c r="E813" s="759"/>
      <c r="F813" s="759" t="s">
        <v>189</v>
      </c>
      <c r="G813" s="603"/>
      <c r="H813" s="165" t="s">
        <v>12</v>
      </c>
      <c r="I813" s="617"/>
      <c r="J813" s="617"/>
      <c r="K813" s="93"/>
      <c r="L813" s="93"/>
      <c r="M813" s="93"/>
      <c r="N813" s="93"/>
      <c r="O813" s="93"/>
      <c r="P813" s="93"/>
      <c r="Q813" s="604"/>
      <c r="R813" s="604"/>
      <c r="S813" s="604"/>
      <c r="T813" s="604"/>
      <c r="U813" s="604"/>
      <c r="V813" s="604"/>
      <c r="W813" s="604"/>
      <c r="X813" s="604"/>
      <c r="Y813" s="604"/>
      <c r="Z813" s="604"/>
    </row>
    <row r="814" spans="1:26" ht="18.75" hidden="1">
      <c r="A814" s="649"/>
      <c r="B814" s="607"/>
      <c r="C814" s="759"/>
      <c r="D814" s="607"/>
      <c r="E814" s="759"/>
      <c r="F814" s="759" t="s">
        <v>190</v>
      </c>
      <c r="G814" s="603"/>
      <c r="H814" s="165" t="s">
        <v>12</v>
      </c>
      <c r="I814" s="617"/>
      <c r="J814" s="617"/>
      <c r="K814" s="93"/>
      <c r="L814" s="93"/>
      <c r="M814" s="93"/>
      <c r="N814" s="93"/>
      <c r="O814" s="93"/>
      <c r="P814" s="93"/>
      <c r="Q814" s="604"/>
      <c r="R814" s="604"/>
      <c r="S814" s="604"/>
      <c r="T814" s="604"/>
      <c r="U814" s="604"/>
      <c r="V814" s="604"/>
      <c r="W814" s="604"/>
      <c r="X814" s="604"/>
      <c r="Y814" s="604"/>
      <c r="Z814" s="604"/>
    </row>
    <row r="815" spans="1:26" ht="19.5" hidden="1">
      <c r="A815" s="599"/>
      <c r="B815" s="607"/>
      <c r="C815" s="759"/>
      <c r="D815" s="905" t="s">
        <v>21</v>
      </c>
      <c r="E815" s="857"/>
      <c r="F815" s="857"/>
      <c r="G815" s="603"/>
      <c r="H815" s="783" t="s">
        <v>12</v>
      </c>
      <c r="I815" s="166"/>
      <c r="J815" s="166"/>
      <c r="K815" s="167"/>
      <c r="L815" s="647">
        <f t="shared" ref="L815:N815" si="333">L816+L817</f>
        <v>0</v>
      </c>
      <c r="M815" s="647">
        <f t="shared" si="333"/>
        <v>0</v>
      </c>
      <c r="N815" s="647">
        <f t="shared" si="333"/>
        <v>0</v>
      </c>
      <c r="O815" s="647">
        <f t="shared" ref="O815:O817" si="334">IF(L815&gt;0,N815*100/L815,0)</f>
        <v>0</v>
      </c>
      <c r="P815" s="647">
        <f t="shared" ref="P815:P817" si="335">IF(M815&gt;0,N815*100/M815,0)</f>
        <v>0</v>
      </c>
      <c r="Q815" s="604"/>
      <c r="R815" s="604"/>
      <c r="S815" s="604"/>
      <c r="T815" s="604"/>
      <c r="U815" s="604"/>
      <c r="V815" s="604"/>
      <c r="W815" s="604"/>
      <c r="X815" s="604"/>
      <c r="Y815" s="604"/>
      <c r="Z815" s="604"/>
    </row>
    <row r="816" spans="1:26" ht="18.75" hidden="1">
      <c r="A816" s="599"/>
      <c r="B816" s="607"/>
      <c r="C816" s="759"/>
      <c r="D816" s="607"/>
      <c r="E816" s="759" t="s">
        <v>18</v>
      </c>
      <c r="F816" s="759"/>
      <c r="G816" s="603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4"/>
      <c r="R816" s="604"/>
      <c r="S816" s="604"/>
      <c r="T816" s="604"/>
      <c r="U816" s="604"/>
      <c r="V816" s="604"/>
      <c r="W816" s="604"/>
      <c r="X816" s="604"/>
      <c r="Y816" s="604"/>
      <c r="Z816" s="604"/>
    </row>
    <row r="817" spans="1:26" ht="18.75" hidden="1">
      <c r="A817" s="599"/>
      <c r="B817" s="607"/>
      <c r="C817" s="759"/>
      <c r="D817" s="607"/>
      <c r="E817" s="759" t="s">
        <v>19</v>
      </c>
      <c r="F817" s="759"/>
      <c r="G817" s="603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4"/>
      <c r="R817" s="604"/>
      <c r="S817" s="604"/>
      <c r="T817" s="604"/>
      <c r="U817" s="604"/>
      <c r="V817" s="604"/>
      <c r="W817" s="604"/>
      <c r="X817" s="604"/>
      <c r="Y817" s="604"/>
      <c r="Z817" s="604"/>
    </row>
    <row r="818" spans="1:26" ht="19.5" hidden="1">
      <c r="A818" s="614"/>
      <c r="B818" s="616"/>
      <c r="C818" s="759" t="s">
        <v>16</v>
      </c>
      <c r="D818" s="906" t="s">
        <v>38</v>
      </c>
      <c r="E818" s="651"/>
      <c r="F818" s="651"/>
      <c r="G818" s="652"/>
      <c r="H818" s="366"/>
      <c r="I818" s="166"/>
      <c r="J818" s="166"/>
      <c r="K818" s="167"/>
      <c r="L818" s="167"/>
      <c r="M818" s="167"/>
      <c r="N818" s="167"/>
      <c r="O818" s="167"/>
      <c r="P818" s="167"/>
      <c r="Q818" s="604"/>
      <c r="R818" s="604"/>
      <c r="S818" s="604"/>
      <c r="T818" s="604"/>
      <c r="U818" s="604"/>
      <c r="V818" s="604"/>
      <c r="W818" s="604"/>
      <c r="X818" s="604"/>
      <c r="Y818" s="604"/>
      <c r="Z818" s="604"/>
    </row>
    <row r="819" spans="1:26" ht="19.5" hidden="1" thickBot="1">
      <c r="A819" s="827"/>
      <c r="B819" s="828"/>
      <c r="C819" s="830"/>
      <c r="D819" s="828"/>
      <c r="E819" s="830" t="s">
        <v>324</v>
      </c>
      <c r="F819" s="830"/>
      <c r="G819" s="831"/>
      <c r="H819" s="832" t="s">
        <v>46</v>
      </c>
      <c r="I819" s="833"/>
      <c r="J819" s="833"/>
      <c r="K819" s="834"/>
      <c r="L819" s="834"/>
      <c r="M819" s="834"/>
      <c r="N819" s="834"/>
      <c r="O819" s="834"/>
      <c r="P819" s="834"/>
      <c r="Q819" s="604"/>
      <c r="R819" s="604"/>
      <c r="S819" s="604"/>
      <c r="T819" s="604"/>
      <c r="U819" s="604"/>
      <c r="V819" s="604"/>
      <c r="W819" s="604"/>
      <c r="X819" s="604"/>
      <c r="Y819" s="604"/>
      <c r="Z819" s="604"/>
    </row>
    <row r="820" spans="1:26" ht="19.5">
      <c r="A820" s="907" t="s">
        <v>337</v>
      </c>
      <c r="B820" s="908"/>
      <c r="C820" s="908"/>
      <c r="D820" s="909"/>
      <c r="E820" s="908"/>
      <c r="F820" s="908"/>
      <c r="G820" s="910"/>
      <c r="H820" s="91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912"/>
      <c r="J820" s="912"/>
      <c r="K820" s="913"/>
      <c r="L820" s="913"/>
      <c r="M820" s="913"/>
      <c r="N820" s="913"/>
      <c r="O820" s="913"/>
      <c r="P820" s="913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</row>
    <row r="821" spans="1:26" ht="18.75">
      <c r="A821" s="744"/>
      <c r="B821" s="763" t="s">
        <v>326</v>
      </c>
      <c r="C821" s="763"/>
      <c r="D821" s="575"/>
      <c r="E821" s="763"/>
      <c r="F821" s="763"/>
      <c r="G821" s="189"/>
      <c r="H821" s="623" t="s">
        <v>12</v>
      </c>
      <c r="I821" s="270">
        <f ca="1">IFERROR(__xludf.DUMMYFUNCTION("IMPORTRANGE(""https://docs.google.com/spreadsheets/d/19vJNZY_5yjcGF2XGBMNZRCAIB0Kwfpjp8YEOfu-bneM/edit?usp=sharing"",""งานกองทุน!D36"")"),14920686.02)</f>
        <v>14920686.02</v>
      </c>
      <c r="J821" s="270">
        <f ca="1">IFERROR(__xludf.DUMMYFUNCTION("IMPORTRANGE(""https://docs.google.com/spreadsheets/d/19vJNZY_5yjcGF2XGBMNZRCAIB0Kwfpjp8YEOfu-bneM/edit?usp=sharing"",""งานกองทุน!F36"")"),14930629.57)</f>
        <v>14930629.57</v>
      </c>
      <c r="K821" s="498">
        <f t="shared" ref="K821:K828" ca="1" si="336">IF(I821&gt;0,J821*100/I821,0)</f>
        <v>100.06664271325509</v>
      </c>
      <c r="L821" s="498"/>
      <c r="M821" s="498"/>
      <c r="N821" s="498"/>
      <c r="O821" s="498"/>
      <c r="P821" s="49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</row>
    <row r="822" spans="1:26" ht="18.75">
      <c r="A822" s="744"/>
      <c r="B822" s="763"/>
      <c r="C822" s="763"/>
      <c r="D822" s="575"/>
      <c r="E822" s="763"/>
      <c r="F822" s="763"/>
      <c r="G822" s="189"/>
      <c r="H822" s="623" t="s">
        <v>35</v>
      </c>
      <c r="I822" s="270">
        <f ca="1">IFERROR(__xludf.DUMMYFUNCTION("IMPORTRANGE(""https://docs.google.com/spreadsheets/d/19vJNZY_5yjcGF2XGBMNZRCAIB0Kwfpjp8YEOfu-bneM/edit?usp=sharing"",""งานกองทุน!C36"")"),391)</f>
        <v>391</v>
      </c>
      <c r="J822" s="270">
        <f ca="1">IFERROR(__xludf.DUMMYFUNCTION("IMPORTRANGE(""https://docs.google.com/spreadsheets/d/19vJNZY_5yjcGF2XGBMNZRCAIB0Kwfpjp8YEOfu-bneM/edit?usp=sharing"",""งานกองทุน!E36"")"),408)</f>
        <v>408</v>
      </c>
      <c r="K822" s="498">
        <f t="shared" ca="1" si="336"/>
        <v>104.34782608695652</v>
      </c>
      <c r="L822" s="498"/>
      <c r="M822" s="498"/>
      <c r="N822" s="498"/>
      <c r="O822" s="498"/>
      <c r="P822" s="49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</row>
    <row r="823" spans="1:26" ht="18.75">
      <c r="A823" s="744"/>
      <c r="B823" s="763" t="s">
        <v>327</v>
      </c>
      <c r="C823" s="763"/>
      <c r="D823" s="575"/>
      <c r="E823" s="763"/>
      <c r="F823" s="763"/>
      <c r="G823" s="189"/>
      <c r="H823" s="623" t="s">
        <v>12</v>
      </c>
      <c r="I823" s="270">
        <f ca="1">IFERROR(__xludf.DUMMYFUNCTION("IMPORTRANGE(""https://docs.google.com/spreadsheets/d/19vJNZY_5yjcGF2XGBMNZRCAIB0Kwfpjp8YEOfu-bneM/edit?usp=sharing"",""งานกองทุน!I36"")"),7331430.1)</f>
        <v>7331430.0999999996</v>
      </c>
      <c r="J823" s="270">
        <f ca="1">IFERROR(__xludf.DUMMYFUNCTION("IMPORTRANGE(""https://docs.google.com/spreadsheets/d/19vJNZY_5yjcGF2XGBMNZRCAIB0Kwfpjp8YEOfu-bneM/edit?usp=sharing"",""งานกองทุน!K36"")"),631786.94)</f>
        <v>631786.93999999994</v>
      </c>
      <c r="K823" s="498">
        <f t="shared" ca="1" si="336"/>
        <v>8.6175129733556339</v>
      </c>
      <c r="L823" s="498"/>
      <c r="M823" s="498"/>
      <c r="N823" s="498"/>
      <c r="O823" s="498"/>
      <c r="P823" s="49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</row>
    <row r="824" spans="1:26" ht="18.75">
      <c r="A824" s="744"/>
      <c r="B824" s="763"/>
      <c r="C824" s="763"/>
      <c r="D824" s="575"/>
      <c r="E824" s="763"/>
      <c r="F824" s="763"/>
      <c r="G824" s="189"/>
      <c r="H824" s="623" t="s">
        <v>35</v>
      </c>
      <c r="I824" s="270">
        <f ca="1">IFERROR(__xludf.DUMMYFUNCTION("IMPORTRANGE(""https://docs.google.com/spreadsheets/d/19vJNZY_5yjcGF2XGBMNZRCAIB0Kwfpjp8YEOfu-bneM/edit?usp=sharing"",""งานกองทุน!H36"")"),232)</f>
        <v>232</v>
      </c>
      <c r="J824" s="270">
        <f ca="1">IFERROR(__xludf.DUMMYFUNCTION("IMPORTRANGE(""https://docs.google.com/spreadsheets/d/19vJNZY_5yjcGF2XGBMNZRCAIB0Kwfpjp8YEOfu-bneM/edit?usp=sharing"",""งานกองทุน!J36"")"),76)</f>
        <v>76</v>
      </c>
      <c r="K824" s="498">
        <f t="shared" ca="1" si="336"/>
        <v>32.758620689655174</v>
      </c>
      <c r="L824" s="498"/>
      <c r="M824" s="498"/>
      <c r="N824" s="498"/>
      <c r="O824" s="498"/>
      <c r="P824" s="49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</row>
    <row r="825" spans="1:26" ht="18.75">
      <c r="A825" s="744"/>
      <c r="B825" s="763" t="s">
        <v>328</v>
      </c>
      <c r="C825" s="763"/>
      <c r="D825" s="575"/>
      <c r="E825" s="763"/>
      <c r="F825" s="763"/>
      <c r="G825" s="189"/>
      <c r="H825" s="623" t="s">
        <v>12</v>
      </c>
      <c r="I825" s="270">
        <f ca="1">IFERROR(__xludf.DUMMYFUNCTION("IMPORTRANGE(""https://docs.google.com/spreadsheets/d/19vJNZY_5yjcGF2XGBMNZRCAIB0Kwfpjp8YEOfu-bneM/edit?usp=sharing"",""งานกองทุน!N36"")"),51685.48)</f>
        <v>51685.48</v>
      </c>
      <c r="J825" s="270">
        <f ca="1">IFERROR(__xludf.DUMMYFUNCTION("IMPORTRANGE(""https://docs.google.com/spreadsheets/d/19vJNZY_5yjcGF2XGBMNZRCAIB0Kwfpjp8YEOfu-bneM/edit?usp=sharing"",""งานกองทุน!P36"")"),51685.48)</f>
        <v>51685.48</v>
      </c>
      <c r="K825" s="498">
        <f t="shared" ca="1" si="336"/>
        <v>100</v>
      </c>
      <c r="L825" s="498"/>
      <c r="M825" s="498"/>
      <c r="N825" s="498"/>
      <c r="O825" s="498"/>
      <c r="P825" s="49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</row>
    <row r="826" spans="1:26" ht="18.75">
      <c r="A826" s="744"/>
      <c r="B826" s="763"/>
      <c r="C826" s="763"/>
      <c r="D826" s="575"/>
      <c r="E826" s="763"/>
      <c r="F826" s="763"/>
      <c r="G826" s="189"/>
      <c r="H826" s="623" t="s">
        <v>35</v>
      </c>
      <c r="I826" s="270">
        <f ca="1">IFERROR(__xludf.DUMMYFUNCTION("IMPORTRANGE(""https://docs.google.com/spreadsheets/d/19vJNZY_5yjcGF2XGBMNZRCAIB0Kwfpjp8YEOfu-bneM/edit?usp=sharing"",""งานกองทุน!M36"")"),268)</f>
        <v>268</v>
      </c>
      <c r="J826" s="270">
        <f ca="1">IFERROR(__xludf.DUMMYFUNCTION("IMPORTRANGE(""https://docs.google.com/spreadsheets/d/19vJNZY_5yjcGF2XGBMNZRCAIB0Kwfpjp8YEOfu-bneM/edit?usp=sharing"",""งานกองทุน!O36"")"),268)</f>
        <v>268</v>
      </c>
      <c r="K826" s="498">
        <f t="shared" ca="1" si="336"/>
        <v>100</v>
      </c>
      <c r="L826" s="498"/>
      <c r="M826" s="498"/>
      <c r="N826" s="498"/>
      <c r="O826" s="498"/>
      <c r="P826" s="49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</row>
    <row r="827" spans="1:26" ht="18.75">
      <c r="A827" s="744"/>
      <c r="B827" s="763" t="s">
        <v>329</v>
      </c>
      <c r="C827" s="763"/>
      <c r="D827" s="575"/>
      <c r="E827" s="763"/>
      <c r="F827" s="763"/>
      <c r="G827" s="189"/>
      <c r="H827" s="623" t="s">
        <v>12</v>
      </c>
      <c r="I827" s="270">
        <f ca="1">IFERROR(__xludf.DUMMYFUNCTION("IMPORTRANGE(""https://docs.google.com/spreadsheets/d/19vJNZY_5yjcGF2XGBMNZRCAIB0Kwfpjp8YEOfu-bneM/edit?usp=sharing"",""งานกองทุน!S36"")"),11300000)</f>
        <v>11300000</v>
      </c>
      <c r="J827" s="270">
        <f ca="1">IFERROR(__xludf.DUMMYFUNCTION("IMPORTRANGE(""https://docs.google.com/spreadsheets/d/19vJNZY_5yjcGF2XGBMNZRCAIB0Kwfpjp8YEOfu-bneM/edit?usp=sharing"",""งานกองทุน!U36"")"),14886000)</f>
        <v>14886000</v>
      </c>
      <c r="K827" s="498">
        <f t="shared" ca="1" si="336"/>
        <v>131.73451327433628</v>
      </c>
      <c r="L827" s="498"/>
      <c r="M827" s="498"/>
      <c r="N827" s="498"/>
      <c r="O827" s="498"/>
      <c r="P827" s="49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</row>
    <row r="828" spans="1:26" ht="18.75">
      <c r="A828" s="841"/>
      <c r="B828" s="749"/>
      <c r="C828" s="749"/>
      <c r="D828" s="748"/>
      <c r="E828" s="749"/>
      <c r="F828" s="749"/>
      <c r="G828" s="842"/>
      <c r="H828" s="843" t="s">
        <v>35</v>
      </c>
      <c r="I828" s="506">
        <f ca="1">IFERROR(__xludf.DUMMYFUNCTION("IMPORTRANGE(""https://docs.google.com/spreadsheets/d/19vJNZY_5yjcGF2XGBMNZRCAIB0Kwfpjp8YEOfu-bneM/edit?usp=sharing"",""งานกองทุน!R36"")"),452)</f>
        <v>452</v>
      </c>
      <c r="J828" s="506">
        <f ca="1">IFERROR(__xludf.DUMMYFUNCTION("IMPORTRANGE(""https://docs.google.com/spreadsheets/d/19vJNZY_5yjcGF2XGBMNZRCAIB0Kwfpjp8YEOfu-bneM/edit?usp=sharing"",""งานกองทุน!T36"")"),394)</f>
        <v>394</v>
      </c>
      <c r="K828" s="507">
        <f t="shared" ca="1" si="336"/>
        <v>87.16814159292035</v>
      </c>
      <c r="L828" s="507"/>
      <c r="M828" s="507"/>
      <c r="N828" s="507"/>
      <c r="O828" s="507"/>
      <c r="P828" s="507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D0F4C-6B4E-4E55-AA07-82193A4F2DF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344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364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8530117</v>
      </c>
      <c r="M8" s="22">
        <f t="shared" ca="1" si="0"/>
        <v>8923749</v>
      </c>
      <c r="N8" s="22">
        <f t="shared" ca="1" si="0"/>
        <v>8582749</v>
      </c>
      <c r="O8" s="22">
        <f t="shared" ref="O8:O16" ca="1" si="1">IF(L8&gt;0,N8*100/L8,0)</f>
        <v>100.61701381118219</v>
      </c>
      <c r="P8" s="22">
        <f t="shared" ref="P8:P16" ca="1" si="2">IF(M8&gt;0,N8*100/M8,0)</f>
        <v>96.178736089506771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8530117</v>
      </c>
      <c r="M10" s="30">
        <f t="shared" ca="1" si="3"/>
        <v>8923749</v>
      </c>
      <c r="N10" s="30">
        <f t="shared" ca="1" si="3"/>
        <v>8582749</v>
      </c>
      <c r="O10" s="30">
        <f t="shared" ca="1" si="1"/>
        <v>100.61701381118219</v>
      </c>
      <c r="P10" s="30">
        <f t="shared" ca="1" si="2"/>
        <v>96.178736089506771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3" t="s">
        <v>12</v>
      </c>
      <c r="I11" s="270"/>
      <c r="J11" s="270"/>
      <c r="K11" s="498"/>
      <c r="L11" s="498">
        <f t="shared" ref="L11:N11" ca="1" si="4">L12+L13</f>
        <v>6269917</v>
      </c>
      <c r="M11" s="498">
        <f t="shared" ca="1" si="4"/>
        <v>6666549</v>
      </c>
      <c r="N11" s="498">
        <f t="shared" ca="1" si="4"/>
        <v>6235549</v>
      </c>
      <c r="O11" s="498">
        <f t="shared" ca="1" si="1"/>
        <v>99.451858772612141</v>
      </c>
      <c r="P11" s="498">
        <f t="shared" ca="1" si="2"/>
        <v>93.534885890735978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7"/>
      <c r="J12" s="617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7"/>
      <c r="J13" s="617"/>
      <c r="K13" s="93"/>
      <c r="L13" s="93">
        <f t="shared" ca="1" si="5"/>
        <v>6269917</v>
      </c>
      <c r="M13" s="93">
        <f t="shared" ca="1" si="5"/>
        <v>6666549</v>
      </c>
      <c r="N13" s="93">
        <f t="shared" ca="1" si="5"/>
        <v>6235549</v>
      </c>
      <c r="O13" s="93">
        <f t="shared" ca="1" si="1"/>
        <v>99.451858772612141</v>
      </c>
      <c r="P13" s="93">
        <f t="shared" ca="1" si="2"/>
        <v>93.534885890735978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3" t="s">
        <v>12</v>
      </c>
      <c r="I14" s="270"/>
      <c r="J14" s="270"/>
      <c r="K14" s="498"/>
      <c r="L14" s="498">
        <f t="shared" ref="L14:N14" ca="1" si="6">L15+L16</f>
        <v>2260200</v>
      </c>
      <c r="M14" s="498">
        <f t="shared" ca="1" si="6"/>
        <v>2257200</v>
      </c>
      <c r="N14" s="498">
        <f t="shared" ca="1" si="6"/>
        <v>2347200</v>
      </c>
      <c r="O14" s="498">
        <f t="shared" ca="1" si="1"/>
        <v>103.84921688346164</v>
      </c>
      <c r="P14" s="498">
        <f t="shared" ca="1" si="2"/>
        <v>103.98724082934609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7"/>
      <c r="J15" s="617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2260200</v>
      </c>
      <c r="M16" s="52">
        <f t="shared" ca="1" si="7"/>
        <v>2257200</v>
      </c>
      <c r="N16" s="52">
        <f t="shared" ca="1" si="7"/>
        <v>2347200</v>
      </c>
      <c r="O16" s="52">
        <f t="shared" ca="1" si="1"/>
        <v>103.84921688346164</v>
      </c>
      <c r="P16" s="52">
        <f t="shared" ca="1" si="2"/>
        <v>103.98724082934609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5737552</v>
      </c>
      <c r="M18" s="22">
        <f t="shared" ca="1" si="8"/>
        <v>6215719</v>
      </c>
      <c r="N18" s="22">
        <f t="shared" ca="1" si="8"/>
        <v>6305719</v>
      </c>
      <c r="O18" s="22">
        <f t="shared" ref="O18:O26" ca="1" si="9">IF(L18&gt;0,N18*100/L18,0)</f>
        <v>109.9026030613753</v>
      </c>
      <c r="P18" s="22">
        <f t="shared" ref="P18:P26" ca="1" si="10">IF(M18&gt;0,N18*100/M18,0)</f>
        <v>101.4479419034226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5737552</v>
      </c>
      <c r="M20" s="30">
        <f t="shared" ca="1" si="11"/>
        <v>6215719</v>
      </c>
      <c r="N20" s="30">
        <f t="shared" ca="1" si="11"/>
        <v>6305719</v>
      </c>
      <c r="O20" s="30">
        <f t="shared" ca="1" si="9"/>
        <v>109.9026030613753</v>
      </c>
      <c r="P20" s="30">
        <f t="shared" ca="1" si="10"/>
        <v>101.4479419034226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3" t="s">
        <v>12</v>
      </c>
      <c r="I21" s="270"/>
      <c r="J21" s="270"/>
      <c r="K21" s="498"/>
      <c r="L21" s="498">
        <f t="shared" ref="L21:N21" ca="1" si="12">L22+L23</f>
        <v>3477352</v>
      </c>
      <c r="M21" s="498">
        <f t="shared" ca="1" si="12"/>
        <v>3958519</v>
      </c>
      <c r="N21" s="498">
        <f t="shared" ca="1" si="12"/>
        <v>3958519</v>
      </c>
      <c r="O21" s="498">
        <f t="shared" ca="1" si="9"/>
        <v>113.83716690171141</v>
      </c>
      <c r="P21" s="498">
        <f t="shared" ca="1" si="10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7"/>
      <c r="J22" s="617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7"/>
      <c r="J23" s="617"/>
      <c r="K23" s="93"/>
      <c r="L23" s="93">
        <f t="shared" ca="1" si="13"/>
        <v>3477352</v>
      </c>
      <c r="M23" s="93">
        <f t="shared" ca="1" si="13"/>
        <v>3958519</v>
      </c>
      <c r="N23" s="93">
        <f t="shared" ca="1" si="13"/>
        <v>3958519</v>
      </c>
      <c r="O23" s="93">
        <f t="shared" ca="1" si="9"/>
        <v>113.83716690171141</v>
      </c>
      <c r="P23" s="93">
        <f t="shared" ca="1" si="10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3" t="s">
        <v>12</v>
      </c>
      <c r="I24" s="270"/>
      <c r="J24" s="270"/>
      <c r="K24" s="498"/>
      <c r="L24" s="498">
        <f t="shared" ref="L24:N24" ca="1" si="14">L25+L26</f>
        <v>2260200</v>
      </c>
      <c r="M24" s="498">
        <f t="shared" ca="1" si="14"/>
        <v>2257200</v>
      </c>
      <c r="N24" s="498">
        <f t="shared" ca="1" si="14"/>
        <v>2347200</v>
      </c>
      <c r="O24" s="498">
        <f t="shared" ca="1" si="9"/>
        <v>103.84921688346164</v>
      </c>
      <c r="P24" s="498">
        <f t="shared" ca="1" si="10"/>
        <v>103.98724082934609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7"/>
      <c r="J25" s="617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2260200</v>
      </c>
      <c r="M26" s="52">
        <f t="shared" ca="1" si="15"/>
        <v>2257200</v>
      </c>
      <c r="N26" s="52">
        <f t="shared" ca="1" si="15"/>
        <v>2347200</v>
      </c>
      <c r="O26" s="52">
        <f t="shared" ca="1" si="9"/>
        <v>103.84921688346164</v>
      </c>
      <c r="P26" s="52">
        <f t="shared" ca="1" si="10"/>
        <v>103.98724082934609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2792565</v>
      </c>
      <c r="M28" s="22">
        <f t="shared" ca="1" si="16"/>
        <v>2708030</v>
      </c>
      <c r="N28" s="22">
        <f t="shared" si="16"/>
        <v>2277030</v>
      </c>
      <c r="O28" s="22">
        <f t="shared" ref="O28:O37" ca="1" si="17">IF(L28&gt;0,N28*100/L28,0)</f>
        <v>81.539015206449989</v>
      </c>
      <c r="P28" s="22">
        <f t="shared" ref="P28:P37" ca="1" si="18">IF(M28&gt;0,N28*100/M28,0)</f>
        <v>84.084371295738976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2792565</v>
      </c>
      <c r="M30" s="30">
        <f t="shared" ca="1" si="19"/>
        <v>2708030</v>
      </c>
      <c r="N30" s="30">
        <f t="shared" si="19"/>
        <v>2277030</v>
      </c>
      <c r="O30" s="30">
        <f t="shared" ca="1" si="17"/>
        <v>81.539015206449989</v>
      </c>
      <c r="P30" s="30">
        <f t="shared" ca="1" si="18"/>
        <v>84.084371295738976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3" t="s">
        <v>12</v>
      </c>
      <c r="I31" s="270"/>
      <c r="J31" s="270"/>
      <c r="K31" s="498"/>
      <c r="L31" s="498">
        <f t="shared" ref="L31:N31" ca="1" si="20">L32+L33</f>
        <v>2792565</v>
      </c>
      <c r="M31" s="498">
        <f t="shared" ca="1" si="20"/>
        <v>2708030</v>
      </c>
      <c r="N31" s="498">
        <f t="shared" si="20"/>
        <v>2277030</v>
      </c>
      <c r="O31" s="498">
        <f t="shared" ca="1" si="17"/>
        <v>81.539015206449989</v>
      </c>
      <c r="P31" s="498">
        <f t="shared" ca="1" si="18"/>
        <v>84.084371295738976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7"/>
      <c r="J32" s="617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7"/>
      <c r="J33" s="617"/>
      <c r="K33" s="93"/>
      <c r="L33" s="93">
        <f t="shared" ca="1" si="21"/>
        <v>2792565</v>
      </c>
      <c r="M33" s="93">
        <f t="shared" ca="1" si="21"/>
        <v>2708030</v>
      </c>
      <c r="N33" s="93">
        <f t="shared" si="21"/>
        <v>2277030</v>
      </c>
      <c r="O33" s="93">
        <f t="shared" ca="1" si="17"/>
        <v>81.539015206449989</v>
      </c>
      <c r="P33" s="93">
        <f t="shared" ca="1" si="18"/>
        <v>84.084371295738976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3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7"/>
      <c r="J35" s="617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7" t="s">
        <v>24</v>
      </c>
      <c r="B37" s="868"/>
      <c r="C37" s="868"/>
      <c r="D37" s="868"/>
      <c r="E37" s="868"/>
      <c r="F37" s="868"/>
      <c r="G37" s="869"/>
      <c r="H37" s="870"/>
      <c r="I37" s="871"/>
      <c r="J37" s="871"/>
      <c r="K37" s="872"/>
      <c r="L37" s="873">
        <f t="shared" ref="L37:N37" ca="1" si="24">L41+L53+L66+L88+L119+L132+L149+L165+L181+L261+L277+L298+L315+L328+L345+L389+L402</f>
        <v>5737552</v>
      </c>
      <c r="M37" s="873">
        <f t="shared" ca="1" si="24"/>
        <v>6215719</v>
      </c>
      <c r="N37" s="873">
        <f t="shared" ca="1" si="24"/>
        <v>6305719</v>
      </c>
      <c r="O37" s="873">
        <f t="shared" ca="1" si="17"/>
        <v>109.9026030613753</v>
      </c>
      <c r="P37" s="873">
        <f t="shared" ca="1" si="18"/>
        <v>101.4479419034226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698242</v>
      </c>
      <c r="M41" s="85">
        <f t="shared" ca="1" si="25"/>
        <v>727295</v>
      </c>
      <c r="N41" s="85">
        <f t="shared" ca="1" si="25"/>
        <v>727295</v>
      </c>
      <c r="O41" s="85">
        <f t="shared" ref="O41:O49" ca="1" si="26">IF(L41&gt;0,N41*100/L41,0)</f>
        <v>104.16087832012397</v>
      </c>
      <c r="P41" s="85">
        <f t="shared" ref="P41:P49" ca="1" si="27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698242</v>
      </c>
      <c r="M43" s="92">
        <f t="shared" ca="1" si="28"/>
        <v>727295</v>
      </c>
      <c r="N43" s="92">
        <f t="shared" ca="1" si="28"/>
        <v>727295</v>
      </c>
      <c r="O43" s="92">
        <f t="shared" ca="1" si="26"/>
        <v>104.16087832012397</v>
      </c>
      <c r="P43" s="92">
        <f t="shared" ca="1" si="27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3" t="s">
        <v>12</v>
      </c>
      <c r="I44" s="270"/>
      <c r="J44" s="270"/>
      <c r="K44" s="498"/>
      <c r="L44" s="498">
        <f t="shared" ref="L44:N44" ca="1" si="29">L45+L46</f>
        <v>698242</v>
      </c>
      <c r="M44" s="498">
        <f t="shared" ca="1" si="29"/>
        <v>727295</v>
      </c>
      <c r="N44" s="498">
        <f t="shared" ca="1" si="29"/>
        <v>727295</v>
      </c>
      <c r="O44" s="498">
        <f t="shared" ca="1" si="26"/>
        <v>104.16087832012397</v>
      </c>
      <c r="P44" s="498">
        <f t="shared" ca="1" si="27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7"/>
      <c r="J45" s="617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7"/>
      <c r="J46" s="617"/>
      <c r="K46" s="93"/>
      <c r="L46" s="93">
        <f ca="1">IFERROR(__xludf.DUMMYFUNCTION("IMPORTRANGE(""https://docs.google.com/spreadsheets/d/1MeEWN-I1oV_STSDYn1IFDPWt_1FKiwhDph83XaGc0o0/edit?usp=sharing"",""งบพรบ!M37"")"),698242)</f>
        <v>698242</v>
      </c>
      <c r="M46" s="93">
        <f ca="1">IFERROR(__xludf.DUMMYFUNCTION("IMPORTRANGE(""https://docs.google.com/spreadsheets/d/1MeEWN-I1oV_STSDYn1IFDPWt_1FKiwhDph83XaGc0o0/edit?usp=sharing"",""งบพรบ!R37"")"),727295)</f>
        <v>727295</v>
      </c>
      <c r="N46" s="93">
        <f ca="1">IFERROR(__xludf.DUMMYFUNCTION("IMPORTRANGE(""https://docs.google.com/spreadsheets/d/1MeEWN-I1oV_STSDYn1IFDPWt_1FKiwhDph83XaGc0o0/edit?usp=sharing"",""งบพรบ!T37"")"),727295)</f>
        <v>727295</v>
      </c>
      <c r="O46" s="93">
        <f t="shared" ca="1" si="26"/>
        <v>104.16087832012397</v>
      </c>
      <c r="P46" s="93">
        <f t="shared" ca="1" si="27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3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7"/>
      <c r="J48" s="617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IFERROR(__xludf.DUMMYFUNCTION("IMPORTRANGE(""https://docs.google.com/spreadsheets/d/1MeEWN-I1oV_STSDYn1IFDPWt_1FKiwhDph83XaGc0o0/edit?usp=sharing"",""งบพรบ!P37"")"),0)</f>
        <v>0</v>
      </c>
      <c r="M49" s="52">
        <f ca="1">IFERROR(__xludf.DUMMYFUNCTION("IMPORTRANGE(""https://docs.google.com/spreadsheets/d/1MeEWN-I1oV_STSDYn1IFDPWt_1FKiwhDph83XaGc0o0/edit?usp=sharing"",""งบพรบ!S37"")"),0)</f>
        <v>0</v>
      </c>
      <c r="N49" s="52">
        <f ca="1">IFERROR(__xludf.DUMMYFUNCTION("IMPORTRANGE(""https://docs.google.com/spreadsheets/d/1MeEWN-I1oV_STSDYn1IFDPWt_1FKiwhDph83XaGc0o0/edit?usp=sharing"",""งบพรบ!U37"")"),0)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2736800</v>
      </c>
      <c r="M53" s="116">
        <f t="shared" ca="1" si="31"/>
        <v>2999000</v>
      </c>
      <c r="N53" s="116">
        <f t="shared" ca="1" si="31"/>
        <v>3089000</v>
      </c>
      <c r="O53" s="116">
        <f t="shared" ref="O53:O61" ca="1" si="32">IF(L53&gt;0,N53*100/L53,0)</f>
        <v>112.8690441391406</v>
      </c>
      <c r="P53" s="116">
        <f t="shared" ref="P53:P61" ca="1" si="33">IF(M53&gt;0,N53*100/M53,0)</f>
        <v>103.00100033344448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2736800</v>
      </c>
      <c r="M55" s="123">
        <f t="shared" ca="1" si="34"/>
        <v>2999000</v>
      </c>
      <c r="N55" s="123">
        <f t="shared" ca="1" si="34"/>
        <v>3089000</v>
      </c>
      <c r="O55" s="123">
        <f t="shared" ca="1" si="32"/>
        <v>112.8690441391406</v>
      </c>
      <c r="P55" s="123">
        <f t="shared" ca="1" si="33"/>
        <v>103.00100033344448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3" t="s">
        <v>12</v>
      </c>
      <c r="I56" s="270"/>
      <c r="J56" s="270"/>
      <c r="K56" s="498"/>
      <c r="L56" s="498">
        <f t="shared" ref="L56:N56" ca="1" si="35">L57+L58</f>
        <v>612200</v>
      </c>
      <c r="M56" s="498">
        <f t="shared" ca="1" si="35"/>
        <v>877400</v>
      </c>
      <c r="N56" s="498">
        <f t="shared" ca="1" si="35"/>
        <v>877400</v>
      </c>
      <c r="O56" s="498">
        <f t="shared" ca="1" si="32"/>
        <v>143.31917673962758</v>
      </c>
      <c r="P56" s="498">
        <f t="shared" ca="1" si="33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7"/>
      <c r="J57" s="617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7"/>
      <c r="J58" s="617"/>
      <c r="K58" s="93"/>
      <c r="L58" s="93">
        <f ca="1">IFERROR(__xludf.DUMMYFUNCTION("IMPORTRANGE(""https://docs.google.com/spreadsheets/d/1MeEWN-I1oV_STSDYn1IFDPWt_1FKiwhDph83XaGc0o0/edit?usp=sharing"",""งบพรบ!W37"")"),612200)</f>
        <v>612200</v>
      </c>
      <c r="M58" s="93">
        <f ca="1">IFERROR(__xludf.DUMMYFUNCTION("IMPORTRANGE(""https://docs.google.com/spreadsheets/d/1MeEWN-I1oV_STSDYn1IFDPWt_1FKiwhDph83XaGc0o0/edit?usp=sharing"",""งบพรบ!AB37"")"),877400)</f>
        <v>877400</v>
      </c>
      <c r="N58" s="93">
        <f ca="1">IFERROR(__xludf.DUMMYFUNCTION("IMPORTRANGE(""https://docs.google.com/spreadsheets/d/1MeEWN-I1oV_STSDYn1IFDPWt_1FKiwhDph83XaGc0o0/edit?usp=sharing"",""งบพรบ!AD37"")"),877400)</f>
        <v>877400</v>
      </c>
      <c r="O58" s="93">
        <f t="shared" ca="1" si="32"/>
        <v>143.31917673962758</v>
      </c>
      <c r="P58" s="93">
        <f t="shared" ca="1" si="33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3" t="s">
        <v>12</v>
      </c>
      <c r="I59" s="270"/>
      <c r="J59" s="270"/>
      <c r="K59" s="498"/>
      <c r="L59" s="498">
        <f t="shared" ref="L59:N59" ca="1" si="36">L60+L61</f>
        <v>2124600</v>
      </c>
      <c r="M59" s="498">
        <f t="shared" ca="1" si="36"/>
        <v>2121600</v>
      </c>
      <c r="N59" s="498">
        <f t="shared" ca="1" si="36"/>
        <v>2211600</v>
      </c>
      <c r="O59" s="498">
        <f t="shared" ca="1" si="32"/>
        <v>104.09488844959051</v>
      </c>
      <c r="P59" s="498">
        <f t="shared" ca="1" si="33"/>
        <v>104.2420814479638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7"/>
      <c r="J60" s="617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IFERROR(__xludf.DUMMYFUNCTION("IMPORTRANGE(""https://docs.google.com/spreadsheets/d/1MeEWN-I1oV_STSDYn1IFDPWt_1FKiwhDph83XaGc0o0/edit?usp=sharing"",""งบพรบ!Z37"")"),2124600)</f>
        <v>2124600</v>
      </c>
      <c r="M61" s="52">
        <f ca="1">IFERROR(__xludf.DUMMYFUNCTION("IMPORTRANGE(""https://docs.google.com/spreadsheets/d/1MeEWN-I1oV_STSDYn1IFDPWt_1FKiwhDph83XaGc0o0/edit?usp=sharing"",""งบพรบ!AC37"")"),2121600)</f>
        <v>2121600</v>
      </c>
      <c r="N61" s="52">
        <f ca="1">IFERROR(__xludf.DUMMYFUNCTION("IMPORTRANGE(""https://docs.google.com/spreadsheets/d/1MeEWN-I1oV_STSDYn1IFDPWt_1FKiwhDph83XaGc0o0/edit?usp=sharing"",""งบพรบ!AE37"")"),2211600)</f>
        <v>2211600</v>
      </c>
      <c r="O61" s="52">
        <f t="shared" ca="1" si="32"/>
        <v>104.09488844959051</v>
      </c>
      <c r="P61" s="52">
        <f t="shared" ca="1" si="33"/>
        <v>104.2420814479638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7"/>
      <c r="J67" s="617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7"/>
      <c r="J68" s="617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IFERROR(__xludf.DUMMYFUNCTION("IMPORTRANGE(""https://docs.google.com/spreadsheets/d/1MeEWN-I1oV_STSDYn1IFDPWt_1FKiwhDph83XaGc0o0/edit?usp=sharing"",""งบพรบ!AG37"")"),0)</f>
        <v>0</v>
      </c>
      <c r="M71" s="93">
        <f ca="1">IFERROR(__xludf.DUMMYFUNCTION("IMPORTRANGE(""https://docs.google.com/spreadsheets/d/1MeEWN-I1oV_STSDYn1IFDPWt_1FKiwhDph83XaGc0o0/edit?usp=sharing"",""งบพรบ!AL37"")"),0)</f>
        <v>0</v>
      </c>
      <c r="N71" s="93">
        <f ca="1">IFERROR(__xludf.DUMMYFUNCTION("IMPORTRANGE(""https://docs.google.com/spreadsheets/d/1MeEWN-I1oV_STSDYn1IFDPWt_1FKiwhDph83XaGc0o0/edit?usp=sharing"",""งบพรบ!AN37"")"),0)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IFERROR(__xludf.DUMMYFUNCTION("IMPORTRANGE(""https://docs.google.com/spreadsheets/d/1MeEWN-I1oV_STSDYn1IFDPWt_1FKiwhDph83XaGc0o0/edit?usp=sharing"",""งบพรบ!AJ37"")"),0)</f>
        <v>0</v>
      </c>
      <c r="M74" s="93">
        <f ca="1">IFERROR(__xludf.DUMMYFUNCTION("IMPORTRANGE(""https://docs.google.com/spreadsheets/d/1MeEWN-I1oV_STSDYn1IFDPWt_1FKiwhDph83XaGc0o0/edit?usp=sharing"",""งบพรบ!AM37"")"),0)</f>
        <v>0</v>
      </c>
      <c r="N74" s="93">
        <f ca="1">IFERROR(__xludf.DUMMYFUNCTION("IMPORTRANGE(""https://docs.google.com/spreadsheets/d/1MeEWN-I1oV_STSDYn1IFDPWt_1FKiwhDph83XaGc0o0/edit?usp=sharing"",""งบพรบ!AO37"")"),0)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7" t="s">
        <v>38</v>
      </c>
      <c r="E75" s="173"/>
      <c r="F75" s="173"/>
      <c r="G75" s="174"/>
      <c r="H75" s="762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4" t="s">
        <v>34</v>
      </c>
      <c r="I78" s="184">
        <f ca="1">IFERROR(__xludf.DUMMYFUNCTION("IMPORTRANGE(""https://docs.google.com/spreadsheets/d/1QqKyyYR6Q21VydFLVH3TRQUabQu_ym0Zz7PgGX0-kHA/edit?usp=sharing"",""แผน!H37"")"),0)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4" t="s">
        <v>35</v>
      </c>
      <c r="I79" s="184">
        <f ca="1">IFERROR(__xludf.DUMMYFUNCTION("IMPORTRANGE(""https://docs.google.com/spreadsheets/d/1QqKyyYR6Q21VydFLVH3TRQUabQu_ym0Zz7PgGX0-kHA/edit?usp=sharing"",""แผน!I37"")"),0)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4" t="s">
        <v>34</v>
      </c>
      <c r="I80" s="184">
        <f ca="1">IFERROR(__xludf.DUMMYFUNCTION("IMPORTRANGE(""https://docs.google.com/spreadsheets/d/1QqKyyYR6Q21VydFLVH3TRQUabQu_ym0Zz7PgGX0-kHA/edit?usp=sharing"",""แผน!F37"")"),0)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4" t="s">
        <v>35</v>
      </c>
      <c r="I81" s="184">
        <f ca="1">IFERROR(__xludf.DUMMYFUNCTION("IMPORTRANGE(""https://docs.google.com/spreadsheets/d/1QqKyyYR6Q21VydFLVH3TRQUabQu_ym0Zz7PgGX0-kHA/edit?usp=sharing"",""แผน!G37"")"),0)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4" t="s">
        <v>34</v>
      </c>
      <c r="I82" s="184">
        <f ca="1">IFERROR(__xludf.DUMMYFUNCTION("IMPORTRANGE(""https://docs.google.com/spreadsheets/d/1QqKyyYR6Q21VydFLVH3TRQUabQu_ym0Zz7PgGX0-kHA/edit?usp=sharing"",""แผน!D37"")"),0)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4" t="s">
        <v>35</v>
      </c>
      <c r="I83" s="184">
        <f ca="1">IFERROR(__xludf.DUMMYFUNCTION("IMPORTRANGE(""https://docs.google.com/spreadsheets/d/1QqKyyYR6Q21VydFLVH3TRQUabQu_ym0Zz7PgGX0-kHA/edit?usp=sharing"",""แผน!E37"")"),0)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115640</v>
      </c>
      <c r="M88" s="155">
        <f t="shared" ca="1" si="49"/>
        <v>132640</v>
      </c>
      <c r="N88" s="155">
        <f t="shared" ca="1" si="49"/>
        <v>132640</v>
      </c>
      <c r="O88" s="155">
        <f t="shared" ref="O88:O96" ca="1" si="50">IF(L88&gt;0,N88*100/L88,0)</f>
        <v>114.70079557246628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7"/>
      <c r="J89" s="617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7"/>
      <c r="J90" s="617"/>
      <c r="K90" s="93"/>
      <c r="L90" s="93">
        <f t="shared" ca="1" si="52"/>
        <v>115640</v>
      </c>
      <c r="M90" s="93">
        <f t="shared" ca="1" si="52"/>
        <v>132640</v>
      </c>
      <c r="N90" s="93">
        <f t="shared" ca="1" si="52"/>
        <v>132640</v>
      </c>
      <c r="O90" s="93">
        <f t="shared" ca="1" si="50"/>
        <v>114.70079557246628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115640</v>
      </c>
      <c r="M91" s="498">
        <f t="shared" ca="1" si="53"/>
        <v>132640</v>
      </c>
      <c r="N91" s="498">
        <f t="shared" ca="1" si="53"/>
        <v>132640</v>
      </c>
      <c r="O91" s="498">
        <f t="shared" ca="1" si="50"/>
        <v>114.70079557246628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IFERROR(__xludf.DUMMYFUNCTION("IMPORTRANGE(""https://docs.google.com/spreadsheets/d/1MeEWN-I1oV_STSDYn1IFDPWt_1FKiwhDph83XaGc0o0/edit?usp=sharing"",""งบพรบ!AQ37"")"),115640)</f>
        <v>115640</v>
      </c>
      <c r="M93" s="93">
        <f ca="1">IFERROR(__xludf.DUMMYFUNCTION("IMPORTRANGE(""https://docs.google.com/spreadsheets/d/1MeEWN-I1oV_STSDYn1IFDPWt_1FKiwhDph83XaGc0o0/edit?usp=sharing"",""งบพรบ!AV37"")"),132640)</f>
        <v>132640</v>
      </c>
      <c r="N93" s="93">
        <f ca="1">IFERROR(__xludf.DUMMYFUNCTION("IMPORTRANGE(""https://docs.google.com/spreadsheets/d/1MeEWN-I1oV_STSDYn1IFDPWt_1FKiwhDph83XaGc0o0/edit?usp=sharing"",""งบพรบ!AX37"")"),132640)</f>
        <v>132640</v>
      </c>
      <c r="O93" s="93">
        <f t="shared" ca="1" si="50"/>
        <v>114.70079557246628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IFERROR(__xludf.DUMMYFUNCTION("IMPORTRANGE(""https://docs.google.com/spreadsheets/d/1MeEWN-I1oV_STSDYn1IFDPWt_1FKiwhDph83XaGc0o0/edit?usp=sharing"",""งบพรบ!AT37"")"),0)</f>
        <v>0</v>
      </c>
      <c r="M96" s="93">
        <f ca="1">IFERROR(__xludf.DUMMYFUNCTION("IMPORTRANGE(""https://docs.google.com/spreadsheets/d/1MeEWN-I1oV_STSDYn1IFDPWt_1FKiwhDph83XaGc0o0/edit?usp=sharing"",""งบพรบ!AW37"")"),0)</f>
        <v>0</v>
      </c>
      <c r="N96" s="93">
        <f ca="1">IFERROR(__xludf.DUMMYFUNCTION("IMPORTRANGE(""https://docs.google.com/spreadsheets/d/1MeEWN-I1oV_STSDYn1IFDPWt_1FKiwhDph83XaGc0o0/edit?usp=sharing"",""งบพรบ!AY37"")"),0)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7" t="s">
        <v>38</v>
      </c>
      <c r="E97" s="173"/>
      <c r="F97" s="173"/>
      <c r="G97" s="174"/>
      <c r="H97" s="762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3" t="s">
        <v>46</v>
      </c>
      <c r="I98" s="270">
        <f ca="1">IFERROR(__xludf.DUMMYFUNCTION("IMPORTRANGE(""https://docs.google.com/spreadsheets/d/1QqKyyYR6Q21VydFLVH3TRQUabQu_ym0Zz7PgGX0-kHA/edit?usp=sharing"",""แผน!K37"")"),30)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3" t="s">
        <v>35</v>
      </c>
      <c r="I99" s="270">
        <f ca="1">IFERROR(__xludf.DUMMYFUNCTION("IMPORTRANGE(""https://docs.google.com/spreadsheets/d/1QqKyyYR6Q21VydFLVH3TRQUabQu_ym0Zz7PgGX0-kHA/edit?usp=sharing"",""แผน!L37"")"),10)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3" t="s">
        <v>49</v>
      </c>
      <c r="I100" s="270">
        <f ca="1">IFERROR(__xludf.DUMMYFUNCTION("IMPORTRANGE(""https://docs.google.com/spreadsheets/d/1QqKyyYR6Q21VydFLVH3TRQUabQu_ym0Zz7PgGX0-kHA/edit?usp=sharing"",""แผน!M37"")"),3)</f>
        <v>3</v>
      </c>
      <c r="J100" s="270">
        <f>J107+J110</f>
        <v>3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3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6" t="s">
        <v>47</v>
      </c>
      <c r="F102" s="178"/>
      <c r="G102" s="179"/>
      <c r="H102" s="623" t="s">
        <v>46</v>
      </c>
      <c r="I102" s="270">
        <f ca="1">IFERROR(__xludf.DUMMYFUNCTION("IMPORTRANGE(""https://docs.google.com/spreadsheets/d/1QqKyyYR6Q21VydFLVH3TRQUabQu_ym0Zz7PgGX0-kHA/edit?usp=sharing"",""แผน!N37"")"),30)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3" t="s">
        <v>35</v>
      </c>
      <c r="I103" s="270">
        <f ca="1">IFERROR(__xludf.DUMMYFUNCTION("IMPORTRANGE(""https://docs.google.com/spreadsheets/d/1QqKyyYR6Q21VydFLVH3TRQUabQu_ym0Zz7PgGX0-kHA/edit?usp=sharing"",""แผน!O37"")"),10)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3" t="s">
        <v>35</v>
      </c>
      <c r="I104" s="270">
        <f ca="1">IFERROR(__xludf.DUMMYFUNCTION("IMPORTRANGE(""https://docs.google.com/spreadsheets/d/1QqKyyYR6Q21VydFLVH3TRQUabQu_ym0Zz7PgGX0-kHA/edit?usp=sharing"",""แผน!O37"")"),10)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3" t="s">
        <v>49</v>
      </c>
      <c r="I106" s="270">
        <f ca="1">IFERROR(__xludf.DUMMYFUNCTION("IMPORTRANGE(""https://docs.google.com/spreadsheets/d/1QqKyyYR6Q21VydFLVH3TRQUabQu_ym0Zz7PgGX0-kHA/edit?usp=sharing"",""แผน!P37"")"),2)</f>
        <v>2</v>
      </c>
      <c r="J106" s="215">
        <v>2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3" t="s">
        <v>49</v>
      </c>
      <c r="I107" s="270">
        <f ca="1">IFERROR(__xludf.DUMMYFUNCTION("IMPORTRANGE(""https://docs.google.com/spreadsheets/d/1QqKyyYR6Q21VydFLVH3TRQUabQu_ym0Zz7PgGX0-kHA/edit?usp=sharing"",""แผน!P37"")"),2)</f>
        <v>2</v>
      </c>
      <c r="J107" s="215">
        <v>2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3" t="s">
        <v>49</v>
      </c>
      <c r="I109" s="270">
        <f ca="1">IFERROR(__xludf.DUMMYFUNCTION("IMPORTRANGE(""https://docs.google.com/spreadsheets/d/1QqKyyYR6Q21VydFLVH3TRQUabQu_ym0Zz7PgGX0-kHA/edit?usp=sharing"",""แผน!Q37"")"),1)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3" t="s">
        <v>49</v>
      </c>
      <c r="I110" s="270">
        <f ca="1">IFERROR(__xludf.DUMMYFUNCTION("IMPORTRANGE(""https://docs.google.com/spreadsheets/d/1QqKyyYR6Q21VydFLVH3TRQUabQu_ym0Zz7PgGX0-kHA/edit?usp=sharing"",""แผน!Q37"")"),1)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7" t="s">
        <v>35</v>
      </c>
      <c r="I111" s="193">
        <f ca="1">IFERROR(__xludf.DUMMYFUNCTION("IMPORTRANGE(""https://docs.google.com/spreadsheets/d/1QqKyyYR6Q21VydFLVH3TRQUabQu_ym0Zz7PgGX0-kHA/edit?usp=sharing"",""แผน!R37"")"),10)</f>
        <v>10</v>
      </c>
      <c r="J111" s="681">
        <f>J114</f>
        <v>10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81">
        <f t="shared" si="59"/>
        <v>3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2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IFERROR(__xludf.DUMMYFUNCTION("IMPORTRANGE(""https://docs.google.com/spreadsheets/d/1QqKyyYR6Q21VydFLVH3TRQUabQu_ym0Zz7PgGX0-kHA/edit?usp=sharing"",""แผน!R37"")"),10)</f>
        <v>10</v>
      </c>
      <c r="J113" s="215">
        <v>10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IFERROR(__xludf.DUMMYFUNCTION("IMPORTRANGE(""https://docs.google.com/spreadsheets/d/1QqKyyYR6Q21VydFLVH3TRQUabQu_ym0Zz7PgGX0-kHA/edit?usp=sharing"",""แผน!R37"")"),10)</f>
        <v>10</v>
      </c>
      <c r="J114" s="215">
        <v>10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IFERROR(__xludf.DUMMYFUNCTION("IMPORTRANGE(""https://docs.google.com/spreadsheets/d/1QqKyyYR6Q21VydFLVH3TRQUabQu_ym0Zz7PgGX0-kHA/edit?usp=sharing"",""แผน!S37"")"),2)</f>
        <v>2</v>
      </c>
      <c r="J115" s="215">
        <v>2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IFERROR(__xludf.DUMMYFUNCTION("IMPORTRANGE(""https://docs.google.com/spreadsheets/d/1QqKyyYR6Q21VydFLVH3TRQUabQu_ym0Zz7PgGX0-kHA/edit?usp=sharing"",""แผน!T37"")"),1)</f>
        <v>1</v>
      </c>
      <c r="J116" s="215">
        <v>1</v>
      </c>
      <c r="K116" s="498">
        <f t="shared" ca="1" si="5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7"/>
      <c r="J120" s="617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7"/>
      <c r="J121" s="617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IFERROR(__xludf.DUMMYFUNCTION("IMPORTRANGE(""https://docs.google.com/spreadsheets/d/1MeEWN-I1oV_STSDYn1IFDPWt_1FKiwhDph83XaGc0o0/edit?usp=sharing"",""งบพรบ!BA37"")"),0)</f>
        <v>0</v>
      </c>
      <c r="M124" s="93">
        <f ca="1">IFERROR(__xludf.DUMMYFUNCTION("IMPORTRANGE(""https://docs.google.com/spreadsheets/d/1MeEWN-I1oV_STSDYn1IFDPWt_1FKiwhDph83XaGc0o0/edit?usp=sharing"",""งบพรบ!BF37"")"),0)</f>
        <v>0</v>
      </c>
      <c r="N124" s="93">
        <f ca="1">IFERROR(__xludf.DUMMYFUNCTION("IMPORTRANGE(""https://docs.google.com/spreadsheets/d/1MeEWN-I1oV_STSDYn1IFDPWt_1FKiwhDph83XaGc0o0/edit?usp=sharing"",""งบพรบ!BH37"")"),0)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IFERROR(__xludf.DUMMYFUNCTION("IMPORTRANGE(""https://docs.google.com/spreadsheets/d/1MeEWN-I1oV_STSDYn1IFDPWt_1FKiwhDph83XaGc0o0/edit?usp=sharing"",""งบพรบ!BD37"")"),0)</f>
        <v>0</v>
      </c>
      <c r="M127" s="93">
        <f ca="1">IFERROR(__xludf.DUMMYFUNCTION("IMPORTRANGE(""https://docs.google.com/spreadsheets/d/1MeEWN-I1oV_STSDYn1IFDPWt_1FKiwhDph83XaGc0o0/edit?usp=sharing"",""งบพรบ!BG37"")"),0)</f>
        <v>0</v>
      </c>
      <c r="N127" s="93">
        <f ca="1">IFERROR(__xludf.DUMMYFUNCTION("IMPORTRANGE(""https://docs.google.com/spreadsheets/d/1MeEWN-I1oV_STSDYn1IFDPWt_1FKiwhDph83XaGc0o0/edit?usp=sharing"",""งบพรบ!BI37"")"),0)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7"/>
      <c r="J133" s="617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7"/>
      <c r="J134" s="617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IFERROR(__xludf.DUMMYFUNCTION("IMPORTRANGE(""https://docs.google.com/spreadsheets/d/1MeEWN-I1oV_STSDYn1IFDPWt_1FKiwhDph83XaGc0o0/edit?usp=sharing"",""งบพรบ!BK37"")"),0)</f>
        <v>0</v>
      </c>
      <c r="M137" s="93">
        <f ca="1">IFERROR(__xludf.DUMMYFUNCTION("IMPORTRANGE(""https://docs.google.com/spreadsheets/d/1MeEWN-I1oV_STSDYn1IFDPWt_1FKiwhDph83XaGc0o0/edit?usp=sharing"",""งบพรบ!BP37"")"),0)</f>
        <v>0</v>
      </c>
      <c r="N137" s="93">
        <f ca="1">IFERROR(__xludf.DUMMYFUNCTION("IMPORTRANGE(""https://docs.google.com/spreadsheets/d/1MeEWN-I1oV_STSDYn1IFDPWt_1FKiwhDph83XaGc0o0/edit?usp=sharing"",""งบพรบ!BR37"")"),0)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IFERROR(__xludf.DUMMYFUNCTION("IMPORTRANGE(""https://docs.google.com/spreadsheets/d/1MeEWN-I1oV_STSDYn1IFDPWt_1FKiwhDph83XaGc0o0/edit?usp=sharing"",""งบพรบ!BN37"")"),0)</f>
        <v>0</v>
      </c>
      <c r="M140" s="93">
        <f ca="1">IFERROR(__xludf.DUMMYFUNCTION("IMPORTRANGE(""https://docs.google.com/spreadsheets/d/1MeEWN-I1oV_STSDYn1IFDPWt_1FKiwhDph83XaGc0o0/edit?usp=sharing"",""งบพรบ!BQ37"")"),0)</f>
        <v>0</v>
      </c>
      <c r="N140" s="93">
        <f ca="1">IFERROR(__xludf.DUMMYFUNCTION("IMPORTRANGE(""https://docs.google.com/spreadsheets/d/1MeEWN-I1oV_STSDYn1IFDPWt_1FKiwhDph83XaGc0o0/edit?usp=sharing"",""งบพรบ!BS37"")"),0)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IFERROR(__xludf.DUMMYFUNCTION("IMPORTRANGE(""https://docs.google.com/spreadsheets/d/1QqKyyYR6Q21VydFLVH3TRQUabQu_ym0Zz7PgGX0-kHA/edit?usp=sharing"",""แผน!U37"")"),0)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IFERROR(__xludf.DUMMYFUNCTION("IMPORTRANGE(""https://docs.google.com/spreadsheets/d/1QqKyyYR6Q21VydFLVH3TRQUabQu_ym0Zz7PgGX0-kHA/edit?usp=sharing"",""แผน!V37"")"),0)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IFERROR(__xludf.DUMMYFUNCTION("IMPORTRANGE(""https://docs.google.com/spreadsheets/d/1QqKyyYR6Q21VydFLVH3TRQUabQu_ym0Zz7PgGX0-kHA/edit?usp=sharing"",""แผน!W37"")"),0)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8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10000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7"/>
      <c r="J150" s="617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7"/>
      <c r="J151" s="617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10000</v>
      </c>
      <c r="O151" s="93">
        <f t="shared" ca="1" si="78"/>
        <v>100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10000</v>
      </c>
      <c r="N152" s="498">
        <f t="shared" ca="1" si="81"/>
        <v>10000</v>
      </c>
      <c r="O152" s="498">
        <f t="shared" ca="1" si="78"/>
        <v>100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IFERROR(__xludf.DUMMYFUNCTION("IMPORTRANGE(""https://docs.google.com/spreadsheets/d/1MeEWN-I1oV_STSDYn1IFDPWt_1FKiwhDph83XaGc0o0/edit?usp=sharing"",""งบพรบ!BU37"")"),10000)</f>
        <v>10000</v>
      </c>
      <c r="M154" s="93">
        <f ca="1">IFERROR(__xludf.DUMMYFUNCTION("IMPORTRANGE(""https://docs.google.com/spreadsheets/d/1MeEWN-I1oV_STSDYn1IFDPWt_1FKiwhDph83XaGc0o0/edit?usp=sharing"",""งบพรบ!BZ37"")"),10000)</f>
        <v>10000</v>
      </c>
      <c r="N154" s="93">
        <f ca="1">IFERROR(__xludf.DUMMYFUNCTION("IMPORTRANGE(""https://docs.google.com/spreadsheets/d/1MeEWN-I1oV_STSDYn1IFDPWt_1FKiwhDph83XaGc0o0/edit?usp=sharing"",""งบพรบ!CB37"")"),10000)</f>
        <v>10000</v>
      </c>
      <c r="O154" s="93">
        <f t="shared" ca="1" si="78"/>
        <v>100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IFERROR(__xludf.DUMMYFUNCTION("IMPORTRANGE(""https://docs.google.com/spreadsheets/d/1MeEWN-I1oV_STSDYn1IFDPWt_1FKiwhDph83XaGc0o0/edit?usp=sharing"",""งบพรบ!BX37"")"),0)</f>
        <v>0</v>
      </c>
      <c r="M157" s="93">
        <f ca="1">IFERROR(__xludf.DUMMYFUNCTION("IMPORTRANGE(""https://docs.google.com/spreadsheets/d/1MeEWN-I1oV_STSDYn1IFDPWt_1FKiwhDph83XaGc0o0/edit?usp=sharing"",""งบพรบ!CA37"")"),0)</f>
        <v>0</v>
      </c>
      <c r="N157" s="93">
        <f ca="1">IFERROR(__xludf.DUMMYFUNCTION("IMPORTRANGE(""https://docs.google.com/spreadsheets/d/1MeEWN-I1oV_STSDYn1IFDPWt_1FKiwhDph83XaGc0o0/edit?usp=sharing"",""งบพรบ!CC37"")"),0)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IFERROR(__xludf.DUMMYFUNCTION("IMPORTRANGE(""https://docs.google.com/spreadsheets/d/1QqKyyYR6Q21VydFLVH3TRQUabQu_ym0Zz7PgGX0-kHA/edit?usp=sharing"",""แผน!X37"")"),20)</f>
        <v>20</v>
      </c>
      <c r="J159" s="215">
        <v>20</v>
      </c>
      <c r="K159" s="498">
        <f ca="1">IF(I159&gt;0,J159*100/I159,0)</f>
        <v>100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7"/>
      <c r="J160" s="617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55810</v>
      </c>
      <c r="N165" s="155">
        <f t="shared" ca="1" si="84"/>
        <v>55810</v>
      </c>
      <c r="O165" s="155">
        <f t="shared" ref="O165:O173" ca="1" si="85">IF(L165&gt;0,N165*100/L165,0)</f>
        <v>242.02081526452733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7"/>
      <c r="J166" s="617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7"/>
      <c r="J167" s="617"/>
      <c r="K167" s="93"/>
      <c r="L167" s="93">
        <f t="shared" ca="1" si="87"/>
        <v>23060</v>
      </c>
      <c r="M167" s="93">
        <f t="shared" ca="1" si="87"/>
        <v>55810</v>
      </c>
      <c r="N167" s="93">
        <f t="shared" ca="1" si="87"/>
        <v>55810</v>
      </c>
      <c r="O167" s="93">
        <f t="shared" ca="1" si="85"/>
        <v>242.02081526452733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23060</v>
      </c>
      <c r="M168" s="498">
        <f t="shared" ca="1" si="88"/>
        <v>55810</v>
      </c>
      <c r="N168" s="498">
        <f t="shared" ca="1" si="88"/>
        <v>55810</v>
      </c>
      <c r="O168" s="498">
        <f t="shared" ca="1" si="85"/>
        <v>242.02081526452733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IFERROR(__xludf.DUMMYFUNCTION("IMPORTRANGE(""https://docs.google.com/spreadsheets/d/1MeEWN-I1oV_STSDYn1IFDPWt_1FKiwhDph83XaGc0o0/edit?usp=sharing"",""งบพรบ!CE37"")"),23060)</f>
        <v>23060</v>
      </c>
      <c r="M170" s="93">
        <f ca="1">IFERROR(__xludf.DUMMYFUNCTION("IMPORTRANGE(""https://docs.google.com/spreadsheets/d/1MeEWN-I1oV_STSDYn1IFDPWt_1FKiwhDph83XaGc0o0/edit?usp=sharing"",""งบพรบ!CJ37"")"),55810)</f>
        <v>55810</v>
      </c>
      <c r="N170" s="93">
        <f ca="1">IFERROR(__xludf.DUMMYFUNCTION("IMPORTRANGE(""https://docs.google.com/spreadsheets/d/1MeEWN-I1oV_STSDYn1IFDPWt_1FKiwhDph83XaGc0o0/edit?usp=sharing"",""งบพรบ!CL37"")"),55810)</f>
        <v>55810</v>
      </c>
      <c r="O170" s="93">
        <f t="shared" ca="1" si="85"/>
        <v>242.02081526452733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IFERROR(__xludf.DUMMYFUNCTION("IMPORTRANGE(""https://docs.google.com/spreadsheets/d/1MeEWN-I1oV_STSDYn1IFDPWt_1FKiwhDph83XaGc0o0/edit?usp=sharing"",""งบพรบ!CH37"")"),0)</f>
        <v>0</v>
      </c>
      <c r="M173" s="93">
        <f ca="1">IFERROR(__xludf.DUMMYFUNCTION("IMPORTRANGE(""https://docs.google.com/spreadsheets/d/1MeEWN-I1oV_STSDYn1IFDPWt_1FKiwhDph83XaGc0o0/edit?usp=sharing"",""งบพรบ!CK37"")"),0)</f>
        <v>0</v>
      </c>
      <c r="N173" s="93">
        <f ca="1">IFERROR(__xludf.DUMMYFUNCTION("IMPORTRANGE(""https://docs.google.com/spreadsheets/d/1MeEWN-I1oV_STSDYn1IFDPWt_1FKiwhDph83XaGc0o0/edit?usp=sharing"",""งบพรบ!CM37"")"),0)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7" t="s">
        <v>38</v>
      </c>
      <c r="E175" s="173"/>
      <c r="F175" s="173"/>
      <c r="G175" s="174"/>
      <c r="H175" s="76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6" t="s">
        <v>85</v>
      </c>
      <c r="E176" s="178"/>
      <c r="F176" s="178"/>
      <c r="G176" s="179"/>
      <c r="H176" s="623" t="s">
        <v>35</v>
      </c>
      <c r="I176" s="270">
        <f ca="1">IFERROR(__xludf.DUMMYFUNCTION("IMPORTRANGE(""https://docs.google.com/spreadsheets/d/1QqKyyYR6Q21VydFLVH3TRQUabQu_ym0Zz7PgGX0-kHA/edit?usp=sharing"",""แผน!Y37"")"),12)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134000</v>
      </c>
      <c r="M181" s="155">
        <f t="shared" ca="1" si="92"/>
        <v>269040</v>
      </c>
      <c r="N181" s="155">
        <f t="shared" ca="1" si="92"/>
        <v>269040</v>
      </c>
      <c r="O181" s="155">
        <f t="shared" ref="O181:O189" ca="1" si="93">IF(L181&gt;0,N181*100/L181,0)</f>
        <v>200.77611940298507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7"/>
      <c r="J182" s="617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7"/>
      <c r="J183" s="617"/>
      <c r="K183" s="93"/>
      <c r="L183" s="93">
        <f t="shared" ca="1" si="95"/>
        <v>134000</v>
      </c>
      <c r="M183" s="93">
        <f t="shared" ca="1" si="95"/>
        <v>269040</v>
      </c>
      <c r="N183" s="93">
        <f t="shared" ca="1" si="95"/>
        <v>269040</v>
      </c>
      <c r="O183" s="93">
        <f t="shared" ca="1" si="93"/>
        <v>200.77611940298507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134000</v>
      </c>
      <c r="M184" s="498">
        <f t="shared" ca="1" si="96"/>
        <v>269040</v>
      </c>
      <c r="N184" s="498">
        <f t="shared" ca="1" si="96"/>
        <v>269040</v>
      </c>
      <c r="O184" s="498">
        <f t="shared" ca="1" si="93"/>
        <v>200.77611940298507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IFERROR(__xludf.DUMMYFUNCTION("IMPORTRANGE(""https://docs.google.com/spreadsheets/d/1MeEWN-I1oV_STSDYn1IFDPWt_1FKiwhDph83XaGc0o0/edit?usp=sharing"",""งบพรบ!CO37"")"),134000)</f>
        <v>134000</v>
      </c>
      <c r="M186" s="93">
        <f ca="1">IFERROR(__xludf.DUMMYFUNCTION("IMPORTRANGE(""https://docs.google.com/spreadsheets/d/1MeEWN-I1oV_STSDYn1IFDPWt_1FKiwhDph83XaGc0o0/edit?usp=sharing"",""งบพรบ!CT37"")"),269040)</f>
        <v>269040</v>
      </c>
      <c r="N186" s="93">
        <f ca="1">IFERROR(__xludf.DUMMYFUNCTION("IMPORTRANGE(""https://docs.google.com/spreadsheets/d/1MeEWN-I1oV_STSDYn1IFDPWt_1FKiwhDph83XaGc0o0/edit?usp=sharing"",""งบพรบ!CV37"")"),269040)</f>
        <v>269040</v>
      </c>
      <c r="O186" s="93">
        <f t="shared" ca="1" si="93"/>
        <v>200.77611940298507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IFERROR(__xludf.DUMMYFUNCTION("IMPORTRANGE(""https://docs.google.com/spreadsheets/d/1MeEWN-I1oV_STSDYn1IFDPWt_1FKiwhDph83XaGc0o0/edit?usp=sharing"",""งบพรบ!CR37"")"),0)</f>
        <v>0</v>
      </c>
      <c r="M189" s="93">
        <f ca="1">IFERROR(__xludf.DUMMYFUNCTION("IMPORTRANGE(""https://docs.google.com/spreadsheets/d/1MeEWN-I1oV_STSDYn1IFDPWt_1FKiwhDph83XaGc0o0/edit?usp=sharing"",""งบพรบ!CU37"")"),0)</f>
        <v>0</v>
      </c>
      <c r="N189" s="93">
        <f ca="1">IFERROR(__xludf.DUMMYFUNCTION("IMPORTRANGE(""https://docs.google.com/spreadsheets/d/1MeEWN-I1oV_STSDYn1IFDPWt_1FKiwhDph83XaGc0o0/edit?usp=sharing"",""งบพรบ!CW37"")"),0)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8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IFERROR(__xludf.DUMMYFUNCTION("IMPORTRANGE(""https://docs.google.com/spreadsheets/d/1QqKyyYR6Q21VydFLVH3TRQUabQu_ym0Zz7PgGX0-kHA/edit?usp=sharing"",""แผน!Z37"")"),6000)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7" t="s">
        <v>38</v>
      </c>
      <c r="E192" s="173"/>
      <c r="F192" s="173"/>
      <c r="G192" s="174"/>
      <c r="H192" s="762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4" t="s">
        <v>90</v>
      </c>
      <c r="I193" s="270">
        <f ca="1">IFERROR(__xludf.DUMMYFUNCTION("IMPORTRANGE(""https://docs.google.com/spreadsheets/d/1QqKyyYR6Q21VydFLVH3TRQUabQu_ym0Zz7PgGX0-kHA/edit?usp=sharing"",""แผน!AC37"")"),4)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8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36000</v>
      </c>
      <c r="M198" s="155"/>
      <c r="N198" s="155">
        <f>N199+N200+N201+N202</f>
        <v>36000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IFERROR(__xludf.DUMMYFUNCTION("IMPORTRANGE(""https://docs.google.com/spreadsheets/d/1QqKyyYR6Q21VydFLVH3TRQUabQu_ym0Zz7PgGX0-kHA/edit?usp=sharing"",""แผน!AE37"")"),2000)</f>
        <v>2000</v>
      </c>
      <c r="M199" s="498"/>
      <c r="N199" s="840">
        <v>2000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3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IFERROR(__xludf.DUMMYFUNCTION("IMPORTRANGE(""https://docs.google.com/spreadsheets/d/1QqKyyYR6Q21VydFLVH3TRQUabQu_ym0Zz7PgGX0-kHA/edit?usp=sharing"",""แผน!AF37"")"),16000)</f>
        <v>16000</v>
      </c>
      <c r="M200" s="498"/>
      <c r="N200" s="840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3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IFERROR(__xludf.DUMMYFUNCTION("IMPORTRANGE(""https://docs.google.com/spreadsheets/d/1QqKyyYR6Q21VydFLVH3TRQUabQu_ym0Zz7PgGX0-kHA/edit?usp=sharing"",""แผน!AG37"")"),8000)</f>
        <v>8000</v>
      </c>
      <c r="M201" s="498"/>
      <c r="N201" s="840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3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IFERROR(__xludf.DUMMYFUNCTION("IMPORTRANGE(""https://docs.google.com/spreadsheets/d/1QqKyyYR6Q21VydFLVH3TRQUabQu_ym0Zz7PgGX0-kHA/edit?usp=sharing"",""แผน!AH37"")"),10000)</f>
        <v>10000</v>
      </c>
      <c r="M202" s="498"/>
      <c r="N202" s="840">
        <v>10000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7" t="s">
        <v>38</v>
      </c>
      <c r="E203" s="173"/>
      <c r="F203" s="173"/>
      <c r="G203" s="174"/>
      <c r="H203" s="76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2" t="s">
        <v>96</v>
      </c>
      <c r="I204" s="270">
        <f ca="1">IFERROR(__xludf.DUMMYFUNCTION("IMPORTRANGE(""https://docs.google.com/spreadsheets/d/1QqKyyYR6Q21VydFLVH3TRQUabQu_ym0Zz7PgGX0-kHA/edit?usp=sharing"",""แผน!AI37"")"),2)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2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2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2</v>
      </c>
      <c r="J207" s="215">
        <v>2</v>
      </c>
      <c r="K207" s="163">
        <f t="shared" si="100"/>
        <v>100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6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8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84000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IFERROR(__xludf.DUMMYFUNCTION("IMPORTRANGE(""https://docs.google.com/spreadsheets/d/1QqKyyYR6Q21VydFLVH3TRQUabQu_ym0Zz7PgGX0-kHA/edit?usp=sharing"",""แผน!AK37"")"),6000)</f>
        <v>6000</v>
      </c>
      <c r="M210" s="498"/>
      <c r="N210" s="840">
        <v>6000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IFERROR(__xludf.DUMMYFUNCTION("IMPORTRANGE(""https://docs.google.com/spreadsheets/d/1QqKyyYR6Q21VydFLVH3TRQUabQu_ym0Zz7PgGX0-kHA/edit?usp=sharing"",""แผน!AL37"")"),30000)</f>
        <v>30000</v>
      </c>
      <c r="M211" s="498"/>
      <c r="N211" s="840">
        <v>30000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IFERROR(__xludf.DUMMYFUNCTION("IMPORTRANGE(""https://docs.google.com/spreadsheets/d/1QqKyyYR6Q21VydFLVH3TRQUabQu_ym0Zz7PgGX0-kHA/edit?usp=sharing"",""แผน!AM37"")"),48000)</f>
        <v>48000</v>
      </c>
      <c r="M212" s="498"/>
      <c r="N212" s="840">
        <v>48000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7" t="s">
        <v>38</v>
      </c>
      <c r="E213" s="173"/>
      <c r="F213" s="173"/>
      <c r="G213" s="174"/>
      <c r="H213" s="762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2" t="s">
        <v>96</v>
      </c>
      <c r="I214" s="270">
        <f ca="1">IFERROR(__xludf.DUMMYFUNCTION("IMPORTRANGE(""https://docs.google.com/spreadsheets/d/1QqKyyYR6Q21VydFLVH3TRQUabQu_ym0Zz7PgGX0-kHA/edit?usp=sharing"",""แผน!AN37"")"),6)</f>
        <v>6</v>
      </c>
      <c r="J214" s="215">
        <v>6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2" t="s">
        <v>96</v>
      </c>
      <c r="I215" s="270">
        <f ca="1">IFERROR(__xludf.DUMMYFUNCTION("IMPORTRANGE(""https://docs.google.com/spreadsheets/d/1QqKyyYR6Q21VydFLVH3TRQUabQu_ym0Zz7PgGX0-kHA/edit?usp=sharing"",""แผน!AN37"")"),6)</f>
        <v>6</v>
      </c>
      <c r="J215" s="215">
        <v>6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20000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8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8000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IFERROR(__xludf.DUMMYFUNCTION("IMPORTRANGE(""https://docs.google.com/spreadsheets/d/1QqKyyYR6Q21VydFLVH3TRQUabQu_ym0Zz7PgGX0-kHA/edit?usp=sharing"",""แผน!AP37"")"),3000)</f>
        <v>3000</v>
      </c>
      <c r="M218" s="498"/>
      <c r="N218" s="840">
        <v>3000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IFERROR(__xludf.DUMMYFUNCTION("IMPORTRANGE(""https://docs.google.com/spreadsheets/d/1QqKyyYR6Q21VydFLVH3TRQUabQu_ym0Zz7PgGX0-kHA/edit?usp=sharing"",""แผน!AQ37"")"),5000)</f>
        <v>5000</v>
      </c>
      <c r="M219" s="498"/>
      <c r="N219" s="840">
        <v>5000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IFERROR(__xludf.DUMMYFUNCTION("IMPORTRANGE(""https://docs.google.com/spreadsheets/d/1QqKyyYR6Q21VydFLVH3TRQUabQu_ym0Zz7PgGX0-kHA/edit?usp=sharing"",""แผน!AR37"")"),0)</f>
        <v>0</v>
      </c>
      <c r="M220" s="498"/>
      <c r="N220" s="840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7" t="s">
        <v>38</v>
      </c>
      <c r="E221" s="173"/>
      <c r="F221" s="173"/>
      <c r="G221" s="174"/>
      <c r="H221" s="76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4" t="s">
        <v>109</v>
      </c>
      <c r="I223" s="270">
        <f ca="1">IFERROR(__xludf.DUMMYFUNCTION("IMPORTRANGE(""https://docs.google.com/spreadsheets/d/1QqKyyYR6Q21VydFLVH3TRQUabQu_ym0Zz7PgGX0-kHA/edit?usp=sharing"",""แผน!AT37"")"),20000)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4" t="s">
        <v>109</v>
      </c>
      <c r="I224" s="270">
        <f ca="1">IFERROR(__xludf.DUMMYFUNCTION("IMPORTRANGE(""https://docs.google.com/spreadsheets/d/1QqKyyYR6Q21VydFLVH3TRQUabQu_ym0Zz7PgGX0-kHA/edit?usp=sharing"",""แผน!AT37"")"),20000)</f>
        <v>20000</v>
      </c>
      <c r="J224" s="215">
        <v>20000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4" t="s">
        <v>35</v>
      </c>
      <c r="I225" s="270">
        <f ca="1">IFERROR(__xludf.DUMMYFUNCTION("IMPORTRANGE(""https://docs.google.com/spreadsheets/d/1QqKyyYR6Q21VydFLVH3TRQUabQu_ym0Zz7PgGX0-kHA/edit?usp=sharing"",""แผน!AS37"")"),0)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8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2"/>
      <c r="P227" s="8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7"/>
      <c r="J229" s="617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7"/>
      <c r="J230" s="617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7"/>
      <c r="J231" s="617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7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7">
        <f t="shared" ref="I233:J233" ca="1" si="108">I244+I255</f>
        <v>0</v>
      </c>
      <c r="J233" s="617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7"/>
      <c r="J234" s="617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7">
        <f t="shared" ref="I235:J236" si="109">I246+I257</f>
        <v>0</v>
      </c>
      <c r="J235" s="617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7">
        <f t="shared" si="109"/>
        <v>0</v>
      </c>
      <c r="J236" s="617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IFERROR(__xludf.DUMMYFUNCTION("IMPORTRANGE(""https://docs.google.com/spreadsheets/d/1QqKyyYR6Q21VydFLVH3TRQUabQu_ym0Zz7PgGX0-kHA/edit?usp=sharing"",""แผน!AV37"")"),0)</f>
        <v>0</v>
      </c>
      <c r="M239" s="322"/>
      <c r="N239" s="88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IFERROR(__xludf.DUMMYFUNCTION("IMPORTRANGE(""https://docs.google.com/spreadsheets/d/1QqKyyYR6Q21VydFLVH3TRQUabQu_ym0Zz7PgGX0-kHA/edit?usp=sharing"",""แผน!AW37"")"),0)</f>
        <v>0</v>
      </c>
      <c r="M240" s="322"/>
      <c r="N240" s="88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IFERROR(__xludf.DUMMYFUNCTION("IMPORTRANGE(""https://docs.google.com/spreadsheets/d/1QqKyyYR6Q21VydFLVH3TRQUabQu_ym0Zz7PgGX0-kHA/edit?usp=sharing"",""แผน!AX37"")"),0)</f>
        <v>0</v>
      </c>
      <c r="M241" s="322"/>
      <c r="N241" s="88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IFERROR(__xludf.DUMMYFUNCTION("IMPORTRANGE(""https://docs.google.com/spreadsheets/d/1QqKyyYR6Q21VydFLVH3TRQUabQu_ym0Zz7PgGX0-kHA/edit?usp=sharing"",""แผน!AY37"")"),0)</f>
        <v>0</v>
      </c>
      <c r="M242" s="322"/>
      <c r="N242" s="88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7" t="s">
        <v>38</v>
      </c>
      <c r="E243" s="173"/>
      <c r="F243" s="173"/>
      <c r="G243" s="174"/>
      <c r="H243" s="762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4" t="s">
        <v>35</v>
      </c>
      <c r="I244" s="270">
        <f ca="1">IFERROR(__xludf.DUMMYFUNCTION("IMPORTRANGE(""https://docs.google.com/spreadsheets/d/1QqKyyYR6Q21VydFLVH3TRQUabQu_ym0Zz7PgGX0-kHA/edit?usp=sharing"",""แผน!BE37"")"),0)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4" t="s">
        <v>43</v>
      </c>
      <c r="E245" s="178"/>
      <c r="F245" s="178"/>
      <c r="G245" s="179"/>
      <c r="H245" s="764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4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4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8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IFERROR(__xludf.DUMMYFUNCTION("IMPORTRANGE(""https://docs.google.com/spreadsheets/d/1QqKyyYR6Q21VydFLVH3TRQUabQu_ym0Zz7PgGX0-kHA/edit?usp=sharing"",""แผน!AZ37"")"),0)</f>
        <v>0</v>
      </c>
      <c r="M250" s="322"/>
      <c r="N250" s="88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IFERROR(__xludf.DUMMYFUNCTION("IMPORTRANGE(""https://docs.google.com/spreadsheets/d/1QqKyyYR6Q21VydFLVH3TRQUabQu_ym0Zz7PgGX0-kHA/edit?usp=sharing"",""แผน!BA37"")"),0)</f>
        <v>0</v>
      </c>
      <c r="M251" s="322"/>
      <c r="N251" s="88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IFERROR(__xludf.DUMMYFUNCTION("IMPORTRANGE(""https://docs.google.com/spreadsheets/d/1QqKyyYR6Q21VydFLVH3TRQUabQu_ym0Zz7PgGX0-kHA/edit?usp=sharing"",""แผน!BB37"")"),0)</f>
        <v>0</v>
      </c>
      <c r="M252" s="322"/>
      <c r="N252" s="88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IFERROR(__xludf.DUMMYFUNCTION("IMPORTRANGE(""https://docs.google.com/spreadsheets/d/1QqKyyYR6Q21VydFLVH3TRQUabQu_ym0Zz7PgGX0-kHA/edit?usp=sharing"",""แผน!BC37"")"),0)</f>
        <v>0</v>
      </c>
      <c r="M253" s="322"/>
      <c r="N253" s="88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7" t="s">
        <v>38</v>
      </c>
      <c r="E254" s="173"/>
      <c r="F254" s="173"/>
      <c r="G254" s="174"/>
      <c r="H254" s="762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4" t="s">
        <v>35</v>
      </c>
      <c r="I255" s="270">
        <f ca="1">IFERROR(__xludf.DUMMYFUNCTION("IMPORTRANGE(""https://docs.google.com/spreadsheets/d/1QqKyyYR6Q21VydFLVH3TRQUabQu_ym0Zz7PgGX0-kHA/edit?usp=sharing"",""แผน!BF37"")"),0)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4" t="s">
        <v>43</v>
      </c>
      <c r="E256" s="178"/>
      <c r="F256" s="178"/>
      <c r="G256" s="179"/>
      <c r="H256" s="764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4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4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30</v>
      </c>
      <c r="J260" s="253">
        <f t="shared" si="115"/>
        <v>30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177500</v>
      </c>
      <c r="M261" s="155">
        <f t="shared" ca="1" si="116"/>
        <v>177500</v>
      </c>
      <c r="N261" s="155">
        <f t="shared" ca="1" si="116"/>
        <v>177500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7"/>
      <c r="J262" s="617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7"/>
      <c r="J263" s="617"/>
      <c r="K263" s="93"/>
      <c r="L263" s="93">
        <f t="shared" ca="1" si="119"/>
        <v>177500</v>
      </c>
      <c r="M263" s="93">
        <f t="shared" ca="1" si="119"/>
        <v>177500</v>
      </c>
      <c r="N263" s="93">
        <f t="shared" ca="1" si="119"/>
        <v>177500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177500</v>
      </c>
      <c r="M264" s="498">
        <f t="shared" ca="1" si="120"/>
        <v>177500</v>
      </c>
      <c r="N264" s="498">
        <f t="shared" ca="1" si="120"/>
        <v>177500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IFERROR(__xludf.DUMMYFUNCTION("IMPORTRANGE(""https://docs.google.com/spreadsheets/d/1MeEWN-I1oV_STSDYn1IFDPWt_1FKiwhDph83XaGc0o0/edit?usp=sharing"",""งบพรบ!CY37"")"),177500)</f>
        <v>177500</v>
      </c>
      <c r="M266" s="93">
        <f ca="1">IFERROR(__xludf.DUMMYFUNCTION("IMPORTRANGE(""https://docs.google.com/spreadsheets/d/1MeEWN-I1oV_STSDYn1IFDPWt_1FKiwhDph83XaGc0o0/edit?usp=sharing"",""งบพรบ!DD37"")"),177500)</f>
        <v>177500</v>
      </c>
      <c r="N266" s="93">
        <f ca="1">IFERROR(__xludf.DUMMYFUNCTION("IMPORTRANGE(""https://docs.google.com/spreadsheets/d/1MeEWN-I1oV_STSDYn1IFDPWt_1FKiwhDph83XaGc0o0/edit?usp=sharing"",""งบพรบ!DF37"")"),177500)</f>
        <v>177500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IFERROR(__xludf.DUMMYFUNCTION("IMPORTRANGE(""https://docs.google.com/spreadsheets/d/1MeEWN-I1oV_STSDYn1IFDPWt_1FKiwhDph83XaGc0o0/edit?usp=sharing"",""งบพรบ!DB37"")"),0)</f>
        <v>0</v>
      </c>
      <c r="M269" s="93">
        <f ca="1">IFERROR(__xludf.DUMMYFUNCTION("IMPORTRANGE(""https://docs.google.com/spreadsheets/d/1MeEWN-I1oV_STSDYn1IFDPWt_1FKiwhDph83XaGc0o0/edit?usp=sharing"",""งบพรบ!DE37"")"),0)</f>
        <v>0</v>
      </c>
      <c r="N269" s="93">
        <f ca="1">IFERROR(__xludf.DUMMYFUNCTION("IMPORTRANGE(""https://docs.google.com/spreadsheets/d/1MeEWN-I1oV_STSDYn1IFDPWt_1FKiwhDph83XaGc0o0/edit?usp=sharing"",""งบพรบ!DG37"")"),0)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7" t="s">
        <v>38</v>
      </c>
      <c r="E270" s="173"/>
      <c r="F270" s="173"/>
      <c r="G270" s="174"/>
      <c r="H270" s="76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IFERROR(__xludf.DUMMYFUNCTION("IMPORTRANGE(""https://docs.google.com/spreadsheets/d/1QqKyyYR6Q21VydFLVH3TRQUabQu_ym0Zz7PgGX0-kHA/edit?usp=sharing"",""แผน!EA37"")"),30)</f>
        <v>30</v>
      </c>
      <c r="J271" s="215">
        <v>30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6">
        <v>0</v>
      </c>
      <c r="J272" s="506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5">
        <f t="shared" ref="I276:J276" ca="1" si="124">I287</f>
        <v>100</v>
      </c>
      <c r="J276" s="885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198510</v>
      </c>
      <c r="M277" s="155">
        <f t="shared" ca="1" si="125"/>
        <v>198510</v>
      </c>
      <c r="N277" s="155">
        <f t="shared" ca="1" si="125"/>
        <v>198510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7"/>
      <c r="J278" s="617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7"/>
      <c r="J279" s="617"/>
      <c r="K279" s="93"/>
      <c r="L279" s="93">
        <f t="shared" ca="1" si="128"/>
        <v>198510</v>
      </c>
      <c r="M279" s="93">
        <f t="shared" ca="1" si="128"/>
        <v>198510</v>
      </c>
      <c r="N279" s="93">
        <f t="shared" ca="1" si="128"/>
        <v>198510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198510</v>
      </c>
      <c r="M280" s="498">
        <f t="shared" ca="1" si="129"/>
        <v>198510</v>
      </c>
      <c r="N280" s="498">
        <f t="shared" ca="1" si="129"/>
        <v>198510</v>
      </c>
      <c r="O280" s="498">
        <f t="shared" ca="1" si="126"/>
        <v>100</v>
      </c>
      <c r="P280" s="49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IFERROR(__xludf.DUMMYFUNCTION("IMPORTRANGE(""https://docs.google.com/spreadsheets/d/1MeEWN-I1oV_STSDYn1IFDPWt_1FKiwhDph83XaGc0o0/edit?usp=sharing"",""งบพรบ!DI37"")"),198510)</f>
        <v>198510</v>
      </c>
      <c r="M282" s="93">
        <f ca="1">IFERROR(__xludf.DUMMYFUNCTION("IMPORTRANGE(""https://docs.google.com/spreadsheets/d/1MeEWN-I1oV_STSDYn1IFDPWt_1FKiwhDph83XaGc0o0/edit?usp=sharing"",""งบพรบ!DN37"")"),198510)</f>
        <v>198510</v>
      </c>
      <c r="N282" s="93">
        <f ca="1">IFERROR(__xludf.DUMMYFUNCTION("IMPORTRANGE(""https://docs.google.com/spreadsheets/d/1MeEWN-I1oV_STSDYn1IFDPWt_1FKiwhDph83XaGc0o0/edit?usp=sharing"",""งบพรบ!DP37"")"),198510)</f>
        <v>198510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IFERROR(__xludf.DUMMYFUNCTION("IMPORTRANGE(""https://docs.google.com/spreadsheets/d/1MeEWN-I1oV_STSDYn1IFDPWt_1FKiwhDph83XaGc0o0/edit?usp=sharing"",""งบพรบ!DL37"")"),0)</f>
        <v>0</v>
      </c>
      <c r="M285" s="93">
        <f ca="1">IFERROR(__xludf.DUMMYFUNCTION("IMPORTRANGE(""https://docs.google.com/spreadsheets/d/1MeEWN-I1oV_STSDYn1IFDPWt_1FKiwhDph83XaGc0o0/edit?usp=sharing"",""งบพรบ!DO37"")"),0)</f>
        <v>0</v>
      </c>
      <c r="N285" s="93">
        <f ca="1">IFERROR(__xludf.DUMMYFUNCTION("IMPORTRANGE(""https://docs.google.com/spreadsheets/d/1MeEWN-I1oV_STSDYn1IFDPWt_1FKiwhDph83XaGc0o0/edit?usp=sharing"",""งบพรบ!DQ37"")"),0)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7" t="s">
        <v>38</v>
      </c>
      <c r="E286" s="173"/>
      <c r="F286" s="173"/>
      <c r="G286" s="174"/>
      <c r="H286" s="76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6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IFERROR(__xludf.DUMMYFUNCTION("IMPORTRANGE(""https://docs.google.com/spreadsheets/d/1QqKyyYR6Q21VydFLVH3TRQUabQu_ym0Zz7PgGX0-kHA/edit?usp=sharing"",""แผน!EC37"")"),100)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6" t="s">
        <v>130</v>
      </c>
      <c r="E288" s="171"/>
      <c r="F288" s="178"/>
      <c r="G288" s="179"/>
      <c r="H288" s="180" t="s">
        <v>35</v>
      </c>
      <c r="I288" s="681">
        <f ca="1">IFERROR(__xludf.DUMMYFUNCTION("IMPORTRANGE(""https://docs.google.com/spreadsheets/d/1QqKyyYR6Q21VydFLVH3TRQUabQu_ym0Zz7PgGX0-kHA/edit?usp=sharing"",""แผน!EB37"")"),10)</f>
        <v>10</v>
      </c>
      <c r="J288" s="681">
        <f ca="1">IF(AND(J291&gt;=I288,J294&gt;=I288),J294,0)</f>
        <v>10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6" t="s">
        <v>132</v>
      </c>
      <c r="F290" s="178"/>
      <c r="G290" s="179"/>
      <c r="H290" s="764" t="s">
        <v>35</v>
      </c>
      <c r="I290" s="184">
        <f ca="1">IFERROR(__xludf.DUMMYFUNCTION("IMPORTRANGE(""https://docs.google.com/spreadsheets/d/1QqKyyYR6Q21VydFLVH3TRQUabQu_ym0Zz7PgGX0-kHA/edit?usp=sharing"",""แผน!EB37"")"),10)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6" t="s">
        <v>133</v>
      </c>
      <c r="F291" s="178"/>
      <c r="G291" s="179"/>
      <c r="H291" s="764" t="s">
        <v>35</v>
      </c>
      <c r="I291" s="184">
        <f ca="1">IFERROR(__xludf.DUMMYFUNCTION("IMPORTRANGE(""https://docs.google.com/spreadsheets/d/1QqKyyYR6Q21VydFLVH3TRQUabQu_ym0Zz7PgGX0-kHA/edit?usp=sharing"",""แผน!EB37"")"),10)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6" t="s">
        <v>132</v>
      </c>
      <c r="F293" s="178"/>
      <c r="G293" s="179"/>
      <c r="H293" s="764" t="s">
        <v>35</v>
      </c>
      <c r="I293" s="184">
        <f ca="1">IFERROR(__xludf.DUMMYFUNCTION("IMPORTRANGE(""https://docs.google.com/spreadsheets/d/1QqKyyYR6Q21VydFLVH3TRQUabQu_ym0Zz7PgGX0-kHA/edit?usp=sharing"",""แผน!EB37"")"),10)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4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IFERROR(__xludf.DUMMYFUNCTION("IMPORTRANGE(""https://docs.google.com/spreadsheets/d/1QqKyyYR6Q21VydFLVH3TRQUabQu_ym0Zz7PgGX0-kHA/edit?usp=sharing"",""แผน!EB37"")"),10)</f>
        <v>10</v>
      </c>
      <c r="J294" s="424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7"/>
      <c r="J299" s="617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7"/>
      <c r="J300" s="617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IFERROR(__xludf.DUMMYFUNCTION("IMPORTRANGE(""https://docs.google.com/spreadsheets/d/1MeEWN-I1oV_STSDYn1IFDPWt_1FKiwhDph83XaGc0o0/edit?usp=sharing"",""งบพรบ!DS37"")"),0)</f>
        <v>0</v>
      </c>
      <c r="M303" s="93">
        <f ca="1">IFERROR(__xludf.DUMMYFUNCTION("IMPORTRANGE(""https://docs.google.com/spreadsheets/d/1MeEWN-I1oV_STSDYn1IFDPWt_1FKiwhDph83XaGc0o0/edit?usp=sharing"",""งบพรบ!DX37"")"),0)</f>
        <v>0</v>
      </c>
      <c r="N303" s="93">
        <f ca="1">IFERROR(__xludf.DUMMYFUNCTION("IMPORTRANGE(""https://docs.google.com/spreadsheets/d/1MeEWN-I1oV_STSDYn1IFDPWt_1FKiwhDph83XaGc0o0/edit?usp=sharing"",""งบพรบ!DZ37"")"),0)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IFERROR(__xludf.DUMMYFUNCTION("IMPORTRANGE(""https://docs.google.com/spreadsheets/d/1MeEWN-I1oV_STSDYn1IFDPWt_1FKiwhDph83XaGc0o0/edit?usp=sharing"",""งบพรบ!DV37"")"),0)</f>
        <v>0</v>
      </c>
      <c r="M306" s="93">
        <f ca="1">IFERROR(__xludf.DUMMYFUNCTION("IMPORTRANGE(""https://docs.google.com/spreadsheets/d/1MeEWN-I1oV_STSDYn1IFDPWt_1FKiwhDph83XaGc0o0/edit?usp=sharing"",""งบพรบ!DY37"")"),0)</f>
        <v>0</v>
      </c>
      <c r="N306" s="93">
        <f ca="1">IFERROR(__xludf.DUMMYFUNCTION("IMPORTRANGE(""https://docs.google.com/spreadsheets/d/1MeEWN-I1oV_STSDYn1IFDPWt_1FKiwhDph83XaGc0o0/edit?usp=sharing"",""งบพรบ!EA37"")"),0)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7" t="s">
        <v>38</v>
      </c>
      <c r="E307" s="173"/>
      <c r="F307" s="173"/>
      <c r="G307" s="174"/>
      <c r="H307" s="762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4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4" t="s">
        <v>35</v>
      </c>
      <c r="I309" s="270">
        <f ca="1">IFERROR(__xludf.DUMMYFUNCTION("IMPORTRANGE(""https://docs.google.com/spreadsheets/d/1QqKyyYR6Q21VydFLVH3TRQUabQu_ym0Zz7PgGX0-kHA/edit?usp=sharing"",""แผน!ED37"")"),0)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4" t="s">
        <v>35</v>
      </c>
      <c r="I310" s="270">
        <f ca="1">IFERROR(__xludf.DUMMYFUNCTION("IMPORTRANGE(""https://docs.google.com/spreadsheets/d/1QqKyyYR6Q21VydFLVH3TRQUabQu_ym0Zz7PgGX0-kHA/edit?usp=sharing"",""แผน!ED37"")"),0)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4" t="s">
        <v>35</v>
      </c>
      <c r="I311" s="270">
        <f ca="1">IFERROR(__xludf.DUMMYFUNCTION("IMPORTRANGE(""https://docs.google.com/spreadsheets/d/1QqKyyYR6Q21VydFLVH3TRQUabQu_ym0Zz7PgGX0-kHA/edit?usp=sharing"",""แผน!ED37"")"),0)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4" t="s">
        <v>35</v>
      </c>
      <c r="I312" s="270">
        <f ca="1">IFERROR(__xludf.DUMMYFUNCTION("IMPORTRANGE(""https://docs.google.com/spreadsheets/d/1QqKyyYR6Q21VydFLVH3TRQUabQu_ym0Zz7PgGX0-kHA/edit?usp=sharing"",""แผน!EE37"")"),0)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7"/>
      <c r="J316" s="617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7"/>
      <c r="J317" s="617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IFERROR(__xludf.DUMMYFUNCTION("IMPORTRANGE(""https://docs.google.com/spreadsheets/d/1MeEWN-I1oV_STSDYn1IFDPWt_1FKiwhDph83XaGc0o0/edit?usp=sharing"",""งบพรบ!EC37"")"),0)</f>
        <v>0</v>
      </c>
      <c r="M320" s="93">
        <f ca="1">IFERROR(__xludf.DUMMYFUNCTION("IMPORTRANGE(""https://docs.google.com/spreadsheets/d/1MeEWN-I1oV_STSDYn1IFDPWt_1FKiwhDph83XaGc0o0/edit?usp=sharing"",""งบพรบ!EH37"")"),0)</f>
        <v>0</v>
      </c>
      <c r="N320" s="93">
        <f ca="1">IFERROR(__xludf.DUMMYFUNCTION("IMPORTRANGE(""https://docs.google.com/spreadsheets/d/1MeEWN-I1oV_STSDYn1IFDPWt_1FKiwhDph83XaGc0o0/edit?usp=sharing"",""งบพรบ!EJ37"")"),0)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IFERROR(__xludf.DUMMYFUNCTION("IMPORTRANGE(""https://docs.google.com/spreadsheets/d/1MeEWN-I1oV_STSDYn1IFDPWt_1FKiwhDph83XaGc0o0/edit?usp=sharing"",""งบพรบ!EF37"")"),0)</f>
        <v>0</v>
      </c>
      <c r="M323" s="93">
        <f ca="1">IFERROR(__xludf.DUMMYFUNCTION("IMPORTRANGE(""https://docs.google.com/spreadsheets/d/1MeEWN-I1oV_STSDYn1IFDPWt_1FKiwhDph83XaGc0o0/edit?usp=sharing"",""งบพรบ!EI37"")"),0)</f>
        <v>0</v>
      </c>
      <c r="N323" s="93">
        <f ca="1">IFERROR(__xludf.DUMMYFUNCTION("IMPORTRANGE(""https://docs.google.com/spreadsheets/d/1MeEWN-I1oV_STSDYn1IFDPWt_1FKiwhDph83XaGc0o0/edit?usp=sharing"",""งบพรบ!EK37"")"),0)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7" t="s">
        <v>38</v>
      </c>
      <c r="E324" s="173"/>
      <c r="F324" s="173"/>
      <c r="G324" s="174"/>
      <c r="H324" s="762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3" t="s">
        <v>146</v>
      </c>
      <c r="I325" s="270">
        <f ca="1">IFERROR(__xludf.DUMMYFUNCTION("IMPORTRANGE(""https://docs.google.com/spreadsheets/d/1QqKyyYR6Q21VydFLVH3TRQUabQu_ym0Zz7PgGX0-kHA/edit?usp=sharing"",""แผน!EF37"")"),0)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IFERROR(__xludf.DUMMYFUNCTION("IMPORTRANGE(""https://docs.google.com/spreadsheets/d/1QqKyyYR6Q21VydFLVH3TRQUabQu_ym0Zz7PgGX0-kHA/edit?usp=sharing"",""แผน!EG37"")"),3600)</f>
        <v>3600</v>
      </c>
      <c r="J327" s="444">
        <f ca="1">J338+J341+J342+J343</f>
        <v>5707</v>
      </c>
      <c r="K327" s="445">
        <f ca="1">IF(I327&gt;0,J327*100/I327,0)</f>
        <v>158.52777777777777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179000</v>
      </c>
      <c r="M328" s="155">
        <f t="shared" ca="1" si="149"/>
        <v>181500</v>
      </c>
      <c r="N328" s="155">
        <f t="shared" ca="1" si="149"/>
        <v>181500</v>
      </c>
      <c r="O328" s="155">
        <f t="shared" ref="O328:O336" ca="1" si="150">IF(L328&gt;0,N328*100/L328,0)</f>
        <v>101.39664804469274</v>
      </c>
      <c r="P328" s="155">
        <f t="shared" ref="P328:P336" ca="1" si="151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7"/>
      <c r="J329" s="617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7"/>
      <c r="J330" s="617"/>
      <c r="K330" s="93"/>
      <c r="L330" s="93">
        <f t="shared" ca="1" si="152"/>
        <v>179000</v>
      </c>
      <c r="M330" s="93">
        <f t="shared" ca="1" si="152"/>
        <v>181500</v>
      </c>
      <c r="N330" s="93">
        <f t="shared" ca="1" si="152"/>
        <v>181500</v>
      </c>
      <c r="O330" s="93">
        <f t="shared" ca="1" si="150"/>
        <v>101.39664804469274</v>
      </c>
      <c r="P330" s="93">
        <f t="shared" ca="1" si="151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179000</v>
      </c>
      <c r="M331" s="498">
        <f t="shared" ca="1" si="153"/>
        <v>181500</v>
      </c>
      <c r="N331" s="498">
        <f t="shared" ca="1" si="153"/>
        <v>181500</v>
      </c>
      <c r="O331" s="498">
        <f t="shared" ca="1" si="150"/>
        <v>101.39664804469274</v>
      </c>
      <c r="P331" s="498">
        <f t="shared" ca="1" si="151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IFERROR(__xludf.DUMMYFUNCTION("IMPORTRANGE(""https://docs.google.com/spreadsheets/d/1MeEWN-I1oV_STSDYn1IFDPWt_1FKiwhDph83XaGc0o0/edit?usp=sharing"",""งบพรบ!EM37"")"),179000)</f>
        <v>179000</v>
      </c>
      <c r="M333" s="93">
        <f ca="1">IFERROR(__xludf.DUMMYFUNCTION("IMPORTRANGE(""https://docs.google.com/spreadsheets/d/1MeEWN-I1oV_STSDYn1IFDPWt_1FKiwhDph83XaGc0o0/edit?usp=sharing"",""งบพรบ!ER37"")"),181500)</f>
        <v>181500</v>
      </c>
      <c r="N333" s="93">
        <f ca="1">IFERROR(__xludf.DUMMYFUNCTION("IMPORTRANGE(""https://docs.google.com/spreadsheets/d/1MeEWN-I1oV_STSDYn1IFDPWt_1FKiwhDph83XaGc0o0/edit?usp=sharing"",""งบพรบ!ET37"")"),181500)</f>
        <v>181500</v>
      </c>
      <c r="O333" s="93">
        <f t="shared" ca="1" si="150"/>
        <v>101.39664804469274</v>
      </c>
      <c r="P333" s="93">
        <f t="shared" ca="1" si="151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IFERROR(__xludf.DUMMYFUNCTION("IMPORTRANGE(""https://docs.google.com/spreadsheets/d/1MeEWN-I1oV_STSDYn1IFDPWt_1FKiwhDph83XaGc0o0/edit?usp=sharing"",""งบพรบ!EP37"")"),0)</f>
        <v>0</v>
      </c>
      <c r="M336" s="93">
        <f ca="1">IFERROR(__xludf.DUMMYFUNCTION("IMPORTRANGE(""https://docs.google.com/spreadsheets/d/1MeEWN-I1oV_STSDYn1IFDPWt_1FKiwhDph83XaGc0o0/edit?usp=sharing"",""งบพรบ!ES37"")"),0)</f>
        <v>0</v>
      </c>
      <c r="N336" s="93">
        <f ca="1">IFERROR(__xludf.DUMMYFUNCTION("IMPORTRANGE(""https://docs.google.com/spreadsheets/d/1MeEWN-I1oV_STSDYn1IFDPWt_1FKiwhDph83XaGc0o0/edit?usp=sharing"",""งบพรบ!EU37"")"),0)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86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62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IFERROR(__xludf.DUMMYFUNCTION("IMPORTRANGE(""https://docs.google.com/spreadsheets/d/1QqKyyYR6Q21VydFLVH3TRQUabQu_ym0Zz7PgGX0-kHA/edit?usp=sharing"",""แผน!EG37"")"),3600)</f>
        <v>3600</v>
      </c>
      <c r="J338" s="270">
        <f ca="1">IFERROR(__xludf.DUMMYFUNCTION("IMPORTRANGE(""https://docs.google.com/spreadsheets/d/1kVcqe37tkHyjCSG3S0O1AXqVkqjo8mSIZil3BcpIysc/edit?usp=sharing"",""ศูนย์!D37"")"),5135)</f>
        <v>5135</v>
      </c>
      <c r="K338" s="498">
        <f ca="1">IF(I338&gt;0,J338*100/I338,0)</f>
        <v>142.63888888888889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IFERROR(__xludf.DUMMYFUNCTION("IMPORTRANGE(""https://docs.google.com/spreadsheets/d/1QqKyyYR6Q21VydFLVH3TRQUabQu_ym0Zz7PgGX0-kHA/edit?usp=sharing"",""แผน!EH37"")"),8)</f>
        <v>8</v>
      </c>
      <c r="J340" s="270">
        <f ca="1">IFERROR(__xludf.DUMMYFUNCTION("IMPORTRANGE(""https://docs.google.com/spreadsheets/d/1kVcqe37tkHyjCSG3S0O1AXqVkqjo8mSIZil3BcpIysc/edit?usp=sharing"",""ศูนย์!E37"")"),10)</f>
        <v>10</v>
      </c>
      <c r="K340" s="498">
        <f ca="1">IF(I340&gt;0,J340*100/I340,0)</f>
        <v>125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IFERROR(__xludf.DUMMYFUNCTION("IMPORTRANGE(""https://docs.google.com/spreadsheets/d/1kVcqe37tkHyjCSG3S0O1AXqVkqjo8mSIZil3BcpIysc/edit?usp=sharing"",""ศูนย์!F37"")"),566)</f>
        <v>566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IFERROR(__xludf.DUMMYFUNCTION("IMPORTRANGE(""https://docs.google.com/spreadsheets/d/1kVcqe37tkHyjCSG3S0O1AXqVkqjo8mSIZil3BcpIysc/edit?usp=sharing"",""ศูนย์!G37"")"),6)</f>
        <v>6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IFERROR(__xludf.DUMMYFUNCTION("IMPORTRANGE(""https://docs.google.com/spreadsheets/d/1kVcqe37tkHyjCSG3S0O1AXqVkqjo8mSIZil3BcpIysc/edit?usp=sharing"",""ศูนย์!H37"")"),0)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1464800</v>
      </c>
      <c r="M345" s="155">
        <f t="shared" ca="1" si="155"/>
        <v>1464424</v>
      </c>
      <c r="N345" s="155">
        <f t="shared" ca="1" si="155"/>
        <v>1464424</v>
      </c>
      <c r="O345" s="155">
        <f t="shared" ref="O345:O353" ca="1" si="156">IF(L345&gt;0,N345*100/L345,0)</f>
        <v>99.974330966684875</v>
      </c>
      <c r="P345" s="155">
        <f t="shared" ref="P345:P353" ca="1" si="157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7"/>
      <c r="J346" s="617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7"/>
      <c r="J347" s="617"/>
      <c r="K347" s="93"/>
      <c r="L347" s="93">
        <f t="shared" ca="1" si="158"/>
        <v>1464800</v>
      </c>
      <c r="M347" s="93">
        <f t="shared" ca="1" si="158"/>
        <v>1464424</v>
      </c>
      <c r="N347" s="93">
        <f t="shared" ca="1" si="158"/>
        <v>1464424</v>
      </c>
      <c r="O347" s="93">
        <f t="shared" ca="1" si="156"/>
        <v>99.974330966684875</v>
      </c>
      <c r="P347" s="93">
        <f t="shared" ca="1" si="157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1329200</v>
      </c>
      <c r="M348" s="498">
        <f t="shared" ca="1" si="159"/>
        <v>1328824</v>
      </c>
      <c r="N348" s="498">
        <f t="shared" ca="1" si="159"/>
        <v>1328824</v>
      </c>
      <c r="O348" s="498">
        <f t="shared" ca="1" si="156"/>
        <v>99.971712308155276</v>
      </c>
      <c r="P348" s="498">
        <f t="shared" ca="1" si="157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IFERROR(__xludf.DUMMYFUNCTION("IMPORTRANGE(""https://docs.google.com/spreadsheets/d/1MeEWN-I1oV_STSDYn1IFDPWt_1FKiwhDph83XaGc0o0/edit?usp=sharing"",""งบพรบ!EW37"")"),1329200)</f>
        <v>1329200</v>
      </c>
      <c r="M350" s="93">
        <f ca="1">IFERROR(__xludf.DUMMYFUNCTION("IMPORTRANGE(""https://docs.google.com/spreadsheets/d/1MeEWN-I1oV_STSDYn1IFDPWt_1FKiwhDph83XaGc0o0/edit?usp=sharing"",""งบพรบ!FB37"")"),1328824)</f>
        <v>1328824</v>
      </c>
      <c r="N350" s="93">
        <f ca="1">IFERROR(__xludf.DUMMYFUNCTION("IMPORTRANGE(""https://docs.google.com/spreadsheets/d/1MeEWN-I1oV_STSDYn1IFDPWt_1FKiwhDph83XaGc0o0/edit?usp=sharing"",""งบพรบ!FD37"")"),1328824)</f>
        <v>1328824</v>
      </c>
      <c r="O350" s="93">
        <f t="shared" ca="1" si="156"/>
        <v>99.971712308155276</v>
      </c>
      <c r="P350" s="93">
        <f t="shared" ca="1" si="157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135600</v>
      </c>
      <c r="M351" s="498">
        <f t="shared" ca="1" si="160"/>
        <v>135600</v>
      </c>
      <c r="N351" s="498">
        <f t="shared" ca="1" si="160"/>
        <v>135600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IFERROR(__xludf.DUMMYFUNCTION("IMPORTRANGE(""https://docs.google.com/spreadsheets/d/1MeEWN-I1oV_STSDYn1IFDPWt_1FKiwhDph83XaGc0o0/edit?usp=sharing"",""งบพรบ!EZ37"")"),135600)</f>
        <v>135600</v>
      </c>
      <c r="M353" s="93">
        <f ca="1">IFERROR(__xludf.DUMMYFUNCTION("IMPORTRANGE(""https://docs.google.com/spreadsheets/d/1MeEWN-I1oV_STSDYn1IFDPWt_1FKiwhDph83XaGc0o0/edit?usp=sharing"",""งบพรบ!FC37"")"),135600)</f>
        <v>135600</v>
      </c>
      <c r="N353" s="93">
        <f ca="1">IFERROR(__xludf.DUMMYFUNCTION("IMPORTRANGE(""https://docs.google.com/spreadsheets/d/1MeEWN-I1oV_STSDYn1IFDPWt_1FKiwhDph83XaGc0o0/edit?usp=sharing"",""งบพรบ!FE37"")"),135600)</f>
        <v>135600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8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IFERROR(__xludf.DUMMYFUNCTION("IMPORTRANGE(""https://docs.google.com/spreadsheets/d/1QqKyyYR6Q21VydFLVH3TRQUabQu_ym0Zz7PgGX0-kHA/edit?usp=sharing"",""แผน!EP37"")"),620)</f>
        <v>620</v>
      </c>
      <c r="J355" s="465">
        <f ca="1">J362</f>
        <v>573</v>
      </c>
      <c r="K355" s="466">
        <f ca="1">IF(I355&gt;0,J355*100/I355,0)</f>
        <v>92.41935483870968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77" t="s">
        <v>38</v>
      </c>
      <c r="E357" s="173"/>
      <c r="F357" s="173"/>
      <c r="G357" s="174"/>
      <c r="H357" s="762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IFERROR(__xludf.DUMMYFUNCTION("IMPORTRANGE(""https://docs.google.com/spreadsheets/d/1XWAQStnk-4SwqDmLtmXYiTMKHgktTP8We1SCoS47DrQ/edit?usp=sharing"",""จัดที่ดิน!W37"")"),598)</f>
        <v>598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IFERROR(__xludf.DUMMYFUNCTION("IMPORTRANGE(""https://docs.google.com/spreadsheets/d/1QqKyyYR6Q21VydFLVH3TRQUabQu_ym0Zz7PgGX0-kHA/edit?usp=sharing"",""แผน!EO37"")"),6300)</f>
        <v>6300</v>
      </c>
      <c r="J359" s="270">
        <f ca="1">IFERROR(__xludf.DUMMYFUNCTION("IMPORTRANGE(""https://docs.google.com/spreadsheets/d/1XWAQStnk-4SwqDmLtmXYiTMKHgktTP8We1SCoS47DrQ/edit?usp=sharing"",""จัดที่ดิน!X37"")"),6643.19)</f>
        <v>6643.19</v>
      </c>
      <c r="K359" s="498">
        <f t="shared" ca="1" si="161"/>
        <v>105.44746031746031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4" t="s">
        <v>35</v>
      </c>
      <c r="I360" s="270">
        <f ca="1">IFERROR(__xludf.DUMMYFUNCTION("IMPORTRANGE(""https://docs.google.com/spreadsheets/d/1QqKyyYR6Q21VydFLVH3TRQUabQu_ym0Zz7PgGX0-kHA/edit?usp=sharing"",""แผน!EP37"")"),620)</f>
        <v>620</v>
      </c>
      <c r="J360" s="270">
        <f ca="1">IFERROR(__xludf.DUMMYFUNCTION("IMPORTRANGE(""https://docs.google.com/spreadsheets/d/1XWAQStnk-4SwqDmLtmXYiTMKHgktTP8We1SCoS47DrQ/edit?usp=sharing"",""จัดที่ดิน!Y37"")"),561)</f>
        <v>561</v>
      </c>
      <c r="K360" s="498">
        <f t="shared" ca="1" si="161"/>
        <v>90.483870967741936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IFERROR(__xludf.DUMMYFUNCTION("IMPORTRANGE(""https://docs.google.com/spreadsheets/d/1XWAQStnk-4SwqDmLtmXYiTMKHgktTP8We1SCoS47DrQ/edit?usp=sharing"",""จัดที่ดิน!Z37"")"),6188.36)</f>
        <v>6188.36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4" t="s">
        <v>35</v>
      </c>
      <c r="I362" s="270">
        <f ca="1">IFERROR(__xludf.DUMMYFUNCTION("IMPORTRANGE(""https://docs.google.com/spreadsheets/d/1QqKyyYR6Q21VydFLVH3TRQUabQu_ym0Zz7PgGX0-kHA/edit?usp=sharing"",""แผน!EP37"")"),620)</f>
        <v>620</v>
      </c>
      <c r="J362" s="270">
        <f ca="1">IFERROR(__xludf.DUMMYFUNCTION("IMPORTRANGE(""https://docs.google.com/spreadsheets/d/1XWAQStnk-4SwqDmLtmXYiTMKHgktTP8We1SCoS47DrQ/edit?usp=sharing"",""จัดที่ดิน!AA37"")"),573)</f>
        <v>573</v>
      </c>
      <c r="K362" s="498">
        <f t="shared" ca="1" si="161"/>
        <v>92.41935483870968</v>
      </c>
      <c r="L362" s="163"/>
      <c r="M362" s="163"/>
      <c r="N362" s="163"/>
      <c r="O362" s="163"/>
      <c r="P362" s="163"/>
    </row>
    <row r="363" spans="1:26" ht="18.75" hidden="1">
      <c r="A363" s="499" t="s">
        <v>169</v>
      </c>
      <c r="B363" s="178"/>
      <c r="C363" s="171"/>
      <c r="D363" s="178"/>
      <c r="E363" s="447"/>
      <c r="F363" s="178"/>
      <c r="G363" s="179"/>
      <c r="H363" s="76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IFERROR(__xludf.DUMMYFUNCTION("IMPORTRANGE(""https://docs.google.com/spreadsheets/d/1XWAQStnk-4SwqDmLtmXYiTMKHgktTP8We1SCoS47DrQ/edit?usp=sharing"",""จัดที่ดิน!AB37"")"),6407.99)</f>
        <v>6407.99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t="shared" ref="I364:J364" ca="1" si="162">I365+I374</f>
        <v>1520</v>
      </c>
      <c r="J364" s="479">
        <f t="shared" ca="1" si="162"/>
        <v>1626</v>
      </c>
      <c r="K364" s="480">
        <f t="shared" ca="1" si="161"/>
        <v>106.97368421052632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IFERROR(__xludf.DUMMYFUNCTION("IMPORTRANGE(""https://docs.google.com/spreadsheets/d/1QqKyyYR6Q21VydFLVH3TRQUabQu_ym0Zz7PgGX0-kHA/edit?usp=sharing"",""แผน!EJ37"")"),20)</f>
        <v>20</v>
      </c>
      <c r="J365" s="491">
        <f ca="1">J372</f>
        <v>40</v>
      </c>
      <c r="K365" s="492">
        <f t="shared" ca="1" si="161"/>
        <v>200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77" t="s">
        <v>38</v>
      </c>
      <c r="E367" s="173"/>
      <c r="F367" s="173"/>
      <c r="G367" s="174"/>
      <c r="H367" s="762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IFERROR(__xludf.DUMMYFUNCTION("IMPORTRANGE(""https://docs.google.com/spreadsheets/d/1XWAQStnk-4SwqDmLtmXYiTMKHgktTP8We1SCoS47DrQ/edit?usp=sharing"",""จัดที่ดิน!E37"")"),57)</f>
        <v>57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IFERROR(__xludf.DUMMYFUNCTION("IMPORTRANGE(""https://docs.google.com/spreadsheets/d/1QqKyyYR6Q21VydFLVH3TRQUabQu_ym0Zz7PgGX0-kHA/edit?usp=sharing"",""แผน!EI37"")"),300)</f>
        <v>300</v>
      </c>
      <c r="J369" s="270">
        <f ca="1">IFERROR(__xludf.DUMMYFUNCTION("IMPORTRANGE(""https://docs.google.com/spreadsheets/d/1XWAQStnk-4SwqDmLtmXYiTMKHgktTP8We1SCoS47DrQ/edit?usp=sharing"",""จัดที่ดิน!F37"")"),679.15)</f>
        <v>679.15</v>
      </c>
      <c r="K369" s="498">
        <f t="shared" ca="1" si="163"/>
        <v>226.38333333333333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4" t="s">
        <v>35</v>
      </c>
      <c r="I370" s="270">
        <f ca="1">IFERROR(__xludf.DUMMYFUNCTION("IMPORTRANGE(""https://docs.google.com/spreadsheets/d/1QqKyyYR6Q21VydFLVH3TRQUabQu_ym0Zz7PgGX0-kHA/edit?usp=sharing"",""แผน!EJ37"")"),20)</f>
        <v>20</v>
      </c>
      <c r="J370" s="270">
        <f ca="1">IFERROR(__xludf.DUMMYFUNCTION("IMPORTRANGE(""https://docs.google.com/spreadsheets/d/1XWAQStnk-4SwqDmLtmXYiTMKHgktTP8We1SCoS47DrQ/edit?usp=sharing"",""จัดที่ดิน!G37"")"),33)</f>
        <v>33</v>
      </c>
      <c r="K370" s="498">
        <f t="shared" ca="1" si="163"/>
        <v>165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IFERROR(__xludf.DUMMYFUNCTION("IMPORTRANGE(""https://docs.google.com/spreadsheets/d/1XWAQStnk-4SwqDmLtmXYiTMKHgktTP8We1SCoS47DrQ/edit?usp=sharing"",""จัดที่ดิน!H37"")"),414.55)</f>
        <v>414.55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4" t="s">
        <v>35</v>
      </c>
      <c r="I372" s="270">
        <f ca="1">IFERROR(__xludf.DUMMYFUNCTION("IMPORTRANGE(""https://docs.google.com/spreadsheets/d/1QqKyyYR6Q21VydFLVH3TRQUabQu_ym0Zz7PgGX0-kHA/edit?usp=sharing"",""แผน!EJ37"")"),20)</f>
        <v>20</v>
      </c>
      <c r="J372" s="270">
        <f ca="1">IFERROR(__xludf.DUMMYFUNCTION("IMPORTRANGE(""https://docs.google.com/spreadsheets/d/1XWAQStnk-4SwqDmLtmXYiTMKHgktTP8We1SCoS47DrQ/edit?usp=sharing"",""จัดที่ดิน!I37"")"),40)</f>
        <v>40</v>
      </c>
      <c r="K372" s="498">
        <f t="shared" ca="1" si="163"/>
        <v>200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8"/>
      <c r="C373" s="171"/>
      <c r="D373" s="178"/>
      <c r="E373" s="447"/>
      <c r="F373" s="178"/>
      <c r="G373" s="179"/>
      <c r="H373" s="76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IFERROR(__xludf.DUMMYFUNCTION("IMPORTRANGE(""https://docs.google.com/spreadsheets/d/1XWAQStnk-4SwqDmLtmXYiTMKHgktTP8We1SCoS47DrQ/edit?usp=sharing"",""จัดที่ดิน!J37"")"),499.13)</f>
        <v>499.13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IFERROR(__xludf.DUMMYFUNCTION("IMPORTRANGE(""https://docs.google.com/spreadsheets/d/1QqKyyYR6Q21VydFLVH3TRQUabQu_ym0Zz7PgGX0-kHA/edit?usp=sharing"",""แผน!EU37"")"),1500)</f>
        <v>1500</v>
      </c>
      <c r="J374" s="491">
        <f ca="1">J381</f>
        <v>1586</v>
      </c>
      <c r="K374" s="492">
        <f t="shared" ca="1" si="163"/>
        <v>105.73333333333333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77" t="s">
        <v>38</v>
      </c>
      <c r="E376" s="173"/>
      <c r="F376" s="173"/>
      <c r="G376" s="174"/>
      <c r="H376" s="762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IFERROR(__xludf.DUMMYFUNCTION("IMPORTRANGE(""https://docs.google.com/spreadsheets/d/1XWAQStnk-4SwqDmLtmXYiTMKHgktTP8We1SCoS47DrQ/edit?usp=sharing"",""จัดที่ดิน!AH37"")"),541)</f>
        <v>541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IFERROR(__xludf.DUMMYFUNCTION("IMPORTRANGE(""https://docs.google.com/spreadsheets/d/1QqKyyYR6Q21VydFLVH3TRQUabQu_ym0Zz7PgGX0-kHA/edit?usp=sharing"",""แผน!ET37"")"),6000)</f>
        <v>6000</v>
      </c>
      <c r="J378" s="270">
        <f ca="1">IFERROR(__xludf.DUMMYFUNCTION("IMPORTRANGE(""https://docs.google.com/spreadsheets/d/1XWAQStnk-4SwqDmLtmXYiTMKHgktTP8We1SCoS47DrQ/edit?usp=sharing"",""จัดที่ดิน!AI37"")"),5964.04)</f>
        <v>5964.04</v>
      </c>
      <c r="K378" s="498">
        <f t="shared" ca="1" si="164"/>
        <v>99.400666666666666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4" t="s">
        <v>35</v>
      </c>
      <c r="I379" s="270">
        <f ca="1">IFERROR(__xludf.DUMMYFUNCTION("IMPORTRANGE(""https://docs.google.com/spreadsheets/d/1QqKyyYR6Q21VydFLVH3TRQUabQu_ym0Zz7PgGX0-kHA/edit?usp=sharing"",""แผน!EU37"")"),1500)</f>
        <v>1500</v>
      </c>
      <c r="J379" s="270">
        <f ca="1">IFERROR(__xludf.DUMMYFUNCTION("IMPORTRANGE(""https://docs.google.com/spreadsheets/d/1XWAQStnk-4SwqDmLtmXYiTMKHgktTP8We1SCoS47DrQ/edit?usp=sharing"",""จัดที่ดิน!AJ37"")"),1619)</f>
        <v>1619</v>
      </c>
      <c r="K379" s="498">
        <f t="shared" ca="1" si="164"/>
        <v>107.93333333333334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IFERROR(__xludf.DUMMYFUNCTION("IMPORTRANGE(""https://docs.google.com/spreadsheets/d/1XWAQStnk-4SwqDmLtmXYiTMKHgktTP8We1SCoS47DrQ/edit?usp=sharing"",""จัดที่ดิน!AK37"")"),23428.01)</f>
        <v>23428.01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4" t="s">
        <v>35</v>
      </c>
      <c r="I381" s="270">
        <f ca="1">IFERROR(__xludf.DUMMYFUNCTION("IMPORTRANGE(""https://docs.google.com/spreadsheets/d/1QqKyyYR6Q21VydFLVH3TRQUabQu_ym0Zz7PgGX0-kHA/edit?usp=sharing"",""แผน!EU37"")"),1500)</f>
        <v>1500</v>
      </c>
      <c r="J381" s="270">
        <f ca="1">IFERROR(__xludf.DUMMYFUNCTION("IMPORTRANGE(""https://docs.google.com/spreadsheets/d/1XWAQStnk-4SwqDmLtmXYiTMKHgktTP8We1SCoS47DrQ/edit?usp=sharing"",""จัดที่ดิน!AL37"")"),1586)</f>
        <v>1586</v>
      </c>
      <c r="K381" s="498">
        <f t="shared" ca="1" si="164"/>
        <v>105.73333333333333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8"/>
      <c r="C382" s="171"/>
      <c r="D382" s="178"/>
      <c r="E382" s="447"/>
      <c r="F382" s="178"/>
      <c r="G382" s="179"/>
      <c r="H382" s="76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IFERROR(__xludf.DUMMYFUNCTION("IMPORTRANGE(""https://docs.google.com/spreadsheets/d/1XWAQStnk-4SwqDmLtmXYiTMKHgktTP8We1SCoS47DrQ/edit?usp=sharing"",""จัดที่ดิน!AM37"")"),22758.25)</f>
        <v>22758.25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500"/>
      <c r="B383" s="501"/>
      <c r="C383" s="291"/>
      <c r="D383" s="889" t="s">
        <v>170</v>
      </c>
      <c r="E383" s="291"/>
      <c r="F383" s="291"/>
      <c r="G383" s="503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86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62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4" t="s">
        <v>171</v>
      </c>
      <c r="F385" s="381"/>
      <c r="G385" s="382"/>
      <c r="H385" s="505" t="s">
        <v>35</v>
      </c>
      <c r="I385" s="506">
        <f ca="1">IFERROR(__xludf.DUMMYFUNCTION("IMPORTRANGE(""https://docs.google.com/spreadsheets/d/1QqKyyYR6Q21VydFLVH3TRQUabQu_ym0Zz7PgGX0-kHA/edit?usp=sharing"",""แผน!EW37"")"),186)</f>
        <v>186</v>
      </c>
      <c r="J385" s="506">
        <f ca="1">IFERROR(__xludf.DUMMYFUNCTION("IMPORTRANGE(""https://docs.google.com/spreadsheets/d/1XWAQStnk-4SwqDmLtmXYiTMKHgktTP8We1SCoS47DrQ/edit?usp=sharing"",""จัดที่ดิน!AP37"")"),52)</f>
        <v>52</v>
      </c>
      <c r="K385" s="507">
        <f ca="1">IF(I385&gt;0,J385*100/I385,0)</f>
        <v>27.956989247311828</v>
      </c>
      <c r="L385" s="385"/>
      <c r="M385" s="385"/>
      <c r="N385" s="385"/>
      <c r="O385" s="385"/>
      <c r="P385" s="385"/>
    </row>
    <row r="386" spans="1:26" ht="19.5" hidden="1">
      <c r="A386" s="508" t="s">
        <v>172</v>
      </c>
      <c r="B386" s="509"/>
      <c r="C386" s="509"/>
      <c r="D386" s="509"/>
      <c r="E386" s="510"/>
      <c r="F386" s="510"/>
      <c r="G386" s="511"/>
      <c r="H386" s="512"/>
      <c r="I386" s="513"/>
      <c r="J386" s="513"/>
      <c r="K386" s="514"/>
      <c r="L386" s="514"/>
      <c r="M386" s="514"/>
      <c r="N386" s="514"/>
      <c r="O386" s="514"/>
      <c r="P386" s="514"/>
    </row>
    <row r="387" spans="1:26" ht="19.5" hidden="1">
      <c r="A387" s="515" t="s">
        <v>173</v>
      </c>
      <c r="B387" s="516"/>
      <c r="C387" s="516"/>
      <c r="D387" s="517"/>
      <c r="E387" s="516"/>
      <c r="F387" s="516"/>
      <c r="G387" s="516"/>
      <c r="H387" s="518"/>
      <c r="I387" s="519"/>
      <c r="J387" s="519"/>
      <c r="K387" s="520"/>
      <c r="L387" s="520"/>
      <c r="M387" s="520"/>
      <c r="N387" s="520"/>
      <c r="O387" s="520"/>
      <c r="P387" s="520"/>
    </row>
    <row r="388" spans="1:26" ht="19.5" hidden="1">
      <c r="A388" s="521"/>
      <c r="B388" s="522" t="s">
        <v>174</v>
      </c>
      <c r="C388" s="523"/>
      <c r="D388" s="524"/>
      <c r="E388" s="524"/>
      <c r="F388" s="524"/>
      <c r="G388" s="525"/>
      <c r="H388" s="526" t="s">
        <v>66</v>
      </c>
      <c r="I388" s="527">
        <f t="shared" ref="I388:J388" si="165">I400</f>
        <v>0</v>
      </c>
      <c r="J388" s="527">
        <f t="shared" si="165"/>
        <v>0</v>
      </c>
      <c r="K388" s="528">
        <f>IF(I388&gt;0,J388*100/I388,0)</f>
        <v>0</v>
      </c>
      <c r="L388" s="529"/>
      <c r="M388" s="529"/>
      <c r="N388" s="529"/>
      <c r="O388" s="529"/>
      <c r="P388" s="529"/>
    </row>
    <row r="389" spans="1:26" ht="19.5" hidden="1">
      <c r="A389" s="147"/>
      <c r="B389" s="148"/>
      <c r="C389" s="149" t="s">
        <v>16</v>
      </c>
      <c r="D389" s="87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7"/>
      <c r="J390" s="617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7"/>
      <c r="J391" s="617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IFERROR(__xludf.DUMMYFUNCTION("IMPORTRANGE(""https://docs.google.com/spreadsheets/d/1MeEWN-I1oV_STSDYn1IFDPWt_1FKiwhDph83XaGc0o0/edit?usp=sharing"",""งบพรบ!FG37"")"),0)</f>
        <v>0</v>
      </c>
      <c r="M394" s="93">
        <f ca="1">IFERROR(__xludf.DUMMYFUNCTION("IMPORTRANGE(""https://docs.google.com/spreadsheets/d/1MeEWN-I1oV_STSDYn1IFDPWt_1FKiwhDph83XaGc0o0/edit?usp=sharing"",""งบพรบ!FL37"")"),0)</f>
        <v>0</v>
      </c>
      <c r="N394" s="93">
        <f ca="1">IFERROR(__xludf.DUMMYFUNCTION("IMPORTRANGE(""https://docs.google.com/spreadsheets/d/1MeEWN-I1oV_STSDYn1IFDPWt_1FKiwhDph83XaGc0o0/edit?usp=sharing"",""งบพรบ!FN37"")"),0)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IFERROR(__xludf.DUMMYFUNCTION("IMPORTRANGE(""https://docs.google.com/spreadsheets/d/1MeEWN-I1oV_STSDYn1IFDPWt_1FKiwhDph83XaGc0o0/edit?usp=sharing"",""งบพรบ!FJ37"")"),0)</f>
        <v>0</v>
      </c>
      <c r="M397" s="93">
        <f ca="1">IFERROR(__xludf.DUMMYFUNCTION("IMPORTRANGE(""https://docs.google.com/spreadsheets/d/1MeEWN-I1oV_STSDYn1IFDPWt_1FKiwhDph83XaGc0o0/edit?usp=sharing"",""งบพรบ!FM37"")"),0)</f>
        <v>0</v>
      </c>
      <c r="N397" s="93">
        <f ca="1">IFERROR(__xludf.DUMMYFUNCTION("IMPORTRANGE(""https://docs.google.com/spreadsheets/d/1MeEWN-I1oV_STSDYn1IFDPWt_1FKiwhDph83XaGc0o0/edit?usp=sharing"",""งบพรบ!FO37"")"),0)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7" t="s">
        <v>38</v>
      </c>
      <c r="E398" s="173"/>
      <c r="F398" s="173"/>
      <c r="G398" s="174"/>
      <c r="H398" s="762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30"/>
      <c r="B399" s="148"/>
      <c r="C399" s="531"/>
      <c r="D399" s="532" t="s">
        <v>175</v>
      </c>
      <c r="E399" s="415"/>
      <c r="F399" s="148"/>
      <c r="G399" s="151"/>
      <c r="H399" s="533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4"/>
      <c r="M399" s="534"/>
      <c r="N399" s="534"/>
      <c r="O399" s="534"/>
      <c r="P399" s="534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1"/>
      <c r="B401" s="522" t="s">
        <v>177</v>
      </c>
      <c r="C401" s="523"/>
      <c r="D401" s="524"/>
      <c r="E401" s="524"/>
      <c r="F401" s="524"/>
      <c r="G401" s="525"/>
      <c r="H401" s="526" t="s">
        <v>66</v>
      </c>
      <c r="I401" s="527">
        <f t="shared" ref="I401:J401" si="173">I412</f>
        <v>0</v>
      </c>
      <c r="J401" s="527">
        <f t="shared" si="173"/>
        <v>0</v>
      </c>
      <c r="K401" s="528">
        <f t="shared" si="172"/>
        <v>0</v>
      </c>
      <c r="L401" s="529"/>
      <c r="M401" s="529"/>
      <c r="N401" s="529"/>
      <c r="O401" s="529"/>
      <c r="P401" s="529"/>
    </row>
    <row r="402" spans="1:26" ht="19.5" hidden="1">
      <c r="A402" s="147"/>
      <c r="B402" s="148"/>
      <c r="C402" s="149" t="s">
        <v>16</v>
      </c>
      <c r="D402" s="87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7"/>
      <c r="J403" s="617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7"/>
      <c r="J404" s="617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IFERROR(__xludf.DUMMYFUNCTION("IMPORTRANGE(""https://docs.google.com/spreadsheets/d/1MeEWN-I1oV_STSDYn1IFDPWt_1FKiwhDph83XaGc0o0/edit?usp=sharing"",""งบพรบ!FQ37"")"),0)</f>
        <v>0</v>
      </c>
      <c r="M407" s="93">
        <f ca="1">IFERROR(__xludf.DUMMYFUNCTION("IMPORTRANGE(""https://docs.google.com/spreadsheets/d/1MeEWN-I1oV_STSDYn1IFDPWt_1FKiwhDph83XaGc0o0/edit?usp=sharing"",""งบพรบ!FV37"")"),0)</f>
        <v>0</v>
      </c>
      <c r="N407" s="93">
        <f ca="1">IFERROR(__xludf.DUMMYFUNCTION("IMPORTRANGE(""https://docs.google.com/spreadsheets/d/1MeEWN-I1oV_STSDYn1IFDPWt_1FKiwhDph83XaGc0o0/edit?usp=sharing"",""งบพรบ!FX37"")"),0)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IFERROR(__xludf.DUMMYFUNCTION("IMPORTRANGE(""https://docs.google.com/spreadsheets/d/1MeEWN-I1oV_STSDYn1IFDPWt_1FKiwhDph83XaGc0o0/edit?usp=sharing"",""งบพรบ!FT37"")"),0)</f>
        <v>0</v>
      </c>
      <c r="M410" s="93">
        <f ca="1">IFERROR(__xludf.DUMMYFUNCTION("IMPORTRANGE(""https://docs.google.com/spreadsheets/d/1MeEWN-I1oV_STSDYn1IFDPWt_1FKiwhDph83XaGc0o0/edit?usp=sharing"",""งบพรบ!FW37"")"),0)</f>
        <v>0</v>
      </c>
      <c r="N410" s="93">
        <f ca="1">IFERROR(__xludf.DUMMYFUNCTION("IMPORTRANGE(""https://docs.google.com/spreadsheets/d/1MeEWN-I1oV_STSDYn1IFDPWt_1FKiwhDph83XaGc0o0/edit?usp=sharing"",""งบพรบ!FY37"")"),0)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90" t="s">
        <v>38</v>
      </c>
      <c r="E411" s="536"/>
      <c r="F411" s="536"/>
      <c r="G411" s="537"/>
      <c r="H411" s="762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8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9"/>
      <c r="B413" s="540"/>
      <c r="C413" s="540"/>
      <c r="D413" s="541" t="s">
        <v>179</v>
      </c>
      <c r="E413" s="540"/>
      <c r="F413" s="540"/>
      <c r="G413" s="542"/>
      <c r="H413" s="543" t="s">
        <v>180</v>
      </c>
      <c r="I413" s="544">
        <v>0</v>
      </c>
      <c r="J413" s="545">
        <v>0</v>
      </c>
      <c r="K413" s="546">
        <f t="shared" si="180"/>
        <v>0</v>
      </c>
      <c r="L413" s="547"/>
      <c r="M413" s="547"/>
      <c r="N413" s="547"/>
      <c r="O413" s="547"/>
      <c r="P413" s="547"/>
    </row>
    <row r="414" spans="1:26" ht="19.5">
      <c r="A414" s="548" t="s">
        <v>181</v>
      </c>
      <c r="B414" s="549"/>
      <c r="C414" s="549"/>
      <c r="D414" s="549"/>
      <c r="E414" s="549"/>
      <c r="F414" s="549"/>
      <c r="G414" s="550"/>
      <c r="H414" s="551"/>
      <c r="I414" s="552"/>
      <c r="J414" s="552"/>
      <c r="K414" s="553"/>
      <c r="L414" s="554">
        <f t="shared" ref="L414:N414" ca="1" si="181">L419+L444+L467+L502+L523+L544+L629+L655+L685+L737+L754+L770+L786+L805</f>
        <v>2792565</v>
      </c>
      <c r="M414" s="554">
        <f t="shared" ca="1" si="181"/>
        <v>2708030</v>
      </c>
      <c r="N414" s="554">
        <f t="shared" si="181"/>
        <v>2277030</v>
      </c>
      <c r="O414" s="554">
        <f ca="1">IF(L414&gt;0,N414*100/L414,0)</f>
        <v>81.539015206449989</v>
      </c>
      <c r="P414" s="554">
        <f ca="1">IF(M414&gt;0,N414*100/M414,0)</f>
        <v>84.084371295738976</v>
      </c>
    </row>
    <row r="415" spans="1:26" ht="19.5">
      <c r="A415" s="555" t="s">
        <v>182</v>
      </c>
      <c r="B415" s="556"/>
      <c r="C415" s="556"/>
      <c r="D415" s="556"/>
      <c r="E415" s="556"/>
      <c r="F415" s="556"/>
      <c r="G415" s="556"/>
      <c r="H415" s="557"/>
      <c r="I415" s="558"/>
      <c r="J415" s="558"/>
      <c r="K415" s="559"/>
      <c r="L415" s="560"/>
      <c r="M415" s="560"/>
      <c r="N415" s="560"/>
      <c r="O415" s="560"/>
      <c r="P415" s="560"/>
    </row>
    <row r="416" spans="1:26" ht="19.5">
      <c r="A416" s="555" t="s">
        <v>183</v>
      </c>
      <c r="B416" s="556"/>
      <c r="C416" s="556"/>
      <c r="D416" s="556"/>
      <c r="E416" s="556"/>
      <c r="F416" s="556"/>
      <c r="G416" s="561"/>
      <c r="H416" s="562"/>
      <c r="I416" s="563"/>
      <c r="J416" s="563"/>
      <c r="K416" s="560"/>
      <c r="L416" s="560"/>
      <c r="M416" s="560"/>
      <c r="N416" s="560"/>
      <c r="O416" s="560"/>
      <c r="P416" s="560"/>
    </row>
    <row r="417" spans="1:26" ht="39">
      <c r="A417" s="564">
        <v>1</v>
      </c>
      <c r="B417" s="566" t="s">
        <v>184</v>
      </c>
      <c r="C417" s="566"/>
      <c r="D417" s="567"/>
      <c r="E417" s="567"/>
      <c r="F417" s="567"/>
      <c r="G417" s="568"/>
      <c r="H417" s="569" t="s">
        <v>35</v>
      </c>
      <c r="I417" s="570">
        <f t="shared" ref="I417:J418" ca="1" si="182">I433</f>
        <v>15</v>
      </c>
      <c r="J417" s="570">
        <f t="shared" ca="1" si="182"/>
        <v>15</v>
      </c>
      <c r="K417" s="571">
        <f t="shared" ref="K417:K418" ca="1" si="183">IF(I417&gt;0,J417*100/I417,0)</f>
        <v>100</v>
      </c>
      <c r="L417" s="572"/>
      <c r="M417" s="572"/>
      <c r="N417" s="572"/>
      <c r="O417" s="572"/>
      <c r="P417" s="572"/>
    </row>
    <row r="418" spans="1:26" ht="19.5">
      <c r="A418" s="573"/>
      <c r="B418" s="564"/>
      <c r="C418" s="566"/>
      <c r="D418" s="567"/>
      <c r="E418" s="567"/>
      <c r="F418" s="567"/>
      <c r="G418" s="568"/>
      <c r="H418" s="569" t="s">
        <v>49</v>
      </c>
      <c r="I418" s="570">
        <f t="shared" ca="1" si="182"/>
        <v>1</v>
      </c>
      <c r="J418" s="570">
        <f t="shared" si="182"/>
        <v>1</v>
      </c>
      <c r="K418" s="571">
        <f t="shared" ca="1" si="183"/>
        <v>100</v>
      </c>
      <c r="L418" s="572"/>
      <c r="M418" s="572"/>
      <c r="N418" s="572"/>
      <c r="O418" s="572"/>
      <c r="P418" s="572"/>
    </row>
    <row r="419" spans="1:26" ht="19.5">
      <c r="A419" s="147"/>
      <c r="B419" s="148"/>
      <c r="C419" s="148" t="s">
        <v>16</v>
      </c>
      <c r="D419" s="891" t="s">
        <v>17</v>
      </c>
      <c r="E419" s="862"/>
      <c r="F419" s="86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66760</v>
      </c>
      <c r="M419" s="155">
        <f t="shared" ca="1" si="184"/>
        <v>71760</v>
      </c>
      <c r="N419" s="155">
        <f t="shared" si="184"/>
        <v>71760</v>
      </c>
      <c r="O419" s="155">
        <f t="shared" ref="O419:O424" ca="1" si="185">IF(L419&gt;0,N419*100/L419,0)</f>
        <v>107.48951467944877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7"/>
      <c r="J420" s="617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7"/>
      <c r="J421" s="617"/>
      <c r="K421" s="93"/>
      <c r="L421" s="93">
        <f t="shared" ca="1" si="187"/>
        <v>66760</v>
      </c>
      <c r="M421" s="93">
        <f t="shared" ca="1" si="187"/>
        <v>71760</v>
      </c>
      <c r="N421" s="93">
        <f t="shared" si="187"/>
        <v>71760</v>
      </c>
      <c r="O421" s="93">
        <f t="shared" ca="1" si="185"/>
        <v>107.48951467944877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66760</v>
      </c>
      <c r="M422" s="498">
        <f t="shared" ca="1" si="188"/>
        <v>71760</v>
      </c>
      <c r="N422" s="498">
        <f t="shared" si="188"/>
        <v>71760</v>
      </c>
      <c r="O422" s="498">
        <f t="shared" ca="1" si="185"/>
        <v>107.48951467944877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7"/>
      <c r="J423" s="617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7"/>
      <c r="J424" s="617"/>
      <c r="K424" s="93"/>
      <c r="L424" s="93">
        <f ca="1">IFERROR(__xludf.DUMMYFUNCTION("IMPORTRANGE(""https://docs.google.com/spreadsheets/d/1QqKyyYR6Q21VydFLVH3TRQUabQu_ym0Zz7PgGX0-kHA/edit?usp=sharing"",""แผน!EY37"")"),66760)</f>
        <v>66760</v>
      </c>
      <c r="M424" s="93">
        <f ca="1">L424+5000</f>
        <v>71760</v>
      </c>
      <c r="N424" s="93">
        <f>N425+N426+N427+N428</f>
        <v>71760</v>
      </c>
      <c r="O424" s="93">
        <f t="shared" ca="1" si="185"/>
        <v>107.48951467944877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4"/>
      <c r="B425" s="575"/>
      <c r="C425" s="763"/>
      <c r="D425" s="763"/>
      <c r="E425" s="763"/>
      <c r="F425" s="763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40">
        <v>47530</v>
      </c>
      <c r="O425" s="498"/>
      <c r="P425" s="49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</row>
    <row r="426" spans="1:26" ht="18.75">
      <c r="A426" s="574"/>
      <c r="B426" s="575"/>
      <c r="C426" s="763"/>
      <c r="D426" s="763"/>
      <c r="E426" s="763"/>
      <c r="F426" s="763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40">
        <v>0</v>
      </c>
      <c r="O426" s="498"/>
      <c r="P426" s="49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</row>
    <row r="427" spans="1:26" ht="18.75">
      <c r="A427" s="574"/>
      <c r="B427" s="575"/>
      <c r="C427" s="763"/>
      <c r="D427" s="763"/>
      <c r="E427" s="763"/>
      <c r="F427" s="763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40">
        <v>0</v>
      </c>
      <c r="O427" s="498"/>
      <c r="P427" s="49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40">
        <v>24230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92" t="s">
        <v>38</v>
      </c>
      <c r="E432" s="580"/>
      <c r="F432" s="580"/>
      <c r="G432" s="581"/>
      <c r="H432" s="582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1">
        <f ca="1">I435</f>
        <v>15</v>
      </c>
      <c r="J433" s="681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1">
        <f t="shared" ref="I434:J434" ca="1" si="193">I438+I440</f>
        <v>1</v>
      </c>
      <c r="J434" s="681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3" t="s">
        <v>35</v>
      </c>
      <c r="I435" s="583">
        <f ca="1">IFERROR(__xludf.DUMMYFUNCTION("IMPORTRANGE(""https://docs.google.com/spreadsheets/d/1QqKyyYR6Q21VydFLVH3TRQUabQu_ym0Zz7PgGX0-kHA/edit?usp=sharing"",""แผน!FC37"")"),15)</f>
        <v>15</v>
      </c>
      <c r="J435" s="584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3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3" t="s">
        <v>35</v>
      </c>
      <c r="I437" s="583">
        <f ca="1">IFERROR(__xludf.DUMMYFUNCTION("IMPORTRANGE(""https://docs.google.com/spreadsheets/d/1QqKyyYR6Q21VydFLVH3TRQUabQu_ym0Zz7PgGX0-kHA/edit?usp=sharing"",""แผน!FD37"")"),0)</f>
        <v>0</v>
      </c>
      <c r="J437" s="584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3" t="s">
        <v>49</v>
      </c>
      <c r="I438" s="270">
        <f ca="1">IFERROR(__xludf.DUMMYFUNCTION("IMPORTRANGE(""https://docs.google.com/spreadsheets/d/1QqKyyYR6Q21VydFLVH3TRQUabQu_ym0Zz7PgGX0-kHA/edit?usp=sharing"",""แผน!FE37"")"),0)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3" t="s">
        <v>35</v>
      </c>
      <c r="I439" s="583">
        <f ca="1">IFERROR(__xludf.DUMMYFUNCTION("IMPORTRANGE(""https://docs.google.com/spreadsheets/d/1QqKyyYR6Q21VydFLVH3TRQUabQu_ym0Zz7PgGX0-kHA/edit?usp=sharing"",""แผน!FF37"")"),15)</f>
        <v>15</v>
      </c>
      <c r="J439" s="584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3" t="s">
        <v>49</v>
      </c>
      <c r="I440" s="270">
        <f ca="1">IFERROR(__xludf.DUMMYFUNCTION("IMPORTRANGE(""https://docs.google.com/spreadsheets/d/1QqKyyYR6Q21VydFLVH3TRQUabQu_ym0Zz7PgGX0-kHA/edit?usp=sharing"",""แผน!FG37"")"),1)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3" t="s">
        <v>35</v>
      </c>
      <c r="I441" s="270">
        <f ca="1">IFERROR(__xludf.DUMMYFUNCTION("IMPORTRANGE(""https://docs.google.com/spreadsheets/d/1QqKyyYR6Q21VydFLVH3TRQUabQu_ym0Zz7PgGX0-kHA/edit?usp=sharing"",""แผน!FH37"")"),0)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5">
        <v>2</v>
      </c>
      <c r="B442" s="586" t="s">
        <v>200</v>
      </c>
      <c r="C442" s="587"/>
      <c r="D442" s="587"/>
      <c r="E442" s="587"/>
      <c r="F442" s="587"/>
      <c r="G442" s="588"/>
      <c r="H442" s="589" t="s">
        <v>35</v>
      </c>
      <c r="I442" s="590">
        <f t="shared" ref="I442:J442" ca="1" si="195">I460</f>
        <v>100</v>
      </c>
      <c r="J442" s="590">
        <f t="shared" si="195"/>
        <v>100</v>
      </c>
      <c r="K442" s="591">
        <f t="shared" ca="1" si="194"/>
        <v>100</v>
      </c>
      <c r="L442" s="592"/>
      <c r="M442" s="592"/>
      <c r="N442" s="592"/>
      <c r="O442" s="592"/>
      <c r="P442" s="592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</row>
    <row r="443" spans="1:26" ht="19.5">
      <c r="A443" s="593"/>
      <c r="B443" s="594"/>
      <c r="C443" s="595"/>
      <c r="D443" s="595"/>
      <c r="E443" s="595"/>
      <c r="F443" s="595"/>
      <c r="G443" s="596"/>
      <c r="H443" s="569" t="s">
        <v>46</v>
      </c>
      <c r="I443" s="570">
        <f t="shared" ref="I443:J443" ca="1" si="196">I462</f>
        <v>150</v>
      </c>
      <c r="J443" s="570">
        <f t="shared" si="196"/>
        <v>150</v>
      </c>
      <c r="K443" s="571">
        <f t="shared" ca="1" si="194"/>
        <v>100</v>
      </c>
      <c r="L443" s="572"/>
      <c r="M443" s="572"/>
      <c r="N443" s="572"/>
      <c r="O443" s="572"/>
      <c r="P443" s="572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</row>
    <row r="444" spans="1:26" ht="19.5">
      <c r="A444" s="597"/>
      <c r="B444" s="763"/>
      <c r="C444" s="763" t="s">
        <v>16</v>
      </c>
      <c r="D444" s="863" t="s">
        <v>17</v>
      </c>
      <c r="E444" s="857"/>
      <c r="F444" s="857"/>
      <c r="G444" s="189"/>
      <c r="H444" s="598" t="s">
        <v>12</v>
      </c>
      <c r="I444" s="270"/>
      <c r="J444" s="270"/>
      <c r="K444" s="498"/>
      <c r="L444" s="195">
        <f t="shared" ref="L444:N444" ca="1" si="197">L445+L446</f>
        <v>503280</v>
      </c>
      <c r="M444" s="195">
        <f t="shared" ca="1" si="197"/>
        <v>515597</v>
      </c>
      <c r="N444" s="195">
        <f t="shared" si="197"/>
        <v>515597</v>
      </c>
      <c r="O444" s="195">
        <f t="shared" ref="O444:O449" ca="1" si="198">IF(L444&gt;0,N444*100/L444,0)</f>
        <v>102.44734541408361</v>
      </c>
      <c r="P444" s="195">
        <f t="shared" ref="P444:P449" ca="1" si="199">IF(M444&gt;0,N444*100/M444,0)</f>
        <v>100</v>
      </c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</row>
    <row r="445" spans="1:26" ht="18.75" hidden="1">
      <c r="A445" s="599"/>
      <c r="B445" s="759"/>
      <c r="C445" s="759"/>
      <c r="D445" s="720"/>
      <c r="E445" s="759" t="s">
        <v>185</v>
      </c>
      <c r="F445" s="759"/>
      <c r="G445" s="603"/>
      <c r="H445" s="165" t="s">
        <v>12</v>
      </c>
      <c r="I445" s="617"/>
      <c r="J445" s="617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4"/>
      <c r="R445" s="604"/>
      <c r="S445" s="604"/>
      <c r="T445" s="604"/>
      <c r="U445" s="604"/>
      <c r="V445" s="604"/>
      <c r="W445" s="604"/>
      <c r="X445" s="604"/>
      <c r="Y445" s="604"/>
      <c r="Z445" s="604"/>
    </row>
    <row r="446" spans="1:26" ht="18.75" hidden="1">
      <c r="A446" s="599"/>
      <c r="B446" s="607"/>
      <c r="C446" s="759"/>
      <c r="D446" s="720"/>
      <c r="E446" s="759" t="s">
        <v>186</v>
      </c>
      <c r="F446" s="759"/>
      <c r="G446" s="603"/>
      <c r="H446" s="165" t="s">
        <v>12</v>
      </c>
      <c r="I446" s="617"/>
      <c r="J446" s="617"/>
      <c r="K446" s="93"/>
      <c r="L446" s="93">
        <f t="shared" ca="1" si="200"/>
        <v>503280</v>
      </c>
      <c r="M446" s="93">
        <f t="shared" ca="1" si="200"/>
        <v>515597</v>
      </c>
      <c r="N446" s="93">
        <f t="shared" si="200"/>
        <v>515597</v>
      </c>
      <c r="O446" s="93">
        <f t="shared" ca="1" si="198"/>
        <v>102.44734541408361</v>
      </c>
      <c r="P446" s="93">
        <f t="shared" ca="1" si="199"/>
        <v>100</v>
      </c>
      <c r="Q446" s="604"/>
      <c r="R446" s="604"/>
      <c r="S446" s="604"/>
      <c r="T446" s="604"/>
      <c r="U446" s="604"/>
      <c r="V446" s="604"/>
      <c r="W446" s="604"/>
      <c r="X446" s="604"/>
      <c r="Y446" s="604"/>
      <c r="Z446" s="604"/>
    </row>
    <row r="447" spans="1:26" ht="18.75">
      <c r="A447" s="597"/>
      <c r="B447" s="575"/>
      <c r="C447" s="763"/>
      <c r="D447" s="606" t="s">
        <v>20</v>
      </c>
      <c r="E447" s="763"/>
      <c r="F447" s="763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503280</v>
      </c>
      <c r="M447" s="498">
        <f t="shared" ca="1" si="201"/>
        <v>515597</v>
      </c>
      <c r="N447" s="498">
        <f t="shared" si="201"/>
        <v>515597</v>
      </c>
      <c r="O447" s="498">
        <f t="shared" ca="1" si="198"/>
        <v>102.44734541408361</v>
      </c>
      <c r="P447" s="498">
        <f t="shared" ca="1" si="199"/>
        <v>100</v>
      </c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</row>
    <row r="448" spans="1:26" ht="18.75" hidden="1">
      <c r="A448" s="599"/>
      <c r="B448" s="607"/>
      <c r="C448" s="759"/>
      <c r="D448" s="720"/>
      <c r="E448" s="759" t="s">
        <v>185</v>
      </c>
      <c r="F448" s="759"/>
      <c r="G448" s="603"/>
      <c r="H448" s="165" t="s">
        <v>12</v>
      </c>
      <c r="I448" s="617"/>
      <c r="J448" s="617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</row>
    <row r="449" spans="1:26" ht="18.75" hidden="1">
      <c r="A449" s="599"/>
      <c r="B449" s="607"/>
      <c r="C449" s="759"/>
      <c r="D449" s="720"/>
      <c r="E449" s="759" t="s">
        <v>186</v>
      </c>
      <c r="F449" s="759"/>
      <c r="G449" s="603"/>
      <c r="H449" s="165" t="s">
        <v>12</v>
      </c>
      <c r="I449" s="617"/>
      <c r="J449" s="617"/>
      <c r="K449" s="93"/>
      <c r="L449" s="93">
        <f ca="1">IFERROR(__xludf.DUMMYFUNCTION("IMPORTRANGE(""https://docs.google.com/spreadsheets/d/1QqKyyYR6Q21VydFLVH3TRQUabQu_ym0Zz7PgGX0-kHA/edit?usp=sharing"",""แผน!FJ37"")"),503280)</f>
        <v>503280</v>
      </c>
      <c r="M449" s="93">
        <f ca="1">L449+16570-4253</f>
        <v>515597</v>
      </c>
      <c r="N449" s="93">
        <f>N450+N451+N452+N453</f>
        <v>515597</v>
      </c>
      <c r="O449" s="93">
        <f t="shared" ca="1" si="198"/>
        <v>102.44734541408361</v>
      </c>
      <c r="P449" s="93">
        <f t="shared" ca="1" si="199"/>
        <v>100</v>
      </c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</row>
    <row r="450" spans="1:26" ht="18.75">
      <c r="A450" s="574"/>
      <c r="B450" s="575"/>
      <c r="C450" s="763"/>
      <c r="D450" s="763"/>
      <c r="E450" s="763"/>
      <c r="F450" s="763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40">
        <v>145370</v>
      </c>
      <c r="O450" s="498"/>
      <c r="P450" s="49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</row>
    <row r="451" spans="1:26" ht="18.75">
      <c r="A451" s="574"/>
      <c r="B451" s="575"/>
      <c r="C451" s="763"/>
      <c r="D451" s="763"/>
      <c r="E451" s="763"/>
      <c r="F451" s="763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40">
        <v>165000</v>
      </c>
      <c r="O451" s="498"/>
      <c r="P451" s="49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</row>
    <row r="452" spans="1:26" ht="18.75">
      <c r="A452" s="574"/>
      <c r="B452" s="575"/>
      <c r="C452" s="575"/>
      <c r="D452" s="575"/>
      <c r="E452" s="575"/>
      <c r="F452" s="763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40">
        <v>125747</v>
      </c>
      <c r="O452" s="498"/>
      <c r="P452" s="49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</row>
    <row r="453" spans="1:26" ht="18.75">
      <c r="A453" s="574"/>
      <c r="B453" s="575"/>
      <c r="C453" s="575"/>
      <c r="D453" s="575"/>
      <c r="E453" s="575"/>
      <c r="F453" s="763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40">
        <v>79480</v>
      </c>
      <c r="O453" s="498"/>
      <c r="P453" s="49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</row>
    <row r="454" spans="1:26" ht="18.75">
      <c r="A454" s="597"/>
      <c r="B454" s="575"/>
      <c r="C454" s="575"/>
      <c r="D454" s="606" t="s">
        <v>21</v>
      </c>
      <c r="E454" s="575"/>
      <c r="F454" s="763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</row>
    <row r="455" spans="1:26" ht="18.75" hidden="1">
      <c r="A455" s="599"/>
      <c r="B455" s="607"/>
      <c r="C455" s="607"/>
      <c r="D455" s="607"/>
      <c r="E455" s="607" t="s">
        <v>18</v>
      </c>
      <c r="F455" s="759"/>
      <c r="G455" s="603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4"/>
      <c r="R455" s="604"/>
      <c r="S455" s="604"/>
      <c r="T455" s="604"/>
      <c r="U455" s="604"/>
      <c r="V455" s="604"/>
      <c r="W455" s="604"/>
      <c r="X455" s="604"/>
      <c r="Y455" s="604"/>
      <c r="Z455" s="604"/>
    </row>
    <row r="456" spans="1:26" ht="18.75" hidden="1">
      <c r="A456" s="599"/>
      <c r="B456" s="607"/>
      <c r="C456" s="607"/>
      <c r="D456" s="607"/>
      <c r="E456" s="607" t="s">
        <v>19</v>
      </c>
      <c r="F456" s="759"/>
      <c r="G456" s="603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4"/>
      <c r="R456" s="604"/>
      <c r="S456" s="604"/>
      <c r="T456" s="604"/>
      <c r="U456" s="604"/>
      <c r="V456" s="604"/>
      <c r="W456" s="604"/>
      <c r="X456" s="604"/>
      <c r="Y456" s="604"/>
      <c r="Z456" s="604"/>
    </row>
    <row r="457" spans="1:26" ht="19.5">
      <c r="A457" s="608"/>
      <c r="B457" s="618"/>
      <c r="C457" s="575" t="s">
        <v>16</v>
      </c>
      <c r="D457" s="893" t="s">
        <v>38</v>
      </c>
      <c r="E457" s="611"/>
      <c r="F457" s="761"/>
      <c r="G457" s="613"/>
      <c r="H457" s="762"/>
      <c r="I457" s="270"/>
      <c r="J457" s="270"/>
      <c r="K457" s="498"/>
      <c r="L457" s="498"/>
      <c r="M457" s="498"/>
      <c r="N457" s="498"/>
      <c r="O457" s="498"/>
      <c r="P457" s="49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</row>
    <row r="458" spans="1:26" ht="18.75" hidden="1">
      <c r="A458" s="614"/>
      <c r="B458" s="616"/>
      <c r="C458" s="616"/>
      <c r="D458" s="616" t="s">
        <v>201</v>
      </c>
      <c r="E458" s="616"/>
      <c r="F458" s="720"/>
      <c r="G458" s="366"/>
      <c r="H458" s="370" t="s">
        <v>35</v>
      </c>
      <c r="I458" s="617">
        <v>0</v>
      </c>
      <c r="J458" s="617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4"/>
      <c r="R458" s="604"/>
      <c r="S458" s="604"/>
      <c r="T458" s="604"/>
      <c r="U458" s="604"/>
      <c r="V458" s="604"/>
      <c r="W458" s="604"/>
      <c r="X458" s="604"/>
      <c r="Y458" s="604"/>
      <c r="Z458" s="604"/>
    </row>
    <row r="459" spans="1:26" ht="18.75" hidden="1">
      <c r="A459" s="614"/>
      <c r="B459" s="616"/>
      <c r="C459" s="616"/>
      <c r="D459" s="616" t="s">
        <v>202</v>
      </c>
      <c r="E459" s="616"/>
      <c r="F459" s="720"/>
      <c r="G459" s="366"/>
      <c r="H459" s="370"/>
      <c r="I459" s="617"/>
      <c r="J459" s="617"/>
      <c r="K459" s="93"/>
      <c r="L459" s="93"/>
      <c r="M459" s="93"/>
      <c r="N459" s="93"/>
      <c r="O459" s="93"/>
      <c r="P459" s="93"/>
      <c r="Q459" s="604"/>
      <c r="R459" s="604"/>
      <c r="S459" s="604"/>
      <c r="T459" s="604"/>
      <c r="U459" s="604"/>
      <c r="V459" s="604"/>
      <c r="W459" s="604"/>
      <c r="X459" s="604"/>
      <c r="Y459" s="604"/>
      <c r="Z459" s="604"/>
    </row>
    <row r="460" spans="1:26" ht="18.75">
      <c r="A460" s="608"/>
      <c r="B460" s="618"/>
      <c r="C460" s="618"/>
      <c r="D460" s="618" t="s">
        <v>203</v>
      </c>
      <c r="E460" s="618"/>
      <c r="F460" s="626"/>
      <c r="G460" s="762"/>
      <c r="H460" s="764" t="s">
        <v>35</v>
      </c>
      <c r="I460" s="270">
        <f ca="1">IFERROR(__xludf.DUMMYFUNCTION("IMPORTRANGE(""https://docs.google.com/spreadsheets/d/1QqKyyYR6Q21VydFLVH3TRQUabQu_ym0Zz7PgGX0-kHA/edit?usp=sharing"",""แผน!FN37"")"),100)</f>
        <v>100</v>
      </c>
      <c r="J460" s="215">
        <v>100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</row>
    <row r="461" spans="1:26" ht="18.75">
      <c r="A461" s="608"/>
      <c r="B461" s="618"/>
      <c r="C461" s="618"/>
      <c r="D461" s="618" t="s">
        <v>204</v>
      </c>
      <c r="E461" s="626"/>
      <c r="F461" s="626"/>
      <c r="G461" s="762"/>
      <c r="H461" s="764"/>
      <c r="I461" s="270"/>
      <c r="J461" s="270"/>
      <c r="K461" s="498"/>
      <c r="L461" s="498"/>
      <c r="M461" s="498"/>
      <c r="N461" s="498"/>
      <c r="O461" s="498"/>
      <c r="P461" s="49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</row>
    <row r="462" spans="1:26" ht="18.75">
      <c r="A462" s="608"/>
      <c r="B462" s="618"/>
      <c r="C462" s="618"/>
      <c r="D462" s="618" t="s">
        <v>205</v>
      </c>
      <c r="E462" s="626"/>
      <c r="F462" s="626"/>
      <c r="G462" s="762"/>
      <c r="H462" s="764" t="s">
        <v>46</v>
      </c>
      <c r="I462" s="270">
        <f ca="1">IFERROR(__xludf.DUMMYFUNCTION("IMPORTRANGE(""https://docs.google.com/spreadsheets/d/1QqKyyYR6Q21VydFLVH3TRQUabQu_ym0Zz7PgGX0-kHA/edit?usp=sharing"",""แผน!FO37"")"),150)</f>
        <v>150</v>
      </c>
      <c r="J462" s="215">
        <v>150</v>
      </c>
      <c r="K462" s="498">
        <f t="shared" ref="K462:K466" ca="1" si="205">IF(I462&gt;0,J462*100/I462,0)</f>
        <v>100</v>
      </c>
      <c r="L462" s="498"/>
      <c r="M462" s="498"/>
      <c r="N462" s="498"/>
      <c r="O462" s="498"/>
      <c r="P462" s="49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</row>
    <row r="463" spans="1:26" ht="18.75">
      <c r="A463" s="608"/>
      <c r="B463" s="618"/>
      <c r="C463" s="618"/>
      <c r="D463" s="618" t="s">
        <v>59</v>
      </c>
      <c r="E463" s="626"/>
      <c r="F463" s="763"/>
      <c r="G463" s="189"/>
      <c r="H463" s="764" t="s">
        <v>46</v>
      </c>
      <c r="I463" s="270">
        <f ca="1">IFERROR(__xludf.DUMMYFUNCTION("IMPORTRANGE(""https://docs.google.com/spreadsheets/d/1QqKyyYR6Q21VydFLVH3TRQUabQu_ym0Zz7PgGX0-kHA/edit?usp=sharing"",""แผน!FO37"")"),150)</f>
        <v>150</v>
      </c>
      <c r="J463" s="215">
        <v>150</v>
      </c>
      <c r="K463" s="498">
        <f t="shared" ca="1" si="205"/>
        <v>100</v>
      </c>
      <c r="L463" s="498"/>
      <c r="M463" s="498"/>
      <c r="N463" s="498"/>
      <c r="O463" s="498"/>
      <c r="P463" s="49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</row>
    <row r="464" spans="1:26" ht="19.5">
      <c r="A464" s="608"/>
      <c r="B464" s="618"/>
      <c r="C464" s="618"/>
      <c r="D464" s="618"/>
      <c r="E464" s="626"/>
      <c r="F464" s="626"/>
      <c r="G464" s="620"/>
      <c r="H464" s="764" t="s">
        <v>35</v>
      </c>
      <c r="I464" s="270">
        <f ca="1">IFERROR(__xludf.DUMMYFUNCTION("IMPORTRANGE(""https://docs.google.com/spreadsheets/d/1QqKyyYR6Q21VydFLVH3TRQUabQu_ym0Zz7PgGX0-kHA/edit?usp=sharing"",""แผน!FN37"")"),100)</f>
        <v>100</v>
      </c>
      <c r="J464" s="215">
        <v>100</v>
      </c>
      <c r="K464" s="498">
        <f t="shared" ca="1" si="205"/>
        <v>100</v>
      </c>
      <c r="L464" s="498"/>
      <c r="M464" s="498"/>
      <c r="N464" s="498"/>
      <c r="O464" s="498"/>
      <c r="P464" s="49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</row>
    <row r="465" spans="1:26" ht="19.5">
      <c r="A465" s="585">
        <v>3</v>
      </c>
      <c r="B465" s="586" t="s">
        <v>206</v>
      </c>
      <c r="C465" s="587"/>
      <c r="D465" s="587"/>
      <c r="E465" s="587"/>
      <c r="F465" s="587"/>
      <c r="G465" s="588"/>
      <c r="H465" s="589" t="s">
        <v>35</v>
      </c>
      <c r="I465" s="590">
        <f ca="1">IFERROR(__xludf.DUMMYFUNCTION("IMPORTRANGE(""https://docs.google.com/spreadsheets/d/1QqKyyYR6Q21VydFLVH3TRQUabQu_ym0Zz7PgGX0-kHA/edit?usp=sharing"",""แผน!FX37"")"),131)</f>
        <v>131</v>
      </c>
      <c r="J465" s="590">
        <f>J485+J489+J492</f>
        <v>131</v>
      </c>
      <c r="K465" s="591">
        <f t="shared" ca="1" si="205"/>
        <v>100</v>
      </c>
      <c r="L465" s="592"/>
      <c r="M465" s="592"/>
      <c r="N465" s="592"/>
      <c r="O465" s="592"/>
      <c r="P465" s="592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</row>
    <row r="466" spans="1:26" ht="19.5">
      <c r="A466" s="593"/>
      <c r="B466" s="594"/>
      <c r="C466" s="595"/>
      <c r="D466" s="595"/>
      <c r="E466" s="595"/>
      <c r="F466" s="595"/>
      <c r="G466" s="596"/>
      <c r="H466" s="569" t="s">
        <v>46</v>
      </c>
      <c r="I466" s="570">
        <f ca="1">IFERROR(__xludf.DUMMYFUNCTION("IMPORTRANGE(""https://docs.google.com/spreadsheets/d/1QqKyyYR6Q21VydFLVH3TRQUabQu_ym0Zz7PgGX0-kHA/edit?usp=sharing"",""แผน!FW37"")"),1300)</f>
        <v>1300</v>
      </c>
      <c r="J466" s="570">
        <f>J495+J498</f>
        <v>1300</v>
      </c>
      <c r="K466" s="571">
        <f t="shared" ca="1" si="205"/>
        <v>100</v>
      </c>
      <c r="L466" s="572"/>
      <c r="M466" s="572"/>
      <c r="N466" s="572"/>
      <c r="O466" s="572"/>
      <c r="P466" s="572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</row>
    <row r="467" spans="1:26" ht="19.5">
      <c r="A467" s="597"/>
      <c r="B467" s="763"/>
      <c r="C467" s="763" t="s">
        <v>16</v>
      </c>
      <c r="D467" s="863" t="s">
        <v>17</v>
      </c>
      <c r="E467" s="857"/>
      <c r="F467" s="857"/>
      <c r="G467" s="189"/>
      <c r="H467" s="598" t="s">
        <v>12</v>
      </c>
      <c r="I467" s="270"/>
      <c r="J467" s="270"/>
      <c r="K467" s="498"/>
      <c r="L467" s="195">
        <f t="shared" ref="L467:N467" ca="1" si="206">L468+L469</f>
        <v>1161548</v>
      </c>
      <c r="M467" s="195">
        <f t="shared" ca="1" si="206"/>
        <v>1171399</v>
      </c>
      <c r="N467" s="195">
        <f t="shared" si="206"/>
        <v>740399</v>
      </c>
      <c r="O467" s="195">
        <f t="shared" ref="O467:O472" ca="1" si="207">IF(L467&gt;0,N467*100/L467,0)</f>
        <v>63.742436817075145</v>
      </c>
      <c r="P467" s="195">
        <f t="shared" ref="P467:P472" ca="1" si="208">IF(M467&gt;0,N467*100/M467,0)</f>
        <v>63.206388258825555</v>
      </c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</row>
    <row r="468" spans="1:26" ht="18.75" hidden="1">
      <c r="A468" s="599"/>
      <c r="B468" s="759"/>
      <c r="C468" s="759"/>
      <c r="D468" s="720"/>
      <c r="E468" s="759" t="s">
        <v>185</v>
      </c>
      <c r="F468" s="759"/>
      <c r="G468" s="603"/>
      <c r="H468" s="165" t="s">
        <v>12</v>
      </c>
      <c r="I468" s="617"/>
      <c r="J468" s="617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4"/>
      <c r="R468" s="604"/>
      <c r="S468" s="604"/>
      <c r="T468" s="604"/>
      <c r="U468" s="604"/>
      <c r="V468" s="604"/>
      <c r="W468" s="604"/>
      <c r="X468" s="604"/>
      <c r="Y468" s="604"/>
      <c r="Z468" s="604"/>
    </row>
    <row r="469" spans="1:26" ht="18.75" hidden="1">
      <c r="A469" s="599"/>
      <c r="B469" s="607"/>
      <c r="C469" s="759"/>
      <c r="D469" s="720"/>
      <c r="E469" s="759" t="s">
        <v>186</v>
      </c>
      <c r="F469" s="759"/>
      <c r="G469" s="603"/>
      <c r="H469" s="165" t="s">
        <v>12</v>
      </c>
      <c r="I469" s="617"/>
      <c r="J469" s="617"/>
      <c r="K469" s="93"/>
      <c r="L469" s="93">
        <f t="shared" ca="1" si="209"/>
        <v>1161548</v>
      </c>
      <c r="M469" s="93">
        <f t="shared" ca="1" si="209"/>
        <v>1171399</v>
      </c>
      <c r="N469" s="93">
        <f t="shared" si="209"/>
        <v>740399</v>
      </c>
      <c r="O469" s="93">
        <f t="shared" ca="1" si="207"/>
        <v>63.742436817075145</v>
      </c>
      <c r="P469" s="93">
        <f t="shared" ca="1" si="208"/>
        <v>63.206388258825555</v>
      </c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</row>
    <row r="470" spans="1:26" ht="18.75">
      <c r="A470" s="597"/>
      <c r="B470" s="575"/>
      <c r="C470" s="763"/>
      <c r="D470" s="606" t="s">
        <v>20</v>
      </c>
      <c r="E470" s="763"/>
      <c r="F470" s="763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1161548</v>
      </c>
      <c r="M470" s="498">
        <f t="shared" ca="1" si="210"/>
        <v>1171399</v>
      </c>
      <c r="N470" s="498">
        <f t="shared" si="210"/>
        <v>740399</v>
      </c>
      <c r="O470" s="498">
        <f t="shared" ca="1" si="207"/>
        <v>63.742436817075145</v>
      </c>
      <c r="P470" s="498">
        <f t="shared" ca="1" si="208"/>
        <v>63.206388258825555</v>
      </c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</row>
    <row r="471" spans="1:26" ht="18.75" hidden="1">
      <c r="A471" s="599"/>
      <c r="B471" s="607"/>
      <c r="C471" s="759"/>
      <c r="D471" s="720"/>
      <c r="E471" s="759" t="s">
        <v>185</v>
      </c>
      <c r="F471" s="759"/>
      <c r="G471" s="603"/>
      <c r="H471" s="165" t="s">
        <v>12</v>
      </c>
      <c r="I471" s="617"/>
      <c r="J471" s="617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4"/>
      <c r="R471" s="604"/>
      <c r="S471" s="604"/>
      <c r="T471" s="604"/>
      <c r="U471" s="604"/>
      <c r="V471" s="604"/>
      <c r="W471" s="604"/>
      <c r="X471" s="604"/>
      <c r="Y471" s="604"/>
      <c r="Z471" s="604"/>
    </row>
    <row r="472" spans="1:26" ht="18.75" hidden="1">
      <c r="A472" s="599"/>
      <c r="B472" s="607"/>
      <c r="C472" s="759"/>
      <c r="D472" s="720"/>
      <c r="E472" s="759" t="s">
        <v>186</v>
      </c>
      <c r="F472" s="759"/>
      <c r="G472" s="603"/>
      <c r="H472" s="165" t="s">
        <v>12</v>
      </c>
      <c r="I472" s="617"/>
      <c r="J472" s="617"/>
      <c r="K472" s="93"/>
      <c r="L472" s="93">
        <f ca="1">IFERROR(__xludf.DUMMYFUNCTION("IMPORTRANGE(""https://docs.google.com/spreadsheets/d/1QqKyyYR6Q21VydFLVH3TRQUabQu_ym0Zz7PgGX0-kHA/edit?usp=sharing"",""แผน!FS37"")"),1161548)</f>
        <v>1161548</v>
      </c>
      <c r="M472" s="93">
        <f ca="1">L472+11990-2139</f>
        <v>1171399</v>
      </c>
      <c r="N472" s="93">
        <f>N473+N474+N475+N476</f>
        <v>740399</v>
      </c>
      <c r="O472" s="93">
        <f t="shared" ca="1" si="207"/>
        <v>63.742436817075145</v>
      </c>
      <c r="P472" s="93">
        <f t="shared" ca="1" si="208"/>
        <v>63.206388258825555</v>
      </c>
      <c r="Q472" s="604"/>
      <c r="R472" s="604"/>
      <c r="S472" s="604"/>
      <c r="T472" s="604"/>
      <c r="U472" s="604"/>
      <c r="V472" s="604"/>
      <c r="W472" s="604"/>
      <c r="X472" s="604"/>
      <c r="Y472" s="604"/>
      <c r="Z472" s="604"/>
    </row>
    <row r="473" spans="1:26" ht="18.75">
      <c r="A473" s="574"/>
      <c r="B473" s="575"/>
      <c r="C473" s="763"/>
      <c r="D473" s="763"/>
      <c r="E473" s="763"/>
      <c r="F473" s="763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40">
        <v>167243</v>
      </c>
      <c r="O473" s="498"/>
      <c r="P473" s="49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</row>
    <row r="474" spans="1:26" ht="18.75">
      <c r="A474" s="574"/>
      <c r="B474" s="575"/>
      <c r="C474" s="763"/>
      <c r="D474" s="763"/>
      <c r="E474" s="763"/>
      <c r="F474" s="763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40">
        <v>392000</v>
      </c>
      <c r="O474" s="498"/>
      <c r="P474" s="49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</row>
    <row r="475" spans="1:26" ht="18.75">
      <c r="A475" s="574"/>
      <c r="B475" s="575"/>
      <c r="C475" s="575"/>
      <c r="D475" s="575"/>
      <c r="E475" s="575"/>
      <c r="F475" s="763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40">
        <v>127861</v>
      </c>
      <c r="O475" s="498"/>
      <c r="P475" s="49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</row>
    <row r="476" spans="1:26" ht="18.75">
      <c r="A476" s="574"/>
      <c r="B476" s="575"/>
      <c r="C476" s="575"/>
      <c r="D476" s="575"/>
      <c r="E476" s="575"/>
      <c r="F476" s="763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40">
        <v>53295</v>
      </c>
      <c r="O476" s="498"/>
      <c r="P476" s="49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</row>
    <row r="477" spans="1:26" ht="18.75">
      <c r="A477" s="597"/>
      <c r="B477" s="575"/>
      <c r="C477" s="575"/>
      <c r="D477" s="606" t="s">
        <v>21</v>
      </c>
      <c r="E477" s="575"/>
      <c r="F477" s="575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</row>
    <row r="478" spans="1:26" ht="18.75" hidden="1">
      <c r="A478" s="599"/>
      <c r="B478" s="607"/>
      <c r="C478" s="607"/>
      <c r="D478" s="607"/>
      <c r="E478" s="607" t="s">
        <v>18</v>
      </c>
      <c r="F478" s="607"/>
      <c r="G478" s="603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4"/>
      <c r="R478" s="604"/>
      <c r="S478" s="604"/>
      <c r="T478" s="604"/>
      <c r="U478" s="604"/>
      <c r="V478" s="604"/>
      <c r="W478" s="604"/>
      <c r="X478" s="604"/>
      <c r="Y478" s="604"/>
      <c r="Z478" s="604"/>
    </row>
    <row r="479" spans="1:26" ht="18.75" hidden="1">
      <c r="A479" s="599"/>
      <c r="B479" s="607"/>
      <c r="C479" s="607"/>
      <c r="D479" s="607"/>
      <c r="E479" s="607" t="s">
        <v>19</v>
      </c>
      <c r="F479" s="607"/>
      <c r="G479" s="603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4"/>
      <c r="R479" s="604"/>
      <c r="S479" s="604"/>
      <c r="T479" s="604"/>
      <c r="U479" s="604"/>
      <c r="V479" s="604"/>
      <c r="W479" s="604"/>
      <c r="X479" s="604"/>
      <c r="Y479" s="604"/>
      <c r="Z479" s="604"/>
    </row>
    <row r="480" spans="1:26" ht="19.5">
      <c r="A480" s="608"/>
      <c r="B480" s="618"/>
      <c r="C480" s="575" t="s">
        <v>16</v>
      </c>
      <c r="D480" s="894" t="s">
        <v>38</v>
      </c>
      <c r="E480" s="611"/>
      <c r="F480" s="761"/>
      <c r="G480" s="613"/>
      <c r="H480" s="762"/>
      <c r="I480" s="270"/>
      <c r="J480" s="270"/>
      <c r="K480" s="498"/>
      <c r="L480" s="498"/>
      <c r="M480" s="498"/>
      <c r="N480" s="498"/>
      <c r="O480" s="498"/>
      <c r="P480" s="49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</row>
    <row r="481" spans="1:26" ht="19.5">
      <c r="A481" s="608"/>
      <c r="B481" s="618"/>
      <c r="C481" s="618"/>
      <c r="D481" s="625" t="s">
        <v>207</v>
      </c>
      <c r="E481" s="618"/>
      <c r="F481" s="618"/>
      <c r="G481" s="762"/>
      <c r="H481" s="189"/>
      <c r="I481" s="270"/>
      <c r="J481" s="270"/>
      <c r="K481" s="498"/>
      <c r="L481" s="498"/>
      <c r="M481" s="498"/>
      <c r="N481" s="498"/>
      <c r="O481" s="498"/>
      <c r="P481" s="49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</row>
    <row r="482" spans="1:26" ht="18.75">
      <c r="A482" s="608"/>
      <c r="B482" s="618"/>
      <c r="C482" s="618"/>
      <c r="D482" s="618"/>
      <c r="E482" s="618" t="s">
        <v>208</v>
      </c>
      <c r="F482" s="618"/>
      <c r="G482" s="762"/>
      <c r="H482" s="189"/>
      <c r="I482" s="270"/>
      <c r="J482" s="270"/>
      <c r="K482" s="498"/>
      <c r="L482" s="498"/>
      <c r="M482" s="498"/>
      <c r="N482" s="498"/>
      <c r="O482" s="498"/>
      <c r="P482" s="49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</row>
    <row r="483" spans="1:26" ht="18.75">
      <c r="A483" s="608"/>
      <c r="B483" s="618"/>
      <c r="C483" s="618"/>
      <c r="D483" s="618"/>
      <c r="E483" s="618"/>
      <c r="F483" s="618" t="s">
        <v>209</v>
      </c>
      <c r="G483" s="762"/>
      <c r="H483" s="623" t="s">
        <v>46</v>
      </c>
      <c r="I483" s="270">
        <f ca="1">IFERROR(__xludf.DUMMYFUNCTION("IMPORTRANGE(""https://docs.google.com/spreadsheets/d/1QqKyyYR6Q21VydFLVH3TRQUabQu_ym0Zz7PgGX0-kHA/edit?usp=sharing"",""แผน!FY37"")"),1170)</f>
        <v>1170</v>
      </c>
      <c r="J483" s="215">
        <v>1170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</row>
    <row r="484" spans="1:26" ht="18.75">
      <c r="A484" s="608"/>
      <c r="B484" s="618"/>
      <c r="C484" s="618"/>
      <c r="D484" s="618"/>
      <c r="E484" s="618"/>
      <c r="F484" s="618" t="s">
        <v>210</v>
      </c>
      <c r="G484" s="762"/>
      <c r="H484" s="623" t="s">
        <v>35</v>
      </c>
      <c r="I484" s="270"/>
      <c r="J484" s="215">
        <v>117</v>
      </c>
      <c r="K484" s="498"/>
      <c r="L484" s="498"/>
      <c r="M484" s="498"/>
      <c r="N484" s="498"/>
      <c r="O484" s="498"/>
      <c r="P484" s="49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</row>
    <row r="485" spans="1:26" ht="18.75">
      <c r="A485" s="608"/>
      <c r="B485" s="618"/>
      <c r="C485" s="618"/>
      <c r="D485" s="618"/>
      <c r="E485" s="618"/>
      <c r="F485" s="618" t="s">
        <v>211</v>
      </c>
      <c r="G485" s="762"/>
      <c r="H485" s="623" t="s">
        <v>35</v>
      </c>
      <c r="I485" s="270">
        <f ca="1">IFERROR(__xludf.DUMMYFUNCTION("IMPORTRANGE(""https://docs.google.com/spreadsheets/d/1QqKyyYR6Q21VydFLVH3TRQUabQu_ym0Zz7PgGX0-kHA/edit?usp=sharing"",""แผน!FZ37"")"),117)</f>
        <v>117</v>
      </c>
      <c r="J485" s="215">
        <v>117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</row>
    <row r="486" spans="1:26" ht="18.75">
      <c r="A486" s="608"/>
      <c r="B486" s="618"/>
      <c r="C486" s="618"/>
      <c r="D486" s="618"/>
      <c r="E486" s="618" t="s">
        <v>62</v>
      </c>
      <c r="F486" s="618"/>
      <c r="G486" s="762"/>
      <c r="H486" s="623"/>
      <c r="I486" s="270"/>
      <c r="J486" s="270"/>
      <c r="K486" s="498"/>
      <c r="L486" s="498"/>
      <c r="M486" s="498"/>
      <c r="N486" s="498"/>
      <c r="O486" s="498"/>
      <c r="P486" s="49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</row>
    <row r="487" spans="1:26" ht="18.75">
      <c r="A487" s="608"/>
      <c r="B487" s="618"/>
      <c r="C487" s="618"/>
      <c r="D487" s="618"/>
      <c r="E487" s="618"/>
      <c r="F487" s="618" t="s">
        <v>209</v>
      </c>
      <c r="G487" s="762"/>
      <c r="H487" s="623" t="s">
        <v>46</v>
      </c>
      <c r="I487" s="270">
        <f ca="1">IFERROR(__xludf.DUMMYFUNCTION("IMPORTRANGE(""https://docs.google.com/spreadsheets/d/1QqKyyYR6Q21VydFLVH3TRQUabQu_ym0Zz7PgGX0-kHA/edit?usp=sharing"",""แผน!GA37"")"),130)</f>
        <v>130</v>
      </c>
      <c r="J487" s="215">
        <v>130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</row>
    <row r="488" spans="1:26" ht="18.75">
      <c r="A488" s="608"/>
      <c r="B488" s="618"/>
      <c r="C488" s="618"/>
      <c r="D488" s="618"/>
      <c r="E488" s="618"/>
      <c r="F488" s="618" t="s">
        <v>212</v>
      </c>
      <c r="G488" s="762"/>
      <c r="H488" s="623" t="s">
        <v>35</v>
      </c>
      <c r="I488" s="270"/>
      <c r="J488" s="215">
        <v>13</v>
      </c>
      <c r="K488" s="498"/>
      <c r="L488" s="498"/>
      <c r="M488" s="498"/>
      <c r="N488" s="498"/>
      <c r="O488" s="498"/>
      <c r="P488" s="49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</row>
    <row r="489" spans="1:26" ht="18.75">
      <c r="A489" s="608"/>
      <c r="B489" s="618"/>
      <c r="C489" s="618"/>
      <c r="D489" s="618"/>
      <c r="E489" s="618"/>
      <c r="F489" s="618" t="s">
        <v>213</v>
      </c>
      <c r="G489" s="762"/>
      <c r="H489" s="623" t="s">
        <v>35</v>
      </c>
      <c r="I489" s="270">
        <f ca="1">IFERROR(__xludf.DUMMYFUNCTION("IMPORTRANGE(""https://docs.google.com/spreadsheets/d/1QqKyyYR6Q21VydFLVH3TRQUabQu_ym0Zz7PgGX0-kHA/edit?usp=sharing"",""แผน!GB37"")"),13)</f>
        <v>13</v>
      </c>
      <c r="J489" s="215">
        <v>13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</row>
    <row r="490" spans="1:26" ht="18.75">
      <c r="A490" s="608"/>
      <c r="B490" s="618"/>
      <c r="C490" s="618"/>
      <c r="D490" s="618"/>
      <c r="E490" s="618" t="s">
        <v>63</v>
      </c>
      <c r="F490" s="626"/>
      <c r="G490" s="762"/>
      <c r="H490" s="623"/>
      <c r="I490" s="270"/>
      <c r="J490" s="270"/>
      <c r="K490" s="498"/>
      <c r="L490" s="498"/>
      <c r="M490" s="498"/>
      <c r="N490" s="498"/>
      <c r="O490" s="498"/>
      <c r="P490" s="49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</row>
    <row r="491" spans="1:26" ht="18.75">
      <c r="A491" s="608"/>
      <c r="B491" s="618"/>
      <c r="C491" s="618"/>
      <c r="D491" s="618"/>
      <c r="E491" s="618"/>
      <c r="F491" s="618" t="s">
        <v>214</v>
      </c>
      <c r="G491" s="762"/>
      <c r="H491" s="623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</row>
    <row r="492" spans="1:26" ht="18.75">
      <c r="A492" s="608"/>
      <c r="B492" s="618"/>
      <c r="C492" s="618"/>
      <c r="D492" s="618"/>
      <c r="E492" s="618"/>
      <c r="F492" s="618" t="s">
        <v>215</v>
      </c>
      <c r="G492" s="762"/>
      <c r="H492" s="623" t="s">
        <v>35</v>
      </c>
      <c r="I492" s="270">
        <f ca="1">IFERROR(__xludf.DUMMYFUNCTION("IMPORTRANGE(""https://docs.google.com/spreadsheets/d/1QqKyyYR6Q21VydFLVH3TRQUabQu_ym0Zz7PgGX0-kHA/edit?usp=sharing"",""แผน!GC37"")"),1)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</row>
    <row r="493" spans="1:26" ht="19.5">
      <c r="A493" s="608"/>
      <c r="B493" s="618"/>
      <c r="C493" s="618"/>
      <c r="D493" s="625" t="s">
        <v>59</v>
      </c>
      <c r="E493" s="618"/>
      <c r="F493" s="626"/>
      <c r="G493" s="762"/>
      <c r="H493" s="189"/>
      <c r="I493" s="270"/>
      <c r="J493" s="270"/>
      <c r="K493" s="498"/>
      <c r="L493" s="498"/>
      <c r="M493" s="498"/>
      <c r="N493" s="498"/>
      <c r="O493" s="498"/>
      <c r="P493" s="49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</row>
    <row r="494" spans="1:26" ht="18.75">
      <c r="A494" s="608"/>
      <c r="B494" s="618"/>
      <c r="C494" s="618"/>
      <c r="D494" s="618"/>
      <c r="E494" s="618" t="s">
        <v>208</v>
      </c>
      <c r="F494" s="626"/>
      <c r="G494" s="762"/>
      <c r="H494" s="189"/>
      <c r="I494" s="270"/>
      <c r="J494" s="270"/>
      <c r="K494" s="498"/>
      <c r="L494" s="498"/>
      <c r="M494" s="498"/>
      <c r="N494" s="498"/>
      <c r="O494" s="498"/>
      <c r="P494" s="49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</row>
    <row r="495" spans="1:26" ht="18.75">
      <c r="A495" s="608"/>
      <c r="B495" s="618"/>
      <c r="C495" s="618"/>
      <c r="D495" s="618"/>
      <c r="E495" s="618"/>
      <c r="F495" s="626" t="s">
        <v>216</v>
      </c>
      <c r="G495" s="762"/>
      <c r="H495" s="623" t="s">
        <v>46</v>
      </c>
      <c r="I495" s="270">
        <f ca="1">IFERROR(__xludf.DUMMYFUNCTION("IMPORTRANGE(""https://docs.google.com/spreadsheets/d/1QqKyyYR6Q21VydFLVH3TRQUabQu_ym0Zz7PgGX0-kHA/edit?usp=sharing"",""แผน!FY37"")"),1170)</f>
        <v>1170</v>
      </c>
      <c r="J495" s="215">
        <v>1170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</row>
    <row r="496" spans="1:26" ht="18.75">
      <c r="A496" s="608"/>
      <c r="B496" s="618"/>
      <c r="C496" s="618"/>
      <c r="D496" s="618"/>
      <c r="E496" s="618"/>
      <c r="F496" s="626" t="s">
        <v>217</v>
      </c>
      <c r="G496" s="762"/>
      <c r="H496" s="623" t="s">
        <v>46</v>
      </c>
      <c r="I496" s="270"/>
      <c r="J496" s="215">
        <v>117</v>
      </c>
      <c r="K496" s="498"/>
      <c r="L496" s="498"/>
      <c r="M496" s="498"/>
      <c r="N496" s="498"/>
      <c r="O496" s="498"/>
      <c r="P496" s="49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</row>
    <row r="497" spans="1:26" ht="18.75">
      <c r="A497" s="608"/>
      <c r="B497" s="618"/>
      <c r="C497" s="618"/>
      <c r="D497" s="618"/>
      <c r="E497" s="618" t="s">
        <v>62</v>
      </c>
      <c r="F497" s="626"/>
      <c r="G497" s="762"/>
      <c r="H497" s="189"/>
      <c r="I497" s="270"/>
      <c r="J497" s="270"/>
      <c r="K497" s="498"/>
      <c r="L497" s="498"/>
      <c r="M497" s="498"/>
      <c r="N497" s="498"/>
      <c r="O497" s="498"/>
      <c r="P497" s="49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</row>
    <row r="498" spans="1:26" ht="18.75">
      <c r="A498" s="608"/>
      <c r="B498" s="618"/>
      <c r="C498" s="618"/>
      <c r="D498" s="618"/>
      <c r="E498" s="626"/>
      <c r="F498" s="626" t="s">
        <v>218</v>
      </c>
      <c r="G498" s="762"/>
      <c r="H498" s="623" t="s">
        <v>46</v>
      </c>
      <c r="I498" s="270">
        <f ca="1">IFERROR(__xludf.DUMMYFUNCTION("IMPORTRANGE(""https://docs.google.com/spreadsheets/d/1QqKyyYR6Q21VydFLVH3TRQUabQu_ym0Zz7PgGX0-kHA/edit?usp=sharing"",""แผน!GA37"")"),130)</f>
        <v>130</v>
      </c>
      <c r="J498" s="215">
        <v>130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</row>
    <row r="499" spans="1:26" ht="18.75">
      <c r="A499" s="608"/>
      <c r="B499" s="618"/>
      <c r="C499" s="618"/>
      <c r="D499" s="618"/>
      <c r="E499" s="626"/>
      <c r="F499" s="626" t="s">
        <v>219</v>
      </c>
      <c r="G499" s="762"/>
      <c r="H499" s="623" t="s">
        <v>46</v>
      </c>
      <c r="I499" s="270"/>
      <c r="J499" s="215">
        <v>13</v>
      </c>
      <c r="K499" s="498"/>
      <c r="L499" s="498"/>
      <c r="M499" s="498"/>
      <c r="N499" s="498"/>
      <c r="O499" s="498"/>
      <c r="P499" s="49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</row>
    <row r="500" spans="1:26" ht="19.5" hidden="1">
      <c r="A500" s="627">
        <v>4</v>
      </c>
      <c r="B500" s="628" t="s">
        <v>220</v>
      </c>
      <c r="C500" s="629"/>
      <c r="D500" s="630"/>
      <c r="E500" s="630"/>
      <c r="F500" s="630"/>
      <c r="G500" s="631"/>
      <c r="H500" s="632" t="s">
        <v>109</v>
      </c>
      <c r="I500" s="633"/>
      <c r="J500" s="633">
        <f t="shared" ref="J500:J501" si="214">J516</f>
        <v>0</v>
      </c>
      <c r="K500" s="634">
        <f t="shared" ref="K500:K501" si="215">IF(I500&gt;0,J500*100/I500,0)</f>
        <v>0</v>
      </c>
      <c r="L500" s="635"/>
      <c r="M500" s="635"/>
      <c r="N500" s="635"/>
      <c r="O500" s="635"/>
      <c r="P500" s="635"/>
      <c r="Q500" s="604"/>
      <c r="R500" s="604"/>
      <c r="S500" s="604"/>
      <c r="T500" s="604"/>
      <c r="U500" s="604"/>
      <c r="V500" s="604"/>
      <c r="W500" s="604"/>
      <c r="X500" s="604"/>
      <c r="Y500" s="604"/>
      <c r="Z500" s="604"/>
    </row>
    <row r="501" spans="1:26" ht="19.5" hidden="1">
      <c r="A501" s="636"/>
      <c r="B501" s="638" t="s">
        <v>221</v>
      </c>
      <c r="C501" s="638"/>
      <c r="D501" s="639"/>
      <c r="E501" s="639"/>
      <c r="F501" s="639"/>
      <c r="G501" s="640"/>
      <c r="H501" s="641" t="s">
        <v>35</v>
      </c>
      <c r="I501" s="642"/>
      <c r="J501" s="642">
        <f t="shared" si="214"/>
        <v>0</v>
      </c>
      <c r="K501" s="643">
        <f t="shared" si="215"/>
        <v>0</v>
      </c>
      <c r="L501" s="644"/>
      <c r="M501" s="644"/>
      <c r="N501" s="644"/>
      <c r="O501" s="644"/>
      <c r="P501" s="64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</row>
    <row r="502" spans="1:26" ht="19.5" hidden="1">
      <c r="A502" s="599"/>
      <c r="B502" s="759"/>
      <c r="C502" s="759" t="s">
        <v>16</v>
      </c>
      <c r="D502" s="864" t="s">
        <v>17</v>
      </c>
      <c r="E502" s="857"/>
      <c r="F502" s="857"/>
      <c r="G502" s="603"/>
      <c r="H502" s="646" t="s">
        <v>12</v>
      </c>
      <c r="I502" s="617"/>
      <c r="J502" s="617"/>
      <c r="K502" s="93"/>
      <c r="L502" s="647">
        <f t="shared" ref="L502:N502" si="216">L503+L504</f>
        <v>0</v>
      </c>
      <c r="M502" s="647">
        <f t="shared" si="216"/>
        <v>0</v>
      </c>
      <c r="N502" s="647">
        <f t="shared" si="216"/>
        <v>0</v>
      </c>
      <c r="O502" s="647">
        <f t="shared" ref="O502:O507" si="217">IF(L502&gt;0,N502*100/L502,0)</f>
        <v>0</v>
      </c>
      <c r="P502" s="647">
        <f t="shared" ref="P502:P507" si="218">IF(M502&gt;0,N502*100/M502,0)</f>
        <v>0</v>
      </c>
      <c r="Q502" s="604"/>
      <c r="R502" s="604"/>
      <c r="S502" s="604"/>
      <c r="T502" s="604"/>
      <c r="U502" s="604"/>
      <c r="V502" s="604"/>
      <c r="W502" s="604"/>
      <c r="X502" s="604"/>
      <c r="Y502" s="604"/>
      <c r="Z502" s="604"/>
    </row>
    <row r="503" spans="1:26" ht="18.75" hidden="1">
      <c r="A503" s="599"/>
      <c r="B503" s="759"/>
      <c r="C503" s="759"/>
      <c r="D503" s="720"/>
      <c r="E503" s="759" t="s">
        <v>185</v>
      </c>
      <c r="F503" s="759"/>
      <c r="G503" s="603"/>
      <c r="H503" s="165" t="s">
        <v>12</v>
      </c>
      <c r="I503" s="617"/>
      <c r="J503" s="617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4"/>
      <c r="R503" s="604"/>
      <c r="S503" s="604"/>
      <c r="T503" s="604"/>
      <c r="U503" s="604"/>
      <c r="V503" s="604"/>
      <c r="W503" s="604"/>
      <c r="X503" s="604"/>
      <c r="Y503" s="604"/>
      <c r="Z503" s="604"/>
    </row>
    <row r="504" spans="1:26" ht="18.75" hidden="1">
      <c r="A504" s="599"/>
      <c r="B504" s="607"/>
      <c r="C504" s="759"/>
      <c r="D504" s="720"/>
      <c r="E504" s="759" t="s">
        <v>186</v>
      </c>
      <c r="F504" s="759"/>
      <c r="G504" s="603"/>
      <c r="H504" s="165" t="s">
        <v>12</v>
      </c>
      <c r="I504" s="617"/>
      <c r="J504" s="617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4"/>
      <c r="R504" s="604"/>
      <c r="S504" s="604"/>
      <c r="T504" s="604"/>
      <c r="U504" s="604"/>
      <c r="V504" s="604"/>
      <c r="W504" s="604"/>
      <c r="X504" s="604"/>
      <c r="Y504" s="604"/>
      <c r="Z504" s="604"/>
    </row>
    <row r="505" spans="1:26" ht="18.75" hidden="1">
      <c r="A505" s="599"/>
      <c r="B505" s="607"/>
      <c r="C505" s="759"/>
      <c r="D505" s="648" t="s">
        <v>20</v>
      </c>
      <c r="E505" s="759"/>
      <c r="F505" s="759"/>
      <c r="G505" s="603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4"/>
      <c r="R505" s="604"/>
      <c r="S505" s="604"/>
      <c r="T505" s="604"/>
      <c r="U505" s="604"/>
      <c r="V505" s="604"/>
      <c r="W505" s="604"/>
      <c r="X505" s="604"/>
      <c r="Y505" s="604"/>
      <c r="Z505" s="604"/>
    </row>
    <row r="506" spans="1:26" ht="18.75" hidden="1">
      <c r="A506" s="599"/>
      <c r="B506" s="607"/>
      <c r="C506" s="759"/>
      <c r="D506" s="720"/>
      <c r="E506" s="759" t="s">
        <v>185</v>
      </c>
      <c r="F506" s="759"/>
      <c r="G506" s="603"/>
      <c r="H506" s="165" t="s">
        <v>12</v>
      </c>
      <c r="I506" s="617"/>
      <c r="J506" s="617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4"/>
      <c r="R506" s="604"/>
      <c r="S506" s="604"/>
      <c r="T506" s="604"/>
      <c r="U506" s="604"/>
      <c r="V506" s="604"/>
      <c r="W506" s="604"/>
      <c r="X506" s="604"/>
      <c r="Y506" s="604"/>
      <c r="Z506" s="604"/>
    </row>
    <row r="507" spans="1:26" ht="18.75" hidden="1">
      <c r="A507" s="599"/>
      <c r="B507" s="607"/>
      <c r="C507" s="759"/>
      <c r="D507" s="720"/>
      <c r="E507" s="759" t="s">
        <v>186</v>
      </c>
      <c r="F507" s="759"/>
      <c r="G507" s="603"/>
      <c r="H507" s="165" t="s">
        <v>12</v>
      </c>
      <c r="I507" s="617"/>
      <c r="J507" s="617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4"/>
      <c r="R507" s="604"/>
      <c r="S507" s="604"/>
      <c r="T507" s="604"/>
      <c r="U507" s="604"/>
      <c r="V507" s="604"/>
      <c r="W507" s="604"/>
      <c r="X507" s="604"/>
      <c r="Y507" s="604"/>
      <c r="Z507" s="604"/>
    </row>
    <row r="508" spans="1:26" ht="18.75" hidden="1">
      <c r="A508" s="649"/>
      <c r="B508" s="607"/>
      <c r="C508" s="759"/>
      <c r="D508" s="759"/>
      <c r="E508" s="759"/>
      <c r="F508" s="759" t="s">
        <v>187</v>
      </c>
      <c r="G508" s="603"/>
      <c r="H508" s="165" t="s">
        <v>12</v>
      </c>
      <c r="I508" s="617"/>
      <c r="J508" s="617"/>
      <c r="K508" s="93"/>
      <c r="L508" s="93"/>
      <c r="M508" s="93"/>
      <c r="N508" s="93">
        <v>0</v>
      </c>
      <c r="O508" s="93"/>
      <c r="P508" s="93"/>
      <c r="Q508" s="604"/>
      <c r="R508" s="604"/>
      <c r="S508" s="604"/>
      <c r="T508" s="604"/>
      <c r="U508" s="604"/>
      <c r="V508" s="604"/>
      <c r="W508" s="604"/>
      <c r="X508" s="604"/>
      <c r="Y508" s="604"/>
      <c r="Z508" s="604"/>
    </row>
    <row r="509" spans="1:26" ht="18.75" hidden="1">
      <c r="A509" s="649"/>
      <c r="B509" s="607"/>
      <c r="C509" s="759"/>
      <c r="D509" s="759"/>
      <c r="E509" s="759"/>
      <c r="F509" s="759" t="s">
        <v>188</v>
      </c>
      <c r="G509" s="603"/>
      <c r="H509" s="165" t="s">
        <v>12</v>
      </c>
      <c r="I509" s="617"/>
      <c r="J509" s="617"/>
      <c r="K509" s="93"/>
      <c r="L509" s="93"/>
      <c r="M509" s="93"/>
      <c r="N509" s="93">
        <v>0</v>
      </c>
      <c r="O509" s="93"/>
      <c r="P509" s="93"/>
      <c r="Q509" s="604"/>
      <c r="R509" s="604"/>
      <c r="S509" s="604"/>
      <c r="T509" s="604"/>
      <c r="U509" s="604"/>
      <c r="V509" s="604"/>
      <c r="W509" s="604"/>
      <c r="X509" s="604"/>
      <c r="Y509" s="604"/>
      <c r="Z509" s="604"/>
    </row>
    <row r="510" spans="1:26" ht="18.75" hidden="1">
      <c r="A510" s="649"/>
      <c r="B510" s="607"/>
      <c r="C510" s="607"/>
      <c r="D510" s="607"/>
      <c r="E510" s="759"/>
      <c r="F510" s="759" t="s">
        <v>189</v>
      </c>
      <c r="G510" s="603"/>
      <c r="H510" s="165" t="s">
        <v>12</v>
      </c>
      <c r="I510" s="617"/>
      <c r="J510" s="617"/>
      <c r="K510" s="93"/>
      <c r="L510" s="93"/>
      <c r="M510" s="93"/>
      <c r="N510" s="93">
        <v>0</v>
      </c>
      <c r="O510" s="93"/>
      <c r="P510" s="93"/>
      <c r="Q510" s="604"/>
      <c r="R510" s="604"/>
      <c r="S510" s="604"/>
      <c r="T510" s="604"/>
      <c r="U510" s="604"/>
      <c r="V510" s="604"/>
      <c r="W510" s="604"/>
      <c r="X510" s="604"/>
      <c r="Y510" s="604"/>
      <c r="Z510" s="604"/>
    </row>
    <row r="511" spans="1:26" ht="18.75" hidden="1">
      <c r="A511" s="649"/>
      <c r="B511" s="607"/>
      <c r="C511" s="607"/>
      <c r="D511" s="607"/>
      <c r="E511" s="759"/>
      <c r="F511" s="759" t="s">
        <v>190</v>
      </c>
      <c r="G511" s="603"/>
      <c r="H511" s="165" t="s">
        <v>12</v>
      </c>
      <c r="I511" s="617"/>
      <c r="J511" s="617"/>
      <c r="K511" s="93"/>
      <c r="L511" s="93"/>
      <c r="M511" s="93"/>
      <c r="N511" s="93">
        <v>0</v>
      </c>
      <c r="O511" s="93"/>
      <c r="P511" s="93"/>
      <c r="Q511" s="604"/>
      <c r="R511" s="604"/>
      <c r="S511" s="604"/>
      <c r="T511" s="604"/>
      <c r="U511" s="604"/>
      <c r="V511" s="604"/>
      <c r="W511" s="604"/>
      <c r="X511" s="604"/>
      <c r="Y511" s="604"/>
      <c r="Z511" s="604"/>
    </row>
    <row r="512" spans="1:26" ht="18.75" hidden="1">
      <c r="A512" s="599"/>
      <c r="B512" s="607"/>
      <c r="C512" s="607"/>
      <c r="D512" s="648" t="s">
        <v>21</v>
      </c>
      <c r="E512" s="607"/>
      <c r="F512" s="759"/>
      <c r="G512" s="603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4"/>
      <c r="R512" s="604"/>
      <c r="S512" s="604"/>
      <c r="T512" s="604"/>
      <c r="U512" s="604"/>
      <c r="V512" s="604"/>
      <c r="W512" s="604"/>
      <c r="X512" s="604"/>
      <c r="Y512" s="604"/>
      <c r="Z512" s="604"/>
    </row>
    <row r="513" spans="1:26" ht="18.75" hidden="1">
      <c r="A513" s="599"/>
      <c r="B513" s="607"/>
      <c r="C513" s="607"/>
      <c r="D513" s="607"/>
      <c r="E513" s="607" t="s">
        <v>18</v>
      </c>
      <c r="F513" s="759"/>
      <c r="G513" s="603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4"/>
      <c r="R513" s="604"/>
      <c r="S513" s="604"/>
      <c r="T513" s="604"/>
      <c r="U513" s="604"/>
      <c r="V513" s="604"/>
      <c r="W513" s="604"/>
      <c r="X513" s="604"/>
      <c r="Y513" s="604"/>
      <c r="Z513" s="604"/>
    </row>
    <row r="514" spans="1:26" ht="18.75" hidden="1">
      <c r="A514" s="599"/>
      <c r="B514" s="607"/>
      <c r="C514" s="607"/>
      <c r="D514" s="759"/>
      <c r="E514" s="607" t="s">
        <v>19</v>
      </c>
      <c r="F514" s="759"/>
      <c r="G514" s="603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4"/>
      <c r="R514" s="604"/>
      <c r="S514" s="604"/>
      <c r="T514" s="604"/>
      <c r="U514" s="604"/>
      <c r="V514" s="604"/>
      <c r="W514" s="604"/>
      <c r="X514" s="604"/>
      <c r="Y514" s="604"/>
      <c r="Z514" s="604"/>
    </row>
    <row r="515" spans="1:26" ht="19.5" hidden="1">
      <c r="A515" s="614"/>
      <c r="B515" s="616"/>
      <c r="C515" s="607" t="s">
        <v>16</v>
      </c>
      <c r="D515" s="895" t="s">
        <v>38</v>
      </c>
      <c r="E515" s="651"/>
      <c r="F515" s="651"/>
      <c r="G515" s="652"/>
      <c r="H515" s="366"/>
      <c r="I515" s="166"/>
      <c r="J515" s="166"/>
      <c r="K515" s="167"/>
      <c r="L515" s="167"/>
      <c r="M515" s="167"/>
      <c r="N515" s="167"/>
      <c r="O515" s="167"/>
      <c r="P515" s="167"/>
      <c r="Q515" s="604"/>
      <c r="R515" s="604"/>
      <c r="S515" s="604"/>
      <c r="T515" s="604"/>
      <c r="U515" s="604"/>
      <c r="V515" s="604"/>
      <c r="W515" s="604"/>
      <c r="X515" s="604"/>
      <c r="Y515" s="604"/>
      <c r="Z515" s="604"/>
    </row>
    <row r="516" spans="1:26" ht="18.75" hidden="1">
      <c r="A516" s="614"/>
      <c r="B516" s="616"/>
      <c r="C516" s="616"/>
      <c r="D516" s="616" t="s">
        <v>222</v>
      </c>
      <c r="E516" s="720"/>
      <c r="F516" s="720"/>
      <c r="G516" s="366"/>
      <c r="H516" s="653" t="s">
        <v>109</v>
      </c>
      <c r="I516" s="617"/>
      <c r="J516" s="617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4"/>
      <c r="R516" s="604"/>
      <c r="S516" s="604"/>
      <c r="T516" s="604"/>
      <c r="U516" s="604"/>
      <c r="V516" s="604"/>
      <c r="W516" s="604"/>
      <c r="X516" s="604"/>
      <c r="Y516" s="604"/>
      <c r="Z516" s="604"/>
    </row>
    <row r="517" spans="1:26" ht="19.5" hidden="1">
      <c r="A517" s="614"/>
      <c r="B517" s="616"/>
      <c r="C517" s="616"/>
      <c r="D517" s="616" t="s">
        <v>223</v>
      </c>
      <c r="E517" s="720"/>
      <c r="F517" s="720"/>
      <c r="G517" s="366"/>
      <c r="H517" s="654" t="s">
        <v>35</v>
      </c>
      <c r="I517" s="655"/>
      <c r="J517" s="655">
        <f>J518+J519</f>
        <v>0</v>
      </c>
      <c r="K517" s="656">
        <f t="shared" si="224"/>
        <v>0</v>
      </c>
      <c r="L517" s="167"/>
      <c r="M517" s="167"/>
      <c r="N517" s="167"/>
      <c r="O517" s="167"/>
      <c r="P517" s="167"/>
      <c r="Q517" s="604"/>
      <c r="R517" s="604"/>
      <c r="S517" s="604"/>
      <c r="T517" s="604"/>
      <c r="U517" s="604"/>
      <c r="V517" s="604"/>
      <c r="W517" s="604"/>
      <c r="X517" s="604"/>
      <c r="Y517" s="604"/>
      <c r="Z517" s="604"/>
    </row>
    <row r="518" spans="1:26" ht="18.75" hidden="1">
      <c r="A518" s="614"/>
      <c r="B518" s="616"/>
      <c r="C518" s="616"/>
      <c r="D518" s="616"/>
      <c r="E518" s="616" t="s">
        <v>224</v>
      </c>
      <c r="F518" s="720"/>
      <c r="G518" s="366"/>
      <c r="H518" s="370" t="s">
        <v>35</v>
      </c>
      <c r="I518" s="617"/>
      <c r="J518" s="617"/>
      <c r="K518" s="167"/>
      <c r="L518" s="167"/>
      <c r="M518" s="167"/>
      <c r="N518" s="167"/>
      <c r="O518" s="167"/>
      <c r="P518" s="167"/>
      <c r="Q518" s="604"/>
      <c r="R518" s="604"/>
      <c r="S518" s="604"/>
      <c r="T518" s="604"/>
      <c r="U518" s="604"/>
      <c r="V518" s="604"/>
      <c r="W518" s="604"/>
      <c r="X518" s="604"/>
      <c r="Y518" s="604"/>
      <c r="Z518" s="604"/>
    </row>
    <row r="519" spans="1:26" ht="18.75" hidden="1">
      <c r="A519" s="614"/>
      <c r="B519" s="616"/>
      <c r="C519" s="616"/>
      <c r="D519" s="616"/>
      <c r="E519" s="616" t="s">
        <v>225</v>
      </c>
      <c r="F519" s="720"/>
      <c r="G519" s="366"/>
      <c r="H519" s="653" t="s">
        <v>35</v>
      </c>
      <c r="I519" s="617"/>
      <c r="J519" s="617"/>
      <c r="K519" s="167"/>
      <c r="L519" s="167"/>
      <c r="M519" s="167"/>
      <c r="N519" s="167"/>
      <c r="O519" s="167"/>
      <c r="P519" s="167"/>
      <c r="Q519" s="604"/>
      <c r="R519" s="604"/>
      <c r="S519" s="604"/>
      <c r="T519" s="604"/>
      <c r="U519" s="604"/>
      <c r="V519" s="604"/>
      <c r="W519" s="604"/>
      <c r="X519" s="604"/>
      <c r="Y519" s="604"/>
      <c r="Z519" s="604"/>
    </row>
    <row r="520" spans="1:26" ht="19.5">
      <c r="A520" s="657" t="s">
        <v>137</v>
      </c>
      <c r="B520" s="658"/>
      <c r="C520" s="658"/>
      <c r="D520" s="659"/>
      <c r="E520" s="659"/>
      <c r="F520" s="659"/>
      <c r="G520" s="660"/>
      <c r="H520" s="661"/>
      <c r="I520" s="662"/>
      <c r="J520" s="662"/>
      <c r="K520" s="663"/>
      <c r="L520" s="663"/>
      <c r="M520" s="663"/>
      <c r="N520" s="663"/>
      <c r="O520" s="663"/>
      <c r="P520" s="663"/>
    </row>
    <row r="521" spans="1:26" ht="19.5" hidden="1">
      <c r="A521" s="664">
        <v>5</v>
      </c>
      <c r="B521" s="665" t="s">
        <v>226</v>
      </c>
      <c r="C521" s="666"/>
      <c r="D521" s="667"/>
      <c r="E521" s="667"/>
      <c r="F521" s="667"/>
      <c r="G521" s="667"/>
      <c r="H521" s="668"/>
      <c r="I521" s="669"/>
      <c r="J521" s="669"/>
      <c r="K521" s="670"/>
      <c r="L521" s="670"/>
      <c r="M521" s="670"/>
      <c r="N521" s="670"/>
      <c r="O521" s="670"/>
      <c r="P521" s="670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</row>
    <row r="522" spans="1:26" ht="19.5" hidden="1">
      <c r="A522" s="671"/>
      <c r="B522" s="672" t="s">
        <v>227</v>
      </c>
      <c r="C522" s="673"/>
      <c r="D522" s="673"/>
      <c r="E522" s="673"/>
      <c r="F522" s="673"/>
      <c r="G522" s="674"/>
      <c r="H522" s="675" t="s">
        <v>35</v>
      </c>
      <c r="I522" s="708">
        <f t="shared" ref="I522:J522" ca="1" si="225">I537</f>
        <v>0</v>
      </c>
      <c r="J522" s="708">
        <f t="shared" ca="1" si="225"/>
        <v>0</v>
      </c>
      <c r="K522" s="677">
        <f ca="1">IF(I522&gt;0,J522*100/I522,0)</f>
        <v>0</v>
      </c>
      <c r="L522" s="678"/>
      <c r="M522" s="678"/>
      <c r="N522" s="678"/>
      <c r="O522" s="678"/>
      <c r="P522" s="6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</row>
    <row r="523" spans="1:26" ht="19.5" hidden="1">
      <c r="A523" s="597"/>
      <c r="B523" s="763"/>
      <c r="C523" s="763" t="s">
        <v>16</v>
      </c>
      <c r="D523" s="863" t="s">
        <v>17</v>
      </c>
      <c r="E523" s="857"/>
      <c r="F523" s="857"/>
      <c r="G523" s="189"/>
      <c r="H523" s="598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</row>
    <row r="524" spans="1:26" ht="18.75" hidden="1">
      <c r="A524" s="599"/>
      <c r="B524" s="759"/>
      <c r="C524" s="759"/>
      <c r="D524" s="720"/>
      <c r="E524" s="759" t="s">
        <v>185</v>
      </c>
      <c r="F524" s="759"/>
      <c r="G524" s="603"/>
      <c r="H524" s="165" t="s">
        <v>12</v>
      </c>
      <c r="I524" s="617"/>
      <c r="J524" s="617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4"/>
      <c r="R524" s="604"/>
      <c r="S524" s="604"/>
      <c r="T524" s="604"/>
      <c r="U524" s="604"/>
      <c r="V524" s="604"/>
      <c r="W524" s="604"/>
      <c r="X524" s="604"/>
      <c r="Y524" s="604"/>
      <c r="Z524" s="604"/>
    </row>
    <row r="525" spans="1:26" ht="18.75" hidden="1">
      <c r="A525" s="599"/>
      <c r="B525" s="607"/>
      <c r="C525" s="759"/>
      <c r="D525" s="720"/>
      <c r="E525" s="759" t="s">
        <v>186</v>
      </c>
      <c r="F525" s="759"/>
      <c r="G525" s="603"/>
      <c r="H525" s="165" t="s">
        <v>12</v>
      </c>
      <c r="I525" s="617"/>
      <c r="J525" s="617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4"/>
      <c r="R525" s="604"/>
      <c r="S525" s="604"/>
      <c r="T525" s="604"/>
      <c r="U525" s="604"/>
      <c r="V525" s="604"/>
      <c r="W525" s="604"/>
      <c r="X525" s="604"/>
      <c r="Y525" s="604"/>
      <c r="Z525" s="604"/>
    </row>
    <row r="526" spans="1:26" ht="18.75" hidden="1">
      <c r="A526" s="597"/>
      <c r="B526" s="575"/>
      <c r="C526" s="763"/>
      <c r="D526" s="606" t="s">
        <v>20</v>
      </c>
      <c r="E526" s="763"/>
      <c r="F526" s="763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</row>
    <row r="527" spans="1:26" ht="18.75" hidden="1">
      <c r="A527" s="599"/>
      <c r="B527" s="607"/>
      <c r="C527" s="759"/>
      <c r="D527" s="720"/>
      <c r="E527" s="759" t="s">
        <v>185</v>
      </c>
      <c r="F527" s="759"/>
      <c r="G527" s="603"/>
      <c r="H527" s="165" t="s">
        <v>12</v>
      </c>
      <c r="I527" s="617"/>
      <c r="J527" s="617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4"/>
      <c r="R527" s="604"/>
      <c r="S527" s="604"/>
      <c r="T527" s="604"/>
      <c r="U527" s="604"/>
      <c r="V527" s="604"/>
      <c r="W527" s="604"/>
      <c r="X527" s="604"/>
      <c r="Y527" s="604"/>
      <c r="Z527" s="604"/>
    </row>
    <row r="528" spans="1:26" ht="18.75" hidden="1">
      <c r="A528" s="599"/>
      <c r="B528" s="607"/>
      <c r="C528" s="759"/>
      <c r="D528" s="720"/>
      <c r="E528" s="759" t="s">
        <v>186</v>
      </c>
      <c r="F528" s="759"/>
      <c r="G528" s="603"/>
      <c r="H528" s="165" t="s">
        <v>12</v>
      </c>
      <c r="I528" s="617"/>
      <c r="J528" s="617"/>
      <c r="K528" s="93"/>
      <c r="L528" s="93">
        <f ca="1">IFERROR(__xludf.DUMMYFUNCTION("IMPORTRANGE(""https://docs.google.com/spreadsheets/d/1QqKyyYR6Q21VydFLVH3TRQUabQu_ym0Zz7PgGX0-kHA/edit?usp=sharing"",""แผน!GQ37"")"),0)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4"/>
      <c r="R528" s="604"/>
      <c r="S528" s="604"/>
      <c r="T528" s="604"/>
      <c r="U528" s="604"/>
      <c r="V528" s="604"/>
      <c r="W528" s="604"/>
      <c r="X528" s="604"/>
      <c r="Y528" s="604"/>
      <c r="Z528" s="604"/>
    </row>
    <row r="529" spans="1:26" ht="18.75" hidden="1">
      <c r="A529" s="574"/>
      <c r="B529" s="575"/>
      <c r="C529" s="763"/>
      <c r="D529" s="763"/>
      <c r="E529" s="763"/>
      <c r="F529" s="763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40">
        <v>0</v>
      </c>
      <c r="O529" s="498"/>
      <c r="P529" s="49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</row>
    <row r="530" spans="1:26" ht="18.75" hidden="1">
      <c r="A530" s="574"/>
      <c r="B530" s="575"/>
      <c r="C530" s="763"/>
      <c r="D530" s="763"/>
      <c r="E530" s="763"/>
      <c r="F530" s="763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40">
        <v>0</v>
      </c>
      <c r="O530" s="498"/>
      <c r="P530" s="49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</row>
    <row r="531" spans="1:26" ht="18.75" hidden="1">
      <c r="A531" s="574"/>
      <c r="B531" s="575"/>
      <c r="C531" s="763"/>
      <c r="D531" s="763"/>
      <c r="E531" s="763"/>
      <c r="F531" s="763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40">
        <v>0</v>
      </c>
      <c r="O531" s="498"/>
      <c r="P531" s="49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</row>
    <row r="532" spans="1:26" ht="18.75" hidden="1">
      <c r="A532" s="574"/>
      <c r="B532" s="575"/>
      <c r="C532" s="763"/>
      <c r="D532" s="763"/>
      <c r="E532" s="763"/>
      <c r="F532" s="763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40">
        <v>0</v>
      </c>
      <c r="O532" s="498"/>
      <c r="P532" s="49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</row>
    <row r="533" spans="1:26" ht="18.75" hidden="1">
      <c r="A533" s="597"/>
      <c r="B533" s="575"/>
      <c r="C533" s="763"/>
      <c r="D533" s="606" t="s">
        <v>21</v>
      </c>
      <c r="E533" s="763"/>
      <c r="F533" s="763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</row>
    <row r="534" spans="1:26" ht="18.75" hidden="1">
      <c r="A534" s="599"/>
      <c r="B534" s="607"/>
      <c r="C534" s="759"/>
      <c r="D534" s="759"/>
      <c r="E534" s="759" t="s">
        <v>18</v>
      </c>
      <c r="F534" s="759"/>
      <c r="G534" s="603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4"/>
      <c r="R534" s="604"/>
      <c r="S534" s="604"/>
      <c r="T534" s="604"/>
      <c r="U534" s="604"/>
      <c r="V534" s="604"/>
      <c r="W534" s="604"/>
      <c r="X534" s="604"/>
      <c r="Y534" s="604"/>
      <c r="Z534" s="604"/>
    </row>
    <row r="535" spans="1:26" ht="18.75" hidden="1">
      <c r="A535" s="599"/>
      <c r="B535" s="607"/>
      <c r="C535" s="759"/>
      <c r="D535" s="759"/>
      <c r="E535" s="759" t="s">
        <v>19</v>
      </c>
      <c r="F535" s="759"/>
      <c r="G535" s="603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4"/>
      <c r="R535" s="604"/>
      <c r="S535" s="604"/>
      <c r="T535" s="604"/>
      <c r="U535" s="604"/>
      <c r="V535" s="604"/>
      <c r="W535" s="604"/>
      <c r="X535" s="604"/>
      <c r="Y535" s="604"/>
      <c r="Z535" s="604"/>
    </row>
    <row r="536" spans="1:26" ht="19.5" hidden="1">
      <c r="A536" s="608"/>
      <c r="B536" s="618"/>
      <c r="C536" s="763" t="s">
        <v>16</v>
      </c>
      <c r="D536" s="896" t="s">
        <v>38</v>
      </c>
      <c r="E536" s="761"/>
      <c r="F536" s="761"/>
      <c r="G536" s="613"/>
      <c r="H536" s="762"/>
      <c r="I536" s="184"/>
      <c r="J536" s="184"/>
      <c r="K536" s="163"/>
      <c r="L536" s="163"/>
      <c r="M536" s="163"/>
      <c r="N536" s="163"/>
      <c r="O536" s="163"/>
      <c r="P536" s="163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</row>
    <row r="537" spans="1:26" ht="19.5" hidden="1">
      <c r="A537" s="574"/>
      <c r="B537" s="575"/>
      <c r="C537" s="763"/>
      <c r="D537" s="763" t="s">
        <v>228</v>
      </c>
      <c r="E537" s="763"/>
      <c r="F537" s="763"/>
      <c r="G537" s="189"/>
      <c r="H537" s="623" t="s">
        <v>35</v>
      </c>
      <c r="I537" s="681">
        <f ca="1">IFERROR(__xludf.DUMMYFUNCTION("IMPORTRANGE(""https://docs.google.com/spreadsheets/d/1QqKyyYR6Q21VydFLVH3TRQUabQu_ym0Zz7PgGX0-kHA/edit?usp=sharing"",""แผน!GU37"")"),0)</f>
        <v>0</v>
      </c>
      <c r="J537" s="681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2"/>
      <c r="R537" s="682"/>
      <c r="S537" s="682"/>
      <c r="T537" s="682"/>
      <c r="U537" s="682"/>
      <c r="V537" s="682"/>
      <c r="W537" s="682"/>
      <c r="X537" s="682"/>
      <c r="Y537" s="682"/>
      <c r="Z537" s="682"/>
    </row>
    <row r="538" spans="1:26" ht="18.75" hidden="1">
      <c r="A538" s="574"/>
      <c r="B538" s="575"/>
      <c r="C538" s="763"/>
      <c r="D538" s="763"/>
      <c r="E538" s="763" t="s">
        <v>229</v>
      </c>
      <c r="F538" s="763"/>
      <c r="G538" s="189"/>
      <c r="H538" s="623" t="s">
        <v>35</v>
      </c>
      <c r="I538" s="270">
        <f ca="1">IFERROR(__xludf.DUMMYFUNCTION("IMPORTRANGE(""https://docs.google.com/spreadsheets/d/1QqKyyYR6Q21VydFLVH3TRQUabQu_ym0Zz7PgGX0-kHA/edit?usp=sharing"",""แผน!GV37"")"),0)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2"/>
      <c r="R538" s="682"/>
      <c r="S538" s="682"/>
      <c r="T538" s="682"/>
      <c r="U538" s="682"/>
      <c r="V538" s="682"/>
      <c r="W538" s="682"/>
      <c r="X538" s="682"/>
      <c r="Y538" s="682"/>
      <c r="Z538" s="682"/>
    </row>
    <row r="539" spans="1:26" ht="18.75" hidden="1">
      <c r="A539" s="574"/>
      <c r="B539" s="575"/>
      <c r="C539" s="763"/>
      <c r="D539" s="763"/>
      <c r="E539" s="763" t="s">
        <v>230</v>
      </c>
      <c r="F539" s="763"/>
      <c r="G539" s="189"/>
      <c r="H539" s="623" t="s">
        <v>35</v>
      </c>
      <c r="I539" s="270">
        <f ca="1">IFERROR(__xludf.DUMMYFUNCTION("IMPORTRANGE(""https://docs.google.com/spreadsheets/d/1QqKyyYR6Q21VydFLVH3TRQUabQu_ym0Zz7PgGX0-kHA/edit?usp=sharing"",""แผน!GW37"")"),0)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2"/>
      <c r="R539" s="682"/>
      <c r="S539" s="682"/>
      <c r="T539" s="682"/>
      <c r="U539" s="682"/>
      <c r="V539" s="682"/>
      <c r="W539" s="682"/>
      <c r="X539" s="682"/>
      <c r="Y539" s="682"/>
      <c r="Z539" s="682"/>
    </row>
    <row r="540" spans="1:26" ht="18.75" hidden="1">
      <c r="A540" s="574"/>
      <c r="B540" s="575"/>
      <c r="C540" s="763"/>
      <c r="D540" s="763"/>
      <c r="E540" s="763" t="s">
        <v>231</v>
      </c>
      <c r="F540" s="763"/>
      <c r="G540" s="189"/>
      <c r="H540" s="623" t="s">
        <v>35</v>
      </c>
      <c r="I540" s="270">
        <f ca="1">IFERROR(__xludf.DUMMYFUNCTION("IMPORTRANGE(""https://docs.google.com/spreadsheets/d/1QqKyyYR6Q21VydFLVH3TRQUabQu_ym0Zz7PgGX0-kHA/edit?usp=sharing"",""แผน!GX37"")"),0)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2"/>
      <c r="R540" s="682"/>
      <c r="S540" s="682"/>
      <c r="T540" s="682"/>
      <c r="U540" s="682"/>
      <c r="V540" s="682"/>
      <c r="W540" s="682"/>
      <c r="X540" s="682"/>
      <c r="Y540" s="682"/>
      <c r="Z540" s="682"/>
    </row>
    <row r="541" spans="1:26" ht="18.75" hidden="1">
      <c r="A541" s="574"/>
      <c r="B541" s="575"/>
      <c r="C541" s="763"/>
      <c r="D541" s="763"/>
      <c r="E541" s="769" t="s">
        <v>232</v>
      </c>
      <c r="F541" s="763"/>
      <c r="G541" s="189"/>
      <c r="H541" s="623" t="s">
        <v>35</v>
      </c>
      <c r="I541" s="270">
        <f ca="1">IFERROR(__xludf.DUMMYFUNCTION("IMPORTRANGE(""https://docs.google.com/spreadsheets/d/1QqKyyYR6Q21VydFLVH3TRQUabQu_ym0Zz7PgGX0-kHA/edit?usp=sharing"",""แผน!GY37"")"),0)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2"/>
      <c r="R541" s="682"/>
      <c r="S541" s="682"/>
      <c r="T541" s="682"/>
      <c r="U541" s="682"/>
      <c r="V541" s="682"/>
      <c r="W541" s="682"/>
      <c r="X541" s="682"/>
      <c r="Y541" s="682"/>
      <c r="Z541" s="682"/>
    </row>
    <row r="542" spans="1:26" ht="18.75" hidden="1">
      <c r="A542" s="574"/>
      <c r="B542" s="575"/>
      <c r="C542" s="763"/>
      <c r="D542" s="763" t="s">
        <v>59</v>
      </c>
      <c r="E542" s="763"/>
      <c r="F542" s="763"/>
      <c r="G542" s="189"/>
      <c r="H542" s="623" t="s">
        <v>35</v>
      </c>
      <c r="I542" s="270">
        <f ca="1">IFERROR(__xludf.DUMMYFUNCTION("IMPORTRANGE(""https://docs.google.com/spreadsheets/d/1QqKyyYR6Q21VydFLVH3TRQUabQu_ym0Zz7PgGX0-kHA/edit?usp=sharing"",""แผน!GZ37"")"),0)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2"/>
      <c r="R542" s="682"/>
      <c r="S542" s="682"/>
      <c r="T542" s="682"/>
      <c r="U542" s="682"/>
      <c r="V542" s="682"/>
      <c r="W542" s="682"/>
      <c r="X542" s="682"/>
      <c r="Y542" s="682"/>
      <c r="Z542" s="682"/>
    </row>
    <row r="543" spans="1:26" ht="19.5">
      <c r="A543" s="664">
        <v>6</v>
      </c>
      <c r="B543" s="685" t="s">
        <v>233</v>
      </c>
      <c r="C543" s="667"/>
      <c r="D543" s="667"/>
      <c r="E543" s="667"/>
      <c r="F543" s="667"/>
      <c r="G543" s="668"/>
      <c r="H543" s="686" t="s">
        <v>46</v>
      </c>
      <c r="I543" s="687">
        <f t="shared" ref="I543:J543" ca="1" si="235">I559</f>
        <v>90157.047500000001</v>
      </c>
      <c r="J543" s="687">
        <f t="shared" si="235"/>
        <v>90156.434999999998</v>
      </c>
      <c r="K543" s="688">
        <f t="shared" ca="1" si="234"/>
        <v>99.999320629926345</v>
      </c>
      <c r="L543" s="670"/>
      <c r="M543" s="670"/>
      <c r="N543" s="670"/>
      <c r="O543" s="670"/>
      <c r="P543" s="670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</row>
    <row r="544" spans="1:26" ht="19.5">
      <c r="A544" s="689"/>
      <c r="B544" s="690"/>
      <c r="C544" s="690" t="s">
        <v>16</v>
      </c>
      <c r="D544" s="897" t="s">
        <v>17</v>
      </c>
      <c r="E544" s="862"/>
      <c r="F544" s="862"/>
      <c r="G544" s="691"/>
      <c r="H544" s="275" t="s">
        <v>12</v>
      </c>
      <c r="I544" s="420"/>
      <c r="J544" s="420"/>
      <c r="K544" s="154"/>
      <c r="L544" s="155">
        <f t="shared" ref="L544:N544" ca="1" si="236">L545+L546</f>
        <v>488747</v>
      </c>
      <c r="M544" s="155">
        <f t="shared" ca="1" si="236"/>
        <v>408400</v>
      </c>
      <c r="N544" s="155">
        <f t="shared" si="236"/>
        <v>408400</v>
      </c>
      <c r="O544" s="155">
        <f t="shared" ref="O544:O549" ca="1" si="237">IF(L544&gt;0,N544*100/L544,0)</f>
        <v>83.560615205822231</v>
      </c>
      <c r="P544" s="155">
        <f t="shared" ref="P544:P549" ca="1" si="238">IF(M544&gt;0,N544*100/M544,0)</f>
        <v>100</v>
      </c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</row>
    <row r="545" spans="1:26" ht="18.75" hidden="1">
      <c r="A545" s="599"/>
      <c r="B545" s="759"/>
      <c r="C545" s="759"/>
      <c r="D545" s="759"/>
      <c r="E545" s="759" t="s">
        <v>185</v>
      </c>
      <c r="F545" s="759"/>
      <c r="G545" s="603"/>
      <c r="H545" s="165" t="s">
        <v>12</v>
      </c>
      <c r="I545" s="617"/>
      <c r="J545" s="617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4"/>
      <c r="R545" s="604"/>
      <c r="S545" s="604"/>
      <c r="T545" s="604"/>
      <c r="U545" s="604"/>
      <c r="V545" s="604"/>
      <c r="W545" s="604"/>
      <c r="X545" s="604"/>
      <c r="Y545" s="604"/>
      <c r="Z545" s="604"/>
    </row>
    <row r="546" spans="1:26" ht="18.75" hidden="1">
      <c r="A546" s="599"/>
      <c r="B546" s="607"/>
      <c r="C546" s="759"/>
      <c r="D546" s="759"/>
      <c r="E546" s="759" t="s">
        <v>186</v>
      </c>
      <c r="F546" s="759"/>
      <c r="G546" s="603"/>
      <c r="H546" s="165" t="s">
        <v>12</v>
      </c>
      <c r="I546" s="617"/>
      <c r="J546" s="617"/>
      <c r="K546" s="93"/>
      <c r="L546" s="93">
        <f t="shared" ca="1" si="239"/>
        <v>488747</v>
      </c>
      <c r="M546" s="93">
        <f t="shared" ca="1" si="240"/>
        <v>408400</v>
      </c>
      <c r="N546" s="93">
        <f t="shared" si="240"/>
        <v>408400</v>
      </c>
      <c r="O546" s="93">
        <f t="shared" ca="1" si="237"/>
        <v>83.560615205822231</v>
      </c>
      <c r="P546" s="93">
        <f t="shared" ca="1" si="238"/>
        <v>100</v>
      </c>
      <c r="Q546" s="604"/>
      <c r="R546" s="604"/>
      <c r="S546" s="604"/>
      <c r="T546" s="604"/>
      <c r="U546" s="604"/>
      <c r="V546" s="604"/>
      <c r="W546" s="604"/>
      <c r="X546" s="604"/>
      <c r="Y546" s="604"/>
      <c r="Z546" s="604"/>
    </row>
    <row r="547" spans="1:26" ht="18.75">
      <c r="A547" s="597"/>
      <c r="B547" s="575"/>
      <c r="C547" s="763"/>
      <c r="D547" s="606" t="s">
        <v>20</v>
      </c>
      <c r="E547" s="763"/>
      <c r="F547" s="763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488747</v>
      </c>
      <c r="M547" s="498">
        <f t="shared" ca="1" si="241"/>
        <v>408400</v>
      </c>
      <c r="N547" s="498">
        <f t="shared" si="241"/>
        <v>408400</v>
      </c>
      <c r="O547" s="498">
        <f t="shared" ca="1" si="237"/>
        <v>83.560615205822231</v>
      </c>
      <c r="P547" s="498">
        <f t="shared" ca="1" si="238"/>
        <v>100</v>
      </c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</row>
    <row r="548" spans="1:26" ht="18.75" hidden="1">
      <c r="A548" s="599"/>
      <c r="B548" s="607"/>
      <c r="C548" s="759"/>
      <c r="D548" s="720"/>
      <c r="E548" s="759" t="s">
        <v>185</v>
      </c>
      <c r="F548" s="759"/>
      <c r="G548" s="603"/>
      <c r="H548" s="165" t="s">
        <v>12</v>
      </c>
      <c r="I548" s="617"/>
      <c r="J548" s="617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4"/>
      <c r="R548" s="604"/>
      <c r="S548" s="604"/>
      <c r="T548" s="604"/>
      <c r="U548" s="604"/>
      <c r="V548" s="604"/>
      <c r="W548" s="604"/>
      <c r="X548" s="604"/>
      <c r="Y548" s="604"/>
      <c r="Z548" s="604"/>
    </row>
    <row r="549" spans="1:26" ht="18.75" hidden="1">
      <c r="A549" s="599"/>
      <c r="B549" s="607"/>
      <c r="C549" s="759"/>
      <c r="D549" s="720"/>
      <c r="E549" s="759" t="s">
        <v>186</v>
      </c>
      <c r="F549" s="759"/>
      <c r="G549" s="603"/>
      <c r="H549" s="165" t="s">
        <v>12</v>
      </c>
      <c r="I549" s="617"/>
      <c r="J549" s="617"/>
      <c r="K549" s="93"/>
      <c r="L549" s="93">
        <f ca="1">IFERROR(__xludf.DUMMYFUNCTION("IMPORTRANGE(""https://docs.google.com/spreadsheets/d/1QqKyyYR6Q21VydFLVH3TRQUabQu_ym0Zz7PgGX0-kHA/edit?usp=sharing"",""แผน!HB37"")"),488747)</f>
        <v>488747</v>
      </c>
      <c r="M549" s="93">
        <f ca="1">L549-80347</f>
        <v>408400</v>
      </c>
      <c r="N549" s="93">
        <f>N550+N551+N552+N553+N554</f>
        <v>408400</v>
      </c>
      <c r="O549" s="93">
        <f t="shared" ca="1" si="237"/>
        <v>83.560615205822231</v>
      </c>
      <c r="P549" s="93">
        <f t="shared" ca="1" si="238"/>
        <v>100</v>
      </c>
      <c r="Q549" s="604"/>
      <c r="R549" s="604"/>
      <c r="S549" s="604"/>
      <c r="T549" s="604"/>
      <c r="U549" s="604"/>
      <c r="V549" s="604"/>
      <c r="W549" s="604"/>
      <c r="X549" s="604"/>
      <c r="Y549" s="604"/>
      <c r="Z549" s="604"/>
    </row>
    <row r="550" spans="1:26" ht="18.75">
      <c r="A550" s="574"/>
      <c r="B550" s="575"/>
      <c r="C550" s="763"/>
      <c r="D550" s="763"/>
      <c r="E550" s="763"/>
      <c r="F550" s="763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40">
        <v>0</v>
      </c>
      <c r="O550" s="498"/>
      <c r="P550" s="49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</row>
    <row r="551" spans="1:26" ht="18.75">
      <c r="A551" s="574"/>
      <c r="B551" s="575"/>
      <c r="C551" s="575"/>
      <c r="D551" s="575"/>
      <c r="E551" s="763"/>
      <c r="F551" s="763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40">
        <f>12290+15330+5150</f>
        <v>32770</v>
      </c>
      <c r="O551" s="498"/>
      <c r="P551" s="49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</row>
    <row r="552" spans="1:26" ht="18.75">
      <c r="A552" s="574"/>
      <c r="B552" s="575"/>
      <c r="C552" s="763"/>
      <c r="D552" s="763"/>
      <c r="E552" s="763"/>
      <c r="F552" s="763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40">
        <v>114545</v>
      </c>
      <c r="O552" s="498"/>
      <c r="P552" s="498"/>
      <c r="Q552" s="578"/>
      <c r="R552" s="578"/>
      <c r="S552" s="578"/>
      <c r="T552" s="578"/>
      <c r="U552" s="578"/>
      <c r="V552" s="578"/>
      <c r="W552" s="578"/>
      <c r="X552" s="578"/>
      <c r="Y552" s="578"/>
      <c r="Z552" s="578"/>
    </row>
    <row r="553" spans="1:26" ht="18.75">
      <c r="A553" s="574"/>
      <c r="B553" s="575"/>
      <c r="C553" s="575"/>
      <c r="D553" s="575"/>
      <c r="E553" s="763"/>
      <c r="F553" s="763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40">
        <f>7600+52710+2280+6625+990+2841+2520+2380+5760+5640+9182+2920+5324+4280+5120+144913</f>
        <v>261085</v>
      </c>
      <c r="O553" s="498"/>
      <c r="P553" s="49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</row>
    <row r="554" spans="1:26" ht="18.75">
      <c r="A554" s="574"/>
      <c r="B554" s="575"/>
      <c r="C554" s="575"/>
      <c r="D554" s="575"/>
      <c r="E554" s="763"/>
      <c r="F554" s="763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40">
        <v>0</v>
      </c>
      <c r="O554" s="498"/>
      <c r="P554" s="49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</row>
    <row r="555" spans="1:26" ht="18.75">
      <c r="A555" s="597"/>
      <c r="B555" s="575"/>
      <c r="C555" s="575"/>
      <c r="D555" s="606" t="s">
        <v>21</v>
      </c>
      <c r="E555" s="763"/>
      <c r="F555" s="763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</row>
    <row r="556" spans="1:26" ht="18.75" hidden="1">
      <c r="A556" s="599"/>
      <c r="B556" s="607"/>
      <c r="C556" s="607"/>
      <c r="D556" s="759"/>
      <c r="E556" s="759" t="s">
        <v>18</v>
      </c>
      <c r="F556" s="759"/>
      <c r="G556" s="603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4"/>
      <c r="R556" s="604"/>
      <c r="S556" s="604"/>
      <c r="T556" s="604"/>
      <c r="U556" s="604"/>
      <c r="V556" s="604"/>
      <c r="W556" s="604"/>
      <c r="X556" s="604"/>
      <c r="Y556" s="604"/>
      <c r="Z556" s="604"/>
    </row>
    <row r="557" spans="1:26" ht="18.75" hidden="1">
      <c r="A557" s="599"/>
      <c r="B557" s="607"/>
      <c r="C557" s="607"/>
      <c r="D557" s="759"/>
      <c r="E557" s="759" t="s">
        <v>19</v>
      </c>
      <c r="F557" s="759"/>
      <c r="G557" s="603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4"/>
      <c r="R557" s="604"/>
      <c r="S557" s="604"/>
      <c r="T557" s="604"/>
      <c r="U557" s="604"/>
      <c r="V557" s="604"/>
      <c r="W557" s="604"/>
      <c r="X557" s="604"/>
      <c r="Y557" s="604"/>
      <c r="Z557" s="604"/>
    </row>
    <row r="558" spans="1:26" ht="19.5">
      <c r="A558" s="608"/>
      <c r="B558" s="618"/>
      <c r="C558" s="575" t="s">
        <v>16</v>
      </c>
      <c r="D558" s="896" t="s">
        <v>38</v>
      </c>
      <c r="E558" s="761"/>
      <c r="F558" s="761"/>
      <c r="G558" s="613"/>
      <c r="H558" s="762"/>
      <c r="I558" s="184"/>
      <c r="J558" s="184"/>
      <c r="K558" s="163"/>
      <c r="L558" s="163"/>
      <c r="M558" s="163"/>
      <c r="N558" s="163"/>
      <c r="O558" s="163"/>
      <c r="P558" s="163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</row>
    <row r="559" spans="1:26" ht="19.5">
      <c r="A559" s="692"/>
      <c r="B559" s="693" t="s">
        <v>235</v>
      </c>
      <c r="C559" s="694"/>
      <c r="D559" s="694"/>
      <c r="E559" s="673"/>
      <c r="F559" s="673"/>
      <c r="G559" s="674"/>
      <c r="H559" s="695" t="s">
        <v>46</v>
      </c>
      <c r="I559" s="708">
        <f t="shared" ref="I559:J559" ca="1" si="245">I576</f>
        <v>90157.047500000001</v>
      </c>
      <c r="J559" s="708">
        <f t="shared" si="245"/>
        <v>90156.434999999998</v>
      </c>
      <c r="K559" s="677">
        <f t="shared" ref="K559:K561" ca="1" si="246">IF(I559&gt;0,J559*100/I559,0)</f>
        <v>99.999320629926345</v>
      </c>
      <c r="L559" s="678"/>
      <c r="M559" s="678"/>
      <c r="N559" s="678"/>
      <c r="O559" s="678"/>
      <c r="P559" s="6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</row>
    <row r="560" spans="1:26" ht="19.5">
      <c r="A560" s="608"/>
      <c r="B560" s="618"/>
      <c r="C560" s="625" t="s">
        <v>236</v>
      </c>
      <c r="D560" s="618"/>
      <c r="E560" s="626"/>
      <c r="F560" s="626"/>
      <c r="G560" s="762"/>
      <c r="H560" s="767" t="s">
        <v>46</v>
      </c>
      <c r="I560" s="193">
        <f ca="1">IFERROR(__xludf.DUMMYFUNCTION("IMPORTRANGE(""https://docs.google.com/spreadsheets/d/1QqKyyYR6Q21VydFLVH3TRQUabQu_ym0Zz7PgGX0-kHA/edit?usp=sharing"",""แผน!HH37"")"),90157.0475)</f>
        <v>90157.047500000001</v>
      </c>
      <c r="J560" s="193">
        <f t="shared" ref="J560:J561" si="247">J562+J564+J566</f>
        <v>90157</v>
      </c>
      <c r="K560" s="411">
        <f t="shared" ca="1" si="246"/>
        <v>99.999947314157552</v>
      </c>
      <c r="L560" s="163"/>
      <c r="M560" s="163"/>
      <c r="N560" s="163"/>
      <c r="O560" s="163"/>
      <c r="P560" s="163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</row>
    <row r="561" spans="1:26" ht="19.5">
      <c r="A561" s="608"/>
      <c r="B561" s="618"/>
      <c r="C561" s="618"/>
      <c r="D561" s="626"/>
      <c r="E561" s="626"/>
      <c r="F561" s="626"/>
      <c r="G561" s="762"/>
      <c r="H561" s="767" t="s">
        <v>34</v>
      </c>
      <c r="I561" s="193">
        <f ca="1">IFERROR(__xludf.DUMMYFUNCTION("IMPORTRANGE(""https://docs.google.com/spreadsheets/d/1QqKyyYR6Q21VydFLVH3TRQUabQu_ym0Zz7PgGX0-kHA/edit?usp=sharing"",""แผน!HG37"")"),7894)</f>
        <v>7894</v>
      </c>
      <c r="J561" s="193">
        <f t="shared" si="247"/>
        <v>7894</v>
      </c>
      <c r="K561" s="411">
        <f t="shared" ca="1" si="246"/>
        <v>100</v>
      </c>
      <c r="L561" s="163"/>
      <c r="M561" s="163"/>
      <c r="N561" s="163"/>
      <c r="O561" s="163"/>
      <c r="P561" s="163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</row>
    <row r="562" spans="1:26" ht="18.75">
      <c r="A562" s="608"/>
      <c r="B562" s="618"/>
      <c r="C562" s="618"/>
      <c r="D562" s="626" t="s">
        <v>237</v>
      </c>
      <c r="E562" s="626"/>
      <c r="F562" s="626"/>
      <c r="G562" s="762"/>
      <c r="H562" s="764" t="s">
        <v>46</v>
      </c>
      <c r="I562" s="184"/>
      <c r="J562" s="215">
        <v>74026</v>
      </c>
      <c r="K562" s="163"/>
      <c r="L562" s="163"/>
      <c r="M562" s="163"/>
      <c r="N562" s="163"/>
      <c r="O562" s="163"/>
      <c r="P562" s="163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</row>
    <row r="563" spans="1:26" ht="18.75">
      <c r="A563" s="608"/>
      <c r="B563" s="618"/>
      <c r="C563" s="618"/>
      <c r="D563" s="618"/>
      <c r="E563" s="626"/>
      <c r="F563" s="626"/>
      <c r="G563" s="762"/>
      <c r="H563" s="764" t="s">
        <v>34</v>
      </c>
      <c r="I563" s="184"/>
      <c r="J563" s="215">
        <v>6762</v>
      </c>
      <c r="K563" s="163"/>
      <c r="L563" s="163"/>
      <c r="M563" s="163"/>
      <c r="N563" s="163"/>
      <c r="O563" s="163"/>
      <c r="P563" s="163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</row>
    <row r="564" spans="1:26" ht="18.75">
      <c r="A564" s="608"/>
      <c r="B564" s="618"/>
      <c r="C564" s="618"/>
      <c r="D564" s="626" t="s">
        <v>238</v>
      </c>
      <c r="E564" s="626"/>
      <c r="F564" s="626"/>
      <c r="G564" s="762"/>
      <c r="H564" s="764" t="s">
        <v>46</v>
      </c>
      <c r="I564" s="184"/>
      <c r="J564" s="215">
        <v>13719</v>
      </c>
      <c r="K564" s="163"/>
      <c r="L564" s="163"/>
      <c r="M564" s="163"/>
      <c r="N564" s="163"/>
      <c r="O564" s="163"/>
      <c r="P564" s="163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</row>
    <row r="565" spans="1:26" ht="18.75">
      <c r="A565" s="608"/>
      <c r="B565" s="618"/>
      <c r="C565" s="618"/>
      <c r="D565" s="626"/>
      <c r="E565" s="626"/>
      <c r="F565" s="626"/>
      <c r="G565" s="762"/>
      <c r="H565" s="764" t="s">
        <v>34</v>
      </c>
      <c r="I565" s="184"/>
      <c r="J565" s="215">
        <v>944</v>
      </c>
      <c r="K565" s="163"/>
      <c r="L565" s="163"/>
      <c r="M565" s="163"/>
      <c r="N565" s="163"/>
      <c r="O565" s="163"/>
      <c r="P565" s="163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</row>
    <row r="566" spans="1:26" ht="18.75">
      <c r="A566" s="608"/>
      <c r="B566" s="618"/>
      <c r="C566" s="618"/>
      <c r="D566" s="626" t="s">
        <v>239</v>
      </c>
      <c r="E566" s="626"/>
      <c r="F566" s="626"/>
      <c r="G566" s="762"/>
      <c r="H566" s="764" t="s">
        <v>46</v>
      </c>
      <c r="I566" s="184"/>
      <c r="J566" s="215">
        <v>2412</v>
      </c>
      <c r="K566" s="163"/>
      <c r="L566" s="163"/>
      <c r="M566" s="163"/>
      <c r="N566" s="163"/>
      <c r="O566" s="163"/>
      <c r="P566" s="163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</row>
    <row r="567" spans="1:26" ht="18.75">
      <c r="A567" s="608"/>
      <c r="B567" s="618"/>
      <c r="C567" s="618"/>
      <c r="D567" s="626"/>
      <c r="E567" s="626"/>
      <c r="F567" s="626"/>
      <c r="G567" s="762"/>
      <c r="H567" s="764" t="s">
        <v>34</v>
      </c>
      <c r="I567" s="184"/>
      <c r="J567" s="215">
        <v>188</v>
      </c>
      <c r="K567" s="163"/>
      <c r="L567" s="163"/>
      <c r="M567" s="163"/>
      <c r="N567" s="163"/>
      <c r="O567" s="163"/>
      <c r="P567" s="163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</row>
    <row r="568" spans="1:26" ht="19.5">
      <c r="A568" s="608"/>
      <c r="B568" s="618"/>
      <c r="C568" s="625" t="s">
        <v>240</v>
      </c>
      <c r="D568" s="626"/>
      <c r="E568" s="626"/>
      <c r="F568" s="626"/>
      <c r="G568" s="762"/>
      <c r="H568" s="767" t="s">
        <v>46</v>
      </c>
      <c r="I568" s="193">
        <f ca="1">IFERROR(__xludf.DUMMYFUNCTION("IMPORTRANGE(""https://docs.google.com/spreadsheets/d/1QqKyyYR6Q21VydFLVH3TRQUabQu_ym0Zz7PgGX0-kHA/edit?usp=sharing"",""แผน!HH37"")"),90157.0475)</f>
        <v>90157.047500000001</v>
      </c>
      <c r="J568" s="681">
        <f t="shared" ref="J568:J569" si="248">J570+J572+J574</f>
        <v>90157</v>
      </c>
      <c r="K568" s="411">
        <f t="shared" ref="K568:K569" ca="1" si="249">IF(I568&gt;0,J568*100/I568,0)</f>
        <v>99.999947314157552</v>
      </c>
      <c r="L568" s="163"/>
      <c r="M568" s="163"/>
      <c r="N568" s="163"/>
      <c r="O568" s="163"/>
      <c r="P568" s="163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</row>
    <row r="569" spans="1:26" ht="19.5">
      <c r="A569" s="608"/>
      <c r="B569" s="618"/>
      <c r="C569" s="618"/>
      <c r="D569" s="618"/>
      <c r="E569" s="626"/>
      <c r="F569" s="626"/>
      <c r="G569" s="762"/>
      <c r="H569" s="767" t="s">
        <v>34</v>
      </c>
      <c r="I569" s="193">
        <f ca="1">IFERROR(__xludf.DUMMYFUNCTION("IMPORTRANGE(""https://docs.google.com/spreadsheets/d/1QqKyyYR6Q21VydFLVH3TRQUabQu_ym0Zz7PgGX0-kHA/edit?usp=sharing"",""แผน!HG37"")"),7894)</f>
        <v>7894</v>
      </c>
      <c r="J569" s="681">
        <f t="shared" si="248"/>
        <v>7894</v>
      </c>
      <c r="K569" s="411">
        <f t="shared" ca="1" si="249"/>
        <v>100</v>
      </c>
      <c r="L569" s="163"/>
      <c r="M569" s="163"/>
      <c r="N569" s="163"/>
      <c r="O569" s="163"/>
      <c r="P569" s="163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</row>
    <row r="570" spans="1:26" ht="18.75">
      <c r="A570" s="608"/>
      <c r="B570" s="618"/>
      <c r="C570" s="618"/>
      <c r="D570" s="626" t="s">
        <v>241</v>
      </c>
      <c r="E570" s="618"/>
      <c r="F570" s="626"/>
      <c r="G570" s="762"/>
      <c r="H570" s="764" t="s">
        <v>46</v>
      </c>
      <c r="I570" s="184"/>
      <c r="J570" s="215">
        <v>76518</v>
      </c>
      <c r="K570" s="163"/>
      <c r="L570" s="163"/>
      <c r="M570" s="163"/>
      <c r="N570" s="163"/>
      <c r="O570" s="163"/>
      <c r="P570" s="163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</row>
    <row r="571" spans="1:26" ht="18.75">
      <c r="A571" s="608"/>
      <c r="B571" s="618"/>
      <c r="C571" s="618"/>
      <c r="D571" s="618"/>
      <c r="E571" s="626"/>
      <c r="F571" s="626"/>
      <c r="G571" s="762"/>
      <c r="H571" s="764" t="s">
        <v>34</v>
      </c>
      <c r="I571" s="184"/>
      <c r="J571" s="215">
        <v>6950</v>
      </c>
      <c r="K571" s="163"/>
      <c r="L571" s="163"/>
      <c r="M571" s="163"/>
      <c r="N571" s="163"/>
      <c r="O571" s="163"/>
      <c r="P571" s="163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</row>
    <row r="572" spans="1:26" ht="18.75">
      <c r="A572" s="608"/>
      <c r="B572" s="618"/>
      <c r="C572" s="618"/>
      <c r="D572" s="626" t="s">
        <v>242</v>
      </c>
      <c r="E572" s="626"/>
      <c r="F572" s="626"/>
      <c r="G572" s="762"/>
      <c r="H572" s="764" t="s">
        <v>46</v>
      </c>
      <c r="I572" s="184"/>
      <c r="J572" s="215">
        <v>11227</v>
      </c>
      <c r="K572" s="163"/>
      <c r="L572" s="163"/>
      <c r="M572" s="163"/>
      <c r="N572" s="163"/>
      <c r="O572" s="163"/>
      <c r="P572" s="163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</row>
    <row r="573" spans="1:26" ht="18.75">
      <c r="A573" s="608"/>
      <c r="B573" s="618"/>
      <c r="C573" s="618"/>
      <c r="D573" s="626"/>
      <c r="E573" s="626"/>
      <c r="F573" s="626"/>
      <c r="G573" s="762"/>
      <c r="H573" s="764" t="s">
        <v>34</v>
      </c>
      <c r="I573" s="184"/>
      <c r="J573" s="215">
        <v>756</v>
      </c>
      <c r="K573" s="163"/>
      <c r="L573" s="163"/>
      <c r="M573" s="163"/>
      <c r="N573" s="163"/>
      <c r="O573" s="163"/>
      <c r="P573" s="163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</row>
    <row r="574" spans="1:26" ht="18.75">
      <c r="A574" s="608"/>
      <c r="B574" s="618"/>
      <c r="C574" s="618"/>
      <c r="D574" s="626" t="s">
        <v>243</v>
      </c>
      <c r="E574" s="626"/>
      <c r="F574" s="626"/>
      <c r="G574" s="762"/>
      <c r="H574" s="764" t="s">
        <v>46</v>
      </c>
      <c r="I574" s="184"/>
      <c r="J574" s="215">
        <v>2412</v>
      </c>
      <c r="K574" s="163"/>
      <c r="L574" s="163"/>
      <c r="M574" s="163"/>
      <c r="N574" s="163"/>
      <c r="O574" s="163"/>
      <c r="P574" s="163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</row>
    <row r="575" spans="1:26" ht="18.75">
      <c r="A575" s="608"/>
      <c r="B575" s="618"/>
      <c r="C575" s="618"/>
      <c r="D575" s="618"/>
      <c r="E575" s="626"/>
      <c r="F575" s="626"/>
      <c r="G575" s="762"/>
      <c r="H575" s="764" t="s">
        <v>34</v>
      </c>
      <c r="I575" s="184"/>
      <c r="J575" s="215">
        <v>188</v>
      </c>
      <c r="K575" s="163"/>
      <c r="L575" s="163"/>
      <c r="M575" s="163"/>
      <c r="N575" s="163"/>
      <c r="O575" s="163"/>
      <c r="P575" s="163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</row>
    <row r="576" spans="1:26" ht="19.5">
      <c r="A576" s="608"/>
      <c r="B576" s="618"/>
      <c r="C576" s="625" t="s">
        <v>244</v>
      </c>
      <c r="D576" s="618"/>
      <c r="E576" s="618"/>
      <c r="F576" s="626"/>
      <c r="G576" s="762"/>
      <c r="H576" s="767" t="s">
        <v>46</v>
      </c>
      <c r="I576" s="193">
        <f ca="1">IFERROR(__xludf.DUMMYFUNCTION("IMPORTRANGE(""https://docs.google.com/spreadsheets/d/1QqKyyYR6Q21VydFLVH3TRQUabQu_ym0Zz7PgGX0-kHA/edit?usp=sharing"",""แผน!HH37"")"),90157.0475)</f>
        <v>90157.047500000001</v>
      </c>
      <c r="J576" s="681">
        <f t="shared" ref="J576:J577" si="250">J578+J580+J582+J588+J590</f>
        <v>90156.434999999998</v>
      </c>
      <c r="K576" s="411">
        <f t="shared" ref="K576:K577" ca="1" si="251">IF(I576&gt;0,J576*100/I576,0)</f>
        <v>99.999320629926345</v>
      </c>
      <c r="L576" s="163"/>
      <c r="M576" s="163"/>
      <c r="N576" s="163"/>
      <c r="O576" s="163"/>
      <c r="P576" s="163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</row>
    <row r="577" spans="1:26" ht="19.5">
      <c r="A577" s="608"/>
      <c r="B577" s="618"/>
      <c r="C577" s="618"/>
      <c r="D577" s="618"/>
      <c r="E577" s="626"/>
      <c r="F577" s="626"/>
      <c r="G577" s="762"/>
      <c r="H577" s="767" t="s">
        <v>34</v>
      </c>
      <c r="I577" s="193">
        <f ca="1">IFERROR(__xludf.DUMMYFUNCTION("IMPORTRANGE(""https://docs.google.com/spreadsheets/d/1QqKyyYR6Q21VydFLVH3TRQUabQu_ym0Zz7PgGX0-kHA/edit?usp=sharing"",""แผน!HG37"")"),7894)</f>
        <v>7894</v>
      </c>
      <c r="J577" s="681">
        <f t="shared" si="250"/>
        <v>7894</v>
      </c>
      <c r="K577" s="411">
        <f t="shared" ca="1" si="251"/>
        <v>100</v>
      </c>
      <c r="L577" s="163"/>
      <c r="M577" s="163"/>
      <c r="N577" s="163"/>
      <c r="O577" s="163"/>
      <c r="P577" s="163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</row>
    <row r="578" spans="1:26" ht="18.75">
      <c r="A578" s="608"/>
      <c r="B578" s="618"/>
      <c r="C578" s="618"/>
      <c r="D578" s="626" t="s">
        <v>245</v>
      </c>
      <c r="E578" s="626"/>
      <c r="F578" s="626"/>
      <c r="G578" s="762"/>
      <c r="H578" s="764" t="s">
        <v>46</v>
      </c>
      <c r="I578" s="184"/>
      <c r="J578" s="215">
        <v>79927.637499999997</v>
      </c>
      <c r="K578" s="163"/>
      <c r="L578" s="163"/>
      <c r="M578" s="163"/>
      <c r="N578" s="163"/>
      <c r="O578" s="163"/>
      <c r="P578" s="163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</row>
    <row r="579" spans="1:26" ht="18.75">
      <c r="A579" s="608"/>
      <c r="B579" s="618"/>
      <c r="C579" s="618"/>
      <c r="D579" s="618"/>
      <c r="E579" s="626"/>
      <c r="F579" s="626"/>
      <c r="G579" s="762"/>
      <c r="H579" s="764" t="s">
        <v>34</v>
      </c>
      <c r="I579" s="184"/>
      <c r="J579" s="215">
        <v>7212</v>
      </c>
      <c r="K579" s="163"/>
      <c r="L579" s="163"/>
      <c r="M579" s="163"/>
      <c r="N579" s="163"/>
      <c r="O579" s="163"/>
      <c r="P579" s="163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</row>
    <row r="580" spans="1:26" ht="18.75">
      <c r="A580" s="608"/>
      <c r="B580" s="618"/>
      <c r="C580" s="618"/>
      <c r="D580" s="626" t="s">
        <v>246</v>
      </c>
      <c r="E580" s="626"/>
      <c r="F580" s="626"/>
      <c r="G580" s="762"/>
      <c r="H580" s="764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</row>
    <row r="581" spans="1:26" ht="18.75">
      <c r="A581" s="608"/>
      <c r="B581" s="618"/>
      <c r="C581" s="618"/>
      <c r="D581" s="618"/>
      <c r="E581" s="626"/>
      <c r="F581" s="626"/>
      <c r="G581" s="762"/>
      <c r="H581" s="764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</row>
    <row r="582" spans="1:26" ht="19.5">
      <c r="A582" s="608"/>
      <c r="B582" s="618"/>
      <c r="C582" s="618"/>
      <c r="D582" s="626" t="s">
        <v>247</v>
      </c>
      <c r="E582" s="626"/>
      <c r="F582" s="626"/>
      <c r="G582" s="762"/>
      <c r="H582" s="764" t="s">
        <v>46</v>
      </c>
      <c r="I582" s="184"/>
      <c r="J582" s="681">
        <f t="shared" ref="J582:J583" si="252">J584+J586</f>
        <v>2379.1025</v>
      </c>
      <c r="K582" s="411"/>
      <c r="L582" s="163"/>
      <c r="M582" s="163"/>
      <c r="N582" s="163"/>
      <c r="O582" s="163"/>
      <c r="P582" s="163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</row>
    <row r="583" spans="1:26" ht="19.5">
      <c r="A583" s="608"/>
      <c r="B583" s="618"/>
      <c r="C583" s="618"/>
      <c r="D583" s="618"/>
      <c r="E583" s="626"/>
      <c r="F583" s="626"/>
      <c r="G583" s="762"/>
      <c r="H583" s="764" t="s">
        <v>34</v>
      </c>
      <c r="I583" s="184"/>
      <c r="J583" s="681">
        <f t="shared" si="252"/>
        <v>184</v>
      </c>
      <c r="K583" s="411"/>
      <c r="L583" s="163"/>
      <c r="M583" s="163"/>
      <c r="N583" s="163"/>
      <c r="O583" s="163"/>
      <c r="P583" s="163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</row>
    <row r="584" spans="1:26" ht="18.75">
      <c r="A584" s="608"/>
      <c r="B584" s="618"/>
      <c r="C584" s="618"/>
      <c r="D584" s="618"/>
      <c r="E584" s="626" t="s">
        <v>248</v>
      </c>
      <c r="F584" s="626"/>
      <c r="G584" s="762"/>
      <c r="H584" s="764" t="s">
        <v>46</v>
      </c>
      <c r="I584" s="184"/>
      <c r="J584" s="215">
        <v>2378.3325</v>
      </c>
      <c r="K584" s="163"/>
      <c r="L584" s="163"/>
      <c r="M584" s="163"/>
      <c r="N584" s="163"/>
      <c r="O584" s="163"/>
      <c r="P584" s="163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</row>
    <row r="585" spans="1:26" ht="18.75">
      <c r="A585" s="608"/>
      <c r="B585" s="618"/>
      <c r="C585" s="618"/>
      <c r="D585" s="618"/>
      <c r="E585" s="626"/>
      <c r="F585" s="626"/>
      <c r="G585" s="762"/>
      <c r="H585" s="764" t="s">
        <v>34</v>
      </c>
      <c r="I585" s="184"/>
      <c r="J585" s="215">
        <v>182</v>
      </c>
      <c r="K585" s="163"/>
      <c r="L585" s="163"/>
      <c r="M585" s="163"/>
      <c r="N585" s="163"/>
      <c r="O585" s="163"/>
      <c r="P585" s="163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</row>
    <row r="586" spans="1:26" ht="18.75">
      <c r="A586" s="608"/>
      <c r="B586" s="618"/>
      <c r="C586" s="618"/>
      <c r="D586" s="618"/>
      <c r="E586" s="626" t="s">
        <v>249</v>
      </c>
      <c r="F586" s="626"/>
      <c r="G586" s="762"/>
      <c r="H586" s="764" t="s">
        <v>46</v>
      </c>
      <c r="I586" s="184"/>
      <c r="J586" s="919">
        <v>0.77</v>
      </c>
      <c r="K586" s="163"/>
      <c r="L586" s="163"/>
      <c r="M586" s="163"/>
      <c r="N586" s="163"/>
      <c r="O586" s="163"/>
      <c r="P586" s="163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</row>
    <row r="587" spans="1:26" ht="18.75">
      <c r="A587" s="608"/>
      <c r="B587" s="618"/>
      <c r="C587" s="618"/>
      <c r="D587" s="618"/>
      <c r="E587" s="618"/>
      <c r="F587" s="626"/>
      <c r="G587" s="762"/>
      <c r="H587" s="764" t="s">
        <v>34</v>
      </c>
      <c r="I587" s="184"/>
      <c r="J587" s="215">
        <v>2</v>
      </c>
      <c r="K587" s="163"/>
      <c r="L587" s="163"/>
      <c r="M587" s="163"/>
      <c r="N587" s="163"/>
      <c r="O587" s="163"/>
      <c r="P587" s="163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</row>
    <row r="588" spans="1:26" ht="18.75">
      <c r="A588" s="608"/>
      <c r="B588" s="618"/>
      <c r="C588" s="618"/>
      <c r="D588" s="626" t="s">
        <v>250</v>
      </c>
      <c r="E588" s="626"/>
      <c r="F588" s="626"/>
      <c r="G588" s="762"/>
      <c r="H588" s="764" t="s">
        <v>46</v>
      </c>
      <c r="I588" s="184"/>
      <c r="J588" s="215">
        <v>7849.6949999999997</v>
      </c>
      <c r="K588" s="163"/>
      <c r="L588" s="163"/>
      <c r="M588" s="163"/>
      <c r="N588" s="163"/>
      <c r="O588" s="163"/>
      <c r="P588" s="163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</row>
    <row r="589" spans="1:26" ht="18.75">
      <c r="A589" s="608"/>
      <c r="B589" s="618"/>
      <c r="C589" s="618"/>
      <c r="D589" s="618"/>
      <c r="E589" s="618"/>
      <c r="F589" s="626"/>
      <c r="G589" s="762"/>
      <c r="H589" s="764" t="s">
        <v>34</v>
      </c>
      <c r="I589" s="184"/>
      <c r="J589" s="215">
        <v>498</v>
      </c>
      <c r="K589" s="163"/>
      <c r="L589" s="163"/>
      <c r="M589" s="163"/>
      <c r="N589" s="163"/>
      <c r="O589" s="163"/>
      <c r="P589" s="163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</row>
    <row r="590" spans="1:26" ht="18.75">
      <c r="A590" s="608"/>
      <c r="B590" s="618"/>
      <c r="C590" s="618"/>
      <c r="D590" s="626" t="s">
        <v>251</v>
      </c>
      <c r="E590" s="626"/>
      <c r="F590" s="626"/>
      <c r="G590" s="762"/>
      <c r="H590" s="764" t="s">
        <v>46</v>
      </c>
      <c r="I590" s="184"/>
      <c r="J590" s="701">
        <v>0</v>
      </c>
      <c r="K590" s="163"/>
      <c r="L590" s="163"/>
      <c r="M590" s="163"/>
      <c r="N590" s="163"/>
      <c r="O590" s="163"/>
      <c r="P590" s="163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</row>
    <row r="591" spans="1:26" ht="18.75">
      <c r="A591" s="696"/>
      <c r="B591" s="697"/>
      <c r="C591" s="697"/>
      <c r="D591" s="697"/>
      <c r="E591" s="578"/>
      <c r="F591" s="578"/>
      <c r="G591" s="698"/>
      <c r="H591" s="699" t="s">
        <v>34</v>
      </c>
      <c r="I591" s="700"/>
      <c r="J591" s="701">
        <v>0</v>
      </c>
      <c r="K591" s="702"/>
      <c r="L591" s="702"/>
      <c r="M591" s="702"/>
      <c r="N591" s="702"/>
      <c r="O591" s="702"/>
      <c r="P591" s="702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</row>
    <row r="592" spans="1:26" ht="19.5">
      <c r="A592" s="692"/>
      <c r="B592" s="693" t="s">
        <v>252</v>
      </c>
      <c r="C592" s="694"/>
      <c r="D592" s="694"/>
      <c r="E592" s="673"/>
      <c r="F592" s="673"/>
      <c r="G592" s="674"/>
      <c r="H592" s="695" t="s">
        <v>46</v>
      </c>
      <c r="I592" s="703">
        <f t="shared" ref="I592:J592" ca="1" si="253">I593</f>
        <v>6390.89</v>
      </c>
      <c r="J592" s="708">
        <f t="shared" si="253"/>
        <v>6298.3924999999999</v>
      </c>
      <c r="K592" s="677">
        <f t="shared" ref="K592:K594" ca="1" si="254">IF(I592&gt;0,J592*100/I592,0)</f>
        <v>98.552666373541086</v>
      </c>
      <c r="L592" s="678"/>
      <c r="M592" s="678"/>
      <c r="N592" s="678"/>
      <c r="O592" s="678"/>
      <c r="P592" s="6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</row>
    <row r="593" spans="1:26" ht="19.5">
      <c r="A593" s="608"/>
      <c r="B593" s="618"/>
      <c r="C593" s="625" t="s">
        <v>253</v>
      </c>
      <c r="D593" s="618"/>
      <c r="E593" s="618"/>
      <c r="F593" s="626"/>
      <c r="G593" s="762"/>
      <c r="H593" s="767" t="s">
        <v>46</v>
      </c>
      <c r="I593" s="704">
        <f ca="1">IFERROR(__xludf.DUMMYFUNCTION("IMPORTRANGE(""https://docs.google.com/spreadsheets/d/1QqKyyYR6Q21VydFLVH3TRQUabQu_ym0Zz7PgGX0-kHA/edit?usp=sharing"",""แผน!HJ37"")"),6390.89)</f>
        <v>6390.89</v>
      </c>
      <c r="J593" s="193">
        <f t="shared" ref="J593:J594" si="255">J595+J603+J609</f>
        <v>6298.3924999999999</v>
      </c>
      <c r="K593" s="411">
        <f t="shared" ca="1" si="254"/>
        <v>98.552666373541086</v>
      </c>
      <c r="L593" s="163"/>
      <c r="M593" s="163"/>
      <c r="N593" s="163"/>
      <c r="O593" s="163"/>
      <c r="P593" s="163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</row>
    <row r="594" spans="1:26" ht="19.5">
      <c r="A594" s="608"/>
      <c r="B594" s="618"/>
      <c r="C594" s="618"/>
      <c r="D594" s="618"/>
      <c r="E594" s="626"/>
      <c r="F594" s="626"/>
      <c r="G594" s="762"/>
      <c r="H594" s="767" t="s">
        <v>34</v>
      </c>
      <c r="I594" s="193">
        <f ca="1">IFERROR(__xludf.DUMMYFUNCTION("IMPORTRANGE(""https://docs.google.com/spreadsheets/d/1QqKyyYR6Q21VydFLVH3TRQUabQu_ym0Zz7PgGX0-kHA/edit?usp=sharing"",""แผน!HI37"")"),339)</f>
        <v>339</v>
      </c>
      <c r="J594" s="193">
        <f t="shared" si="255"/>
        <v>332</v>
      </c>
      <c r="K594" s="411">
        <f t="shared" ca="1" si="254"/>
        <v>97.935103244837762</v>
      </c>
      <c r="L594" s="163"/>
      <c r="M594" s="163"/>
      <c r="N594" s="163"/>
      <c r="O594" s="163"/>
      <c r="P594" s="163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</row>
    <row r="595" spans="1:26" ht="18.75">
      <c r="A595" s="608"/>
      <c r="B595" s="618"/>
      <c r="C595" s="618" t="s">
        <v>254</v>
      </c>
      <c r="D595" s="618"/>
      <c r="E595" s="618"/>
      <c r="F595" s="626"/>
      <c r="G595" s="762"/>
      <c r="H595" s="764" t="s">
        <v>46</v>
      </c>
      <c r="I595" s="184"/>
      <c r="J595" s="184">
        <f t="shared" ref="J595:J596" si="256">J597+J599</f>
        <v>2284.7449999999999</v>
      </c>
      <c r="K595" s="163"/>
      <c r="L595" s="163"/>
      <c r="M595" s="163"/>
      <c r="N595" s="163"/>
      <c r="O595" s="163"/>
      <c r="P595" s="163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</row>
    <row r="596" spans="1:26" ht="18.75">
      <c r="A596" s="608"/>
      <c r="B596" s="618"/>
      <c r="C596" s="618"/>
      <c r="D596" s="618"/>
      <c r="E596" s="626"/>
      <c r="F596" s="626"/>
      <c r="G596" s="762"/>
      <c r="H596" s="764" t="s">
        <v>34</v>
      </c>
      <c r="I596" s="184"/>
      <c r="J596" s="184">
        <f t="shared" si="256"/>
        <v>138</v>
      </c>
      <c r="K596" s="163"/>
      <c r="L596" s="163"/>
      <c r="M596" s="163"/>
      <c r="N596" s="163"/>
      <c r="O596" s="163"/>
      <c r="P596" s="163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</row>
    <row r="597" spans="1:26" ht="18.75">
      <c r="A597" s="608"/>
      <c r="B597" s="618"/>
      <c r="C597" s="618"/>
      <c r="D597" s="746" t="s">
        <v>255</v>
      </c>
      <c r="E597" s="626"/>
      <c r="F597" s="626"/>
      <c r="G597" s="762"/>
      <c r="H597" s="764" t="s">
        <v>46</v>
      </c>
      <c r="I597" s="184"/>
      <c r="J597" s="215">
        <v>2284.7449999999999</v>
      </c>
      <c r="K597" s="163"/>
      <c r="L597" s="163"/>
      <c r="M597" s="163"/>
      <c r="N597" s="163"/>
      <c r="O597" s="163"/>
      <c r="P597" s="163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</row>
    <row r="598" spans="1:26" ht="18.75">
      <c r="A598" s="608"/>
      <c r="B598" s="618"/>
      <c r="C598" s="618"/>
      <c r="D598" s="618"/>
      <c r="E598" s="626"/>
      <c r="F598" s="626"/>
      <c r="G598" s="762"/>
      <c r="H598" s="764" t="s">
        <v>34</v>
      </c>
      <c r="I598" s="270"/>
      <c r="J598" s="215">
        <v>138</v>
      </c>
      <c r="K598" s="163"/>
      <c r="L598" s="163"/>
      <c r="M598" s="163"/>
      <c r="N598" s="163"/>
      <c r="O598" s="163"/>
      <c r="P598" s="163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</row>
    <row r="599" spans="1:26" ht="18.75">
      <c r="A599" s="608"/>
      <c r="B599" s="618"/>
      <c r="C599" s="618"/>
      <c r="D599" s="746" t="s">
        <v>256</v>
      </c>
      <c r="E599" s="626"/>
      <c r="F599" s="626"/>
      <c r="G599" s="762"/>
      <c r="H599" s="764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</row>
    <row r="600" spans="1:26" ht="18.75">
      <c r="A600" s="608"/>
      <c r="B600" s="618"/>
      <c r="C600" s="618"/>
      <c r="D600" s="618"/>
      <c r="E600" s="626"/>
      <c r="F600" s="626"/>
      <c r="G600" s="762"/>
      <c r="H600" s="764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</row>
    <row r="601" spans="1:26" ht="18.75">
      <c r="A601" s="608"/>
      <c r="B601" s="618"/>
      <c r="C601" s="618"/>
      <c r="D601" s="746" t="s">
        <v>257</v>
      </c>
      <c r="E601" s="626"/>
      <c r="F601" s="626"/>
      <c r="G601" s="762"/>
      <c r="H601" s="76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</row>
    <row r="602" spans="1:26" ht="18.75">
      <c r="A602" s="608"/>
      <c r="B602" s="618"/>
      <c r="C602" s="618"/>
      <c r="D602" s="618"/>
      <c r="E602" s="626"/>
      <c r="F602" s="626"/>
      <c r="G602" s="762"/>
      <c r="H602" s="76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</row>
    <row r="603" spans="1:26" ht="18.75">
      <c r="A603" s="608"/>
      <c r="B603" s="618"/>
      <c r="C603" s="705" t="s">
        <v>258</v>
      </c>
      <c r="D603" s="618"/>
      <c r="E603" s="618"/>
      <c r="F603" s="626"/>
      <c r="G603" s="762"/>
      <c r="H603" s="764" t="s">
        <v>46</v>
      </c>
      <c r="I603" s="270"/>
      <c r="J603" s="270">
        <f t="shared" ref="J603:J604" si="257">J605+J607</f>
        <v>4013.6475</v>
      </c>
      <c r="K603" s="163"/>
      <c r="L603" s="163"/>
      <c r="M603" s="163"/>
      <c r="N603" s="163"/>
      <c r="O603" s="163"/>
      <c r="P603" s="163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</row>
    <row r="604" spans="1:26" ht="18.75">
      <c r="A604" s="608"/>
      <c r="B604" s="618"/>
      <c r="C604" s="618"/>
      <c r="D604" s="618"/>
      <c r="E604" s="626"/>
      <c r="F604" s="626"/>
      <c r="G604" s="762"/>
      <c r="H604" s="764" t="s">
        <v>34</v>
      </c>
      <c r="I604" s="270"/>
      <c r="J604" s="270">
        <f t="shared" si="257"/>
        <v>194</v>
      </c>
      <c r="K604" s="163"/>
      <c r="L604" s="163"/>
      <c r="M604" s="163"/>
      <c r="N604" s="163"/>
      <c r="O604" s="163"/>
      <c r="P604" s="163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</row>
    <row r="605" spans="1:26" ht="18.75">
      <c r="A605" s="608"/>
      <c r="B605" s="618"/>
      <c r="C605" s="618"/>
      <c r="D605" s="705" t="s">
        <v>259</v>
      </c>
      <c r="E605" s="626"/>
      <c r="F605" s="626"/>
      <c r="G605" s="762"/>
      <c r="H605" s="764" t="s">
        <v>46</v>
      </c>
      <c r="I605" s="270"/>
      <c r="J605" s="215">
        <v>231.25749999999999</v>
      </c>
      <c r="K605" s="163"/>
      <c r="L605" s="163"/>
      <c r="M605" s="163"/>
      <c r="N605" s="163"/>
      <c r="O605" s="163"/>
      <c r="P605" s="163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</row>
    <row r="606" spans="1:26" ht="18.75">
      <c r="A606" s="608"/>
      <c r="B606" s="618"/>
      <c r="C606" s="618"/>
      <c r="D606" s="618"/>
      <c r="E606" s="618"/>
      <c r="F606" s="626"/>
      <c r="G606" s="762"/>
      <c r="H606" s="764" t="s">
        <v>34</v>
      </c>
      <c r="I606" s="270"/>
      <c r="J606" s="215">
        <v>14</v>
      </c>
      <c r="K606" s="163"/>
      <c r="L606" s="163"/>
      <c r="M606" s="163"/>
      <c r="N606" s="163"/>
      <c r="O606" s="163"/>
      <c r="P606" s="163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</row>
    <row r="607" spans="1:26" ht="18.75">
      <c r="A607" s="608"/>
      <c r="B607" s="618"/>
      <c r="C607" s="618"/>
      <c r="D607" s="705" t="s">
        <v>260</v>
      </c>
      <c r="E607" s="618"/>
      <c r="F607" s="626"/>
      <c r="G607" s="762"/>
      <c r="H607" s="764" t="s">
        <v>46</v>
      </c>
      <c r="I607" s="270"/>
      <c r="J607" s="215">
        <v>3782.39</v>
      </c>
      <c r="K607" s="163"/>
      <c r="L607" s="163"/>
      <c r="M607" s="163"/>
      <c r="N607" s="163"/>
      <c r="O607" s="163"/>
      <c r="P607" s="163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</row>
    <row r="608" spans="1:26" ht="18.75">
      <c r="A608" s="608"/>
      <c r="B608" s="618"/>
      <c r="C608" s="618"/>
      <c r="D608" s="618"/>
      <c r="E608" s="626"/>
      <c r="F608" s="626"/>
      <c r="G608" s="762"/>
      <c r="H608" s="764" t="s">
        <v>34</v>
      </c>
      <c r="I608" s="270"/>
      <c r="J608" s="215">
        <v>180</v>
      </c>
      <c r="K608" s="163"/>
      <c r="L608" s="163"/>
      <c r="M608" s="163"/>
      <c r="N608" s="163"/>
      <c r="O608" s="163"/>
      <c r="P608" s="163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</row>
    <row r="609" spans="1:26" ht="18.75">
      <c r="A609" s="608"/>
      <c r="B609" s="618"/>
      <c r="C609" s="618" t="s">
        <v>261</v>
      </c>
      <c r="D609" s="618"/>
      <c r="E609" s="618"/>
      <c r="F609" s="626"/>
      <c r="G609" s="762"/>
      <c r="H609" s="764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</row>
    <row r="610" spans="1:26" ht="18.75">
      <c r="A610" s="608"/>
      <c r="B610" s="618"/>
      <c r="C610" s="618"/>
      <c r="D610" s="618"/>
      <c r="E610" s="626"/>
      <c r="F610" s="626"/>
      <c r="G610" s="762"/>
      <c r="H610" s="764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</row>
    <row r="611" spans="1:26" ht="19.5">
      <c r="A611" s="692"/>
      <c r="B611" s="706" t="s">
        <v>262</v>
      </c>
      <c r="C611" s="694"/>
      <c r="D611" s="694"/>
      <c r="E611" s="673"/>
      <c r="F611" s="673"/>
      <c r="G611" s="674"/>
      <c r="H611" s="707" t="s">
        <v>46</v>
      </c>
      <c r="I611" s="708">
        <v>0</v>
      </c>
      <c r="J611" s="708">
        <f>J614+J616</f>
        <v>0</v>
      </c>
      <c r="K611" s="677">
        <f t="shared" ref="K611:K613" si="258">IF(I611&gt;0,J611*100/I611,0)</f>
        <v>0</v>
      </c>
      <c r="L611" s="678"/>
      <c r="M611" s="678"/>
      <c r="N611" s="678"/>
      <c r="O611" s="678"/>
      <c r="P611" s="6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</row>
    <row r="612" spans="1:26" ht="19.5" hidden="1">
      <c r="A612" s="709"/>
      <c r="B612" s="719"/>
      <c r="C612" s="711" t="s">
        <v>263</v>
      </c>
      <c r="D612" s="719"/>
      <c r="E612" s="719"/>
      <c r="F612" s="712"/>
      <c r="G612" s="713"/>
      <c r="H612" s="714" t="s">
        <v>46</v>
      </c>
      <c r="I612" s="716">
        <v>0</v>
      </c>
      <c r="J612" s="716">
        <f t="shared" ref="J612:J613" si="259">J614+J616</f>
        <v>0</v>
      </c>
      <c r="K612" s="717">
        <f t="shared" si="258"/>
        <v>0</v>
      </c>
      <c r="L612" s="718"/>
      <c r="M612" s="718"/>
      <c r="N612" s="718"/>
      <c r="O612" s="718"/>
      <c r="P612" s="718"/>
      <c r="Q612" s="604"/>
      <c r="R612" s="604"/>
      <c r="S612" s="604"/>
      <c r="T612" s="604"/>
      <c r="U612" s="604"/>
      <c r="V612" s="604"/>
      <c r="W612" s="604"/>
      <c r="X612" s="604"/>
      <c r="Y612" s="604"/>
      <c r="Z612" s="604"/>
    </row>
    <row r="613" spans="1:26" ht="19.5" hidden="1">
      <c r="A613" s="709"/>
      <c r="B613" s="719"/>
      <c r="C613" s="719" t="s">
        <v>264</v>
      </c>
      <c r="D613" s="719"/>
      <c r="E613" s="719"/>
      <c r="F613" s="712"/>
      <c r="G613" s="713"/>
      <c r="H613" s="714" t="s">
        <v>34</v>
      </c>
      <c r="I613" s="716">
        <v>0</v>
      </c>
      <c r="J613" s="716">
        <f t="shared" si="259"/>
        <v>0</v>
      </c>
      <c r="K613" s="717">
        <f t="shared" si="258"/>
        <v>0</v>
      </c>
      <c r="L613" s="718"/>
      <c r="M613" s="718"/>
      <c r="N613" s="718"/>
      <c r="O613" s="718"/>
      <c r="P613" s="718"/>
      <c r="Q613" s="604"/>
      <c r="R613" s="604"/>
      <c r="S613" s="604"/>
      <c r="T613" s="604"/>
      <c r="U613" s="604"/>
      <c r="V613" s="604"/>
      <c r="W613" s="604"/>
      <c r="X613" s="604"/>
      <c r="Y613" s="604"/>
      <c r="Z613" s="604"/>
    </row>
    <row r="614" spans="1:26" ht="18.75" hidden="1">
      <c r="A614" s="614"/>
      <c r="B614" s="616"/>
      <c r="C614" s="616"/>
      <c r="D614" s="720" t="s">
        <v>265</v>
      </c>
      <c r="E614" s="616"/>
      <c r="F614" s="720"/>
      <c r="G614" s="366"/>
      <c r="H614" s="370" t="s">
        <v>46</v>
      </c>
      <c r="I614" s="617"/>
      <c r="J614" s="617">
        <v>0</v>
      </c>
      <c r="K614" s="167"/>
      <c r="L614" s="167"/>
      <c r="M614" s="167"/>
      <c r="N614" s="167"/>
      <c r="O614" s="167"/>
      <c r="P614" s="167"/>
      <c r="Q614" s="604"/>
      <c r="R614" s="604"/>
      <c r="S614" s="604"/>
      <c r="T614" s="604"/>
      <c r="U614" s="604"/>
      <c r="V614" s="604"/>
      <c r="W614" s="604"/>
      <c r="X614" s="604"/>
      <c r="Y614" s="604"/>
      <c r="Z614" s="604"/>
    </row>
    <row r="615" spans="1:26" ht="18.75" hidden="1">
      <c r="A615" s="614"/>
      <c r="B615" s="616"/>
      <c r="C615" s="616"/>
      <c r="D615" s="616"/>
      <c r="E615" s="616"/>
      <c r="F615" s="720"/>
      <c r="G615" s="366"/>
      <c r="H615" s="370" t="s">
        <v>34</v>
      </c>
      <c r="I615" s="617"/>
      <c r="J615" s="617">
        <v>0</v>
      </c>
      <c r="K615" s="167"/>
      <c r="L615" s="167"/>
      <c r="M615" s="167"/>
      <c r="N615" s="167"/>
      <c r="O615" s="167"/>
      <c r="P615" s="167"/>
      <c r="Q615" s="604"/>
      <c r="R615" s="604"/>
      <c r="S615" s="604"/>
      <c r="T615" s="604"/>
      <c r="U615" s="604"/>
      <c r="V615" s="604"/>
      <c r="W615" s="604"/>
      <c r="X615" s="604"/>
      <c r="Y615" s="604"/>
      <c r="Z615" s="604"/>
    </row>
    <row r="616" spans="1:26" ht="18.75" hidden="1">
      <c r="A616" s="614"/>
      <c r="B616" s="616"/>
      <c r="C616" s="616"/>
      <c r="D616" s="721" t="s">
        <v>265</v>
      </c>
      <c r="E616" s="720"/>
      <c r="F616" s="720"/>
      <c r="G616" s="366"/>
      <c r="H616" s="370" t="s">
        <v>46</v>
      </c>
      <c r="I616" s="617"/>
      <c r="J616" s="617">
        <v>0</v>
      </c>
      <c r="K616" s="167"/>
      <c r="L616" s="167"/>
      <c r="M616" s="167"/>
      <c r="N616" s="167"/>
      <c r="O616" s="167"/>
      <c r="P616" s="167"/>
      <c r="Q616" s="604"/>
      <c r="R616" s="604"/>
      <c r="S616" s="604"/>
      <c r="T616" s="604"/>
      <c r="U616" s="604"/>
      <c r="V616" s="604"/>
      <c r="W616" s="604"/>
      <c r="X616" s="604"/>
      <c r="Y616" s="604"/>
      <c r="Z616" s="604"/>
    </row>
    <row r="617" spans="1:26" ht="18.75" hidden="1">
      <c r="A617" s="614"/>
      <c r="B617" s="616"/>
      <c r="C617" s="616"/>
      <c r="D617" s="616"/>
      <c r="E617" s="720"/>
      <c r="F617" s="720"/>
      <c r="G617" s="366"/>
      <c r="H617" s="370" t="s">
        <v>34</v>
      </c>
      <c r="I617" s="617"/>
      <c r="J617" s="617">
        <v>0</v>
      </c>
      <c r="K617" s="167"/>
      <c r="L617" s="167"/>
      <c r="M617" s="167"/>
      <c r="N617" s="167"/>
      <c r="O617" s="167"/>
      <c r="P617" s="167"/>
      <c r="Q617" s="604"/>
      <c r="R617" s="604"/>
      <c r="S617" s="604"/>
      <c r="T617" s="604"/>
      <c r="U617" s="604"/>
      <c r="V617" s="604"/>
      <c r="W617" s="604"/>
      <c r="X617" s="604"/>
      <c r="Y617" s="604"/>
      <c r="Z617" s="604"/>
    </row>
    <row r="618" spans="1:26" ht="18.75" hidden="1">
      <c r="A618" s="614"/>
      <c r="B618" s="616"/>
      <c r="C618" s="616"/>
      <c r="D618" s="721" t="s">
        <v>266</v>
      </c>
      <c r="E618" s="720"/>
      <c r="F618" s="720"/>
      <c r="G618" s="366"/>
      <c r="H618" s="370" t="s">
        <v>46</v>
      </c>
      <c r="I618" s="617"/>
      <c r="J618" s="617">
        <v>0</v>
      </c>
      <c r="K618" s="167"/>
      <c r="L618" s="167"/>
      <c r="M618" s="167"/>
      <c r="N618" s="167"/>
      <c r="O618" s="167"/>
      <c r="P618" s="167"/>
      <c r="Q618" s="604"/>
      <c r="R618" s="604"/>
      <c r="S618" s="604"/>
      <c r="T618" s="604"/>
      <c r="U618" s="604"/>
      <c r="V618" s="604"/>
      <c r="W618" s="604"/>
      <c r="X618" s="604"/>
      <c r="Y618" s="604"/>
      <c r="Z618" s="604"/>
    </row>
    <row r="619" spans="1:26" ht="18.75" hidden="1">
      <c r="A619" s="614"/>
      <c r="B619" s="616"/>
      <c r="C619" s="616"/>
      <c r="D619" s="616"/>
      <c r="E619" s="720"/>
      <c r="F619" s="720"/>
      <c r="G619" s="366"/>
      <c r="H619" s="370" t="s">
        <v>34</v>
      </c>
      <c r="I619" s="617"/>
      <c r="J619" s="617">
        <v>0</v>
      </c>
      <c r="K619" s="167"/>
      <c r="L619" s="167"/>
      <c r="M619" s="167"/>
      <c r="N619" s="167"/>
      <c r="O619" s="167"/>
      <c r="P619" s="167"/>
      <c r="Q619" s="604"/>
      <c r="R619" s="604"/>
      <c r="S619" s="604"/>
      <c r="T619" s="604"/>
      <c r="U619" s="604"/>
      <c r="V619" s="604"/>
      <c r="W619" s="604"/>
      <c r="X619" s="604"/>
      <c r="Y619" s="604"/>
      <c r="Z619" s="604"/>
    </row>
    <row r="620" spans="1:26" ht="19.5">
      <c r="A620" s="722"/>
      <c r="B620" s="731"/>
      <c r="C620" s="724" t="s">
        <v>267</v>
      </c>
      <c r="D620" s="731"/>
      <c r="E620" s="731"/>
      <c r="F620" s="725"/>
      <c r="G620" s="726"/>
      <c r="H620" s="727" t="s">
        <v>46</v>
      </c>
      <c r="I620" s="728">
        <f ca="1">IFERROR(__xludf.DUMMYFUNCTION("IMPORTRANGE(""https://docs.google.com/spreadsheets/d/1QqKyyYR6Q21VydFLVH3TRQUabQu_ym0Zz7PgGX0-kHA/edit?usp=sharing"",""แผน!HL37"")"),88)</f>
        <v>88</v>
      </c>
      <c r="J620" s="728">
        <f t="shared" ref="J620:J621" si="260">J622+J624+J626</f>
        <v>88</v>
      </c>
      <c r="K620" s="729">
        <f t="shared" ref="K620:K621" ca="1" si="261">IF(I620&gt;0,J620*100/I620,0)</f>
        <v>100</v>
      </c>
      <c r="L620" s="730"/>
      <c r="M620" s="730"/>
      <c r="N620" s="730"/>
      <c r="O620" s="730"/>
      <c r="P620" s="730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</row>
    <row r="621" spans="1:26" ht="19.5">
      <c r="A621" s="722"/>
      <c r="B621" s="731"/>
      <c r="C621" s="731" t="s">
        <v>268</v>
      </c>
      <c r="D621" s="731"/>
      <c r="E621" s="731"/>
      <c r="F621" s="725"/>
      <c r="G621" s="726"/>
      <c r="H621" s="727" t="s">
        <v>34</v>
      </c>
      <c r="I621" s="728">
        <f ca="1">IFERROR(__xludf.DUMMYFUNCTION("IMPORTRANGE(""https://docs.google.com/spreadsheets/d/1QqKyyYR6Q21VydFLVH3TRQUabQu_ym0Zz7PgGX0-kHA/edit?usp=sharing"",""แผน!HK37"")"),4)</f>
        <v>4</v>
      </c>
      <c r="J621" s="728">
        <f t="shared" si="260"/>
        <v>4</v>
      </c>
      <c r="K621" s="729">
        <f t="shared" ca="1" si="261"/>
        <v>100</v>
      </c>
      <c r="L621" s="730"/>
      <c r="M621" s="730"/>
      <c r="N621" s="730"/>
      <c r="O621" s="730"/>
      <c r="P621" s="730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</row>
    <row r="622" spans="1:26" ht="18.75">
      <c r="A622" s="608"/>
      <c r="B622" s="618"/>
      <c r="C622" s="618"/>
      <c r="D622" s="746" t="s">
        <v>269</v>
      </c>
      <c r="E622" s="626"/>
      <c r="F622" s="626"/>
      <c r="G622" s="762"/>
      <c r="H622" s="764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</row>
    <row r="623" spans="1:26" ht="18.75">
      <c r="A623" s="608"/>
      <c r="B623" s="618"/>
      <c r="C623" s="618"/>
      <c r="D623" s="618"/>
      <c r="E623" s="626"/>
      <c r="F623" s="626"/>
      <c r="G623" s="762"/>
      <c r="H623" s="764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</row>
    <row r="624" spans="1:26" ht="18.75">
      <c r="A624" s="608"/>
      <c r="B624" s="618"/>
      <c r="C624" s="618"/>
      <c r="D624" s="746" t="s">
        <v>265</v>
      </c>
      <c r="E624" s="626"/>
      <c r="F624" s="626"/>
      <c r="G624" s="762"/>
      <c r="H624" s="764" t="s">
        <v>46</v>
      </c>
      <c r="I624" s="270"/>
      <c r="J624" s="215">
        <v>88</v>
      </c>
      <c r="K624" s="163"/>
      <c r="L624" s="163"/>
      <c r="M624" s="163"/>
      <c r="N624" s="163"/>
      <c r="O624" s="163"/>
      <c r="P624" s="163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</row>
    <row r="625" spans="1:26" ht="18.75">
      <c r="A625" s="608"/>
      <c r="B625" s="618"/>
      <c r="C625" s="618"/>
      <c r="D625" s="618"/>
      <c r="E625" s="626"/>
      <c r="F625" s="626"/>
      <c r="G625" s="762"/>
      <c r="H625" s="764" t="s">
        <v>34</v>
      </c>
      <c r="I625" s="270"/>
      <c r="J625" s="215">
        <v>4</v>
      </c>
      <c r="K625" s="163"/>
      <c r="L625" s="163"/>
      <c r="M625" s="163"/>
      <c r="N625" s="163"/>
      <c r="O625" s="163"/>
      <c r="P625" s="163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</row>
    <row r="626" spans="1:26" ht="18.75">
      <c r="A626" s="608"/>
      <c r="B626" s="618"/>
      <c r="C626" s="618"/>
      <c r="D626" s="746" t="s">
        <v>270</v>
      </c>
      <c r="E626" s="626"/>
      <c r="F626" s="626"/>
      <c r="G626" s="762"/>
      <c r="H626" s="76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</row>
    <row r="627" spans="1:26" ht="18.75">
      <c r="A627" s="732"/>
      <c r="B627" s="733"/>
      <c r="C627" s="733"/>
      <c r="D627" s="733"/>
      <c r="E627" s="734"/>
      <c r="F627" s="734"/>
      <c r="G627" s="735"/>
      <c r="H627" s="422" t="s">
        <v>34</v>
      </c>
      <c r="I627" s="506"/>
      <c r="J627" s="424">
        <v>0</v>
      </c>
      <c r="K627" s="385"/>
      <c r="L627" s="385"/>
      <c r="M627" s="385"/>
      <c r="N627" s="385"/>
      <c r="O627" s="385"/>
      <c r="P627" s="385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</row>
    <row r="628" spans="1:26" ht="19.5">
      <c r="A628" s="736">
        <v>7</v>
      </c>
      <c r="B628" s="737" t="s">
        <v>271</v>
      </c>
      <c r="C628" s="738"/>
      <c r="D628" s="738"/>
      <c r="E628" s="738"/>
      <c r="F628" s="738"/>
      <c r="G628" s="739"/>
      <c r="H628" s="740" t="s">
        <v>35</v>
      </c>
      <c r="I628" s="741">
        <f t="shared" ref="I628:J628" ca="1" si="262">I651</f>
        <v>100</v>
      </c>
      <c r="J628" s="741">
        <f t="shared" ca="1" si="262"/>
        <v>103</v>
      </c>
      <c r="K628" s="742">
        <f ca="1">IF(I628&gt;0,J628*100/I628,0)</f>
        <v>103</v>
      </c>
      <c r="L628" s="743"/>
      <c r="M628" s="743"/>
      <c r="N628" s="743"/>
      <c r="O628" s="743"/>
      <c r="P628" s="743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</row>
    <row r="629" spans="1:26" ht="19.5">
      <c r="A629" s="597"/>
      <c r="B629" s="763"/>
      <c r="C629" s="763" t="s">
        <v>16</v>
      </c>
      <c r="D629" s="863" t="s">
        <v>17</v>
      </c>
      <c r="E629" s="857"/>
      <c r="F629" s="857"/>
      <c r="G629" s="189"/>
      <c r="H629" s="598" t="s">
        <v>12</v>
      </c>
      <c r="I629" s="270"/>
      <c r="J629" s="270"/>
      <c r="K629" s="498"/>
      <c r="L629" s="195">
        <f t="shared" ref="L629:N629" ca="1" si="263">L630+L631</f>
        <v>358310</v>
      </c>
      <c r="M629" s="195">
        <f t="shared" ca="1" si="263"/>
        <v>312394</v>
      </c>
      <c r="N629" s="195">
        <f t="shared" si="263"/>
        <v>312394</v>
      </c>
      <c r="O629" s="195">
        <f t="shared" ref="O629:O634" ca="1" si="264">IF(L629&gt;0,N629*100/L629,0)</f>
        <v>87.185398118947276</v>
      </c>
      <c r="P629" s="195">
        <f t="shared" ref="P629:P634" ca="1" si="265">IF(M629&gt;0,N629*100/M629,0)</f>
        <v>100</v>
      </c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</row>
    <row r="630" spans="1:26" ht="18.75" hidden="1">
      <c r="A630" s="599"/>
      <c r="B630" s="759"/>
      <c r="C630" s="759"/>
      <c r="D630" s="720"/>
      <c r="E630" s="759" t="s">
        <v>185</v>
      </c>
      <c r="F630" s="759"/>
      <c r="G630" s="603"/>
      <c r="H630" s="165" t="s">
        <v>12</v>
      </c>
      <c r="I630" s="617"/>
      <c r="J630" s="617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4"/>
      <c r="R630" s="604"/>
      <c r="S630" s="604"/>
      <c r="T630" s="604"/>
      <c r="U630" s="604"/>
      <c r="V630" s="604"/>
      <c r="W630" s="604"/>
      <c r="X630" s="604"/>
      <c r="Y630" s="604"/>
      <c r="Z630" s="604"/>
    </row>
    <row r="631" spans="1:26" ht="18.75" hidden="1">
      <c r="A631" s="599"/>
      <c r="B631" s="607"/>
      <c r="C631" s="759"/>
      <c r="D631" s="720"/>
      <c r="E631" s="759" t="s">
        <v>186</v>
      </c>
      <c r="F631" s="759"/>
      <c r="G631" s="603"/>
      <c r="H631" s="165" t="s">
        <v>12</v>
      </c>
      <c r="I631" s="617"/>
      <c r="J631" s="617"/>
      <c r="K631" s="93"/>
      <c r="L631" s="93">
        <f t="shared" ca="1" si="266"/>
        <v>358310</v>
      </c>
      <c r="M631" s="93">
        <f t="shared" ca="1" si="266"/>
        <v>312394</v>
      </c>
      <c r="N631" s="93">
        <f t="shared" si="266"/>
        <v>312394</v>
      </c>
      <c r="O631" s="93">
        <f t="shared" ca="1" si="264"/>
        <v>87.185398118947276</v>
      </c>
      <c r="P631" s="93">
        <f t="shared" ca="1" si="265"/>
        <v>100</v>
      </c>
      <c r="Q631" s="604"/>
      <c r="R631" s="604"/>
      <c r="S631" s="604"/>
      <c r="T631" s="604"/>
      <c r="U631" s="604"/>
      <c r="V631" s="604"/>
      <c r="W631" s="604"/>
      <c r="X631" s="604"/>
      <c r="Y631" s="604"/>
      <c r="Z631" s="604"/>
    </row>
    <row r="632" spans="1:26" ht="18.75">
      <c r="A632" s="597"/>
      <c r="B632" s="575"/>
      <c r="C632" s="763"/>
      <c r="D632" s="606" t="s">
        <v>20</v>
      </c>
      <c r="E632" s="763"/>
      <c r="F632" s="763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358310</v>
      </c>
      <c r="M632" s="498">
        <f t="shared" ca="1" si="267"/>
        <v>312394</v>
      </c>
      <c r="N632" s="498">
        <f t="shared" si="267"/>
        <v>312394</v>
      </c>
      <c r="O632" s="498">
        <f t="shared" ca="1" si="264"/>
        <v>87.185398118947276</v>
      </c>
      <c r="P632" s="498">
        <f t="shared" ca="1" si="265"/>
        <v>100</v>
      </c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</row>
    <row r="633" spans="1:26" ht="18.75" hidden="1">
      <c r="A633" s="599"/>
      <c r="B633" s="607"/>
      <c r="C633" s="759"/>
      <c r="D633" s="720"/>
      <c r="E633" s="759" t="s">
        <v>185</v>
      </c>
      <c r="F633" s="759"/>
      <c r="G633" s="603"/>
      <c r="H633" s="165" t="s">
        <v>12</v>
      </c>
      <c r="I633" s="617"/>
      <c r="J633" s="617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4"/>
      <c r="R633" s="604"/>
      <c r="S633" s="604"/>
      <c r="T633" s="604"/>
      <c r="U633" s="604"/>
      <c r="V633" s="604"/>
      <c r="W633" s="604"/>
      <c r="X633" s="604"/>
      <c r="Y633" s="604"/>
      <c r="Z633" s="604"/>
    </row>
    <row r="634" spans="1:26" ht="18.75" hidden="1">
      <c r="A634" s="599"/>
      <c r="B634" s="607"/>
      <c r="C634" s="759"/>
      <c r="D634" s="720"/>
      <c r="E634" s="759" t="s">
        <v>186</v>
      </c>
      <c r="F634" s="759"/>
      <c r="G634" s="603"/>
      <c r="H634" s="165" t="s">
        <v>12</v>
      </c>
      <c r="I634" s="617"/>
      <c r="J634" s="617"/>
      <c r="K634" s="93"/>
      <c r="L634" s="93">
        <f ca="1">IFERROR(__xludf.DUMMYFUNCTION("IMPORTRANGE(""https://docs.google.com/spreadsheets/d/1QqKyyYR6Q21VydFLVH3TRQUabQu_ym0Zz7PgGX0-kHA/edit?usp=sharing"",""แผน!HN37"")"),358310)</f>
        <v>358310</v>
      </c>
      <c r="M634" s="93">
        <f ca="1">L634-45916</f>
        <v>312394</v>
      </c>
      <c r="N634" s="93">
        <f>N635+N636+N637+N638</f>
        <v>312394</v>
      </c>
      <c r="O634" s="93">
        <f t="shared" ca="1" si="264"/>
        <v>87.185398118947276</v>
      </c>
      <c r="P634" s="93">
        <f t="shared" ca="1" si="265"/>
        <v>100</v>
      </c>
      <c r="Q634" s="604"/>
      <c r="R634" s="604"/>
      <c r="S634" s="604"/>
      <c r="T634" s="604"/>
      <c r="U634" s="604"/>
      <c r="V634" s="604"/>
      <c r="W634" s="604"/>
      <c r="X634" s="604"/>
      <c r="Y634" s="604"/>
      <c r="Z634" s="604"/>
    </row>
    <row r="635" spans="1:26" ht="18.75">
      <c r="A635" s="574"/>
      <c r="B635" s="575"/>
      <c r="C635" s="763"/>
      <c r="D635" s="763"/>
      <c r="E635" s="763"/>
      <c r="F635" s="763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40">
        <v>0</v>
      </c>
      <c r="O635" s="498"/>
      <c r="P635" s="49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</row>
    <row r="636" spans="1:26" ht="18.75">
      <c r="A636" s="574"/>
      <c r="B636" s="575"/>
      <c r="C636" s="763"/>
      <c r="D636" s="763"/>
      <c r="E636" s="763"/>
      <c r="F636" s="763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40">
        <f>1320+15000+7695+2035</f>
        <v>26050</v>
      </c>
      <c r="O636" s="498"/>
      <c r="P636" s="49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</row>
    <row r="637" spans="1:26" ht="18.75">
      <c r="A637" s="574"/>
      <c r="B637" s="575"/>
      <c r="C637" s="763"/>
      <c r="D637" s="763"/>
      <c r="E637" s="763"/>
      <c r="F637" s="763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40">
        <v>109335</v>
      </c>
      <c r="O637" s="498"/>
      <c r="P637" s="498"/>
      <c r="Q637" s="578"/>
      <c r="R637" s="578"/>
      <c r="S637" s="578"/>
      <c r="T637" s="578"/>
      <c r="U637" s="578"/>
      <c r="V637" s="578"/>
      <c r="W637" s="578"/>
      <c r="X637" s="578"/>
      <c r="Y637" s="578"/>
      <c r="Z637" s="578"/>
    </row>
    <row r="638" spans="1:26" ht="18.75">
      <c r="A638" s="574"/>
      <c r="B638" s="575"/>
      <c r="C638" s="763"/>
      <c r="D638" s="763"/>
      <c r="E638" s="763"/>
      <c r="F638" s="763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40">
        <f>26000+5280+13160+29250+1785+30250+1610+2560+67114</f>
        <v>177009</v>
      </c>
      <c r="O638" s="498"/>
      <c r="P638" s="49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</row>
    <row r="639" spans="1:26" ht="18.75">
      <c r="A639" s="597"/>
      <c r="B639" s="575"/>
      <c r="C639" s="763"/>
      <c r="D639" s="606" t="s">
        <v>21</v>
      </c>
      <c r="E639" s="763"/>
      <c r="F639" s="763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</row>
    <row r="640" spans="1:26" ht="18.75" hidden="1">
      <c r="A640" s="599"/>
      <c r="B640" s="607"/>
      <c r="C640" s="759"/>
      <c r="D640" s="759"/>
      <c r="E640" s="759" t="s">
        <v>18</v>
      </c>
      <c r="F640" s="759"/>
      <c r="G640" s="603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4"/>
      <c r="R640" s="604"/>
      <c r="S640" s="604"/>
      <c r="T640" s="604"/>
      <c r="U640" s="604"/>
      <c r="V640" s="604"/>
      <c r="W640" s="604"/>
      <c r="X640" s="604"/>
      <c r="Y640" s="604"/>
      <c r="Z640" s="604"/>
    </row>
    <row r="641" spans="1:26" ht="18.75" hidden="1">
      <c r="A641" s="599"/>
      <c r="B641" s="607"/>
      <c r="C641" s="759"/>
      <c r="D641" s="759"/>
      <c r="E641" s="759" t="s">
        <v>19</v>
      </c>
      <c r="F641" s="759"/>
      <c r="G641" s="603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4"/>
      <c r="R641" s="604"/>
      <c r="S641" s="604"/>
      <c r="T641" s="604"/>
      <c r="U641" s="604"/>
      <c r="V641" s="604"/>
      <c r="W641" s="604"/>
      <c r="X641" s="604"/>
      <c r="Y641" s="604"/>
      <c r="Z641" s="604"/>
    </row>
    <row r="642" spans="1:26" ht="19.5">
      <c r="A642" s="608"/>
      <c r="B642" s="618"/>
      <c r="C642" s="763" t="s">
        <v>16</v>
      </c>
      <c r="D642" s="896" t="s">
        <v>38</v>
      </c>
      <c r="E642" s="761"/>
      <c r="F642" s="761"/>
      <c r="G642" s="613"/>
      <c r="H642" s="762"/>
      <c r="I642" s="184"/>
      <c r="J642" s="184"/>
      <c r="K642" s="163"/>
      <c r="L642" s="163"/>
      <c r="M642" s="163"/>
      <c r="N642" s="163"/>
      <c r="O642" s="163"/>
      <c r="P642" s="163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</row>
    <row r="643" spans="1:26" ht="18.75">
      <c r="A643" s="744"/>
      <c r="B643" s="575"/>
      <c r="C643" s="763"/>
      <c r="D643" s="626"/>
      <c r="E643" s="746" t="s">
        <v>272</v>
      </c>
      <c r="F643" s="626"/>
      <c r="G643" s="762"/>
      <c r="H643" s="764" t="s">
        <v>273</v>
      </c>
      <c r="I643" s="270">
        <f ca="1">IFERROR(__xludf.DUMMYFUNCTION("IMPORTRANGE(""https://docs.google.com/spreadsheets/d/1QqKyyYR6Q21VydFLVH3TRQUabQu_ym0Zz7PgGX0-kHA/edit?usp=sharing"",""แผน!HR37"")"),0)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</row>
    <row r="644" spans="1:26" ht="18.75">
      <c r="A644" s="744"/>
      <c r="B644" s="575"/>
      <c r="C644" s="763"/>
      <c r="D644" s="626"/>
      <c r="E644" s="746" t="s">
        <v>274</v>
      </c>
      <c r="F644" s="626"/>
      <c r="G644" s="762"/>
      <c r="H644" s="764" t="s">
        <v>275</v>
      </c>
      <c r="I644" s="270">
        <f ca="1">IFERROR(__xludf.DUMMYFUNCTION("IMPORTRANGE(""https://docs.google.com/spreadsheets/d/1QqKyyYR6Q21VydFLVH3TRQUabQu_ym0Zz7PgGX0-kHA/edit?usp=sharing"",""แผน!HR37"")"),0)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</row>
    <row r="645" spans="1:26" ht="18.75">
      <c r="A645" s="744"/>
      <c r="B645" s="575"/>
      <c r="C645" s="763"/>
      <c r="D645" s="626"/>
      <c r="E645" s="746" t="s">
        <v>276</v>
      </c>
      <c r="F645" s="626"/>
      <c r="G645" s="762"/>
      <c r="H645" s="76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IFERROR(__xludf.DUMMYFUNCTION("IMPORTRANGE(""https://docs.google.com/spreadsheets/d/1XWAQStnk-4SwqDmLtmXYiTMKHgktTP8We1SCoS47DrQ/edit?usp=sharing"",""จัดที่ดิน!AS37"")"),156)</f>
        <v>156</v>
      </c>
      <c r="K645" s="163">
        <f t="shared" si="271"/>
        <v>0</v>
      </c>
      <c r="L645" s="163"/>
      <c r="M645" s="163"/>
      <c r="N645" s="498"/>
      <c r="O645" s="163"/>
      <c r="P645" s="163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</row>
    <row r="646" spans="1:26" ht="18.75">
      <c r="A646" s="744"/>
      <c r="B646" s="575"/>
      <c r="C646" s="763"/>
      <c r="D646" s="626"/>
      <c r="E646" s="626"/>
      <c r="F646" s="626"/>
      <c r="G646" s="762"/>
      <c r="H646" s="76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IFERROR(__xludf.DUMMYFUNCTION("IMPORTRANGE(""https://docs.google.com/spreadsheets/d/1XWAQStnk-4SwqDmLtmXYiTMKHgktTP8We1SCoS47DrQ/edit?usp=sharing"",""จัดที่ดิน!AT37"")"),93.9)</f>
        <v>93.9</v>
      </c>
      <c r="K646" s="498">
        <f t="shared" si="271"/>
        <v>0</v>
      </c>
      <c r="L646" s="163"/>
      <c r="M646" s="163"/>
      <c r="N646" s="498"/>
      <c r="O646" s="163"/>
      <c r="P646" s="163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</row>
    <row r="647" spans="1:26" ht="18.75">
      <c r="A647" s="744"/>
      <c r="B647" s="575"/>
      <c r="C647" s="763"/>
      <c r="D647" s="626"/>
      <c r="E647" s="746" t="s">
        <v>162</v>
      </c>
      <c r="F647" s="626"/>
      <c r="G647" s="762"/>
      <c r="H647" s="764" t="s">
        <v>35</v>
      </c>
      <c r="I647" s="270">
        <f ca="1">IFERROR(__xludf.DUMMYFUNCTION("IMPORTRANGE(""https://docs.google.com/spreadsheets/d/1QqKyyYR6Q21VydFLVH3TRQUabQu_ym0Zz7PgGX0-kHA/edit?usp=sharing"",""แผน!HS37"")"),100)</f>
        <v>100</v>
      </c>
      <c r="J647" s="270">
        <f ca="1">IFERROR(__xludf.DUMMYFUNCTION("IMPORTRANGE(""https://docs.google.com/spreadsheets/d/1XWAQStnk-4SwqDmLtmXYiTMKHgktTP8We1SCoS47DrQ/edit?usp=sharing"",""จัดที่ดิน!AU37"")"),107)</f>
        <v>107</v>
      </c>
      <c r="K647" s="163">
        <f t="shared" ca="1" si="271"/>
        <v>107</v>
      </c>
      <c r="L647" s="163"/>
      <c r="M647" s="163"/>
      <c r="N647" s="163"/>
      <c r="O647" s="163"/>
      <c r="P647" s="163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</row>
    <row r="648" spans="1:26" ht="18.75">
      <c r="A648" s="744"/>
      <c r="B648" s="575"/>
      <c r="C648" s="763"/>
      <c r="D648" s="626"/>
      <c r="E648" s="626"/>
      <c r="F648" s="626"/>
      <c r="G648" s="762"/>
      <c r="H648" s="76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IFERROR(__xludf.DUMMYFUNCTION("IMPORTRANGE(""https://docs.google.com/spreadsheets/d/1XWAQStnk-4SwqDmLtmXYiTMKHgktTP8We1SCoS47DrQ/edit?usp=sharing"",""จัดที่ดิน!AV37"")"),75.29)</f>
        <v>75.290000000000006</v>
      </c>
      <c r="K648" s="498">
        <f t="shared" si="271"/>
        <v>0</v>
      </c>
      <c r="L648" s="163"/>
      <c r="M648" s="163"/>
      <c r="N648" s="163"/>
      <c r="O648" s="163"/>
      <c r="P648" s="163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</row>
    <row r="649" spans="1:26" ht="18.75">
      <c r="A649" s="744"/>
      <c r="B649" s="575"/>
      <c r="C649" s="763"/>
      <c r="D649" s="626"/>
      <c r="E649" s="746" t="s">
        <v>277</v>
      </c>
      <c r="F649" s="626"/>
      <c r="G649" s="762"/>
      <c r="H649" s="764" t="s">
        <v>35</v>
      </c>
      <c r="I649" s="270">
        <f ca="1">IFERROR(__xludf.DUMMYFUNCTION("IMPORTRANGE(""https://docs.google.com/spreadsheets/d/1QqKyyYR6Q21VydFLVH3TRQUabQu_ym0Zz7PgGX0-kHA/edit?usp=sharing"",""แผน!HS37"")"),100)</f>
        <v>100</v>
      </c>
      <c r="J649" s="270">
        <f ca="1">IFERROR(__xludf.DUMMYFUNCTION("IMPORTRANGE(""https://docs.google.com/spreadsheets/d/1XWAQStnk-4SwqDmLtmXYiTMKHgktTP8We1SCoS47DrQ/edit?usp=sharing"",""จัดที่ดิน!AW37"")"),103)</f>
        <v>103</v>
      </c>
      <c r="K649" s="163">
        <f t="shared" ca="1" si="271"/>
        <v>103</v>
      </c>
      <c r="L649" s="163"/>
      <c r="M649" s="163"/>
      <c r="N649" s="163"/>
      <c r="O649" s="163"/>
      <c r="P649" s="163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</row>
    <row r="650" spans="1:26" ht="18.75">
      <c r="A650" s="744"/>
      <c r="B650" s="575"/>
      <c r="C650" s="763"/>
      <c r="D650" s="626"/>
      <c r="E650" s="626"/>
      <c r="F650" s="626"/>
      <c r="G650" s="762"/>
      <c r="H650" s="76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IFERROR(__xludf.DUMMYFUNCTION("IMPORTRANGE(""https://docs.google.com/spreadsheets/d/1XWAQStnk-4SwqDmLtmXYiTMKHgktTP8We1SCoS47DrQ/edit?usp=sharing"",""จัดที่ดิน!AX37"")"),71.31)</f>
        <v>71.31</v>
      </c>
      <c r="K650" s="498">
        <f t="shared" si="271"/>
        <v>0</v>
      </c>
      <c r="L650" s="163"/>
      <c r="M650" s="163"/>
      <c r="N650" s="163"/>
      <c r="O650" s="163"/>
      <c r="P650" s="163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</row>
    <row r="651" spans="1:26" ht="18.75">
      <c r="A651" s="744"/>
      <c r="B651" s="575"/>
      <c r="C651" s="763"/>
      <c r="D651" s="626"/>
      <c r="E651" s="746" t="s">
        <v>278</v>
      </c>
      <c r="F651" s="626"/>
      <c r="G651" s="762"/>
      <c r="H651" s="764" t="s">
        <v>35</v>
      </c>
      <c r="I651" s="270">
        <f ca="1">IFERROR(__xludf.DUMMYFUNCTION("IMPORTRANGE(""https://docs.google.com/spreadsheets/d/1QqKyyYR6Q21VydFLVH3TRQUabQu_ym0Zz7PgGX0-kHA/edit?usp=sharing"",""แผน!HS37"")"),100)</f>
        <v>100</v>
      </c>
      <c r="J651" s="270">
        <f ca="1">IFERROR(__xludf.DUMMYFUNCTION("IMPORTRANGE(""https://docs.google.com/spreadsheets/d/1XWAQStnk-4SwqDmLtmXYiTMKHgktTP8We1SCoS47DrQ/edit?usp=sharing"",""จัดที่ดิน!AY37"")"),103)</f>
        <v>103</v>
      </c>
      <c r="K651" s="163">
        <f t="shared" ca="1" si="271"/>
        <v>103</v>
      </c>
      <c r="L651" s="163"/>
      <c r="M651" s="163"/>
      <c r="N651" s="163"/>
      <c r="O651" s="163"/>
      <c r="P651" s="163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</row>
    <row r="652" spans="1:26" ht="18.75">
      <c r="A652" s="74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8"/>
      <c r="C652" s="749"/>
      <c r="D652" s="734"/>
      <c r="E652" s="734"/>
      <c r="F652" s="734"/>
      <c r="G652" s="735"/>
      <c r="H652" s="505" t="s">
        <v>46</v>
      </c>
      <c r="I652" s="506">
        <v>0</v>
      </c>
      <c r="J652" s="506">
        <f ca="1">IFERROR(__xludf.DUMMYFUNCTION("IMPORTRANGE(""https://docs.google.com/spreadsheets/d/1XWAQStnk-4SwqDmLtmXYiTMKHgktTP8We1SCoS47DrQ/edit?usp=sharing"",""จัดที่ดิน!AZ37"")"),71.305)</f>
        <v>71.305000000000007</v>
      </c>
      <c r="K652" s="507">
        <f t="shared" si="271"/>
        <v>0</v>
      </c>
      <c r="L652" s="385"/>
      <c r="M652" s="385"/>
      <c r="N652" s="385"/>
      <c r="O652" s="385"/>
      <c r="P652" s="385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</row>
    <row r="653" spans="1:26" ht="19.5" hidden="1">
      <c r="A653" s="750">
        <v>8</v>
      </c>
      <c r="B653" s="737" t="s">
        <v>279</v>
      </c>
      <c r="C653" s="738"/>
      <c r="D653" s="738"/>
      <c r="E653" s="738"/>
      <c r="F653" s="738"/>
      <c r="G653" s="739"/>
      <c r="H653" s="739"/>
      <c r="I653" s="751"/>
      <c r="J653" s="751"/>
      <c r="K653" s="743"/>
      <c r="L653" s="743"/>
      <c r="M653" s="743"/>
      <c r="N653" s="743"/>
      <c r="O653" s="743"/>
      <c r="P653" s="743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</row>
    <row r="654" spans="1:26" ht="19.5" hidden="1">
      <c r="A654" s="673"/>
      <c r="B654" s="672" t="s">
        <v>280</v>
      </c>
      <c r="C654" s="673"/>
      <c r="D654" s="673"/>
      <c r="E654" s="673"/>
      <c r="F654" s="673"/>
      <c r="G654" s="674"/>
      <c r="H654" s="707" t="s">
        <v>46</v>
      </c>
      <c r="I654" s="708">
        <f t="shared" ref="I654:J654" ca="1" si="272">I669</f>
        <v>0</v>
      </c>
      <c r="J654" s="708">
        <f t="shared" si="272"/>
        <v>0</v>
      </c>
      <c r="K654" s="677">
        <f ca="1">IF(I654&gt;0,J654*100/I654,0)</f>
        <v>0</v>
      </c>
      <c r="L654" s="678"/>
      <c r="M654" s="678"/>
      <c r="N654" s="678"/>
      <c r="O654" s="678"/>
      <c r="P654" s="6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</row>
    <row r="655" spans="1:26" ht="19.5" hidden="1">
      <c r="A655" s="597"/>
      <c r="B655" s="763"/>
      <c r="C655" s="763" t="s">
        <v>16</v>
      </c>
      <c r="D655" s="863" t="s">
        <v>17</v>
      </c>
      <c r="E655" s="857"/>
      <c r="F655" s="857"/>
      <c r="G655" s="189"/>
      <c r="H655" s="598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</row>
    <row r="656" spans="1:26" ht="18.75" hidden="1">
      <c r="A656" s="599"/>
      <c r="B656" s="759"/>
      <c r="C656" s="759"/>
      <c r="D656" s="720"/>
      <c r="E656" s="759" t="s">
        <v>185</v>
      </c>
      <c r="F656" s="759"/>
      <c r="G656" s="603"/>
      <c r="H656" s="165" t="s">
        <v>12</v>
      </c>
      <c r="I656" s="617"/>
      <c r="J656" s="617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4"/>
      <c r="R656" s="604"/>
      <c r="S656" s="604"/>
      <c r="T656" s="604"/>
      <c r="U656" s="604"/>
      <c r="V656" s="604"/>
      <c r="W656" s="604"/>
      <c r="X656" s="604"/>
      <c r="Y656" s="604"/>
      <c r="Z656" s="604"/>
    </row>
    <row r="657" spans="1:26" ht="18.75" hidden="1">
      <c r="A657" s="599"/>
      <c r="B657" s="607"/>
      <c r="C657" s="759"/>
      <c r="D657" s="720"/>
      <c r="E657" s="759" t="s">
        <v>186</v>
      </c>
      <c r="F657" s="759"/>
      <c r="G657" s="603"/>
      <c r="H657" s="165" t="s">
        <v>12</v>
      </c>
      <c r="I657" s="617"/>
      <c r="J657" s="617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4"/>
      <c r="R657" s="604"/>
      <c r="S657" s="604"/>
      <c r="T657" s="604"/>
      <c r="U657" s="604"/>
      <c r="V657" s="604"/>
      <c r="W657" s="604"/>
      <c r="X657" s="604"/>
      <c r="Y657" s="604"/>
      <c r="Z657" s="604"/>
    </row>
    <row r="658" spans="1:26" ht="18.75" hidden="1">
      <c r="A658" s="597"/>
      <c r="B658" s="575"/>
      <c r="C658" s="763"/>
      <c r="D658" s="606" t="s">
        <v>20</v>
      </c>
      <c r="E658" s="763"/>
      <c r="F658" s="763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</row>
    <row r="659" spans="1:26" ht="18.75" hidden="1">
      <c r="A659" s="599"/>
      <c r="B659" s="607"/>
      <c r="C659" s="759"/>
      <c r="D659" s="720"/>
      <c r="E659" s="759" t="s">
        <v>185</v>
      </c>
      <c r="F659" s="759"/>
      <c r="G659" s="603"/>
      <c r="H659" s="165" t="s">
        <v>12</v>
      </c>
      <c r="I659" s="617"/>
      <c r="J659" s="617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4"/>
      <c r="R659" s="604"/>
      <c r="S659" s="604"/>
      <c r="T659" s="604"/>
      <c r="U659" s="604"/>
      <c r="V659" s="604"/>
      <c r="W659" s="604"/>
      <c r="X659" s="604"/>
      <c r="Y659" s="604"/>
      <c r="Z659" s="604"/>
    </row>
    <row r="660" spans="1:26" ht="18.75" hidden="1">
      <c r="A660" s="599"/>
      <c r="B660" s="607"/>
      <c r="C660" s="759"/>
      <c r="D660" s="720"/>
      <c r="E660" s="759" t="s">
        <v>186</v>
      </c>
      <c r="F660" s="759"/>
      <c r="G660" s="603"/>
      <c r="H660" s="165" t="s">
        <v>12</v>
      </c>
      <c r="I660" s="617"/>
      <c r="J660" s="617"/>
      <c r="K660" s="93"/>
      <c r="L660" s="93">
        <f ca="1">IFERROR(__xludf.DUMMYFUNCTION("IMPORTRANGE(""https://docs.google.com/spreadsheets/d/1QqKyyYR6Q21VydFLVH3TRQUabQu_ym0Zz7PgGX0-kHA/edit?usp=sharing"",""แผน!HV37"")"),0)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4"/>
      <c r="R660" s="604"/>
      <c r="S660" s="604"/>
      <c r="T660" s="604"/>
      <c r="U660" s="604"/>
      <c r="V660" s="604"/>
      <c r="W660" s="604"/>
      <c r="X660" s="604"/>
      <c r="Y660" s="604"/>
      <c r="Z660" s="604"/>
    </row>
    <row r="661" spans="1:26" ht="18.75" hidden="1">
      <c r="A661" s="574"/>
      <c r="B661" s="575"/>
      <c r="C661" s="763"/>
      <c r="D661" s="763"/>
      <c r="E661" s="763"/>
      <c r="F661" s="763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40">
        <v>0</v>
      </c>
      <c r="O661" s="498"/>
      <c r="P661" s="49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</row>
    <row r="662" spans="1:26" ht="18.75" hidden="1">
      <c r="A662" s="574"/>
      <c r="B662" s="575"/>
      <c r="C662" s="763"/>
      <c r="D662" s="763"/>
      <c r="E662" s="763"/>
      <c r="F662" s="763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40">
        <v>0</v>
      </c>
      <c r="O662" s="498"/>
      <c r="P662" s="49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</row>
    <row r="663" spans="1:26" ht="18.75" hidden="1">
      <c r="A663" s="574"/>
      <c r="B663" s="575"/>
      <c r="C663" s="575"/>
      <c r="D663" s="763"/>
      <c r="E663" s="763"/>
      <c r="F663" s="763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40">
        <v>0</v>
      </c>
      <c r="O663" s="498"/>
      <c r="P663" s="49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</row>
    <row r="664" spans="1:26" ht="18.75" hidden="1">
      <c r="A664" s="574"/>
      <c r="B664" s="575"/>
      <c r="C664" s="575"/>
      <c r="D664" s="575"/>
      <c r="E664" s="763"/>
      <c r="F664" s="763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40">
        <v>0</v>
      </c>
      <c r="O664" s="498"/>
      <c r="P664" s="49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</row>
    <row r="665" spans="1:26" ht="18.75" hidden="1">
      <c r="A665" s="597"/>
      <c r="B665" s="575"/>
      <c r="C665" s="575"/>
      <c r="D665" s="606" t="s">
        <v>21</v>
      </c>
      <c r="E665" s="763"/>
      <c r="F665" s="763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</row>
    <row r="666" spans="1:26" ht="18.75" hidden="1">
      <c r="A666" s="599"/>
      <c r="B666" s="607"/>
      <c r="C666" s="607"/>
      <c r="D666" s="607"/>
      <c r="E666" s="759" t="s">
        <v>18</v>
      </c>
      <c r="F666" s="759"/>
      <c r="G666" s="603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4"/>
      <c r="R666" s="604"/>
      <c r="S666" s="604"/>
      <c r="T666" s="604"/>
      <c r="U666" s="604"/>
      <c r="V666" s="604"/>
      <c r="W666" s="604"/>
      <c r="X666" s="604"/>
      <c r="Y666" s="604"/>
      <c r="Z666" s="604"/>
    </row>
    <row r="667" spans="1:26" ht="18.75" hidden="1">
      <c r="A667" s="599"/>
      <c r="B667" s="607"/>
      <c r="C667" s="607"/>
      <c r="D667" s="607"/>
      <c r="E667" s="759" t="s">
        <v>19</v>
      </c>
      <c r="F667" s="759"/>
      <c r="G667" s="603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4"/>
      <c r="R667" s="604"/>
      <c r="S667" s="604"/>
      <c r="T667" s="604"/>
      <c r="U667" s="604"/>
      <c r="V667" s="604"/>
      <c r="W667" s="604"/>
      <c r="X667" s="604"/>
      <c r="Y667" s="604"/>
      <c r="Z667" s="604"/>
    </row>
    <row r="668" spans="1:26" ht="19.5" hidden="1">
      <c r="A668" s="608"/>
      <c r="B668" s="618"/>
      <c r="C668" s="575" t="s">
        <v>16</v>
      </c>
      <c r="D668" s="893" t="s">
        <v>38</v>
      </c>
      <c r="E668" s="761"/>
      <c r="F668" s="761"/>
      <c r="G668" s="613"/>
      <c r="H668" s="762"/>
      <c r="I668" s="184"/>
      <c r="J668" s="184"/>
      <c r="K668" s="163"/>
      <c r="L668" s="163"/>
      <c r="M668" s="163"/>
      <c r="N668" s="163"/>
      <c r="O668" s="163"/>
      <c r="P668" s="163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</row>
    <row r="669" spans="1:26" ht="19.5" hidden="1">
      <c r="A669" s="608"/>
      <c r="B669" s="618"/>
      <c r="C669" s="618"/>
      <c r="D669" s="618" t="s">
        <v>281</v>
      </c>
      <c r="E669" s="626"/>
      <c r="F669" s="626"/>
      <c r="G669" s="762"/>
      <c r="H669" s="767" t="s">
        <v>46</v>
      </c>
      <c r="I669" s="681">
        <f ca="1">IFERROR(__xludf.DUMMYFUNCTION("IMPORTRANGE(""https://docs.google.com/spreadsheets/d/1QqKyyYR6Q21VydFLVH3TRQUabQu_ym0Zz7PgGX0-kHA/edit?usp=sharing"",""แผน!IA37"")"),0)</f>
        <v>0</v>
      </c>
      <c r="J669" s="681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</row>
    <row r="670" spans="1:26" ht="18.75" hidden="1">
      <c r="A670" s="608"/>
      <c r="B670" s="618"/>
      <c r="C670" s="618"/>
      <c r="D670" s="618"/>
      <c r="E670" s="626" t="s">
        <v>282</v>
      </c>
      <c r="F670" s="626"/>
      <c r="G670" s="762"/>
      <c r="H670" s="764" t="s">
        <v>66</v>
      </c>
      <c r="I670" s="270">
        <f ca="1">IFERROR(__xludf.DUMMYFUNCTION("IMPORTRANGE(""https://docs.google.com/spreadsheets/d/1QqKyyYR6Q21VydFLVH3TRQUabQu_ym0Zz7PgGX0-kHA/edit?usp=sharing"",""แผน!HZ37"")"),0)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</row>
    <row r="671" spans="1:26" ht="18.75" hidden="1">
      <c r="A671" s="608"/>
      <c r="B671" s="618"/>
      <c r="C671" s="618"/>
      <c r="D671" s="618"/>
      <c r="E671" s="626" t="s">
        <v>283</v>
      </c>
      <c r="F671" s="626"/>
      <c r="G671" s="762"/>
      <c r="H671" s="764" t="s">
        <v>66</v>
      </c>
      <c r="I671" s="270">
        <f ca="1">IFERROR(__xludf.DUMMYFUNCTION("IMPORTRANGE(""https://docs.google.com/spreadsheets/d/1QqKyyYR6Q21VydFLVH3TRQUabQu_ym0Zz7PgGX0-kHA/edit?usp=sharing"",""แผน!HZ37"")"),0)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</row>
    <row r="672" spans="1:26" ht="18.75" hidden="1">
      <c r="A672" s="608"/>
      <c r="B672" s="618"/>
      <c r="C672" s="618"/>
      <c r="D672" s="618"/>
      <c r="E672" s="626" t="s">
        <v>284</v>
      </c>
      <c r="F672" s="626"/>
      <c r="G672" s="762"/>
      <c r="H672" s="764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</row>
    <row r="673" spans="1:26" ht="18.75" hidden="1">
      <c r="A673" s="608"/>
      <c r="B673" s="618"/>
      <c r="C673" s="618"/>
      <c r="D673" s="618"/>
      <c r="E673" s="626" t="s">
        <v>285</v>
      </c>
      <c r="F673" s="626"/>
      <c r="G673" s="762"/>
      <c r="H673" s="764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</row>
    <row r="674" spans="1:26" ht="18.75" hidden="1">
      <c r="A674" s="608"/>
      <c r="B674" s="618"/>
      <c r="C674" s="618"/>
      <c r="D674" s="618"/>
      <c r="E674" s="626" t="s">
        <v>286</v>
      </c>
      <c r="F674" s="626"/>
      <c r="G674" s="762"/>
      <c r="H674" s="764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</row>
    <row r="675" spans="1:26" ht="19.5" hidden="1">
      <c r="A675" s="608"/>
      <c r="B675" s="618"/>
      <c r="C675" s="618"/>
      <c r="D675" s="618"/>
      <c r="E675" s="626" t="s">
        <v>287</v>
      </c>
      <c r="F675" s="626"/>
      <c r="G675" s="762"/>
      <c r="H675" s="764" t="s">
        <v>46</v>
      </c>
      <c r="I675" s="270"/>
      <c r="J675" s="681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</row>
    <row r="676" spans="1:26" ht="18.75" hidden="1">
      <c r="A676" s="608"/>
      <c r="B676" s="618"/>
      <c r="C676" s="618"/>
      <c r="D676" s="618"/>
      <c r="E676" s="626"/>
      <c r="F676" s="626" t="s">
        <v>288</v>
      </c>
      <c r="G676" s="762"/>
      <c r="H676" s="764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</row>
    <row r="677" spans="1:26" ht="18.75" hidden="1">
      <c r="A677" s="608"/>
      <c r="B677" s="618"/>
      <c r="C677" s="618"/>
      <c r="D677" s="618"/>
      <c r="E677" s="626"/>
      <c r="F677" s="626" t="s">
        <v>289</v>
      </c>
      <c r="G677" s="762"/>
      <c r="H677" s="764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</row>
    <row r="678" spans="1:26" ht="19.5" hidden="1">
      <c r="A678" s="608"/>
      <c r="B678" s="618"/>
      <c r="C678" s="618"/>
      <c r="D678" s="618" t="s">
        <v>290</v>
      </c>
      <c r="E678" s="626"/>
      <c r="F678" s="626"/>
      <c r="G678" s="762"/>
      <c r="H678" s="764" t="s">
        <v>46</v>
      </c>
      <c r="I678" s="681">
        <f ca="1">IFERROR(__xludf.DUMMYFUNCTION("IMPORTRANGE(""https://docs.google.com/spreadsheets/d/1QqKyyYR6Q21VydFLVH3TRQUabQu_ym0Zz7PgGX0-kHA/edit?usp=sharing"",""แผน!IB37"")"),0)</f>
        <v>0</v>
      </c>
      <c r="J678" s="681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</row>
    <row r="679" spans="1:26" ht="18.75" hidden="1">
      <c r="A679" s="608"/>
      <c r="B679" s="618"/>
      <c r="C679" s="618"/>
      <c r="D679" s="618"/>
      <c r="E679" s="626" t="s">
        <v>291</v>
      </c>
      <c r="F679" s="626"/>
      <c r="G679" s="762"/>
      <c r="H679" s="764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</row>
    <row r="680" spans="1:26" ht="18.75" hidden="1">
      <c r="A680" s="608"/>
      <c r="B680" s="618"/>
      <c r="C680" s="618"/>
      <c r="D680" s="618"/>
      <c r="E680" s="626"/>
      <c r="F680" s="626" t="s">
        <v>288</v>
      </c>
      <c r="G680" s="762"/>
      <c r="H680" s="764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</row>
    <row r="681" spans="1:26" ht="18.75" hidden="1">
      <c r="A681" s="608"/>
      <c r="B681" s="618"/>
      <c r="C681" s="618"/>
      <c r="D681" s="618"/>
      <c r="E681" s="626"/>
      <c r="F681" s="626" t="s">
        <v>289</v>
      </c>
      <c r="G681" s="762"/>
      <c r="H681" s="764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</row>
    <row r="682" spans="1:26" ht="18.75" hidden="1">
      <c r="A682" s="608"/>
      <c r="B682" s="618"/>
      <c r="C682" s="618"/>
      <c r="D682" s="618"/>
      <c r="E682" s="626" t="s">
        <v>292</v>
      </c>
      <c r="F682" s="626"/>
      <c r="G682" s="762"/>
      <c r="H682" s="764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</row>
    <row r="683" spans="1:26" ht="18.75" hidden="1">
      <c r="A683" s="608"/>
      <c r="B683" s="618"/>
      <c r="C683" s="618"/>
      <c r="D683" s="618"/>
      <c r="E683" s="626"/>
      <c r="F683" s="626" t="s">
        <v>293</v>
      </c>
      <c r="G683" s="762"/>
      <c r="H683" s="764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</row>
    <row r="684" spans="1:26" ht="19.5" hidden="1">
      <c r="A684" s="753"/>
      <c r="B684" s="754" t="s">
        <v>294</v>
      </c>
      <c r="C684" s="753"/>
      <c r="D684" s="753"/>
      <c r="E684" s="753"/>
      <c r="F684" s="753"/>
      <c r="G684" s="755"/>
      <c r="H684" s="755"/>
      <c r="I684" s="756"/>
      <c r="J684" s="756"/>
      <c r="K684" s="757"/>
      <c r="L684" s="757"/>
      <c r="M684" s="757"/>
      <c r="N684" s="757"/>
      <c r="O684" s="757"/>
      <c r="P684" s="757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</row>
    <row r="685" spans="1:26" ht="19.5" hidden="1">
      <c r="A685" s="597"/>
      <c r="B685" s="763"/>
      <c r="C685" s="763" t="s">
        <v>16</v>
      </c>
      <c r="D685" s="863" t="s">
        <v>17</v>
      </c>
      <c r="E685" s="857"/>
      <c r="F685" s="857"/>
      <c r="G685" s="189"/>
      <c r="H685" s="598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</row>
    <row r="686" spans="1:26" ht="18.75" hidden="1">
      <c r="A686" s="599"/>
      <c r="B686" s="759"/>
      <c r="C686" s="759"/>
      <c r="D686" s="720"/>
      <c r="E686" s="759" t="s">
        <v>185</v>
      </c>
      <c r="F686" s="759"/>
      <c r="G686" s="603"/>
      <c r="H686" s="165" t="s">
        <v>12</v>
      </c>
      <c r="I686" s="617"/>
      <c r="J686" s="617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4"/>
      <c r="R686" s="604"/>
      <c r="S686" s="604"/>
      <c r="T686" s="604"/>
      <c r="U686" s="604"/>
      <c r="V686" s="604"/>
      <c r="W686" s="604"/>
      <c r="X686" s="604"/>
      <c r="Y686" s="604"/>
      <c r="Z686" s="604"/>
    </row>
    <row r="687" spans="1:26" ht="18.75" hidden="1">
      <c r="A687" s="599"/>
      <c r="B687" s="607"/>
      <c r="C687" s="759"/>
      <c r="D687" s="720"/>
      <c r="E687" s="759" t="s">
        <v>186</v>
      </c>
      <c r="F687" s="759"/>
      <c r="G687" s="603"/>
      <c r="H687" s="165" t="s">
        <v>12</v>
      </c>
      <c r="I687" s="617"/>
      <c r="J687" s="617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4"/>
      <c r="R687" s="604"/>
      <c r="S687" s="604"/>
      <c r="T687" s="604"/>
      <c r="U687" s="604"/>
      <c r="V687" s="604"/>
      <c r="W687" s="604"/>
      <c r="X687" s="604"/>
      <c r="Y687" s="604"/>
      <c r="Z687" s="604"/>
    </row>
    <row r="688" spans="1:26" ht="18.75" hidden="1">
      <c r="A688" s="597"/>
      <c r="B688" s="575"/>
      <c r="C688" s="763"/>
      <c r="D688" s="606" t="s">
        <v>20</v>
      </c>
      <c r="E688" s="763"/>
      <c r="F688" s="763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8"/>
      <c r="R688" s="578"/>
      <c r="S688" s="578"/>
      <c r="T688" s="578"/>
      <c r="U688" s="578"/>
      <c r="V688" s="578"/>
      <c r="W688" s="578"/>
      <c r="X688" s="578"/>
      <c r="Y688" s="578"/>
      <c r="Z688" s="578"/>
    </row>
    <row r="689" spans="1:26" ht="18.75" hidden="1">
      <c r="A689" s="599"/>
      <c r="B689" s="607"/>
      <c r="C689" s="759"/>
      <c r="D689" s="720"/>
      <c r="E689" s="759" t="s">
        <v>185</v>
      </c>
      <c r="F689" s="759"/>
      <c r="G689" s="603"/>
      <c r="H689" s="165" t="s">
        <v>12</v>
      </c>
      <c r="I689" s="617"/>
      <c r="J689" s="617"/>
      <c r="K689" s="93"/>
      <c r="L689" s="93">
        <v>0</v>
      </c>
      <c r="M689" s="93">
        <v>0</v>
      </c>
      <c r="N689" s="93">
        <v>0</v>
      </c>
      <c r="O689" s="93"/>
      <c r="P689" s="93"/>
      <c r="Q689" s="604"/>
      <c r="R689" s="604"/>
      <c r="S689" s="604"/>
      <c r="T689" s="604"/>
      <c r="U689" s="604"/>
      <c r="V689" s="604"/>
      <c r="W689" s="604"/>
      <c r="X689" s="604"/>
      <c r="Y689" s="604"/>
      <c r="Z689" s="604"/>
    </row>
    <row r="690" spans="1:26" ht="18.75" hidden="1">
      <c r="A690" s="599"/>
      <c r="B690" s="607"/>
      <c r="C690" s="759"/>
      <c r="D690" s="720"/>
      <c r="E690" s="759" t="s">
        <v>186</v>
      </c>
      <c r="F690" s="759"/>
      <c r="G690" s="603"/>
      <c r="H690" s="165" t="s">
        <v>12</v>
      </c>
      <c r="I690" s="617"/>
      <c r="J690" s="617"/>
      <c r="K690" s="93"/>
      <c r="L690" s="93">
        <f ca="1">IFERROR(__xludf.DUMMYFUNCTION("IMPORTRANGE(""https://docs.google.com/spreadsheets/d/1QqKyyYR6Q21VydFLVH3TRQUabQu_ym0Zz7PgGX0-kHA/edit?usp=sharing"",""แผน!HW37"")"),0)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4"/>
      <c r="R690" s="604"/>
      <c r="S690" s="604"/>
      <c r="T690" s="604"/>
      <c r="U690" s="604"/>
      <c r="V690" s="604"/>
      <c r="W690" s="604"/>
      <c r="X690" s="604"/>
      <c r="Y690" s="604"/>
      <c r="Z690" s="604"/>
    </row>
    <row r="691" spans="1:26" ht="18.75" hidden="1">
      <c r="A691" s="574"/>
      <c r="B691" s="575"/>
      <c r="C691" s="763"/>
      <c r="D691" s="763"/>
      <c r="E691" s="763"/>
      <c r="F691" s="763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40">
        <v>0</v>
      </c>
      <c r="O691" s="498"/>
      <c r="P691" s="49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</row>
    <row r="692" spans="1:26" ht="18.75" hidden="1">
      <c r="A692" s="574"/>
      <c r="B692" s="575"/>
      <c r="C692" s="763"/>
      <c r="D692" s="763"/>
      <c r="E692" s="763"/>
      <c r="F692" s="763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40">
        <v>0</v>
      </c>
      <c r="O692" s="498"/>
      <c r="P692" s="49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</row>
    <row r="693" spans="1:26" ht="18.75" hidden="1">
      <c r="A693" s="574"/>
      <c r="B693" s="575"/>
      <c r="C693" s="763"/>
      <c r="D693" s="763"/>
      <c r="E693" s="763"/>
      <c r="F693" s="763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40">
        <v>0</v>
      </c>
      <c r="O693" s="498"/>
      <c r="P693" s="49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</row>
    <row r="694" spans="1:26" ht="18.75" hidden="1">
      <c r="A694" s="574"/>
      <c r="B694" s="575"/>
      <c r="C694" s="763"/>
      <c r="D694" s="763"/>
      <c r="E694" s="763"/>
      <c r="F694" s="763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40">
        <v>0</v>
      </c>
      <c r="O694" s="498"/>
      <c r="P694" s="49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</row>
    <row r="695" spans="1:26" ht="18.75" hidden="1">
      <c r="A695" s="597"/>
      <c r="B695" s="575"/>
      <c r="C695" s="763"/>
      <c r="D695" s="606" t="s">
        <v>21</v>
      </c>
      <c r="E695" s="763"/>
      <c r="F695" s="763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</row>
    <row r="696" spans="1:26" ht="18.75" hidden="1">
      <c r="A696" s="599"/>
      <c r="B696" s="607"/>
      <c r="C696" s="759"/>
      <c r="D696" s="759"/>
      <c r="E696" s="759" t="s">
        <v>18</v>
      </c>
      <c r="F696" s="759"/>
      <c r="G696" s="603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4"/>
      <c r="R696" s="604"/>
      <c r="S696" s="604"/>
      <c r="T696" s="604"/>
      <c r="U696" s="604"/>
      <c r="V696" s="604"/>
      <c r="W696" s="604"/>
      <c r="X696" s="604"/>
      <c r="Y696" s="604"/>
      <c r="Z696" s="604"/>
    </row>
    <row r="697" spans="1:26" ht="18.75" hidden="1">
      <c r="A697" s="599"/>
      <c r="B697" s="607"/>
      <c r="C697" s="759"/>
      <c r="D697" s="759"/>
      <c r="E697" s="759" t="s">
        <v>19</v>
      </c>
      <c r="F697" s="759"/>
      <c r="G697" s="603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4"/>
      <c r="R697" s="604"/>
      <c r="S697" s="604"/>
      <c r="T697" s="604"/>
      <c r="U697" s="604"/>
      <c r="V697" s="604"/>
      <c r="W697" s="604"/>
      <c r="X697" s="604"/>
      <c r="Y697" s="604"/>
      <c r="Z697" s="604"/>
    </row>
    <row r="698" spans="1:26" ht="19.5" hidden="1">
      <c r="A698" s="608"/>
      <c r="B698" s="618"/>
      <c r="C698" s="763" t="s">
        <v>16</v>
      </c>
      <c r="D698" s="898" t="s">
        <v>38</v>
      </c>
      <c r="E698" s="761"/>
      <c r="F698" s="761"/>
      <c r="G698" s="613"/>
      <c r="H698" s="762"/>
      <c r="I698" s="184"/>
      <c r="J698" s="184"/>
      <c r="K698" s="163"/>
      <c r="L698" s="163"/>
      <c r="M698" s="163"/>
      <c r="N698" s="163"/>
      <c r="O698" s="163"/>
      <c r="P698" s="163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</row>
    <row r="699" spans="1:26" ht="18.75" hidden="1">
      <c r="A699" s="744"/>
      <c r="B699" s="763"/>
      <c r="C699" s="763"/>
      <c r="D699" s="763" t="s">
        <v>295</v>
      </c>
      <c r="E699" s="763"/>
      <c r="F699" s="763"/>
      <c r="G699" s="189"/>
      <c r="H699" s="764" t="s">
        <v>46</v>
      </c>
      <c r="I699" s="765">
        <f ca="1">IFERROR(__xludf.DUMMYFUNCTION("IMPORTRANGE(""https://docs.google.com/spreadsheets/d/1QqKyyYR6Q21VydFLVH3TRQUabQu_ym0Zz7PgGX0-kHA/edit?usp=sharing"",""แผน!IC37"")"),0)</f>
        <v>0</v>
      </c>
      <c r="J699" s="270">
        <f ca="1">IFERROR(__xludf.DUMMYFUNCTION("IMPORTRANGE(""https://docs.google.com/spreadsheets/d/1XWAQStnk-4SwqDmLtmXYiTMKHgktTP8We1SCoS47DrQ/edit?usp=sharing"",""จัดที่ดิน!BB37"")"),0)</f>
        <v>0</v>
      </c>
      <c r="K699" s="498">
        <f t="shared" ref="K699:K701" ca="1" si="290">IF(I699&gt;0,J699*100/I699,0)</f>
        <v>0</v>
      </c>
      <c r="L699" s="498"/>
      <c r="M699" s="189"/>
      <c r="N699" s="766"/>
      <c r="O699" s="498"/>
      <c r="P699" s="49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</row>
    <row r="700" spans="1:26" ht="18.75" hidden="1">
      <c r="A700" s="744"/>
      <c r="B700" s="763"/>
      <c r="C700" s="763"/>
      <c r="D700" s="763" t="s">
        <v>296</v>
      </c>
      <c r="E700" s="763"/>
      <c r="F700" s="763"/>
      <c r="G700" s="189"/>
      <c r="H700" s="764" t="s">
        <v>35</v>
      </c>
      <c r="I700" s="765">
        <f ca="1">IFERROR(__xludf.DUMMYFUNCTION("IMPORTRANGE(""https://docs.google.com/spreadsheets/d/1QqKyyYR6Q21VydFLVH3TRQUabQu_ym0Zz7PgGX0-kHA/edit?usp=sharing"",""แผน!ID37"")"),0)</f>
        <v>0</v>
      </c>
      <c r="J700" s="270">
        <f ca="1">IFERROR(__xludf.DUMMYFUNCTION("IMPORTRANGE(""https://docs.google.com/spreadsheets/d/1XWAQStnk-4SwqDmLtmXYiTMKHgktTP8We1SCoS47DrQ/edit?usp=sharing"",""จัดที่ดิน!BD37"")"),0)</f>
        <v>0</v>
      </c>
      <c r="K700" s="498">
        <f t="shared" ca="1" si="290"/>
        <v>0</v>
      </c>
      <c r="L700" s="498"/>
      <c r="M700" s="189"/>
      <c r="N700" s="766"/>
      <c r="O700" s="498"/>
      <c r="P700" s="49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</row>
    <row r="701" spans="1:26" ht="19.5" hidden="1">
      <c r="A701" s="744"/>
      <c r="B701" s="763"/>
      <c r="C701" s="763"/>
      <c r="D701" s="763" t="s">
        <v>297</v>
      </c>
      <c r="E701" s="763"/>
      <c r="F701" s="763"/>
      <c r="G701" s="189"/>
      <c r="H701" s="767" t="s">
        <v>46</v>
      </c>
      <c r="I701" s="768">
        <f ca="1">IFERROR(__xludf.DUMMYFUNCTION("IMPORTRANGE(""https://docs.google.com/spreadsheets/d/1QqKyyYR6Q21VydFLVH3TRQUabQu_ym0Zz7PgGX0-kHA/edit?usp=sharing"",""แผน!IE37"")"),0)</f>
        <v>0</v>
      </c>
      <c r="J701" s="681">
        <f>J704+J707</f>
        <v>0</v>
      </c>
      <c r="K701" s="195">
        <f t="shared" ca="1" si="290"/>
        <v>0</v>
      </c>
      <c r="L701" s="498"/>
      <c r="M701" s="189"/>
      <c r="N701" s="766"/>
      <c r="O701" s="498"/>
      <c r="P701" s="49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</row>
    <row r="702" spans="1:26" ht="18.75" hidden="1">
      <c r="A702" s="744"/>
      <c r="B702" s="763"/>
      <c r="C702" s="763"/>
      <c r="D702" s="763"/>
      <c r="E702" s="763" t="s">
        <v>298</v>
      </c>
      <c r="F702" s="763"/>
      <c r="G702" s="189"/>
      <c r="H702" s="764" t="s">
        <v>35</v>
      </c>
      <c r="I702" s="765"/>
      <c r="J702" s="215">
        <v>0</v>
      </c>
      <c r="K702" s="498"/>
      <c r="L702" s="498"/>
      <c r="M702" s="189"/>
      <c r="N702" s="766"/>
      <c r="O702" s="498"/>
      <c r="P702" s="49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</row>
    <row r="703" spans="1:26" ht="18.75" hidden="1">
      <c r="A703" s="744"/>
      <c r="B703" s="763"/>
      <c r="C703" s="763"/>
      <c r="D703" s="763"/>
      <c r="E703" s="763"/>
      <c r="F703" s="763"/>
      <c r="G703" s="189"/>
      <c r="H703" s="764" t="s">
        <v>34</v>
      </c>
      <c r="I703" s="765"/>
      <c r="J703" s="215">
        <v>0</v>
      </c>
      <c r="K703" s="498"/>
      <c r="L703" s="498"/>
      <c r="M703" s="189"/>
      <c r="N703" s="766"/>
      <c r="O703" s="498"/>
      <c r="P703" s="49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</row>
    <row r="704" spans="1:26" ht="18.75" hidden="1">
      <c r="A704" s="744"/>
      <c r="B704" s="763"/>
      <c r="C704" s="763"/>
      <c r="D704" s="763"/>
      <c r="E704" s="763"/>
      <c r="F704" s="763"/>
      <c r="G704" s="189"/>
      <c r="H704" s="764" t="s">
        <v>46</v>
      </c>
      <c r="I704" s="765">
        <f ca="1">IFERROR(__xludf.DUMMYFUNCTION("IMPORTRANGE(""https://docs.google.com/spreadsheets/d/1QqKyyYR6Q21VydFLVH3TRQUabQu_ym0Zz7PgGX0-kHA/edit?usp=sharing"",""แผน!IF37"")"),0)</f>
        <v>0</v>
      </c>
      <c r="J704" s="215">
        <v>0</v>
      </c>
      <c r="K704" s="498"/>
      <c r="L704" s="498"/>
      <c r="M704" s="189"/>
      <c r="N704" s="766"/>
      <c r="O704" s="498"/>
      <c r="P704" s="49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</row>
    <row r="705" spans="1:26" ht="18.75" hidden="1">
      <c r="A705" s="744"/>
      <c r="B705" s="763"/>
      <c r="C705" s="763"/>
      <c r="D705" s="763"/>
      <c r="E705" s="763" t="s">
        <v>299</v>
      </c>
      <c r="F705" s="763"/>
      <c r="G705" s="189"/>
      <c r="H705" s="764" t="s">
        <v>35</v>
      </c>
      <c r="I705" s="765"/>
      <c r="J705" s="215">
        <v>0</v>
      </c>
      <c r="K705" s="498"/>
      <c r="L705" s="498"/>
      <c r="M705" s="189"/>
      <c r="N705" s="766"/>
      <c r="O705" s="498"/>
      <c r="P705" s="49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</row>
    <row r="706" spans="1:26" ht="18.75" hidden="1">
      <c r="A706" s="744"/>
      <c r="B706" s="763"/>
      <c r="C706" s="763"/>
      <c r="D706" s="763"/>
      <c r="E706" s="763"/>
      <c r="F706" s="763"/>
      <c r="G706" s="189"/>
      <c r="H706" s="764" t="s">
        <v>34</v>
      </c>
      <c r="I706" s="765"/>
      <c r="J706" s="215">
        <v>0</v>
      </c>
      <c r="K706" s="498"/>
      <c r="L706" s="498"/>
      <c r="M706" s="189"/>
      <c r="N706" s="766"/>
      <c r="O706" s="498"/>
      <c r="P706" s="49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</row>
    <row r="707" spans="1:26" ht="18.75" hidden="1">
      <c r="A707" s="744"/>
      <c r="B707" s="763"/>
      <c r="C707" s="763"/>
      <c r="D707" s="763"/>
      <c r="E707" s="763"/>
      <c r="F707" s="763"/>
      <c r="G707" s="189"/>
      <c r="H707" s="764" t="s">
        <v>46</v>
      </c>
      <c r="I707" s="765">
        <f ca="1">IFERROR(__xludf.DUMMYFUNCTION("IMPORTRANGE(""https://docs.google.com/spreadsheets/d/1QqKyyYR6Q21VydFLVH3TRQUabQu_ym0Zz7PgGX0-kHA/edit?usp=sharing"",""แผน!IG37"")"),0)</f>
        <v>0</v>
      </c>
      <c r="J707" s="215">
        <v>0</v>
      </c>
      <c r="K707" s="498"/>
      <c r="L707" s="498"/>
      <c r="M707" s="189"/>
      <c r="N707" s="766"/>
      <c r="O707" s="498"/>
      <c r="P707" s="49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</row>
    <row r="708" spans="1:26" ht="19.5" hidden="1">
      <c r="A708" s="744"/>
      <c r="B708" s="763"/>
      <c r="C708" s="763"/>
      <c r="D708" s="769" t="s">
        <v>300</v>
      </c>
      <c r="E708" s="763"/>
      <c r="F708" s="763"/>
      <c r="G708" s="189"/>
      <c r="H708" s="767" t="s">
        <v>46</v>
      </c>
      <c r="I708" s="768">
        <f ca="1">IFERROR(__xludf.DUMMYFUNCTION("IMPORTRANGE(""https://docs.google.com/spreadsheets/d/1QqKyyYR6Q21VydFLVH3TRQUabQu_ym0Zz7PgGX0-kHA/edit?usp=sharing"",""แผน!IH37"")"),0)</f>
        <v>0</v>
      </c>
      <c r="J708" s="681">
        <f>J714+J717</f>
        <v>0</v>
      </c>
      <c r="K708" s="195">
        <f ca="1">IF(I708&gt;0,J708*100/I708,0)</f>
        <v>0</v>
      </c>
      <c r="L708" s="498"/>
      <c r="M708" s="189"/>
      <c r="N708" s="766"/>
      <c r="O708" s="498"/>
      <c r="P708" s="49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</row>
    <row r="709" spans="1:26" ht="18.75" hidden="1">
      <c r="A709" s="744"/>
      <c r="B709" s="763"/>
      <c r="C709" s="763"/>
      <c r="D709" s="763"/>
      <c r="E709" s="763" t="s">
        <v>301</v>
      </c>
      <c r="F709" s="763"/>
      <c r="G709" s="189"/>
      <c r="H709" s="764" t="s">
        <v>34</v>
      </c>
      <c r="I709" s="765"/>
      <c r="J709" s="215">
        <v>0</v>
      </c>
      <c r="K709" s="498"/>
      <c r="L709" s="766"/>
      <c r="M709" s="189"/>
      <c r="N709" s="766"/>
      <c r="O709" s="498"/>
      <c r="P709" s="49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</row>
    <row r="710" spans="1:26" ht="18.75" hidden="1">
      <c r="A710" s="744"/>
      <c r="B710" s="763"/>
      <c r="C710" s="763"/>
      <c r="D710" s="763"/>
      <c r="E710" s="763"/>
      <c r="F710" s="763"/>
      <c r="G710" s="189"/>
      <c r="H710" s="764" t="s">
        <v>46</v>
      </c>
      <c r="I710" s="765"/>
      <c r="J710" s="215">
        <v>0</v>
      </c>
      <c r="K710" s="498"/>
      <c r="L710" s="766"/>
      <c r="M710" s="189"/>
      <c r="N710" s="766"/>
      <c r="O710" s="498"/>
      <c r="P710" s="49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</row>
    <row r="711" spans="1:26" ht="18.75" hidden="1">
      <c r="A711" s="744"/>
      <c r="B711" s="763"/>
      <c r="C711" s="763"/>
      <c r="D711" s="763"/>
      <c r="E711" s="763" t="s">
        <v>302</v>
      </c>
      <c r="F711" s="763"/>
      <c r="G711" s="189"/>
      <c r="H711" s="762"/>
      <c r="I711" s="765"/>
      <c r="J711" s="270"/>
      <c r="K711" s="498"/>
      <c r="L711" s="766"/>
      <c r="M711" s="189"/>
      <c r="N711" s="766"/>
      <c r="O711" s="498"/>
      <c r="P711" s="49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</row>
    <row r="712" spans="1:26" ht="18.75" hidden="1">
      <c r="A712" s="744"/>
      <c r="B712" s="763"/>
      <c r="C712" s="763"/>
      <c r="D712" s="763"/>
      <c r="E712" s="763"/>
      <c r="F712" s="763" t="s">
        <v>303</v>
      </c>
      <c r="G712" s="189"/>
      <c r="H712" s="764" t="s">
        <v>35</v>
      </c>
      <c r="I712" s="765"/>
      <c r="J712" s="215">
        <v>0</v>
      </c>
      <c r="K712" s="498"/>
      <c r="L712" s="766"/>
      <c r="M712" s="189"/>
      <c r="N712" s="766"/>
      <c r="O712" s="498"/>
      <c r="P712" s="49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</row>
    <row r="713" spans="1:26" ht="18.75" hidden="1">
      <c r="A713" s="744"/>
      <c r="B713" s="763"/>
      <c r="C713" s="763"/>
      <c r="D713" s="763"/>
      <c r="E713" s="763"/>
      <c r="F713" s="763"/>
      <c r="G713" s="189"/>
      <c r="H713" s="764" t="s">
        <v>34</v>
      </c>
      <c r="I713" s="765"/>
      <c r="J713" s="215">
        <v>0</v>
      </c>
      <c r="K713" s="498"/>
      <c r="L713" s="766"/>
      <c r="M713" s="189"/>
      <c r="N713" s="766"/>
      <c r="O713" s="498"/>
      <c r="P713" s="49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</row>
    <row r="714" spans="1:26" ht="18.75" hidden="1">
      <c r="A714" s="744"/>
      <c r="B714" s="763"/>
      <c r="C714" s="763"/>
      <c r="D714" s="763"/>
      <c r="E714" s="763"/>
      <c r="F714" s="763"/>
      <c r="G714" s="189"/>
      <c r="H714" s="764" t="s">
        <v>46</v>
      </c>
      <c r="I714" s="765"/>
      <c r="J714" s="215">
        <v>0</v>
      </c>
      <c r="K714" s="498"/>
      <c r="L714" s="766"/>
      <c r="M714" s="189"/>
      <c r="N714" s="766"/>
      <c r="O714" s="498"/>
      <c r="P714" s="49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</row>
    <row r="715" spans="1:26" ht="18.75" hidden="1">
      <c r="A715" s="744"/>
      <c r="B715" s="763"/>
      <c r="C715" s="763"/>
      <c r="D715" s="763"/>
      <c r="E715" s="763"/>
      <c r="F715" s="763" t="s">
        <v>304</v>
      </c>
      <c r="G715" s="189"/>
      <c r="H715" s="764" t="s">
        <v>35</v>
      </c>
      <c r="I715" s="765"/>
      <c r="J715" s="215">
        <v>0</v>
      </c>
      <c r="K715" s="498"/>
      <c r="L715" s="766"/>
      <c r="M715" s="189"/>
      <c r="N715" s="766"/>
      <c r="O715" s="498"/>
      <c r="P715" s="49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</row>
    <row r="716" spans="1:26" ht="18.75" hidden="1">
      <c r="A716" s="744"/>
      <c r="B716" s="763"/>
      <c r="C716" s="763"/>
      <c r="D716" s="763"/>
      <c r="E716" s="763"/>
      <c r="F716" s="763"/>
      <c r="G716" s="189"/>
      <c r="H716" s="764" t="s">
        <v>34</v>
      </c>
      <c r="I716" s="765"/>
      <c r="J716" s="215">
        <v>0</v>
      </c>
      <c r="K716" s="498"/>
      <c r="L716" s="766"/>
      <c r="M716" s="189"/>
      <c r="N716" s="766"/>
      <c r="O716" s="498"/>
      <c r="P716" s="49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</row>
    <row r="717" spans="1:26" ht="18.75" hidden="1">
      <c r="A717" s="744"/>
      <c r="B717" s="763"/>
      <c r="C717" s="763"/>
      <c r="D717" s="763"/>
      <c r="E717" s="763"/>
      <c r="F717" s="763"/>
      <c r="G717" s="189"/>
      <c r="H717" s="764" t="s">
        <v>46</v>
      </c>
      <c r="I717" s="765"/>
      <c r="J717" s="215">
        <v>0</v>
      </c>
      <c r="K717" s="498"/>
      <c r="L717" s="766"/>
      <c r="M717" s="189"/>
      <c r="N717" s="766"/>
      <c r="O717" s="498"/>
      <c r="P717" s="49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</row>
    <row r="718" spans="1:26" ht="18.75" hidden="1">
      <c r="A718" s="744"/>
      <c r="B718" s="763"/>
      <c r="C718" s="763"/>
      <c r="D718" s="763" t="s">
        <v>305</v>
      </c>
      <c r="E718" s="763"/>
      <c r="F718" s="763"/>
      <c r="G718" s="189"/>
      <c r="H718" s="764" t="s">
        <v>35</v>
      </c>
      <c r="I718" s="765"/>
      <c r="J718" s="270">
        <f ca="1">IFERROR(__xludf.DUMMYFUNCTION("IMPORTRANGE(""https://docs.google.com/spreadsheets/d/1XWAQStnk-4SwqDmLtmXYiTMKHgktTP8We1SCoS47DrQ/edit?usp=sharing"",""จัดที่ดิน!BF37"")"),0)</f>
        <v>0</v>
      </c>
      <c r="K718" s="498"/>
      <c r="L718" s="498"/>
      <c r="M718" s="189"/>
      <c r="N718" s="766"/>
      <c r="O718" s="498"/>
      <c r="P718" s="49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</row>
    <row r="719" spans="1:26" ht="18.75" hidden="1">
      <c r="A719" s="744"/>
      <c r="B719" s="763"/>
      <c r="C719" s="763"/>
      <c r="D719" s="763"/>
      <c r="E719" s="763"/>
      <c r="F719" s="763"/>
      <c r="G719" s="189"/>
      <c r="H719" s="764" t="s">
        <v>34</v>
      </c>
      <c r="I719" s="765"/>
      <c r="J719" s="270">
        <f ca="1">IFERROR(__xludf.DUMMYFUNCTION("IMPORTRANGE(""https://docs.google.com/spreadsheets/d/1XWAQStnk-4SwqDmLtmXYiTMKHgktTP8We1SCoS47DrQ/edit?usp=sharing"",""จัดที่ดิน!BG37"")"),0)</f>
        <v>0</v>
      </c>
      <c r="K719" s="498"/>
      <c r="L719" s="766"/>
      <c r="M719" s="189"/>
      <c r="N719" s="766"/>
      <c r="O719" s="498"/>
      <c r="P719" s="49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</row>
    <row r="720" spans="1:26" ht="18.75" hidden="1">
      <c r="A720" s="744"/>
      <c r="B720" s="763"/>
      <c r="C720" s="763"/>
      <c r="D720" s="763"/>
      <c r="E720" s="763"/>
      <c r="F720" s="763"/>
      <c r="G720" s="189"/>
      <c r="H720" s="764" t="s">
        <v>46</v>
      </c>
      <c r="I720" s="765">
        <f ca="1">IFERROR(__xludf.DUMMYFUNCTION("IMPORTRANGE(""https://docs.google.com/spreadsheets/d/1QqKyyYR6Q21VydFLVH3TRQUabQu_ym0Zz7PgGX0-kHA/edit?usp=sharing"",""แผน!II37"")"),0)</f>
        <v>0</v>
      </c>
      <c r="J720" s="270">
        <f ca="1">IFERROR(__xludf.DUMMYFUNCTION("IMPORTRANGE(""https://docs.google.com/spreadsheets/d/1XWAQStnk-4SwqDmLtmXYiTMKHgktTP8We1SCoS47DrQ/edit?usp=sharing"",""จัดที่ดิน!BH37"")"),0)</f>
        <v>0</v>
      </c>
      <c r="K720" s="498">
        <f t="shared" ref="K720:K723" ca="1" si="291">IF(I720&gt;0,J720*100/I720,0)</f>
        <v>0</v>
      </c>
      <c r="L720" s="766"/>
      <c r="M720" s="189"/>
      <c r="N720" s="766"/>
      <c r="O720" s="498"/>
      <c r="P720" s="49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</row>
    <row r="721" spans="1:26" ht="19.5" hidden="1">
      <c r="A721" s="744"/>
      <c r="B721" s="763"/>
      <c r="C721" s="763"/>
      <c r="D721" s="763" t="s">
        <v>306</v>
      </c>
      <c r="E721" s="763"/>
      <c r="F721" s="763"/>
      <c r="G721" s="189"/>
      <c r="H721" s="767" t="s">
        <v>35</v>
      </c>
      <c r="I721" s="768">
        <f ca="1">IFERROR(__xludf.DUMMYFUNCTION("IMPORTRANGE(""https://docs.google.com/spreadsheets/d/1QqKyyYR6Q21VydFLVH3TRQUabQu_ym0Zz7PgGX0-kHA/edit?usp=sharing"",""แผน!IJ37"")"),0)</f>
        <v>0</v>
      </c>
      <c r="J721" s="681">
        <f ca="1">J723+J726</f>
        <v>0</v>
      </c>
      <c r="K721" s="195">
        <f t="shared" ca="1" si="291"/>
        <v>0</v>
      </c>
      <c r="L721" s="766"/>
      <c r="M721" s="189"/>
      <c r="N721" s="766"/>
      <c r="O721" s="498"/>
      <c r="P721" s="49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</row>
    <row r="722" spans="1:26" ht="19.5" hidden="1">
      <c r="A722" s="744"/>
      <c r="B722" s="763"/>
      <c r="C722" s="763"/>
      <c r="D722" s="763"/>
      <c r="E722" s="763"/>
      <c r="F722" s="763"/>
      <c r="G722" s="189"/>
      <c r="H722" s="767" t="s">
        <v>46</v>
      </c>
      <c r="I722" s="768">
        <f ca="1">IFERROR(__xludf.DUMMYFUNCTION("IMPORTRANGE(""https://docs.google.com/spreadsheets/d/1QqKyyYR6Q21VydFLVH3TRQUabQu_ym0Zz7PgGX0-kHA/edit?usp=sharing"",""แผน!IK37"")"),0)</f>
        <v>0</v>
      </c>
      <c r="J722" s="681">
        <f ca="1">J725+J728</f>
        <v>0</v>
      </c>
      <c r="K722" s="195">
        <f t="shared" ca="1" si="291"/>
        <v>0</v>
      </c>
      <c r="L722" s="498"/>
      <c r="M722" s="189"/>
      <c r="N722" s="766"/>
      <c r="O722" s="498"/>
      <c r="P722" s="49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</row>
    <row r="723" spans="1:26" ht="18.75" hidden="1">
      <c r="A723" s="744"/>
      <c r="B723" s="763"/>
      <c r="C723" s="763"/>
      <c r="D723" s="763"/>
      <c r="E723" s="763" t="s">
        <v>307</v>
      </c>
      <c r="F723" s="763"/>
      <c r="G723" s="189"/>
      <c r="H723" s="764" t="s">
        <v>35</v>
      </c>
      <c r="I723" s="765">
        <f ca="1">IFERROR(__xludf.DUMMYFUNCTION("IMPORTRANGE(""https://docs.google.com/spreadsheets/d/1QqKyyYR6Q21VydFLVH3TRQUabQu_ym0Zz7PgGX0-kHA/edit?usp=sharing"",""แผน!IL37"")"),0)</f>
        <v>0</v>
      </c>
      <c r="J723" s="270">
        <f ca="1">IFERROR(__xludf.DUMMYFUNCTION("IMPORTRANGE(""https://docs.google.com/spreadsheets/d/1XWAQStnk-4SwqDmLtmXYiTMKHgktTP8We1SCoS47DrQ/edit?usp=sharing"",""จัดที่ดิน!BM37"")"),0)</f>
        <v>0</v>
      </c>
      <c r="K723" s="498">
        <f t="shared" ca="1" si="291"/>
        <v>0</v>
      </c>
      <c r="L723" s="498"/>
      <c r="M723" s="189"/>
      <c r="N723" s="766"/>
      <c r="O723" s="498"/>
      <c r="P723" s="49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</row>
    <row r="724" spans="1:26" ht="18.75" hidden="1">
      <c r="A724" s="744"/>
      <c r="B724" s="763"/>
      <c r="C724" s="763"/>
      <c r="D724" s="763"/>
      <c r="E724" s="763"/>
      <c r="F724" s="763"/>
      <c r="G724" s="189"/>
      <c r="H724" s="764" t="s">
        <v>34</v>
      </c>
      <c r="I724" s="765"/>
      <c r="J724" s="270">
        <f ca="1">IFERROR(__xludf.DUMMYFUNCTION("IMPORTRANGE(""https://docs.google.com/spreadsheets/d/1XWAQStnk-4SwqDmLtmXYiTMKHgktTP8We1SCoS47DrQ/edit?usp=sharing"",""จัดที่ดิน!BN37"")"),0)</f>
        <v>0</v>
      </c>
      <c r="K724" s="498"/>
      <c r="L724" s="766"/>
      <c r="M724" s="189"/>
      <c r="N724" s="766"/>
      <c r="O724" s="498"/>
      <c r="P724" s="49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</row>
    <row r="725" spans="1:26" ht="18.75" hidden="1">
      <c r="A725" s="744"/>
      <c r="B725" s="763"/>
      <c r="C725" s="763"/>
      <c r="D725" s="763"/>
      <c r="E725" s="763"/>
      <c r="F725" s="763"/>
      <c r="G725" s="189"/>
      <c r="H725" s="764" t="s">
        <v>46</v>
      </c>
      <c r="I725" s="765">
        <f ca="1">IFERROR(__xludf.DUMMYFUNCTION("IMPORTRANGE(""https://docs.google.com/spreadsheets/d/1QqKyyYR6Q21VydFLVH3TRQUabQu_ym0Zz7PgGX0-kHA/edit?usp=sharing"",""แผน!IM37"")"),0)</f>
        <v>0</v>
      </c>
      <c r="J725" s="270">
        <f ca="1">IFERROR(__xludf.DUMMYFUNCTION("IMPORTRANGE(""https://docs.google.com/spreadsheets/d/1XWAQStnk-4SwqDmLtmXYiTMKHgktTP8We1SCoS47DrQ/edit?usp=sharing"",""จัดที่ดิน!BO37"")"),0)</f>
        <v>0</v>
      </c>
      <c r="K725" s="498">
        <f t="shared" ref="K725:K726" ca="1" si="292">IF(I725&gt;0,J725*100/I725,0)</f>
        <v>0</v>
      </c>
      <c r="L725" s="766"/>
      <c r="M725" s="189"/>
      <c r="N725" s="766"/>
      <c r="O725" s="498"/>
      <c r="P725" s="49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</row>
    <row r="726" spans="1:26" ht="18.75" hidden="1">
      <c r="A726" s="744"/>
      <c r="B726" s="763"/>
      <c r="C726" s="763"/>
      <c r="D726" s="763"/>
      <c r="E726" s="763" t="s">
        <v>308</v>
      </c>
      <c r="F726" s="763"/>
      <c r="G726" s="189"/>
      <c r="H726" s="764" t="s">
        <v>35</v>
      </c>
      <c r="I726" s="765">
        <f ca="1">IFERROR(__xludf.DUMMYFUNCTION("IMPORTRANGE(""https://docs.google.com/spreadsheets/d/1QqKyyYR6Q21VydFLVH3TRQUabQu_ym0Zz7PgGX0-kHA/edit?usp=sharing"",""แผน!IN37"")"),0)</f>
        <v>0</v>
      </c>
      <c r="J726" s="270">
        <f ca="1">IFERROR(__xludf.DUMMYFUNCTION("IMPORTRANGE(""https://docs.google.com/spreadsheets/d/1XWAQStnk-4SwqDmLtmXYiTMKHgktTP8We1SCoS47DrQ/edit?usp=sharing"",""จัดที่ดิน!BR37"")"),0)</f>
        <v>0</v>
      </c>
      <c r="K726" s="498">
        <f t="shared" ca="1" si="292"/>
        <v>0</v>
      </c>
      <c r="L726" s="498"/>
      <c r="M726" s="189"/>
      <c r="N726" s="766"/>
      <c r="O726" s="498"/>
      <c r="P726" s="49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</row>
    <row r="727" spans="1:26" ht="18.75" hidden="1">
      <c r="A727" s="744"/>
      <c r="B727" s="763"/>
      <c r="C727" s="763"/>
      <c r="D727" s="763"/>
      <c r="E727" s="763"/>
      <c r="F727" s="763"/>
      <c r="G727" s="189"/>
      <c r="H727" s="764" t="s">
        <v>34</v>
      </c>
      <c r="I727" s="765"/>
      <c r="J727" s="270">
        <f ca="1">IFERROR(__xludf.DUMMYFUNCTION("IMPORTRANGE(""https://docs.google.com/spreadsheets/d/1XWAQStnk-4SwqDmLtmXYiTMKHgktTP8We1SCoS47DrQ/edit?usp=sharing"",""จัดที่ดิน!BS37"")"),0)</f>
        <v>0</v>
      </c>
      <c r="K727" s="498"/>
      <c r="L727" s="766"/>
      <c r="M727" s="189"/>
      <c r="N727" s="766"/>
      <c r="O727" s="498"/>
      <c r="P727" s="49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</row>
    <row r="728" spans="1:26" ht="18.75" hidden="1">
      <c r="A728" s="744"/>
      <c r="B728" s="763"/>
      <c r="C728" s="763"/>
      <c r="D728" s="763"/>
      <c r="E728" s="763"/>
      <c r="F728" s="763"/>
      <c r="G728" s="189"/>
      <c r="H728" s="764" t="s">
        <v>46</v>
      </c>
      <c r="I728" s="765">
        <f ca="1">IFERROR(__xludf.DUMMYFUNCTION("IMPORTRANGE(""https://docs.google.com/spreadsheets/d/1QqKyyYR6Q21VydFLVH3TRQUabQu_ym0Zz7PgGX0-kHA/edit?usp=sharing"",""แผน!IO37"")"),0)</f>
        <v>0</v>
      </c>
      <c r="J728" s="270">
        <f ca="1">IFERROR(__xludf.DUMMYFUNCTION("IMPORTRANGE(""https://docs.google.com/spreadsheets/d/1XWAQStnk-4SwqDmLtmXYiTMKHgktTP8We1SCoS47DrQ/edit?usp=sharing"",""จัดที่ดิน!BT37"")"),0)</f>
        <v>0</v>
      </c>
      <c r="K728" s="498">
        <f t="shared" ref="K728:K729" ca="1" si="293">IF(I728&gt;0,J728*100/I728,0)</f>
        <v>0</v>
      </c>
      <c r="L728" s="766"/>
      <c r="M728" s="189"/>
      <c r="N728" s="766"/>
      <c r="O728" s="498"/>
      <c r="P728" s="49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</row>
    <row r="729" spans="1:26" ht="19.5" hidden="1">
      <c r="A729" s="744"/>
      <c r="B729" s="763"/>
      <c r="C729" s="763"/>
      <c r="D729" s="763" t="s">
        <v>309</v>
      </c>
      <c r="E729" s="763"/>
      <c r="F729" s="763"/>
      <c r="G729" s="189"/>
      <c r="H729" s="767" t="s">
        <v>46</v>
      </c>
      <c r="I729" s="768">
        <f ca="1">IFERROR(__xludf.DUMMYFUNCTION("IMPORTRANGE(""https://docs.google.com/spreadsheets/d/1QqKyyYR6Q21VydFLVH3TRQUabQu_ym0Zz7PgGX0-kHA/edit?usp=sharing"",""แผน!IP37"")"),0)</f>
        <v>0</v>
      </c>
      <c r="J729" s="681">
        <f>J732+J735</f>
        <v>0</v>
      </c>
      <c r="K729" s="195">
        <f t="shared" ca="1" si="293"/>
        <v>0</v>
      </c>
      <c r="L729" s="498"/>
      <c r="M729" s="189"/>
      <c r="N729" s="766"/>
      <c r="O729" s="498"/>
      <c r="P729" s="49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</row>
    <row r="730" spans="1:26" ht="18.75" hidden="1">
      <c r="A730" s="744"/>
      <c r="B730" s="763"/>
      <c r="C730" s="763"/>
      <c r="D730" s="763"/>
      <c r="E730" s="763" t="s">
        <v>310</v>
      </c>
      <c r="F730" s="763"/>
      <c r="G730" s="189"/>
      <c r="H730" s="764" t="s">
        <v>35</v>
      </c>
      <c r="I730" s="765"/>
      <c r="J730" s="215">
        <v>0</v>
      </c>
      <c r="K730" s="498"/>
      <c r="L730" s="766"/>
      <c r="M730" s="498"/>
      <c r="N730" s="766"/>
      <c r="O730" s="498"/>
      <c r="P730" s="49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</row>
    <row r="731" spans="1:26" ht="18.75" hidden="1">
      <c r="A731" s="744"/>
      <c r="B731" s="763"/>
      <c r="C731" s="763"/>
      <c r="D731" s="763"/>
      <c r="E731" s="763"/>
      <c r="F731" s="763"/>
      <c r="G731" s="189"/>
      <c r="H731" s="764" t="s">
        <v>34</v>
      </c>
      <c r="I731" s="765"/>
      <c r="J731" s="215">
        <v>0</v>
      </c>
      <c r="K731" s="498"/>
      <c r="L731" s="766"/>
      <c r="M731" s="498"/>
      <c r="N731" s="766"/>
      <c r="O731" s="498"/>
      <c r="P731" s="49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</row>
    <row r="732" spans="1:26" ht="18.75" hidden="1">
      <c r="A732" s="744"/>
      <c r="B732" s="763"/>
      <c r="C732" s="763"/>
      <c r="D732" s="763"/>
      <c r="E732" s="763"/>
      <c r="F732" s="763"/>
      <c r="G732" s="189"/>
      <c r="H732" s="764" t="s">
        <v>46</v>
      </c>
      <c r="I732" s="765"/>
      <c r="J732" s="215">
        <v>0</v>
      </c>
      <c r="K732" s="498"/>
      <c r="L732" s="766"/>
      <c r="M732" s="498"/>
      <c r="N732" s="766"/>
      <c r="O732" s="498"/>
      <c r="P732" s="49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</row>
    <row r="733" spans="1:26" ht="18.75" hidden="1">
      <c r="A733" s="744"/>
      <c r="B733" s="763"/>
      <c r="C733" s="763"/>
      <c r="D733" s="763"/>
      <c r="E733" s="763" t="s">
        <v>311</v>
      </c>
      <c r="F733" s="763"/>
      <c r="G733" s="189"/>
      <c r="H733" s="764" t="s">
        <v>35</v>
      </c>
      <c r="I733" s="765"/>
      <c r="J733" s="215">
        <v>0</v>
      </c>
      <c r="K733" s="498"/>
      <c r="L733" s="766"/>
      <c r="M733" s="498"/>
      <c r="N733" s="766"/>
      <c r="O733" s="498"/>
      <c r="P733" s="49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</row>
    <row r="734" spans="1:26" ht="18.75" hidden="1">
      <c r="A734" s="744"/>
      <c r="B734" s="763"/>
      <c r="C734" s="763"/>
      <c r="D734" s="763"/>
      <c r="E734" s="763"/>
      <c r="F734" s="763"/>
      <c r="G734" s="189"/>
      <c r="H734" s="764" t="s">
        <v>34</v>
      </c>
      <c r="I734" s="765"/>
      <c r="J734" s="215">
        <v>0</v>
      </c>
      <c r="K734" s="498"/>
      <c r="L734" s="766"/>
      <c r="M734" s="498"/>
      <c r="N734" s="766"/>
      <c r="O734" s="498"/>
      <c r="P734" s="49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</row>
    <row r="735" spans="1:26" ht="19.5" hidden="1">
      <c r="A735" s="770"/>
      <c r="B735" s="771" t="s">
        <v>312</v>
      </c>
      <c r="C735" s="734"/>
      <c r="D735" s="734"/>
      <c r="E735" s="734"/>
      <c r="F735" s="734"/>
      <c r="G735" s="735"/>
      <c r="H735" s="422" t="s">
        <v>46</v>
      </c>
      <c r="I735" s="772"/>
      <c r="J735" s="424">
        <v>0</v>
      </c>
      <c r="K735" s="507"/>
      <c r="L735" s="773"/>
      <c r="M735" s="507"/>
      <c r="N735" s="773"/>
      <c r="O735" s="507"/>
      <c r="P735" s="507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</row>
    <row r="736" spans="1:26" ht="19.5" hidden="1">
      <c r="A736" s="774">
        <v>9</v>
      </c>
      <c r="B736" s="775" t="s">
        <v>313</v>
      </c>
      <c r="C736" s="776"/>
      <c r="D736" s="776"/>
      <c r="E736" s="776"/>
      <c r="F736" s="776"/>
      <c r="G736" s="777"/>
      <c r="H736" s="778" t="s">
        <v>46</v>
      </c>
      <c r="I736" s="779"/>
      <c r="J736" s="779">
        <f>J751</f>
        <v>0</v>
      </c>
      <c r="K736" s="780">
        <f>IF(I736&gt;0,J736*100/I736,0)</f>
        <v>0</v>
      </c>
      <c r="L736" s="781"/>
      <c r="M736" s="781"/>
      <c r="N736" s="781"/>
      <c r="O736" s="781"/>
      <c r="P736" s="781"/>
      <c r="Q736" s="604"/>
      <c r="R736" s="604"/>
      <c r="S736" s="604"/>
      <c r="T736" s="604"/>
      <c r="U736" s="604"/>
      <c r="V736" s="604"/>
      <c r="W736" s="604"/>
      <c r="X736" s="604"/>
      <c r="Y736" s="604"/>
      <c r="Z736" s="604"/>
    </row>
    <row r="737" spans="1:26" ht="19.5" hidden="1">
      <c r="A737" s="599"/>
      <c r="B737" s="759"/>
      <c r="C737" s="759" t="s">
        <v>16</v>
      </c>
      <c r="D737" s="864" t="s">
        <v>17</v>
      </c>
      <c r="E737" s="857"/>
      <c r="F737" s="857"/>
      <c r="G737" s="603"/>
      <c r="H737" s="646" t="s">
        <v>12</v>
      </c>
      <c r="I737" s="617"/>
      <c r="J737" s="617"/>
      <c r="K737" s="93"/>
      <c r="L737" s="647">
        <f t="shared" ref="L737:N737" si="294">L738+L739</f>
        <v>0</v>
      </c>
      <c r="M737" s="647">
        <f t="shared" si="294"/>
        <v>0</v>
      </c>
      <c r="N737" s="647">
        <f t="shared" si="294"/>
        <v>0</v>
      </c>
      <c r="O737" s="647">
        <f t="shared" ref="O737:O742" si="295">IF(L737&gt;0,N737*100/L737,0)</f>
        <v>0</v>
      </c>
      <c r="P737" s="647">
        <f t="shared" ref="P737:P742" si="296">IF(M737&gt;0,N737*100/M737,0)</f>
        <v>0</v>
      </c>
      <c r="Q737" s="604"/>
      <c r="R737" s="604"/>
      <c r="S737" s="604"/>
      <c r="T737" s="604"/>
      <c r="U737" s="604"/>
      <c r="V737" s="604"/>
      <c r="W737" s="604"/>
      <c r="X737" s="604"/>
      <c r="Y737" s="604"/>
      <c r="Z737" s="604"/>
    </row>
    <row r="738" spans="1:26" ht="18.75" hidden="1">
      <c r="A738" s="599"/>
      <c r="B738" s="759"/>
      <c r="C738" s="759"/>
      <c r="D738" s="720"/>
      <c r="E738" s="759" t="s">
        <v>185</v>
      </c>
      <c r="F738" s="759"/>
      <c r="G738" s="603"/>
      <c r="H738" s="165" t="s">
        <v>12</v>
      </c>
      <c r="I738" s="617"/>
      <c r="J738" s="617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4"/>
      <c r="R738" s="604"/>
      <c r="S738" s="604"/>
      <c r="T738" s="604"/>
      <c r="U738" s="604"/>
      <c r="V738" s="604"/>
      <c r="W738" s="604"/>
      <c r="X738" s="604"/>
      <c r="Y738" s="604"/>
      <c r="Z738" s="604"/>
    </row>
    <row r="739" spans="1:26" ht="18.75" hidden="1">
      <c r="A739" s="599"/>
      <c r="B739" s="607"/>
      <c r="C739" s="759"/>
      <c r="D739" s="720"/>
      <c r="E739" s="759" t="s">
        <v>186</v>
      </c>
      <c r="F739" s="759"/>
      <c r="G739" s="603"/>
      <c r="H739" s="165" t="s">
        <v>12</v>
      </c>
      <c r="I739" s="617"/>
      <c r="J739" s="617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4"/>
      <c r="R739" s="604"/>
      <c r="S739" s="604"/>
      <c r="T739" s="604"/>
      <c r="U739" s="604"/>
      <c r="V739" s="604"/>
      <c r="W739" s="604"/>
      <c r="X739" s="604"/>
      <c r="Y739" s="604"/>
      <c r="Z739" s="604"/>
    </row>
    <row r="740" spans="1:26" ht="19.5" hidden="1">
      <c r="A740" s="599"/>
      <c r="B740" s="607"/>
      <c r="C740" s="759"/>
      <c r="D740" s="645" t="s">
        <v>20</v>
      </c>
      <c r="E740" s="759"/>
      <c r="F740" s="759"/>
      <c r="G740" s="603"/>
      <c r="H740" s="646" t="s">
        <v>12</v>
      </c>
      <c r="I740" s="166"/>
      <c r="J740" s="166"/>
      <c r="K740" s="167"/>
      <c r="L740" s="647">
        <f t="shared" ref="L740:N740" si="298">L741+L742</f>
        <v>0</v>
      </c>
      <c r="M740" s="647">
        <f t="shared" si="298"/>
        <v>0</v>
      </c>
      <c r="N740" s="647">
        <f t="shared" si="298"/>
        <v>0</v>
      </c>
      <c r="O740" s="647">
        <f t="shared" si="295"/>
        <v>0</v>
      </c>
      <c r="P740" s="647">
        <f t="shared" si="296"/>
        <v>0</v>
      </c>
      <c r="Q740" s="604"/>
      <c r="R740" s="604"/>
      <c r="S740" s="604"/>
      <c r="T740" s="604"/>
      <c r="U740" s="604"/>
      <c r="V740" s="604"/>
      <c r="W740" s="604"/>
      <c r="X740" s="604"/>
      <c r="Y740" s="604"/>
      <c r="Z740" s="604"/>
    </row>
    <row r="741" spans="1:26" ht="18.75" hidden="1">
      <c r="A741" s="599"/>
      <c r="B741" s="607"/>
      <c r="C741" s="759"/>
      <c r="D741" s="720"/>
      <c r="E741" s="759" t="s">
        <v>185</v>
      </c>
      <c r="F741" s="759"/>
      <c r="G741" s="603"/>
      <c r="H741" s="165" t="s">
        <v>12</v>
      </c>
      <c r="I741" s="617"/>
      <c r="J741" s="617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4"/>
      <c r="R741" s="604"/>
      <c r="S741" s="604"/>
      <c r="T741" s="604"/>
      <c r="U741" s="604"/>
      <c r="V741" s="604"/>
      <c r="W741" s="604"/>
      <c r="X741" s="604"/>
      <c r="Y741" s="604"/>
      <c r="Z741" s="604"/>
    </row>
    <row r="742" spans="1:26" ht="18.75" hidden="1">
      <c r="A742" s="599"/>
      <c r="B742" s="607"/>
      <c r="C742" s="759"/>
      <c r="D742" s="720"/>
      <c r="E742" s="759" t="s">
        <v>186</v>
      </c>
      <c r="F742" s="759"/>
      <c r="G742" s="603"/>
      <c r="H742" s="165" t="s">
        <v>12</v>
      </c>
      <c r="I742" s="617"/>
      <c r="J742" s="617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4"/>
      <c r="R742" s="604"/>
      <c r="S742" s="604"/>
      <c r="T742" s="604"/>
      <c r="U742" s="604"/>
      <c r="V742" s="604"/>
      <c r="W742" s="604"/>
      <c r="X742" s="604"/>
      <c r="Y742" s="604"/>
      <c r="Z742" s="604"/>
    </row>
    <row r="743" spans="1:26" ht="18.75" hidden="1">
      <c r="A743" s="649"/>
      <c r="B743" s="607"/>
      <c r="C743" s="759"/>
      <c r="D743" s="759"/>
      <c r="E743" s="759"/>
      <c r="F743" s="759" t="s">
        <v>187</v>
      </c>
      <c r="G743" s="603"/>
      <c r="H743" s="165" t="s">
        <v>12</v>
      </c>
      <c r="I743" s="617"/>
      <c r="J743" s="617"/>
      <c r="K743" s="93"/>
      <c r="L743" s="93"/>
      <c r="M743" s="93"/>
      <c r="N743" s="93"/>
      <c r="O743" s="93"/>
      <c r="P743" s="93"/>
      <c r="Q743" s="604"/>
      <c r="R743" s="604"/>
      <c r="S743" s="604"/>
      <c r="T743" s="604"/>
      <c r="U743" s="604"/>
      <c r="V743" s="604"/>
      <c r="W743" s="604"/>
      <c r="X743" s="604"/>
      <c r="Y743" s="604"/>
      <c r="Z743" s="604"/>
    </row>
    <row r="744" spans="1:26" ht="18.75" hidden="1">
      <c r="A744" s="649"/>
      <c r="B744" s="607"/>
      <c r="C744" s="759"/>
      <c r="D744" s="759"/>
      <c r="E744" s="759"/>
      <c r="F744" s="759" t="s">
        <v>188</v>
      </c>
      <c r="G744" s="603"/>
      <c r="H744" s="165" t="s">
        <v>12</v>
      </c>
      <c r="I744" s="617"/>
      <c r="J744" s="617"/>
      <c r="K744" s="93"/>
      <c r="L744" s="93"/>
      <c r="M744" s="93"/>
      <c r="N744" s="93"/>
      <c r="O744" s="93"/>
      <c r="P744" s="93"/>
      <c r="Q744" s="604"/>
      <c r="R744" s="604"/>
      <c r="S744" s="604"/>
      <c r="T744" s="604"/>
      <c r="U744" s="604"/>
      <c r="V744" s="604"/>
      <c r="W744" s="604"/>
      <c r="X744" s="604"/>
      <c r="Y744" s="604"/>
      <c r="Z744" s="604"/>
    </row>
    <row r="745" spans="1:26" ht="18.75" hidden="1">
      <c r="A745" s="649"/>
      <c r="B745" s="607"/>
      <c r="C745" s="759"/>
      <c r="D745" s="759"/>
      <c r="E745" s="759"/>
      <c r="F745" s="759" t="s">
        <v>189</v>
      </c>
      <c r="G745" s="603"/>
      <c r="H745" s="165" t="s">
        <v>12</v>
      </c>
      <c r="I745" s="617"/>
      <c r="J745" s="617"/>
      <c r="K745" s="93"/>
      <c r="L745" s="93"/>
      <c r="M745" s="93"/>
      <c r="N745" s="93"/>
      <c r="O745" s="93"/>
      <c r="P745" s="93"/>
      <c r="Q745" s="604"/>
      <c r="R745" s="604"/>
      <c r="S745" s="604"/>
      <c r="T745" s="604"/>
      <c r="U745" s="604"/>
      <c r="V745" s="604"/>
      <c r="W745" s="604"/>
      <c r="X745" s="604"/>
      <c r="Y745" s="604"/>
      <c r="Z745" s="604"/>
    </row>
    <row r="746" spans="1:26" ht="18.75" hidden="1">
      <c r="A746" s="649"/>
      <c r="B746" s="607"/>
      <c r="C746" s="759"/>
      <c r="D746" s="759"/>
      <c r="E746" s="759"/>
      <c r="F746" s="759" t="s">
        <v>190</v>
      </c>
      <c r="G746" s="603"/>
      <c r="H746" s="165" t="s">
        <v>12</v>
      </c>
      <c r="I746" s="617"/>
      <c r="J746" s="617"/>
      <c r="K746" s="93"/>
      <c r="L746" s="93"/>
      <c r="M746" s="93"/>
      <c r="N746" s="93"/>
      <c r="O746" s="93"/>
      <c r="P746" s="93"/>
      <c r="Q746" s="604"/>
      <c r="R746" s="604"/>
      <c r="S746" s="604"/>
      <c r="T746" s="604"/>
      <c r="U746" s="604"/>
      <c r="V746" s="604"/>
      <c r="W746" s="604"/>
      <c r="X746" s="604"/>
      <c r="Y746" s="604"/>
      <c r="Z746" s="604"/>
    </row>
    <row r="747" spans="1:26" ht="19.5" hidden="1">
      <c r="A747" s="599"/>
      <c r="B747" s="607"/>
      <c r="C747" s="759"/>
      <c r="D747" s="645" t="s">
        <v>21</v>
      </c>
      <c r="E747" s="759"/>
      <c r="F747" s="759"/>
      <c r="G747" s="603"/>
      <c r="H747" s="783" t="s">
        <v>12</v>
      </c>
      <c r="I747" s="166"/>
      <c r="J747" s="166"/>
      <c r="K747" s="167"/>
      <c r="L747" s="647">
        <f t="shared" ref="L747:N747" si="299">L748+L749</f>
        <v>0</v>
      </c>
      <c r="M747" s="647">
        <f t="shared" si="299"/>
        <v>0</v>
      </c>
      <c r="N747" s="647">
        <f t="shared" si="299"/>
        <v>0</v>
      </c>
      <c r="O747" s="647">
        <f t="shared" ref="O747:O749" si="300">IF(L747&gt;0,N747*100/L747,0)</f>
        <v>0</v>
      </c>
      <c r="P747" s="647">
        <f t="shared" ref="P747:P749" si="301">IF(M747&gt;0,N747*100/M747,0)</f>
        <v>0</v>
      </c>
      <c r="Q747" s="604"/>
      <c r="R747" s="604"/>
      <c r="S747" s="604"/>
      <c r="T747" s="604"/>
      <c r="U747" s="604"/>
      <c r="V747" s="604"/>
      <c r="W747" s="604"/>
      <c r="X747" s="604"/>
      <c r="Y747" s="604"/>
      <c r="Z747" s="604"/>
    </row>
    <row r="748" spans="1:26" ht="18.75" hidden="1">
      <c r="A748" s="599"/>
      <c r="B748" s="607"/>
      <c r="C748" s="759"/>
      <c r="D748" s="759"/>
      <c r="E748" s="759" t="s">
        <v>18</v>
      </c>
      <c r="F748" s="759"/>
      <c r="G748" s="603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4"/>
      <c r="R748" s="604"/>
      <c r="S748" s="604"/>
      <c r="T748" s="604"/>
      <c r="U748" s="604"/>
      <c r="V748" s="604"/>
      <c r="W748" s="604"/>
      <c r="X748" s="604"/>
      <c r="Y748" s="604"/>
      <c r="Z748" s="604"/>
    </row>
    <row r="749" spans="1:26" ht="18.75" hidden="1">
      <c r="A749" s="599"/>
      <c r="B749" s="607"/>
      <c r="C749" s="759"/>
      <c r="D749" s="759"/>
      <c r="E749" s="759" t="s">
        <v>19</v>
      </c>
      <c r="F749" s="759"/>
      <c r="G749" s="603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4"/>
      <c r="R749" s="604"/>
      <c r="S749" s="604"/>
      <c r="T749" s="604"/>
      <c r="U749" s="604"/>
      <c r="V749" s="604"/>
      <c r="W749" s="604"/>
      <c r="X749" s="604"/>
      <c r="Y749" s="604"/>
      <c r="Z749" s="604"/>
    </row>
    <row r="750" spans="1:26" ht="19.5" hidden="1">
      <c r="A750" s="614"/>
      <c r="B750" s="616"/>
      <c r="C750" s="759" t="s">
        <v>16</v>
      </c>
      <c r="D750" s="899" t="s">
        <v>38</v>
      </c>
      <c r="E750" s="651"/>
      <c r="F750" s="651"/>
      <c r="G750" s="652"/>
      <c r="H750" s="366"/>
      <c r="I750" s="166"/>
      <c r="J750" s="166"/>
      <c r="K750" s="167"/>
      <c r="L750" s="167"/>
      <c r="M750" s="167"/>
      <c r="N750" s="167"/>
      <c r="O750" s="167"/>
      <c r="P750" s="167"/>
      <c r="Q750" s="604"/>
      <c r="R750" s="604"/>
      <c r="S750" s="604"/>
      <c r="T750" s="604"/>
      <c r="U750" s="604"/>
      <c r="V750" s="604"/>
      <c r="W750" s="604"/>
      <c r="X750" s="604"/>
      <c r="Y750" s="604"/>
      <c r="Z750" s="604"/>
    </row>
    <row r="751" spans="1:26" ht="18.75" hidden="1">
      <c r="A751" s="649"/>
      <c r="B751" s="607"/>
      <c r="C751" s="759"/>
      <c r="D751" s="759"/>
      <c r="E751" s="759" t="s">
        <v>314</v>
      </c>
      <c r="F751" s="759"/>
      <c r="G751" s="603"/>
      <c r="H751" s="165" t="s">
        <v>46</v>
      </c>
      <c r="I751" s="617"/>
      <c r="J751" s="617"/>
      <c r="K751" s="93"/>
      <c r="L751" s="93"/>
      <c r="M751" s="93"/>
      <c r="N751" s="93"/>
      <c r="O751" s="93"/>
      <c r="P751" s="93"/>
      <c r="Q751" s="604"/>
      <c r="R751" s="604"/>
      <c r="S751" s="604"/>
      <c r="T751" s="604"/>
      <c r="U751" s="604"/>
      <c r="V751" s="604"/>
      <c r="W751" s="604"/>
      <c r="X751" s="604"/>
      <c r="Y751" s="604"/>
      <c r="Z751" s="604"/>
    </row>
    <row r="752" spans="1:26" ht="18.75" hidden="1">
      <c r="A752" s="649"/>
      <c r="B752" s="607"/>
      <c r="C752" s="759"/>
      <c r="D752" s="759"/>
      <c r="E752" s="759"/>
      <c r="F752" s="759"/>
      <c r="G752" s="603"/>
      <c r="H752" s="165" t="s">
        <v>315</v>
      </c>
      <c r="I752" s="617"/>
      <c r="J752" s="617"/>
      <c r="K752" s="93"/>
      <c r="L752" s="93"/>
      <c r="M752" s="93"/>
      <c r="N752" s="93"/>
      <c r="O752" s="93"/>
      <c r="P752" s="93"/>
      <c r="Q752" s="604"/>
      <c r="R752" s="604"/>
      <c r="S752" s="604"/>
      <c r="T752" s="604"/>
      <c r="U752" s="604"/>
      <c r="V752" s="604"/>
      <c r="W752" s="604"/>
      <c r="X752" s="604"/>
      <c r="Y752" s="604"/>
      <c r="Z752" s="604"/>
    </row>
    <row r="753" spans="1:26" ht="19.5" hidden="1">
      <c r="A753" s="785">
        <v>10</v>
      </c>
      <c r="B753" s="786" t="s">
        <v>316</v>
      </c>
      <c r="C753" s="787"/>
      <c r="D753" s="787"/>
      <c r="E753" s="787"/>
      <c r="F753" s="787"/>
      <c r="G753" s="788"/>
      <c r="H753" s="789" t="s">
        <v>46</v>
      </c>
      <c r="I753" s="790"/>
      <c r="J753" s="790">
        <f>J768</f>
        <v>0</v>
      </c>
      <c r="K753" s="791">
        <f>IF(I753&gt;0,J753*100/I753,0)</f>
        <v>0</v>
      </c>
      <c r="L753" s="792"/>
      <c r="M753" s="792"/>
      <c r="N753" s="792"/>
      <c r="O753" s="792"/>
      <c r="P753" s="792"/>
      <c r="Q753" s="604"/>
      <c r="R753" s="604"/>
      <c r="S753" s="604"/>
      <c r="T753" s="604"/>
      <c r="U753" s="604"/>
      <c r="V753" s="604"/>
      <c r="W753" s="604"/>
      <c r="X753" s="604"/>
      <c r="Y753" s="604"/>
      <c r="Z753" s="604"/>
    </row>
    <row r="754" spans="1:26" ht="19.5" hidden="1">
      <c r="A754" s="599"/>
      <c r="B754" s="759"/>
      <c r="C754" s="759" t="s">
        <v>16</v>
      </c>
      <c r="D754" s="864" t="s">
        <v>17</v>
      </c>
      <c r="E754" s="857"/>
      <c r="F754" s="857"/>
      <c r="G754" s="603"/>
      <c r="H754" s="646" t="s">
        <v>12</v>
      </c>
      <c r="I754" s="617"/>
      <c r="J754" s="617"/>
      <c r="K754" s="93"/>
      <c r="L754" s="647">
        <f t="shared" ref="L754:N754" si="302">L755+L756</f>
        <v>0</v>
      </c>
      <c r="M754" s="647">
        <f t="shared" si="302"/>
        <v>0</v>
      </c>
      <c r="N754" s="647">
        <f t="shared" si="302"/>
        <v>0</v>
      </c>
      <c r="O754" s="647">
        <f t="shared" ref="O754:O759" si="303">IF(L754&gt;0,N754*100/L754,0)</f>
        <v>0</v>
      </c>
      <c r="P754" s="647">
        <f t="shared" ref="P754:P759" si="304">IF(M754&gt;0,N754*100/M754,0)</f>
        <v>0</v>
      </c>
      <c r="Q754" s="604"/>
      <c r="R754" s="604"/>
      <c r="S754" s="604"/>
      <c r="T754" s="604"/>
      <c r="U754" s="604"/>
      <c r="V754" s="604"/>
      <c r="W754" s="604"/>
      <c r="X754" s="604"/>
      <c r="Y754" s="604"/>
      <c r="Z754" s="604"/>
    </row>
    <row r="755" spans="1:26" ht="18.75" hidden="1">
      <c r="A755" s="599"/>
      <c r="B755" s="759"/>
      <c r="C755" s="759"/>
      <c r="D755" s="720"/>
      <c r="E755" s="759" t="s">
        <v>185</v>
      </c>
      <c r="F755" s="759"/>
      <c r="G755" s="603"/>
      <c r="H755" s="165" t="s">
        <v>12</v>
      </c>
      <c r="I755" s="617"/>
      <c r="J755" s="617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4"/>
      <c r="R755" s="604"/>
      <c r="S755" s="604"/>
      <c r="T755" s="604"/>
      <c r="U755" s="604"/>
      <c r="V755" s="604"/>
      <c r="W755" s="604"/>
      <c r="X755" s="604"/>
      <c r="Y755" s="604"/>
      <c r="Z755" s="604"/>
    </row>
    <row r="756" spans="1:26" ht="18.75" hidden="1">
      <c r="A756" s="599"/>
      <c r="B756" s="607"/>
      <c r="C756" s="759"/>
      <c r="D756" s="720"/>
      <c r="E756" s="759" t="s">
        <v>186</v>
      </c>
      <c r="F756" s="759"/>
      <c r="G756" s="603"/>
      <c r="H756" s="165" t="s">
        <v>12</v>
      </c>
      <c r="I756" s="617"/>
      <c r="J756" s="617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4"/>
      <c r="R756" s="604"/>
      <c r="S756" s="604"/>
      <c r="T756" s="604"/>
      <c r="U756" s="604"/>
      <c r="V756" s="604"/>
      <c r="W756" s="604"/>
      <c r="X756" s="604"/>
      <c r="Y756" s="604"/>
      <c r="Z756" s="604"/>
    </row>
    <row r="757" spans="1:26" ht="19.5" hidden="1">
      <c r="A757" s="599"/>
      <c r="B757" s="607"/>
      <c r="C757" s="759"/>
      <c r="D757" s="645" t="s">
        <v>20</v>
      </c>
      <c r="E757" s="759"/>
      <c r="F757" s="759"/>
      <c r="G757" s="603"/>
      <c r="H757" s="646" t="s">
        <v>12</v>
      </c>
      <c r="I757" s="166"/>
      <c r="J757" s="166"/>
      <c r="K757" s="167"/>
      <c r="L757" s="647">
        <f t="shared" ref="L757:N757" si="306">L758+L759</f>
        <v>0</v>
      </c>
      <c r="M757" s="647">
        <f t="shared" si="306"/>
        <v>0</v>
      </c>
      <c r="N757" s="647">
        <f t="shared" si="306"/>
        <v>0</v>
      </c>
      <c r="O757" s="647">
        <f t="shared" si="303"/>
        <v>0</v>
      </c>
      <c r="P757" s="647">
        <f t="shared" si="304"/>
        <v>0</v>
      </c>
      <c r="Q757" s="604"/>
      <c r="R757" s="604"/>
      <c r="S757" s="604"/>
      <c r="T757" s="604"/>
      <c r="U757" s="604"/>
      <c r="V757" s="604"/>
      <c r="W757" s="604"/>
      <c r="X757" s="604"/>
      <c r="Y757" s="604"/>
      <c r="Z757" s="604"/>
    </row>
    <row r="758" spans="1:26" ht="18.75" hidden="1">
      <c r="A758" s="599"/>
      <c r="B758" s="607"/>
      <c r="C758" s="759"/>
      <c r="D758" s="720"/>
      <c r="E758" s="759" t="s">
        <v>185</v>
      </c>
      <c r="F758" s="759"/>
      <c r="G758" s="603"/>
      <c r="H758" s="165" t="s">
        <v>12</v>
      </c>
      <c r="I758" s="617"/>
      <c r="J758" s="617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4"/>
      <c r="R758" s="604"/>
      <c r="S758" s="604"/>
      <c r="T758" s="604"/>
      <c r="U758" s="604"/>
      <c r="V758" s="604"/>
      <c r="W758" s="604"/>
      <c r="X758" s="604"/>
      <c r="Y758" s="604"/>
      <c r="Z758" s="604"/>
    </row>
    <row r="759" spans="1:26" ht="18.75" hidden="1">
      <c r="A759" s="599"/>
      <c r="B759" s="607"/>
      <c r="C759" s="759"/>
      <c r="D759" s="720"/>
      <c r="E759" s="759" t="s">
        <v>186</v>
      </c>
      <c r="F759" s="759"/>
      <c r="G759" s="603"/>
      <c r="H759" s="165" t="s">
        <v>12</v>
      </c>
      <c r="I759" s="617"/>
      <c r="J759" s="617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4"/>
      <c r="R759" s="604"/>
      <c r="S759" s="604"/>
      <c r="T759" s="604"/>
      <c r="U759" s="604"/>
      <c r="V759" s="604"/>
      <c r="W759" s="604"/>
      <c r="X759" s="604"/>
      <c r="Y759" s="604"/>
      <c r="Z759" s="604"/>
    </row>
    <row r="760" spans="1:26" ht="18.75" hidden="1">
      <c r="A760" s="649"/>
      <c r="B760" s="607"/>
      <c r="C760" s="759"/>
      <c r="D760" s="759"/>
      <c r="E760" s="759"/>
      <c r="F760" s="759" t="s">
        <v>187</v>
      </c>
      <c r="G760" s="603"/>
      <c r="H760" s="165" t="s">
        <v>12</v>
      </c>
      <c r="I760" s="617"/>
      <c r="J760" s="617"/>
      <c r="K760" s="93"/>
      <c r="L760" s="93"/>
      <c r="M760" s="93"/>
      <c r="N760" s="93"/>
      <c r="O760" s="93"/>
      <c r="P760" s="93"/>
      <c r="Q760" s="604"/>
      <c r="R760" s="604"/>
      <c r="S760" s="604"/>
      <c r="T760" s="604"/>
      <c r="U760" s="604"/>
      <c r="V760" s="604"/>
      <c r="W760" s="604"/>
      <c r="X760" s="604"/>
      <c r="Y760" s="604"/>
      <c r="Z760" s="604"/>
    </row>
    <row r="761" spans="1:26" ht="18.75" hidden="1">
      <c r="A761" s="649"/>
      <c r="B761" s="607"/>
      <c r="C761" s="759"/>
      <c r="D761" s="759"/>
      <c r="E761" s="759"/>
      <c r="F761" s="759" t="s">
        <v>188</v>
      </c>
      <c r="G761" s="603"/>
      <c r="H761" s="165" t="s">
        <v>12</v>
      </c>
      <c r="I761" s="617"/>
      <c r="J761" s="617"/>
      <c r="K761" s="93"/>
      <c r="L761" s="93"/>
      <c r="M761" s="93"/>
      <c r="N761" s="93"/>
      <c r="O761" s="93"/>
      <c r="P761" s="93"/>
      <c r="Q761" s="604"/>
      <c r="R761" s="604"/>
      <c r="S761" s="604"/>
      <c r="T761" s="604"/>
      <c r="U761" s="604"/>
      <c r="V761" s="604"/>
      <c r="W761" s="604"/>
      <c r="X761" s="604"/>
      <c r="Y761" s="604"/>
      <c r="Z761" s="604"/>
    </row>
    <row r="762" spans="1:26" ht="18.75" hidden="1">
      <c r="A762" s="649"/>
      <c r="B762" s="607"/>
      <c r="C762" s="759"/>
      <c r="D762" s="759"/>
      <c r="E762" s="759"/>
      <c r="F762" s="759" t="s">
        <v>189</v>
      </c>
      <c r="G762" s="603"/>
      <c r="H762" s="165" t="s">
        <v>12</v>
      </c>
      <c r="I762" s="617"/>
      <c r="J762" s="617"/>
      <c r="K762" s="93"/>
      <c r="L762" s="93"/>
      <c r="M762" s="93"/>
      <c r="N762" s="93"/>
      <c r="O762" s="93"/>
      <c r="P762" s="93"/>
      <c r="Q762" s="604"/>
      <c r="R762" s="604"/>
      <c r="S762" s="604"/>
      <c r="T762" s="604"/>
      <c r="U762" s="604"/>
      <c r="V762" s="604"/>
      <c r="W762" s="604"/>
      <c r="X762" s="604"/>
      <c r="Y762" s="604"/>
      <c r="Z762" s="604"/>
    </row>
    <row r="763" spans="1:26" ht="18.75" hidden="1">
      <c r="A763" s="649"/>
      <c r="B763" s="607"/>
      <c r="C763" s="759"/>
      <c r="D763" s="759"/>
      <c r="E763" s="759"/>
      <c r="F763" s="759" t="s">
        <v>190</v>
      </c>
      <c r="G763" s="603"/>
      <c r="H763" s="165" t="s">
        <v>12</v>
      </c>
      <c r="I763" s="617"/>
      <c r="J763" s="617"/>
      <c r="K763" s="93"/>
      <c r="L763" s="93"/>
      <c r="M763" s="93"/>
      <c r="N763" s="93"/>
      <c r="O763" s="93"/>
      <c r="P763" s="93"/>
      <c r="Q763" s="604"/>
      <c r="R763" s="604"/>
      <c r="S763" s="604"/>
      <c r="T763" s="604"/>
      <c r="U763" s="604"/>
      <c r="V763" s="604"/>
      <c r="W763" s="604"/>
      <c r="X763" s="604"/>
      <c r="Y763" s="604"/>
      <c r="Z763" s="604"/>
    </row>
    <row r="764" spans="1:26" ht="19.5" hidden="1">
      <c r="A764" s="599"/>
      <c r="B764" s="607"/>
      <c r="C764" s="759"/>
      <c r="D764" s="645" t="s">
        <v>21</v>
      </c>
      <c r="E764" s="759"/>
      <c r="F764" s="759"/>
      <c r="G764" s="603"/>
      <c r="H764" s="783" t="s">
        <v>12</v>
      </c>
      <c r="I764" s="166"/>
      <c r="J764" s="166"/>
      <c r="K764" s="167"/>
      <c r="L764" s="647">
        <f t="shared" ref="L764:N764" si="307">L765+L766</f>
        <v>0</v>
      </c>
      <c r="M764" s="647">
        <f t="shared" si="307"/>
        <v>0</v>
      </c>
      <c r="N764" s="647">
        <f t="shared" si="307"/>
        <v>0</v>
      </c>
      <c r="O764" s="647">
        <f t="shared" ref="O764:O766" si="308">IF(L764&gt;0,N764*100/L764,0)</f>
        <v>0</v>
      </c>
      <c r="P764" s="647">
        <f t="shared" ref="P764:P766" si="309">IF(M764&gt;0,N764*100/M764,0)</f>
        <v>0</v>
      </c>
      <c r="Q764" s="604"/>
      <c r="R764" s="604"/>
      <c r="S764" s="604"/>
      <c r="T764" s="604"/>
      <c r="U764" s="604"/>
      <c r="V764" s="604"/>
      <c r="W764" s="604"/>
      <c r="X764" s="604"/>
      <c r="Y764" s="604"/>
      <c r="Z764" s="604"/>
    </row>
    <row r="765" spans="1:26" ht="18.75" hidden="1">
      <c r="A765" s="599"/>
      <c r="B765" s="607"/>
      <c r="C765" s="759"/>
      <c r="D765" s="759"/>
      <c r="E765" s="759" t="s">
        <v>18</v>
      </c>
      <c r="F765" s="759"/>
      <c r="G765" s="603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4"/>
      <c r="R765" s="604"/>
      <c r="S765" s="604"/>
      <c r="T765" s="604"/>
      <c r="U765" s="604"/>
      <c r="V765" s="604"/>
      <c r="W765" s="604"/>
      <c r="X765" s="604"/>
      <c r="Y765" s="604"/>
      <c r="Z765" s="604"/>
    </row>
    <row r="766" spans="1:26" ht="18.75" hidden="1">
      <c r="A766" s="599"/>
      <c r="B766" s="607"/>
      <c r="C766" s="759"/>
      <c r="D766" s="759"/>
      <c r="E766" s="759" t="s">
        <v>19</v>
      </c>
      <c r="F766" s="759"/>
      <c r="G766" s="603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4"/>
      <c r="R766" s="604"/>
      <c r="S766" s="604"/>
      <c r="T766" s="604"/>
      <c r="U766" s="604"/>
      <c r="V766" s="604"/>
      <c r="W766" s="604"/>
      <c r="X766" s="604"/>
      <c r="Y766" s="604"/>
      <c r="Z766" s="604"/>
    </row>
    <row r="767" spans="1:26" ht="19.5" hidden="1">
      <c r="A767" s="614"/>
      <c r="B767" s="616"/>
      <c r="C767" s="759" t="s">
        <v>16</v>
      </c>
      <c r="D767" s="899" t="s">
        <v>38</v>
      </c>
      <c r="E767" s="651"/>
      <c r="F767" s="651"/>
      <c r="G767" s="652"/>
      <c r="H767" s="366"/>
      <c r="I767" s="166"/>
      <c r="J767" s="166"/>
      <c r="K767" s="167"/>
      <c r="L767" s="167"/>
      <c r="M767" s="167"/>
      <c r="N767" s="167"/>
      <c r="O767" s="167"/>
      <c r="P767" s="167"/>
      <c r="Q767" s="604"/>
      <c r="R767" s="604"/>
      <c r="S767" s="604"/>
      <c r="T767" s="604"/>
      <c r="U767" s="604"/>
      <c r="V767" s="604"/>
      <c r="W767" s="604"/>
      <c r="X767" s="604"/>
      <c r="Y767" s="604"/>
      <c r="Z767" s="604"/>
    </row>
    <row r="768" spans="1:26" ht="18.75" hidden="1">
      <c r="A768" s="649"/>
      <c r="B768" s="607"/>
      <c r="C768" s="759"/>
      <c r="D768" s="759"/>
      <c r="E768" s="759" t="s">
        <v>317</v>
      </c>
      <c r="F768" s="759"/>
      <c r="G768" s="603"/>
      <c r="H768" s="165" t="s">
        <v>46</v>
      </c>
      <c r="I768" s="617"/>
      <c r="J768" s="617"/>
      <c r="K768" s="93"/>
      <c r="L768" s="93"/>
      <c r="M768" s="93"/>
      <c r="N768" s="93"/>
      <c r="O768" s="93"/>
      <c r="P768" s="93"/>
      <c r="Q768" s="604"/>
      <c r="R768" s="604"/>
      <c r="S768" s="604"/>
      <c r="T768" s="604"/>
      <c r="U768" s="604"/>
      <c r="V768" s="604"/>
      <c r="W768" s="604"/>
      <c r="X768" s="604"/>
      <c r="Y768" s="604"/>
      <c r="Z768" s="604"/>
    </row>
    <row r="769" spans="1:26" ht="19.5" hidden="1">
      <c r="A769" s="793">
        <v>11</v>
      </c>
      <c r="B769" s="794" t="s">
        <v>318</v>
      </c>
      <c r="C769" s="795"/>
      <c r="D769" s="795"/>
      <c r="E769" s="795"/>
      <c r="F769" s="795"/>
      <c r="G769" s="796"/>
      <c r="H769" s="797" t="s">
        <v>46</v>
      </c>
      <c r="I769" s="798"/>
      <c r="J769" s="798">
        <f>J784</f>
        <v>0</v>
      </c>
      <c r="K769" s="799">
        <f>IF(I769&gt;0,J769*100/I769,0)</f>
        <v>0</v>
      </c>
      <c r="L769" s="800"/>
      <c r="M769" s="800"/>
      <c r="N769" s="800"/>
      <c r="O769" s="800"/>
      <c r="P769" s="800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</row>
    <row r="770" spans="1:26" ht="19.5" hidden="1">
      <c r="A770" s="599"/>
      <c r="B770" s="759"/>
      <c r="C770" s="759" t="s">
        <v>16</v>
      </c>
      <c r="D770" s="864" t="s">
        <v>17</v>
      </c>
      <c r="E770" s="857"/>
      <c r="F770" s="857"/>
      <c r="G770" s="603"/>
      <c r="H770" s="646" t="s">
        <v>12</v>
      </c>
      <c r="I770" s="617"/>
      <c r="J770" s="617"/>
      <c r="K770" s="93"/>
      <c r="L770" s="647">
        <f t="shared" ref="L770:N770" si="310">L771+L772</f>
        <v>0</v>
      </c>
      <c r="M770" s="647">
        <f t="shared" si="310"/>
        <v>0</v>
      </c>
      <c r="N770" s="647">
        <f t="shared" si="310"/>
        <v>0</v>
      </c>
      <c r="O770" s="647">
        <f t="shared" ref="O770:O775" si="311">IF(L770&gt;0,N770*100/L770,0)</f>
        <v>0</v>
      </c>
      <c r="P770" s="647">
        <f t="shared" ref="P770:P775" si="312">IF(M770&gt;0,N770*100/M770,0)</f>
        <v>0</v>
      </c>
      <c r="Q770" s="604"/>
      <c r="R770" s="604"/>
      <c r="S770" s="604"/>
      <c r="T770" s="604"/>
      <c r="U770" s="604"/>
      <c r="V770" s="604"/>
      <c r="W770" s="604"/>
      <c r="X770" s="604"/>
      <c r="Y770" s="604"/>
      <c r="Z770" s="604"/>
    </row>
    <row r="771" spans="1:26" ht="18.75" hidden="1">
      <c r="A771" s="599"/>
      <c r="B771" s="759"/>
      <c r="C771" s="759"/>
      <c r="D771" s="720"/>
      <c r="E771" s="759" t="s">
        <v>185</v>
      </c>
      <c r="F771" s="759"/>
      <c r="G771" s="603"/>
      <c r="H771" s="165" t="s">
        <v>12</v>
      </c>
      <c r="I771" s="617"/>
      <c r="J771" s="617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4"/>
      <c r="R771" s="604"/>
      <c r="S771" s="604"/>
      <c r="T771" s="604"/>
      <c r="U771" s="604"/>
      <c r="V771" s="604"/>
      <c r="W771" s="604"/>
      <c r="X771" s="604"/>
      <c r="Y771" s="604"/>
      <c r="Z771" s="604"/>
    </row>
    <row r="772" spans="1:26" ht="18.75" hidden="1">
      <c r="A772" s="599"/>
      <c r="B772" s="607"/>
      <c r="C772" s="759"/>
      <c r="D772" s="720"/>
      <c r="E772" s="759" t="s">
        <v>186</v>
      </c>
      <c r="F772" s="759"/>
      <c r="G772" s="603"/>
      <c r="H772" s="165" t="s">
        <v>12</v>
      </c>
      <c r="I772" s="617"/>
      <c r="J772" s="617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4"/>
      <c r="R772" s="604"/>
      <c r="S772" s="604"/>
      <c r="T772" s="604"/>
      <c r="U772" s="604"/>
      <c r="V772" s="604"/>
      <c r="W772" s="604"/>
      <c r="X772" s="604"/>
      <c r="Y772" s="604"/>
      <c r="Z772" s="604"/>
    </row>
    <row r="773" spans="1:26" ht="19.5" hidden="1">
      <c r="A773" s="599"/>
      <c r="B773" s="607"/>
      <c r="C773" s="759"/>
      <c r="D773" s="645" t="s">
        <v>20</v>
      </c>
      <c r="E773" s="759"/>
      <c r="F773" s="759"/>
      <c r="G773" s="603"/>
      <c r="H773" s="646" t="s">
        <v>12</v>
      </c>
      <c r="I773" s="166"/>
      <c r="J773" s="166"/>
      <c r="K773" s="167"/>
      <c r="L773" s="647">
        <f t="shared" ref="L773:N773" si="314">L774+L775</f>
        <v>0</v>
      </c>
      <c r="M773" s="647">
        <f t="shared" si="314"/>
        <v>0</v>
      </c>
      <c r="N773" s="647">
        <f t="shared" si="314"/>
        <v>0</v>
      </c>
      <c r="O773" s="647">
        <f t="shared" si="311"/>
        <v>0</v>
      </c>
      <c r="P773" s="647">
        <f t="shared" si="312"/>
        <v>0</v>
      </c>
      <c r="Q773" s="604"/>
      <c r="R773" s="604"/>
      <c r="S773" s="604"/>
      <c r="T773" s="604"/>
      <c r="U773" s="604"/>
      <c r="V773" s="604"/>
      <c r="W773" s="604"/>
      <c r="X773" s="604"/>
      <c r="Y773" s="604"/>
      <c r="Z773" s="604"/>
    </row>
    <row r="774" spans="1:26" ht="18.75" hidden="1">
      <c r="A774" s="599"/>
      <c r="B774" s="607"/>
      <c r="C774" s="759"/>
      <c r="D774" s="720"/>
      <c r="E774" s="759" t="s">
        <v>185</v>
      </c>
      <c r="F774" s="759"/>
      <c r="G774" s="603"/>
      <c r="H774" s="165" t="s">
        <v>12</v>
      </c>
      <c r="I774" s="617"/>
      <c r="J774" s="617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4"/>
      <c r="R774" s="604"/>
      <c r="S774" s="604"/>
      <c r="T774" s="604"/>
      <c r="U774" s="604"/>
      <c r="V774" s="604"/>
      <c r="W774" s="604"/>
      <c r="X774" s="604"/>
      <c r="Y774" s="604"/>
      <c r="Z774" s="604"/>
    </row>
    <row r="775" spans="1:26" ht="18.75" hidden="1">
      <c r="A775" s="599"/>
      <c r="B775" s="607"/>
      <c r="C775" s="759"/>
      <c r="D775" s="720"/>
      <c r="E775" s="759" t="s">
        <v>186</v>
      </c>
      <c r="F775" s="759"/>
      <c r="G775" s="603"/>
      <c r="H775" s="165" t="s">
        <v>12</v>
      </c>
      <c r="I775" s="617"/>
      <c r="J775" s="617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4"/>
      <c r="R775" s="604"/>
      <c r="S775" s="604"/>
      <c r="T775" s="604"/>
      <c r="U775" s="604"/>
      <c r="V775" s="604"/>
      <c r="W775" s="604"/>
      <c r="X775" s="604"/>
      <c r="Y775" s="604"/>
      <c r="Z775" s="604"/>
    </row>
    <row r="776" spans="1:26" ht="18.75" hidden="1">
      <c r="A776" s="649"/>
      <c r="B776" s="607"/>
      <c r="C776" s="759"/>
      <c r="D776" s="759"/>
      <c r="E776" s="759"/>
      <c r="F776" s="759" t="s">
        <v>187</v>
      </c>
      <c r="G776" s="603"/>
      <c r="H776" s="165" t="s">
        <v>12</v>
      </c>
      <c r="I776" s="617"/>
      <c r="J776" s="617"/>
      <c r="K776" s="93"/>
      <c r="L776" s="93"/>
      <c r="M776" s="93"/>
      <c r="N776" s="93"/>
      <c r="O776" s="93"/>
      <c r="P776" s="93"/>
      <c r="Q776" s="604"/>
      <c r="R776" s="604"/>
      <c r="S776" s="604"/>
      <c r="T776" s="604"/>
      <c r="U776" s="604"/>
      <c r="V776" s="604"/>
      <c r="W776" s="604"/>
      <c r="X776" s="604"/>
      <c r="Y776" s="604"/>
      <c r="Z776" s="604"/>
    </row>
    <row r="777" spans="1:26" ht="18.75" hidden="1">
      <c r="A777" s="649"/>
      <c r="B777" s="607"/>
      <c r="C777" s="759"/>
      <c r="D777" s="759"/>
      <c r="E777" s="759"/>
      <c r="F777" s="759" t="s">
        <v>188</v>
      </c>
      <c r="G777" s="603"/>
      <c r="H777" s="165" t="s">
        <v>12</v>
      </c>
      <c r="I777" s="617"/>
      <c r="J777" s="617"/>
      <c r="K777" s="93"/>
      <c r="L777" s="93"/>
      <c r="M777" s="93"/>
      <c r="N777" s="93"/>
      <c r="O777" s="93"/>
      <c r="P777" s="93"/>
      <c r="Q777" s="604"/>
      <c r="R777" s="604"/>
      <c r="S777" s="604"/>
      <c r="T777" s="604"/>
      <c r="U777" s="604"/>
      <c r="V777" s="604"/>
      <c r="W777" s="604"/>
      <c r="X777" s="604"/>
      <c r="Y777" s="604"/>
      <c r="Z777" s="604"/>
    </row>
    <row r="778" spans="1:26" ht="18.75" hidden="1">
      <c r="A778" s="649"/>
      <c r="B778" s="607"/>
      <c r="C778" s="759"/>
      <c r="D778" s="759"/>
      <c r="E778" s="759"/>
      <c r="F778" s="759" t="s">
        <v>189</v>
      </c>
      <c r="G778" s="603"/>
      <c r="H778" s="165" t="s">
        <v>12</v>
      </c>
      <c r="I778" s="617"/>
      <c r="J778" s="617"/>
      <c r="K778" s="93"/>
      <c r="L778" s="93"/>
      <c r="M778" s="93"/>
      <c r="N778" s="93"/>
      <c r="O778" s="93"/>
      <c r="P778" s="93"/>
      <c r="Q778" s="604"/>
      <c r="R778" s="604"/>
      <c r="S778" s="604"/>
      <c r="T778" s="604"/>
      <c r="U778" s="604"/>
      <c r="V778" s="604"/>
      <c r="W778" s="604"/>
      <c r="X778" s="604"/>
      <c r="Y778" s="604"/>
      <c r="Z778" s="604"/>
    </row>
    <row r="779" spans="1:26" ht="18.75" hidden="1">
      <c r="A779" s="649"/>
      <c r="B779" s="607"/>
      <c r="C779" s="759"/>
      <c r="D779" s="759"/>
      <c r="E779" s="759"/>
      <c r="F779" s="759" t="s">
        <v>190</v>
      </c>
      <c r="G779" s="603"/>
      <c r="H779" s="165" t="s">
        <v>12</v>
      </c>
      <c r="I779" s="617"/>
      <c r="J779" s="617"/>
      <c r="K779" s="93"/>
      <c r="L779" s="93"/>
      <c r="M779" s="93"/>
      <c r="N779" s="93"/>
      <c r="O779" s="93"/>
      <c r="P779" s="93"/>
      <c r="Q779" s="604"/>
      <c r="R779" s="604"/>
      <c r="S779" s="604"/>
      <c r="T779" s="604"/>
      <c r="U779" s="604"/>
      <c r="V779" s="604"/>
      <c r="W779" s="604"/>
      <c r="X779" s="604"/>
      <c r="Y779" s="604"/>
      <c r="Z779" s="604"/>
    </row>
    <row r="780" spans="1:26" ht="19.5" hidden="1">
      <c r="A780" s="599"/>
      <c r="B780" s="607"/>
      <c r="C780" s="759"/>
      <c r="D780" s="645" t="s">
        <v>21</v>
      </c>
      <c r="E780" s="759"/>
      <c r="F780" s="759"/>
      <c r="G780" s="603"/>
      <c r="H780" s="783" t="s">
        <v>12</v>
      </c>
      <c r="I780" s="166"/>
      <c r="J780" s="166"/>
      <c r="K780" s="167"/>
      <c r="L780" s="647">
        <f t="shared" ref="L780:N780" si="315">L781+L782</f>
        <v>0</v>
      </c>
      <c r="M780" s="647">
        <f t="shared" si="315"/>
        <v>0</v>
      </c>
      <c r="N780" s="647">
        <f t="shared" si="315"/>
        <v>0</v>
      </c>
      <c r="O780" s="647">
        <f t="shared" ref="O780:O782" si="316">IF(L780&gt;0,N780*100/L780,0)</f>
        <v>0</v>
      </c>
      <c r="P780" s="647">
        <f t="shared" ref="P780:P782" si="317">IF(M780&gt;0,N780*100/M780,0)</f>
        <v>0</v>
      </c>
      <c r="Q780" s="604"/>
      <c r="R780" s="604"/>
      <c r="S780" s="604"/>
      <c r="T780" s="604"/>
      <c r="U780" s="604"/>
      <c r="V780" s="604"/>
      <c r="W780" s="604"/>
      <c r="X780" s="604"/>
      <c r="Y780" s="604"/>
      <c r="Z780" s="604"/>
    </row>
    <row r="781" spans="1:26" ht="18.75" hidden="1">
      <c r="A781" s="599"/>
      <c r="B781" s="607"/>
      <c r="C781" s="759"/>
      <c r="D781" s="759"/>
      <c r="E781" s="759" t="s">
        <v>18</v>
      </c>
      <c r="F781" s="759"/>
      <c r="G781" s="603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4"/>
      <c r="R781" s="604"/>
      <c r="S781" s="604"/>
      <c r="T781" s="604"/>
      <c r="U781" s="604"/>
      <c r="V781" s="604"/>
      <c r="W781" s="604"/>
      <c r="X781" s="604"/>
      <c r="Y781" s="604"/>
      <c r="Z781" s="604"/>
    </row>
    <row r="782" spans="1:26" ht="18.75" hidden="1">
      <c r="A782" s="599"/>
      <c r="B782" s="607"/>
      <c r="C782" s="759"/>
      <c r="D782" s="759"/>
      <c r="E782" s="759" t="s">
        <v>19</v>
      </c>
      <c r="F782" s="759"/>
      <c r="G782" s="603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4"/>
      <c r="R782" s="604"/>
      <c r="S782" s="604"/>
      <c r="T782" s="604"/>
      <c r="U782" s="604"/>
      <c r="V782" s="604"/>
      <c r="W782" s="604"/>
      <c r="X782" s="604"/>
      <c r="Y782" s="604"/>
      <c r="Z782" s="604"/>
    </row>
    <row r="783" spans="1:26" ht="19.5" hidden="1">
      <c r="A783" s="614"/>
      <c r="B783" s="616"/>
      <c r="C783" s="759" t="s">
        <v>16</v>
      </c>
      <c r="D783" s="899" t="s">
        <v>38</v>
      </c>
      <c r="E783" s="651"/>
      <c r="F783" s="651"/>
      <c r="G783" s="652"/>
      <c r="H783" s="801"/>
      <c r="I783" s="166"/>
      <c r="J783" s="166"/>
      <c r="K783" s="167"/>
      <c r="L783" s="167"/>
      <c r="M783" s="167"/>
      <c r="N783" s="167"/>
      <c r="O783" s="167"/>
      <c r="P783" s="167"/>
      <c r="Q783" s="604"/>
      <c r="R783" s="604"/>
      <c r="S783" s="604"/>
      <c r="T783" s="604"/>
      <c r="U783" s="604"/>
      <c r="V783" s="604"/>
      <c r="W783" s="604"/>
      <c r="X783" s="604"/>
      <c r="Y783" s="604"/>
      <c r="Z783" s="604"/>
    </row>
    <row r="784" spans="1:26" ht="18.75" hidden="1">
      <c r="A784" s="649"/>
      <c r="B784" s="607"/>
      <c r="C784" s="759"/>
      <c r="D784" s="759"/>
      <c r="E784" s="759" t="s">
        <v>319</v>
      </c>
      <c r="F784" s="759"/>
      <c r="G784" s="603"/>
      <c r="H784" s="165" t="s">
        <v>46</v>
      </c>
      <c r="I784" s="617"/>
      <c r="J784" s="617"/>
      <c r="K784" s="93"/>
      <c r="L784" s="93"/>
      <c r="M784" s="93"/>
      <c r="N784" s="93"/>
      <c r="O784" s="93"/>
      <c r="P784" s="93"/>
      <c r="Q784" s="604"/>
      <c r="R784" s="604"/>
      <c r="S784" s="604"/>
      <c r="T784" s="604"/>
      <c r="U784" s="604"/>
      <c r="V784" s="604"/>
      <c r="W784" s="604"/>
      <c r="X784" s="604"/>
      <c r="Y784" s="604"/>
      <c r="Z784" s="604"/>
    </row>
    <row r="785" spans="1:26" ht="19.5">
      <c r="A785" s="802">
        <v>12</v>
      </c>
      <c r="B785" s="803" t="s">
        <v>320</v>
      </c>
      <c r="C785" s="804"/>
      <c r="D785" s="804"/>
      <c r="E785" s="804"/>
      <c r="F785" s="804"/>
      <c r="G785" s="805"/>
      <c r="H785" s="806" t="s">
        <v>46</v>
      </c>
      <c r="I785" s="807">
        <f t="shared" ref="I785:J785" ca="1" si="318">I801+I803</f>
        <v>3000</v>
      </c>
      <c r="J785" s="807">
        <f t="shared" ca="1" si="318"/>
        <v>3013</v>
      </c>
      <c r="K785" s="808">
        <f ca="1">IF(I785&gt;0,J785*100/I785,0)</f>
        <v>100.43333333333334</v>
      </c>
      <c r="L785" s="809"/>
      <c r="M785" s="809"/>
      <c r="N785" s="809"/>
      <c r="O785" s="809"/>
      <c r="P785" s="809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</row>
    <row r="786" spans="1:26" ht="19.5">
      <c r="A786" s="597"/>
      <c r="B786" s="575"/>
      <c r="C786" s="763" t="s">
        <v>16</v>
      </c>
      <c r="D786" s="863" t="s">
        <v>17</v>
      </c>
      <c r="E786" s="857"/>
      <c r="F786" s="857"/>
      <c r="G786" s="189"/>
      <c r="H786" s="810" t="s">
        <v>12</v>
      </c>
      <c r="I786" s="811"/>
      <c r="J786" s="811"/>
      <c r="K786" s="812"/>
      <c r="L786" s="195">
        <f t="shared" ref="L786:N786" ca="1" si="319">L787+L788</f>
        <v>213920</v>
      </c>
      <c r="M786" s="195">
        <f t="shared" ca="1" si="319"/>
        <v>228480</v>
      </c>
      <c r="N786" s="195">
        <f t="shared" si="319"/>
        <v>228480</v>
      </c>
      <c r="O786" s="195">
        <f t="shared" ref="O786:O791" ca="1" si="320">IF(L786&gt;0,N786*100/L786,0)</f>
        <v>106.80628272251309</v>
      </c>
      <c r="P786" s="195">
        <f t="shared" ref="P786:P791" ca="1" si="321">IF(M786&gt;0,N786*100/M786,0)</f>
        <v>100</v>
      </c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</row>
    <row r="787" spans="1:26" ht="18.75" hidden="1">
      <c r="A787" s="599"/>
      <c r="B787" s="607"/>
      <c r="C787" s="759"/>
      <c r="D787" s="720"/>
      <c r="E787" s="759" t="s">
        <v>185</v>
      </c>
      <c r="F787" s="759"/>
      <c r="G787" s="603"/>
      <c r="H787" s="813" t="s">
        <v>12</v>
      </c>
      <c r="I787" s="811"/>
      <c r="J787" s="811"/>
      <c r="K787" s="812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4"/>
      <c r="R787" s="604"/>
      <c r="S787" s="604"/>
      <c r="T787" s="604"/>
      <c r="U787" s="604"/>
      <c r="V787" s="604"/>
      <c r="W787" s="604"/>
      <c r="X787" s="604"/>
      <c r="Y787" s="604"/>
      <c r="Z787" s="604"/>
    </row>
    <row r="788" spans="1:26" ht="18.75" hidden="1">
      <c r="A788" s="599"/>
      <c r="B788" s="607"/>
      <c r="C788" s="607"/>
      <c r="D788" s="616"/>
      <c r="E788" s="759" t="s">
        <v>186</v>
      </c>
      <c r="F788" s="759"/>
      <c r="G788" s="603"/>
      <c r="H788" s="813" t="s">
        <v>12</v>
      </c>
      <c r="I788" s="811"/>
      <c r="J788" s="811"/>
      <c r="K788" s="812"/>
      <c r="L788" s="93">
        <f t="shared" ca="1" si="322"/>
        <v>213920</v>
      </c>
      <c r="M788" s="93">
        <f t="shared" ca="1" si="322"/>
        <v>228480</v>
      </c>
      <c r="N788" s="93">
        <f t="shared" si="322"/>
        <v>228480</v>
      </c>
      <c r="O788" s="93">
        <f t="shared" ca="1" si="320"/>
        <v>106.80628272251309</v>
      </c>
      <c r="P788" s="93">
        <f t="shared" ca="1" si="321"/>
        <v>100</v>
      </c>
      <c r="Q788" s="604"/>
      <c r="R788" s="604"/>
      <c r="S788" s="604"/>
      <c r="T788" s="604"/>
      <c r="U788" s="604"/>
      <c r="V788" s="604"/>
      <c r="W788" s="604"/>
      <c r="X788" s="604"/>
      <c r="Y788" s="604"/>
      <c r="Z788" s="604"/>
    </row>
    <row r="789" spans="1:26" ht="18.75">
      <c r="A789" s="597"/>
      <c r="B789" s="575"/>
      <c r="C789" s="575"/>
      <c r="D789" s="606" t="s">
        <v>20</v>
      </c>
      <c r="E789" s="763"/>
      <c r="F789" s="763"/>
      <c r="G789" s="189"/>
      <c r="H789" s="814" t="s">
        <v>12</v>
      </c>
      <c r="I789" s="815"/>
      <c r="J789" s="815"/>
      <c r="K789" s="816"/>
      <c r="L789" s="498">
        <f t="shared" ref="L789:N789" ca="1" si="323">L790+L791</f>
        <v>213920</v>
      </c>
      <c r="M789" s="498">
        <f t="shared" ca="1" si="323"/>
        <v>228480</v>
      </c>
      <c r="N789" s="498">
        <f t="shared" si="323"/>
        <v>228480</v>
      </c>
      <c r="O789" s="498">
        <f t="shared" ca="1" si="320"/>
        <v>106.80628272251309</v>
      </c>
      <c r="P789" s="498">
        <f t="shared" ca="1" si="321"/>
        <v>100</v>
      </c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</row>
    <row r="790" spans="1:26" ht="18.75" hidden="1">
      <c r="A790" s="599"/>
      <c r="B790" s="607"/>
      <c r="C790" s="607"/>
      <c r="D790" s="616"/>
      <c r="E790" s="759" t="s">
        <v>185</v>
      </c>
      <c r="F790" s="759"/>
      <c r="G790" s="603"/>
      <c r="H790" s="813" t="s">
        <v>12</v>
      </c>
      <c r="I790" s="811"/>
      <c r="J790" s="811"/>
      <c r="K790" s="812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4"/>
      <c r="R790" s="604"/>
      <c r="S790" s="604"/>
      <c r="T790" s="604"/>
      <c r="U790" s="604"/>
      <c r="V790" s="604"/>
      <c r="W790" s="604"/>
      <c r="X790" s="604"/>
      <c r="Y790" s="604"/>
      <c r="Z790" s="604"/>
    </row>
    <row r="791" spans="1:26" ht="18.75" hidden="1">
      <c r="A791" s="599"/>
      <c r="B791" s="607"/>
      <c r="C791" s="607"/>
      <c r="D791" s="616"/>
      <c r="E791" s="759" t="s">
        <v>186</v>
      </c>
      <c r="F791" s="759"/>
      <c r="G791" s="603"/>
      <c r="H791" s="813" t="s">
        <v>12</v>
      </c>
      <c r="I791" s="811"/>
      <c r="J791" s="811"/>
      <c r="K791" s="812"/>
      <c r="L791" s="93">
        <f ca="1">IFERROR(__xludf.DUMMYFUNCTION("IMPORTRANGE(""https://docs.google.com/spreadsheets/d/1QqKyyYR6Q21VydFLVH3TRQUabQu_ym0Zz7PgGX0-kHA/edit?usp=sharing"",""แผน!JJ37"")"),213920)</f>
        <v>213920</v>
      </c>
      <c r="M791" s="93">
        <f ca="1">L791+48000-33440</f>
        <v>228480</v>
      </c>
      <c r="N791" s="93">
        <f>N792+N793+N794+N795</f>
        <v>228480</v>
      </c>
      <c r="O791" s="93">
        <f t="shared" ca="1" si="320"/>
        <v>106.80628272251309</v>
      </c>
      <c r="P791" s="93">
        <f t="shared" ca="1" si="321"/>
        <v>100</v>
      </c>
      <c r="Q791" s="604"/>
      <c r="R791" s="604"/>
      <c r="S791" s="604"/>
      <c r="T791" s="604"/>
      <c r="U791" s="604"/>
      <c r="V791" s="604"/>
      <c r="W791" s="604"/>
      <c r="X791" s="604"/>
      <c r="Y791" s="604"/>
      <c r="Z791" s="604"/>
    </row>
    <row r="792" spans="1:26" ht="18.75">
      <c r="A792" s="574"/>
      <c r="B792" s="575"/>
      <c r="C792" s="763"/>
      <c r="D792" s="763"/>
      <c r="E792" s="763"/>
      <c r="F792" s="763" t="s">
        <v>187</v>
      </c>
      <c r="G792" s="189"/>
      <c r="H792" s="814" t="s">
        <v>12</v>
      </c>
      <c r="I792" s="811"/>
      <c r="J792" s="811"/>
      <c r="K792" s="812"/>
      <c r="L792" s="498"/>
      <c r="M792" s="498"/>
      <c r="N792" s="840">
        <v>0</v>
      </c>
      <c r="O792" s="498"/>
      <c r="P792" s="49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</row>
    <row r="793" spans="1:26" ht="18.75">
      <c r="A793" s="574"/>
      <c r="B793" s="575"/>
      <c r="C793" s="763"/>
      <c r="D793" s="763"/>
      <c r="E793" s="763"/>
      <c r="F793" s="763" t="s">
        <v>188</v>
      </c>
      <c r="G793" s="189"/>
      <c r="H793" s="814" t="s">
        <v>12</v>
      </c>
      <c r="I793" s="811"/>
      <c r="J793" s="811"/>
      <c r="K793" s="812"/>
      <c r="L793" s="498"/>
      <c r="M793" s="498"/>
      <c r="N793" s="840">
        <v>4755</v>
      </c>
      <c r="O793" s="498"/>
      <c r="P793" s="49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</row>
    <row r="794" spans="1:26" ht="18.75">
      <c r="A794" s="574"/>
      <c r="B794" s="575"/>
      <c r="C794" s="763"/>
      <c r="D794" s="763"/>
      <c r="E794" s="763"/>
      <c r="F794" s="763" t="s">
        <v>189</v>
      </c>
      <c r="G794" s="189"/>
      <c r="H794" s="814" t="s">
        <v>12</v>
      </c>
      <c r="I794" s="811"/>
      <c r="J794" s="811"/>
      <c r="K794" s="812"/>
      <c r="L794" s="498"/>
      <c r="M794" s="498"/>
      <c r="N794" s="840">
        <f>73200+12000</f>
        <v>85200</v>
      </c>
      <c r="O794" s="498"/>
      <c r="P794" s="49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</row>
    <row r="795" spans="1:26" ht="18.75">
      <c r="A795" s="574"/>
      <c r="B795" s="575"/>
      <c r="C795" s="763"/>
      <c r="D795" s="763"/>
      <c r="E795" s="763"/>
      <c r="F795" s="763" t="s">
        <v>190</v>
      </c>
      <c r="G795" s="189"/>
      <c r="H795" s="814" t="s">
        <v>12</v>
      </c>
      <c r="I795" s="811"/>
      <c r="J795" s="811"/>
      <c r="K795" s="812"/>
      <c r="L795" s="498"/>
      <c r="M795" s="498"/>
      <c r="N795" s="840">
        <f>70560+19880+48085</f>
        <v>138525</v>
      </c>
      <c r="O795" s="498"/>
      <c r="P795" s="49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</row>
    <row r="796" spans="1:26" ht="18.75">
      <c r="A796" s="597"/>
      <c r="B796" s="575"/>
      <c r="C796" s="763"/>
      <c r="D796" s="606" t="s">
        <v>21</v>
      </c>
      <c r="E796" s="763"/>
      <c r="F796" s="763"/>
      <c r="G796" s="189"/>
      <c r="H796" s="817" t="s">
        <v>12</v>
      </c>
      <c r="I796" s="815"/>
      <c r="J796" s="815"/>
      <c r="K796" s="816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</row>
    <row r="797" spans="1:26" ht="18.75" hidden="1">
      <c r="A797" s="599"/>
      <c r="B797" s="607"/>
      <c r="C797" s="759"/>
      <c r="D797" s="759"/>
      <c r="E797" s="759" t="s">
        <v>18</v>
      </c>
      <c r="F797" s="759"/>
      <c r="G797" s="603"/>
      <c r="H797" s="813" t="s">
        <v>12</v>
      </c>
      <c r="I797" s="815"/>
      <c r="J797" s="815"/>
      <c r="K797" s="816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4"/>
      <c r="R797" s="604"/>
      <c r="S797" s="604"/>
      <c r="T797" s="604"/>
      <c r="U797" s="604"/>
      <c r="V797" s="604"/>
      <c r="W797" s="604"/>
      <c r="X797" s="604"/>
      <c r="Y797" s="604"/>
      <c r="Z797" s="604"/>
    </row>
    <row r="798" spans="1:26" ht="18.75" hidden="1">
      <c r="A798" s="599"/>
      <c r="B798" s="607"/>
      <c r="C798" s="759"/>
      <c r="D798" s="759"/>
      <c r="E798" s="759" t="s">
        <v>19</v>
      </c>
      <c r="F798" s="759"/>
      <c r="G798" s="603"/>
      <c r="H798" s="818" t="s">
        <v>12</v>
      </c>
      <c r="I798" s="815"/>
      <c r="J798" s="815"/>
      <c r="K798" s="816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4"/>
      <c r="R798" s="604"/>
      <c r="S798" s="604"/>
      <c r="T798" s="604"/>
      <c r="U798" s="604"/>
      <c r="V798" s="604"/>
      <c r="W798" s="604"/>
      <c r="X798" s="604"/>
      <c r="Y798" s="604"/>
      <c r="Z798" s="604"/>
    </row>
    <row r="799" spans="1:26" ht="19.5">
      <c r="A799" s="608"/>
      <c r="B799" s="618"/>
      <c r="C799" s="763" t="s">
        <v>16</v>
      </c>
      <c r="D799" s="898" t="s">
        <v>38</v>
      </c>
      <c r="E799" s="761"/>
      <c r="F799" s="761"/>
      <c r="G799" s="613"/>
      <c r="H799" s="819"/>
      <c r="I799" s="815"/>
      <c r="J799" s="815"/>
      <c r="K799" s="816"/>
      <c r="L799" s="163"/>
      <c r="M799" s="163"/>
      <c r="N799" s="163"/>
      <c r="O799" s="163"/>
      <c r="P799" s="163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</row>
    <row r="800" spans="1:26" ht="18.75">
      <c r="A800" s="608"/>
      <c r="B800" s="618"/>
      <c r="C800" s="618"/>
      <c r="D800" s="618"/>
      <c r="E800" s="626"/>
      <c r="F800" s="626" t="s">
        <v>321</v>
      </c>
      <c r="G800" s="762"/>
      <c r="H800" s="820" t="s">
        <v>34</v>
      </c>
      <c r="I800" s="815"/>
      <c r="J800" s="821">
        <f ca="1">IFERROR(__xludf.DUMMYFUNCTION("IMPORTRANGE(""https://docs.google.com/spreadsheets/d/1MaWodYyGHDf7siQLGxnXhG4mBNTNIuy296niS2xXulU/edit?usp=sharing"",""RTK!H37"")"),204)</f>
        <v>204</v>
      </c>
      <c r="K800" s="812"/>
      <c r="L800" s="498"/>
      <c r="M800" s="498"/>
      <c r="N800" s="498"/>
      <c r="O800" s="163"/>
      <c r="P800" s="163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</row>
    <row r="801" spans="1:26" ht="18.75">
      <c r="A801" s="608"/>
      <c r="B801" s="618"/>
      <c r="C801" s="618"/>
      <c r="D801" s="618"/>
      <c r="E801" s="626"/>
      <c r="F801" s="626"/>
      <c r="G801" s="762"/>
      <c r="H801" s="814" t="s">
        <v>46</v>
      </c>
      <c r="I801" s="821">
        <f ca="1">IFERROR(__xludf.DUMMYFUNCTION("IMPORTRANGE(""https://docs.google.com/spreadsheets/d/1MaWodYyGHDf7siQLGxnXhG4mBNTNIuy296niS2xXulU/edit?usp=sharing"",""RTK!G37"")"),3000)</f>
        <v>3000</v>
      </c>
      <c r="J801" s="822">
        <f ca="1">IFERROR(__xludf.DUMMYFUNCTION("IMPORTRANGE(""https://docs.google.com/spreadsheets/d/1MaWodYyGHDf7siQLGxnXhG4mBNTNIuy296niS2xXulU/edit?usp=sharing"",""RTK!I37"")"),3013)</f>
        <v>3013</v>
      </c>
      <c r="K801" s="823">
        <f ca="1">IF(I801&gt;0,J801*100/I801,0)</f>
        <v>100.43333333333334</v>
      </c>
      <c r="L801" s="498"/>
      <c r="M801" s="498"/>
      <c r="N801" s="498"/>
      <c r="O801" s="163"/>
      <c r="P801" s="163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</row>
    <row r="802" spans="1:26" ht="18.75">
      <c r="A802" s="614"/>
      <c r="B802" s="616"/>
      <c r="C802" s="616"/>
      <c r="D802" s="616"/>
      <c r="E802" s="720"/>
      <c r="F802" s="824" t="s">
        <v>322</v>
      </c>
      <c r="G802" s="366"/>
      <c r="H802" s="820" t="s">
        <v>34</v>
      </c>
      <c r="I802" s="815"/>
      <c r="J802" s="821">
        <f ca="1">IFERROR(__xludf.DUMMYFUNCTION("IMPORTRANGE(""https://docs.google.com/spreadsheets/d/1MaWodYyGHDf7siQLGxnXhG4mBNTNIuy296niS2xXulU/edit?usp=sharing"",""RTK!L37"")"),0)</f>
        <v>0</v>
      </c>
      <c r="K802" s="812"/>
      <c r="L802" s="167"/>
      <c r="M802" s="167"/>
      <c r="N802" s="167"/>
      <c r="O802" s="167"/>
      <c r="P802" s="167"/>
      <c r="Q802" s="604"/>
      <c r="R802" s="604"/>
      <c r="S802" s="604"/>
      <c r="T802" s="604"/>
      <c r="U802" s="604"/>
      <c r="V802" s="604"/>
      <c r="W802" s="604"/>
      <c r="X802" s="604"/>
      <c r="Y802" s="604"/>
      <c r="Z802" s="604"/>
    </row>
    <row r="803" spans="1:26" ht="18.75">
      <c r="A803" s="614"/>
      <c r="B803" s="616"/>
      <c r="C803" s="616"/>
      <c r="D803" s="616"/>
      <c r="E803" s="720"/>
      <c r="F803" s="720"/>
      <c r="G803" s="366"/>
      <c r="H803" s="820" t="s">
        <v>46</v>
      </c>
      <c r="I803" s="821">
        <f ca="1">IFERROR(__xludf.DUMMYFUNCTION("IMPORTRANGE(""https://docs.google.com/spreadsheets/d/1MaWodYyGHDf7siQLGxnXhG4mBNTNIuy296niS2xXulU/edit?usp=sharing"",""RTK!K37"")"),0)</f>
        <v>0</v>
      </c>
      <c r="J803" s="822">
        <f ca="1">IFERROR(__xludf.DUMMYFUNCTION("IMPORTRANGE(""https://docs.google.com/spreadsheets/d/1MaWodYyGHDf7siQLGxnXhG4mBNTNIuy296niS2xXulU/edit?usp=sharing"",""RTK!M37"")"),0)</f>
        <v>0</v>
      </c>
      <c r="K803" s="823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4"/>
      <c r="R803" s="604"/>
      <c r="S803" s="604"/>
      <c r="T803" s="604"/>
      <c r="U803" s="604"/>
      <c r="V803" s="604"/>
      <c r="W803" s="604"/>
      <c r="X803" s="604"/>
      <c r="Y803" s="604"/>
      <c r="Z803" s="604"/>
    </row>
    <row r="804" spans="1:26" ht="19.5" hidden="1">
      <c r="A804" s="793">
        <v>13</v>
      </c>
      <c r="B804" s="794" t="s">
        <v>323</v>
      </c>
      <c r="C804" s="795"/>
      <c r="D804" s="825"/>
      <c r="E804" s="795"/>
      <c r="F804" s="795"/>
      <c r="G804" s="796"/>
      <c r="H804" s="797" t="s">
        <v>46</v>
      </c>
      <c r="I804" s="798"/>
      <c r="J804" s="798">
        <f>J819</f>
        <v>0</v>
      </c>
      <c r="K804" s="799">
        <f t="shared" si="327"/>
        <v>0</v>
      </c>
      <c r="L804" s="800"/>
      <c r="M804" s="800"/>
      <c r="N804" s="800"/>
      <c r="O804" s="800"/>
      <c r="P804" s="800"/>
      <c r="Q804" s="604"/>
      <c r="R804" s="604"/>
      <c r="S804" s="604"/>
      <c r="T804" s="604"/>
      <c r="U804" s="604"/>
      <c r="V804" s="604"/>
      <c r="W804" s="604"/>
      <c r="X804" s="604"/>
      <c r="Y804" s="604"/>
      <c r="Z804" s="604"/>
    </row>
    <row r="805" spans="1:26" ht="19.5" hidden="1">
      <c r="A805" s="599"/>
      <c r="B805" s="759"/>
      <c r="C805" s="759" t="s">
        <v>16</v>
      </c>
      <c r="D805" s="864" t="s">
        <v>17</v>
      </c>
      <c r="E805" s="857"/>
      <c r="F805" s="857"/>
      <c r="G805" s="603"/>
      <c r="H805" s="646" t="s">
        <v>12</v>
      </c>
      <c r="I805" s="617"/>
      <c r="J805" s="617"/>
      <c r="K805" s="93"/>
      <c r="L805" s="647">
        <f t="shared" ref="L805:N805" si="328">L806+L807</f>
        <v>0</v>
      </c>
      <c r="M805" s="647">
        <f t="shared" si="328"/>
        <v>0</v>
      </c>
      <c r="N805" s="647">
        <f t="shared" si="328"/>
        <v>0</v>
      </c>
      <c r="O805" s="647">
        <f t="shared" ref="O805:O810" si="329">IF(L805&gt;0,N805*100/L805,0)</f>
        <v>0</v>
      </c>
      <c r="P805" s="647">
        <f t="shared" ref="P805:P810" si="330">IF(M805&gt;0,N805*100/M805,0)</f>
        <v>0</v>
      </c>
      <c r="Q805" s="604"/>
      <c r="R805" s="604"/>
      <c r="S805" s="604"/>
      <c r="T805" s="604"/>
      <c r="U805" s="604"/>
      <c r="V805" s="604"/>
      <c r="W805" s="604"/>
      <c r="X805" s="604"/>
      <c r="Y805" s="604"/>
      <c r="Z805" s="604"/>
    </row>
    <row r="806" spans="1:26" ht="18.75" hidden="1">
      <c r="A806" s="599"/>
      <c r="B806" s="759"/>
      <c r="C806" s="759"/>
      <c r="D806" s="616"/>
      <c r="E806" s="759" t="s">
        <v>185</v>
      </c>
      <c r="F806" s="759"/>
      <c r="G806" s="603"/>
      <c r="H806" s="165" t="s">
        <v>12</v>
      </c>
      <c r="I806" s="617"/>
      <c r="J806" s="617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4"/>
      <c r="R806" s="604"/>
      <c r="S806" s="604"/>
      <c r="T806" s="604"/>
      <c r="U806" s="604"/>
      <c r="V806" s="604"/>
      <c r="W806" s="604"/>
      <c r="X806" s="604"/>
      <c r="Y806" s="604"/>
      <c r="Z806" s="604"/>
    </row>
    <row r="807" spans="1:26" ht="18.75" hidden="1">
      <c r="A807" s="599"/>
      <c r="B807" s="759"/>
      <c r="C807" s="759"/>
      <c r="D807" s="616"/>
      <c r="E807" s="759" t="s">
        <v>186</v>
      </c>
      <c r="F807" s="759"/>
      <c r="G807" s="603"/>
      <c r="H807" s="165" t="s">
        <v>12</v>
      </c>
      <c r="I807" s="617"/>
      <c r="J807" s="617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4"/>
      <c r="R807" s="604"/>
      <c r="S807" s="604"/>
      <c r="T807" s="604"/>
      <c r="U807" s="604"/>
      <c r="V807" s="604"/>
      <c r="W807" s="604"/>
      <c r="X807" s="604"/>
      <c r="Y807" s="604"/>
      <c r="Z807" s="604"/>
    </row>
    <row r="808" spans="1:26" ht="19.5" hidden="1">
      <c r="A808" s="599"/>
      <c r="B808" s="607"/>
      <c r="C808" s="759"/>
      <c r="D808" s="905" t="s">
        <v>20</v>
      </c>
      <c r="E808" s="857"/>
      <c r="F808" s="857"/>
      <c r="G808" s="603"/>
      <c r="H808" s="646" t="s">
        <v>12</v>
      </c>
      <c r="I808" s="166"/>
      <c r="J808" s="166"/>
      <c r="K808" s="167"/>
      <c r="L808" s="647">
        <f t="shared" ref="L808:N808" si="332">L809+L810</f>
        <v>0</v>
      </c>
      <c r="M808" s="647">
        <f t="shared" si="332"/>
        <v>0</v>
      </c>
      <c r="N808" s="647">
        <f t="shared" si="332"/>
        <v>0</v>
      </c>
      <c r="O808" s="647">
        <f t="shared" si="329"/>
        <v>0</v>
      </c>
      <c r="P808" s="647">
        <f t="shared" si="330"/>
        <v>0</v>
      </c>
      <c r="Q808" s="604"/>
      <c r="R808" s="604"/>
      <c r="S808" s="604"/>
      <c r="T808" s="604"/>
      <c r="U808" s="604"/>
      <c r="V808" s="604"/>
      <c r="W808" s="604"/>
      <c r="X808" s="604"/>
      <c r="Y808" s="604"/>
      <c r="Z808" s="604"/>
    </row>
    <row r="809" spans="1:26" ht="18.75" hidden="1">
      <c r="A809" s="599"/>
      <c r="B809" s="759"/>
      <c r="C809" s="759"/>
      <c r="D809" s="616"/>
      <c r="E809" s="759" t="s">
        <v>185</v>
      </c>
      <c r="F809" s="759"/>
      <c r="G809" s="603"/>
      <c r="H809" s="165" t="s">
        <v>12</v>
      </c>
      <c r="I809" s="617"/>
      <c r="J809" s="617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4"/>
      <c r="R809" s="604"/>
      <c r="S809" s="604"/>
      <c r="T809" s="604"/>
      <c r="U809" s="604"/>
      <c r="V809" s="604"/>
      <c r="W809" s="604"/>
      <c r="X809" s="604"/>
      <c r="Y809" s="604"/>
      <c r="Z809" s="604"/>
    </row>
    <row r="810" spans="1:26" ht="18.75" hidden="1">
      <c r="A810" s="599"/>
      <c r="B810" s="759"/>
      <c r="C810" s="759"/>
      <c r="D810" s="616"/>
      <c r="E810" s="759" t="s">
        <v>186</v>
      </c>
      <c r="F810" s="759"/>
      <c r="G810" s="603"/>
      <c r="H810" s="165" t="s">
        <v>12</v>
      </c>
      <c r="I810" s="617"/>
      <c r="J810" s="617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4"/>
      <c r="R810" s="604"/>
      <c r="S810" s="604"/>
      <c r="T810" s="604"/>
      <c r="U810" s="604"/>
      <c r="V810" s="604"/>
      <c r="W810" s="604"/>
      <c r="X810" s="604"/>
      <c r="Y810" s="604"/>
      <c r="Z810" s="604"/>
    </row>
    <row r="811" spans="1:26" ht="18.75" hidden="1">
      <c r="A811" s="649"/>
      <c r="B811" s="607"/>
      <c r="C811" s="759"/>
      <c r="D811" s="607"/>
      <c r="E811" s="759"/>
      <c r="F811" s="759" t="s">
        <v>187</v>
      </c>
      <c r="G811" s="603"/>
      <c r="H811" s="165" t="s">
        <v>12</v>
      </c>
      <c r="I811" s="617"/>
      <c r="J811" s="617"/>
      <c r="K811" s="93"/>
      <c r="L811" s="93"/>
      <c r="M811" s="93"/>
      <c r="N811" s="93"/>
      <c r="O811" s="93"/>
      <c r="P811" s="93"/>
      <c r="Q811" s="604"/>
      <c r="R811" s="604"/>
      <c r="S811" s="604"/>
      <c r="T811" s="604"/>
      <c r="U811" s="604"/>
      <c r="V811" s="604"/>
      <c r="W811" s="604"/>
      <c r="X811" s="604"/>
      <c r="Y811" s="604"/>
      <c r="Z811" s="604"/>
    </row>
    <row r="812" spans="1:26" ht="18.75" hidden="1">
      <c r="A812" s="649"/>
      <c r="B812" s="607"/>
      <c r="C812" s="759"/>
      <c r="D812" s="607"/>
      <c r="E812" s="759"/>
      <c r="F812" s="759" t="s">
        <v>188</v>
      </c>
      <c r="G812" s="603"/>
      <c r="H812" s="165" t="s">
        <v>12</v>
      </c>
      <c r="I812" s="617"/>
      <c r="J812" s="617"/>
      <c r="K812" s="93"/>
      <c r="L812" s="93"/>
      <c r="M812" s="93"/>
      <c r="N812" s="93"/>
      <c r="O812" s="93"/>
      <c r="P812" s="93"/>
      <c r="Q812" s="604"/>
      <c r="R812" s="604"/>
      <c r="S812" s="604"/>
      <c r="T812" s="604"/>
      <c r="U812" s="604"/>
      <c r="V812" s="604"/>
      <c r="W812" s="604"/>
      <c r="X812" s="604"/>
      <c r="Y812" s="604"/>
      <c r="Z812" s="604"/>
    </row>
    <row r="813" spans="1:26" ht="18.75" hidden="1">
      <c r="A813" s="649"/>
      <c r="B813" s="607"/>
      <c r="C813" s="759"/>
      <c r="D813" s="607"/>
      <c r="E813" s="759"/>
      <c r="F813" s="759" t="s">
        <v>189</v>
      </c>
      <c r="G813" s="603"/>
      <c r="H813" s="165" t="s">
        <v>12</v>
      </c>
      <c r="I813" s="617"/>
      <c r="J813" s="617"/>
      <c r="K813" s="93"/>
      <c r="L813" s="93"/>
      <c r="M813" s="93"/>
      <c r="N813" s="93"/>
      <c r="O813" s="93"/>
      <c r="P813" s="93"/>
      <c r="Q813" s="604"/>
      <c r="R813" s="604"/>
      <c r="S813" s="604"/>
      <c r="T813" s="604"/>
      <c r="U813" s="604"/>
      <c r="V813" s="604"/>
      <c r="W813" s="604"/>
      <c r="X813" s="604"/>
      <c r="Y813" s="604"/>
      <c r="Z813" s="604"/>
    </row>
    <row r="814" spans="1:26" ht="18.75" hidden="1">
      <c r="A814" s="649"/>
      <c r="B814" s="607"/>
      <c r="C814" s="759"/>
      <c r="D814" s="607"/>
      <c r="E814" s="759"/>
      <c r="F814" s="759" t="s">
        <v>190</v>
      </c>
      <c r="G814" s="603"/>
      <c r="H814" s="165" t="s">
        <v>12</v>
      </c>
      <c r="I814" s="617"/>
      <c r="J814" s="617"/>
      <c r="K814" s="93"/>
      <c r="L814" s="93"/>
      <c r="M814" s="93"/>
      <c r="N814" s="93"/>
      <c r="O814" s="93"/>
      <c r="P814" s="93"/>
      <c r="Q814" s="604"/>
      <c r="R814" s="604"/>
      <c r="S814" s="604"/>
      <c r="T814" s="604"/>
      <c r="U814" s="604"/>
      <c r="V814" s="604"/>
      <c r="W814" s="604"/>
      <c r="X814" s="604"/>
      <c r="Y814" s="604"/>
      <c r="Z814" s="604"/>
    </row>
    <row r="815" spans="1:26" ht="19.5" hidden="1">
      <c r="A815" s="599"/>
      <c r="B815" s="607"/>
      <c r="C815" s="759"/>
      <c r="D815" s="905" t="s">
        <v>21</v>
      </c>
      <c r="E815" s="857"/>
      <c r="F815" s="857"/>
      <c r="G815" s="603"/>
      <c r="H815" s="783" t="s">
        <v>12</v>
      </c>
      <c r="I815" s="166"/>
      <c r="J815" s="166"/>
      <c r="K815" s="167"/>
      <c r="L815" s="647">
        <f t="shared" ref="L815:N815" si="333">L816+L817</f>
        <v>0</v>
      </c>
      <c r="M815" s="647">
        <f t="shared" si="333"/>
        <v>0</v>
      </c>
      <c r="N815" s="647">
        <f t="shared" si="333"/>
        <v>0</v>
      </c>
      <c r="O815" s="647">
        <f t="shared" ref="O815:O817" si="334">IF(L815&gt;0,N815*100/L815,0)</f>
        <v>0</v>
      </c>
      <c r="P815" s="647">
        <f t="shared" ref="P815:P817" si="335">IF(M815&gt;0,N815*100/M815,0)</f>
        <v>0</v>
      </c>
      <c r="Q815" s="604"/>
      <c r="R815" s="604"/>
      <c r="S815" s="604"/>
      <c r="T815" s="604"/>
      <c r="U815" s="604"/>
      <c r="V815" s="604"/>
      <c r="W815" s="604"/>
      <c r="X815" s="604"/>
      <c r="Y815" s="604"/>
      <c r="Z815" s="604"/>
    </row>
    <row r="816" spans="1:26" ht="18.75" hidden="1">
      <c r="A816" s="599"/>
      <c r="B816" s="607"/>
      <c r="C816" s="759"/>
      <c r="D816" s="607"/>
      <c r="E816" s="759" t="s">
        <v>18</v>
      </c>
      <c r="F816" s="759"/>
      <c r="G816" s="603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4"/>
      <c r="R816" s="604"/>
      <c r="S816" s="604"/>
      <c r="T816" s="604"/>
      <c r="U816" s="604"/>
      <c r="V816" s="604"/>
      <c r="W816" s="604"/>
      <c r="X816" s="604"/>
      <c r="Y816" s="604"/>
      <c r="Z816" s="604"/>
    </row>
    <row r="817" spans="1:26" ht="18.75" hidden="1">
      <c r="A817" s="599"/>
      <c r="B817" s="607"/>
      <c r="C817" s="759"/>
      <c r="D817" s="607"/>
      <c r="E817" s="759" t="s">
        <v>19</v>
      </c>
      <c r="F817" s="759"/>
      <c r="G817" s="603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4"/>
      <c r="R817" s="604"/>
      <c r="S817" s="604"/>
      <c r="T817" s="604"/>
      <c r="U817" s="604"/>
      <c r="V817" s="604"/>
      <c r="W817" s="604"/>
      <c r="X817" s="604"/>
      <c r="Y817" s="604"/>
      <c r="Z817" s="604"/>
    </row>
    <row r="818" spans="1:26" ht="19.5" hidden="1">
      <c r="A818" s="614"/>
      <c r="B818" s="616"/>
      <c r="C818" s="759" t="s">
        <v>16</v>
      </c>
      <c r="D818" s="906" t="s">
        <v>38</v>
      </c>
      <c r="E818" s="651"/>
      <c r="F818" s="651"/>
      <c r="G818" s="652"/>
      <c r="H818" s="366"/>
      <c r="I818" s="166"/>
      <c r="J818" s="166"/>
      <c r="K818" s="167"/>
      <c r="L818" s="167"/>
      <c r="M818" s="167"/>
      <c r="N818" s="167"/>
      <c r="O818" s="167"/>
      <c r="P818" s="167"/>
      <c r="Q818" s="604"/>
      <c r="R818" s="604"/>
      <c r="S818" s="604"/>
      <c r="T818" s="604"/>
      <c r="U818" s="604"/>
      <c r="V818" s="604"/>
      <c r="W818" s="604"/>
      <c r="X818" s="604"/>
      <c r="Y818" s="604"/>
      <c r="Z818" s="604"/>
    </row>
    <row r="819" spans="1:26" ht="19.5" hidden="1" thickBot="1">
      <c r="A819" s="827"/>
      <c r="B819" s="828"/>
      <c r="C819" s="830"/>
      <c r="D819" s="828"/>
      <c r="E819" s="830" t="s">
        <v>324</v>
      </c>
      <c r="F819" s="830"/>
      <c r="G819" s="831"/>
      <c r="H819" s="832" t="s">
        <v>46</v>
      </c>
      <c r="I819" s="833"/>
      <c r="J819" s="833"/>
      <c r="K819" s="834"/>
      <c r="L819" s="834"/>
      <c r="M819" s="834"/>
      <c r="N819" s="834"/>
      <c r="O819" s="834"/>
      <c r="P819" s="834"/>
      <c r="Q819" s="604"/>
      <c r="R819" s="604"/>
      <c r="S819" s="604"/>
      <c r="T819" s="604"/>
      <c r="U819" s="604"/>
      <c r="V819" s="604"/>
      <c r="W819" s="604"/>
      <c r="X819" s="604"/>
      <c r="Y819" s="604"/>
      <c r="Z819" s="604"/>
    </row>
    <row r="820" spans="1:26" ht="19.5">
      <c r="A820" s="907" t="s">
        <v>337</v>
      </c>
      <c r="B820" s="908"/>
      <c r="C820" s="908"/>
      <c r="D820" s="909"/>
      <c r="E820" s="908"/>
      <c r="F820" s="908"/>
      <c r="G820" s="910"/>
      <c r="H820" s="91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912"/>
      <c r="J820" s="912"/>
      <c r="K820" s="913"/>
      <c r="L820" s="913"/>
      <c r="M820" s="913"/>
      <c r="N820" s="913"/>
      <c r="O820" s="913"/>
      <c r="P820" s="913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</row>
    <row r="821" spans="1:26" ht="18.75">
      <c r="A821" s="744"/>
      <c r="B821" s="763" t="s">
        <v>326</v>
      </c>
      <c r="C821" s="763"/>
      <c r="D821" s="575"/>
      <c r="E821" s="763"/>
      <c r="F821" s="763"/>
      <c r="G821" s="189"/>
      <c r="H821" s="623" t="s">
        <v>12</v>
      </c>
      <c r="I821" s="270">
        <f ca="1">IFERROR(__xludf.DUMMYFUNCTION("IMPORTRANGE(""https://docs.google.com/spreadsheets/d/19vJNZY_5yjcGF2XGBMNZRCAIB0Kwfpjp8YEOfu-bneM/edit?usp=sharing"",""งานกองทุน!D37"")"),4131186.58)</f>
        <v>4131186.58</v>
      </c>
      <c r="J821" s="270">
        <f ca="1">IFERROR(__xludf.DUMMYFUNCTION("IMPORTRANGE(""https://docs.google.com/spreadsheets/d/19vJNZY_5yjcGF2XGBMNZRCAIB0Kwfpjp8YEOfu-bneM/edit?usp=sharing"",""งานกองทุน!F37"")"),3954186.65)</f>
        <v>3954186.65</v>
      </c>
      <c r="K821" s="498">
        <f t="shared" ref="K821:K828" ca="1" si="336">IF(I821&gt;0,J821*100/I821,0)</f>
        <v>95.715518372931967</v>
      </c>
      <c r="L821" s="498"/>
      <c r="M821" s="498"/>
      <c r="N821" s="498"/>
      <c r="O821" s="498"/>
      <c r="P821" s="49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</row>
    <row r="822" spans="1:26" ht="18.75">
      <c r="A822" s="744"/>
      <c r="B822" s="763"/>
      <c r="C822" s="763"/>
      <c r="D822" s="575"/>
      <c r="E822" s="763"/>
      <c r="F822" s="763"/>
      <c r="G822" s="189"/>
      <c r="H822" s="623" t="s">
        <v>35</v>
      </c>
      <c r="I822" s="270">
        <f ca="1">IFERROR(__xludf.DUMMYFUNCTION("IMPORTRANGE(""https://docs.google.com/spreadsheets/d/19vJNZY_5yjcGF2XGBMNZRCAIB0Kwfpjp8YEOfu-bneM/edit?usp=sharing"",""งานกองทุน!C37"")"),278)</f>
        <v>278</v>
      </c>
      <c r="J822" s="270">
        <f ca="1">IFERROR(__xludf.DUMMYFUNCTION("IMPORTRANGE(""https://docs.google.com/spreadsheets/d/19vJNZY_5yjcGF2XGBMNZRCAIB0Kwfpjp8YEOfu-bneM/edit?usp=sharing"",""งานกองทุน!E37"")"),252)</f>
        <v>252</v>
      </c>
      <c r="K822" s="498">
        <f t="shared" ca="1" si="336"/>
        <v>90.647482014388487</v>
      </c>
      <c r="L822" s="498"/>
      <c r="M822" s="498"/>
      <c r="N822" s="498"/>
      <c r="O822" s="498"/>
      <c r="P822" s="49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</row>
    <row r="823" spans="1:26" ht="18.75">
      <c r="A823" s="744"/>
      <c r="B823" s="763" t="s">
        <v>327</v>
      </c>
      <c r="C823" s="763"/>
      <c r="D823" s="575"/>
      <c r="E823" s="763"/>
      <c r="F823" s="763"/>
      <c r="G823" s="189"/>
      <c r="H823" s="623" t="s">
        <v>12</v>
      </c>
      <c r="I823" s="270">
        <f ca="1">IFERROR(__xludf.DUMMYFUNCTION("IMPORTRANGE(""https://docs.google.com/spreadsheets/d/19vJNZY_5yjcGF2XGBMNZRCAIB0Kwfpjp8YEOfu-bneM/edit?usp=sharing"",""งานกองทุน!I37"")"),1083024.41)</f>
        <v>1083024.4099999999</v>
      </c>
      <c r="J823" s="270">
        <f ca="1">IFERROR(__xludf.DUMMYFUNCTION("IMPORTRANGE(""https://docs.google.com/spreadsheets/d/19vJNZY_5yjcGF2XGBMNZRCAIB0Kwfpjp8YEOfu-bneM/edit?usp=sharing"",""งานกองทุน!K37"")"),513594.86)</f>
        <v>513594.86</v>
      </c>
      <c r="K823" s="498">
        <f t="shared" ca="1" si="336"/>
        <v>47.422279244841768</v>
      </c>
      <c r="L823" s="498"/>
      <c r="M823" s="498"/>
      <c r="N823" s="498"/>
      <c r="O823" s="498"/>
      <c r="P823" s="49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</row>
    <row r="824" spans="1:26" ht="18.75">
      <c r="A824" s="744"/>
      <c r="B824" s="763"/>
      <c r="C824" s="763"/>
      <c r="D824" s="575"/>
      <c r="E824" s="763"/>
      <c r="F824" s="763"/>
      <c r="G824" s="189"/>
      <c r="H824" s="623" t="s">
        <v>35</v>
      </c>
      <c r="I824" s="270">
        <f ca="1">IFERROR(__xludf.DUMMYFUNCTION("IMPORTRANGE(""https://docs.google.com/spreadsheets/d/19vJNZY_5yjcGF2XGBMNZRCAIB0Kwfpjp8YEOfu-bneM/edit?usp=sharing"",""งานกองทุน!H37"")"),55)</f>
        <v>55</v>
      </c>
      <c r="J824" s="270">
        <f ca="1">IFERROR(__xludf.DUMMYFUNCTION("IMPORTRANGE(""https://docs.google.com/spreadsheets/d/19vJNZY_5yjcGF2XGBMNZRCAIB0Kwfpjp8YEOfu-bneM/edit?usp=sharing"",""งานกองทุน!J37"")"),43)</f>
        <v>43</v>
      </c>
      <c r="K824" s="498">
        <f t="shared" ca="1" si="336"/>
        <v>78.181818181818187</v>
      </c>
      <c r="L824" s="498"/>
      <c r="M824" s="498"/>
      <c r="N824" s="498"/>
      <c r="O824" s="498"/>
      <c r="P824" s="49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</row>
    <row r="825" spans="1:26" ht="18.75">
      <c r="A825" s="744"/>
      <c r="B825" s="763" t="s">
        <v>328</v>
      </c>
      <c r="C825" s="763"/>
      <c r="D825" s="575"/>
      <c r="E825" s="763"/>
      <c r="F825" s="763"/>
      <c r="G825" s="189"/>
      <c r="H825" s="623" t="s">
        <v>12</v>
      </c>
      <c r="I825" s="270">
        <f ca="1">IFERROR(__xludf.DUMMYFUNCTION("IMPORTRANGE(""https://docs.google.com/spreadsheets/d/19vJNZY_5yjcGF2XGBMNZRCAIB0Kwfpjp8YEOfu-bneM/edit?usp=sharing"",""งานกองทุน!N37"")"),5947.5)</f>
        <v>5947.5</v>
      </c>
      <c r="J825" s="270">
        <f ca="1">IFERROR(__xludf.DUMMYFUNCTION("IMPORTRANGE(""https://docs.google.com/spreadsheets/d/19vJNZY_5yjcGF2XGBMNZRCAIB0Kwfpjp8YEOfu-bneM/edit?usp=sharing"",""งานกองทุน!P37"")"),5947.5)</f>
        <v>5947.5</v>
      </c>
      <c r="K825" s="498">
        <f t="shared" ca="1" si="336"/>
        <v>100</v>
      </c>
      <c r="L825" s="498"/>
      <c r="M825" s="498"/>
      <c r="N825" s="498"/>
      <c r="O825" s="498"/>
      <c r="P825" s="49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</row>
    <row r="826" spans="1:26" ht="18.75">
      <c r="A826" s="744"/>
      <c r="B826" s="763"/>
      <c r="C826" s="763"/>
      <c r="D826" s="575"/>
      <c r="E826" s="763"/>
      <c r="F826" s="763"/>
      <c r="G826" s="189"/>
      <c r="H826" s="623" t="s">
        <v>35</v>
      </c>
      <c r="I826" s="270">
        <f ca="1">IFERROR(__xludf.DUMMYFUNCTION("IMPORTRANGE(""https://docs.google.com/spreadsheets/d/19vJNZY_5yjcGF2XGBMNZRCAIB0Kwfpjp8YEOfu-bneM/edit?usp=sharing"",""งานกองทุน!M37"")"),2)</f>
        <v>2</v>
      </c>
      <c r="J826" s="270">
        <f ca="1">IFERROR(__xludf.DUMMYFUNCTION("IMPORTRANGE(""https://docs.google.com/spreadsheets/d/19vJNZY_5yjcGF2XGBMNZRCAIB0Kwfpjp8YEOfu-bneM/edit?usp=sharing"",""งานกองทุน!O37"")"),2)</f>
        <v>2</v>
      </c>
      <c r="K826" s="498">
        <f t="shared" ca="1" si="336"/>
        <v>100</v>
      </c>
      <c r="L826" s="498"/>
      <c r="M826" s="498"/>
      <c r="N826" s="498"/>
      <c r="O826" s="498"/>
      <c r="P826" s="49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</row>
    <row r="827" spans="1:26" ht="18.75">
      <c r="A827" s="744"/>
      <c r="B827" s="763" t="s">
        <v>329</v>
      </c>
      <c r="C827" s="763"/>
      <c r="D827" s="575"/>
      <c r="E827" s="763"/>
      <c r="F827" s="763"/>
      <c r="G827" s="189"/>
      <c r="H827" s="623" t="s">
        <v>12</v>
      </c>
      <c r="I827" s="270">
        <f ca="1">IFERROR(__xludf.DUMMYFUNCTION("IMPORTRANGE(""https://docs.google.com/spreadsheets/d/19vJNZY_5yjcGF2XGBMNZRCAIB0Kwfpjp8YEOfu-bneM/edit?usp=sharing"",""งานกองทุน!S37"")"),2800000)</f>
        <v>2800000</v>
      </c>
      <c r="J827" s="270">
        <f ca="1">IFERROR(__xludf.DUMMYFUNCTION("IMPORTRANGE(""https://docs.google.com/spreadsheets/d/19vJNZY_5yjcGF2XGBMNZRCAIB0Kwfpjp8YEOfu-bneM/edit?usp=sharing"",""งานกองทุน!U37"")"),2800000)</f>
        <v>2800000</v>
      </c>
      <c r="K827" s="498">
        <f t="shared" ca="1" si="336"/>
        <v>100</v>
      </c>
      <c r="L827" s="498"/>
      <c r="M827" s="498"/>
      <c r="N827" s="498"/>
      <c r="O827" s="498"/>
      <c r="P827" s="49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</row>
    <row r="828" spans="1:26" ht="18.75">
      <c r="A828" s="841"/>
      <c r="B828" s="749"/>
      <c r="C828" s="749"/>
      <c r="D828" s="748"/>
      <c r="E828" s="749"/>
      <c r="F828" s="749"/>
      <c r="G828" s="842"/>
      <c r="H828" s="843" t="s">
        <v>35</v>
      </c>
      <c r="I828" s="506">
        <f ca="1">IFERROR(__xludf.DUMMYFUNCTION("IMPORTRANGE(""https://docs.google.com/spreadsheets/d/19vJNZY_5yjcGF2XGBMNZRCAIB0Kwfpjp8YEOfu-bneM/edit?usp=sharing"",""งานกองทุน!R37"")"),112)</f>
        <v>112</v>
      </c>
      <c r="J828" s="506">
        <f ca="1">IFERROR(__xludf.DUMMYFUNCTION("IMPORTRANGE(""https://docs.google.com/spreadsheets/d/19vJNZY_5yjcGF2XGBMNZRCAIB0Kwfpjp8YEOfu-bneM/edit?usp=sharing"",""งานกองทุน!T37"")"),62)</f>
        <v>62</v>
      </c>
      <c r="K828" s="507">
        <f t="shared" ca="1" si="336"/>
        <v>55.357142857142854</v>
      </c>
      <c r="L828" s="507"/>
      <c r="M828" s="507"/>
      <c r="N828" s="507"/>
      <c r="O828" s="507"/>
      <c r="P828" s="507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74841-FF65-4695-A0F4-5BE94B5D5F3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345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364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7747715</v>
      </c>
      <c r="M8" s="22">
        <f t="shared" ca="1" si="0"/>
        <v>7933625.5600000005</v>
      </c>
      <c r="N8" s="22">
        <f t="shared" ca="1" si="0"/>
        <v>7933625.5600000005</v>
      </c>
      <c r="O8" s="22">
        <f t="shared" ref="O8:O16" ca="1" si="1">IF(L8&gt;0,N8*100/L8,0)</f>
        <v>102.39955341671705</v>
      </c>
      <c r="P8" s="22">
        <f t="shared" ref="P8:P16" ca="1" si="2">IF(M8&gt;0,N8*100/M8,0)</f>
        <v>100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7747715</v>
      </c>
      <c r="M10" s="30">
        <f t="shared" ca="1" si="3"/>
        <v>7933625.5600000005</v>
      </c>
      <c r="N10" s="30">
        <f t="shared" ca="1" si="3"/>
        <v>7933625.5600000005</v>
      </c>
      <c r="O10" s="30">
        <f t="shared" ca="1" si="1"/>
        <v>102.39955341671705</v>
      </c>
      <c r="P10" s="30">
        <f t="shared" ca="1" si="2"/>
        <v>100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3" t="s">
        <v>12</v>
      </c>
      <c r="I11" s="270"/>
      <c r="J11" s="270"/>
      <c r="K11" s="498"/>
      <c r="L11" s="498">
        <f t="shared" ref="L11:N11" ca="1" si="4">L12+L13</f>
        <v>7633915</v>
      </c>
      <c r="M11" s="498">
        <f t="shared" ca="1" si="4"/>
        <v>7819825.5600000005</v>
      </c>
      <c r="N11" s="498">
        <f t="shared" ca="1" si="4"/>
        <v>7819825.5600000005</v>
      </c>
      <c r="O11" s="498">
        <f t="shared" ca="1" si="1"/>
        <v>102.43532394583906</v>
      </c>
      <c r="P11" s="498">
        <f t="shared" ca="1" si="2"/>
        <v>100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7"/>
      <c r="J12" s="617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7"/>
      <c r="J13" s="617"/>
      <c r="K13" s="93"/>
      <c r="L13" s="93">
        <f t="shared" ca="1" si="5"/>
        <v>7633915</v>
      </c>
      <c r="M13" s="93">
        <f t="shared" ca="1" si="5"/>
        <v>7819825.5600000005</v>
      </c>
      <c r="N13" s="93">
        <f t="shared" ca="1" si="5"/>
        <v>7819825.5600000005</v>
      </c>
      <c r="O13" s="93">
        <f t="shared" ca="1" si="1"/>
        <v>102.43532394583906</v>
      </c>
      <c r="P13" s="93">
        <f t="shared" ca="1" si="2"/>
        <v>100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3" t="s">
        <v>12</v>
      </c>
      <c r="I14" s="270"/>
      <c r="J14" s="270"/>
      <c r="K14" s="498"/>
      <c r="L14" s="498">
        <f t="shared" ref="L14:N14" ca="1" si="6">L15+L16</f>
        <v>113800</v>
      </c>
      <c r="M14" s="498">
        <f t="shared" ca="1" si="6"/>
        <v>113800</v>
      </c>
      <c r="N14" s="498">
        <f t="shared" ca="1" si="6"/>
        <v>113800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7"/>
      <c r="J15" s="617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4659702</v>
      </c>
      <c r="M18" s="22">
        <f t="shared" ca="1" si="8"/>
        <v>5103426.2300000004</v>
      </c>
      <c r="N18" s="22">
        <f t="shared" ca="1" si="8"/>
        <v>5103426.2300000004</v>
      </c>
      <c r="O18" s="22">
        <f t="shared" ref="O18:O26" ca="1" si="9">IF(L18&gt;0,N18*100/L18,0)</f>
        <v>109.52258813975659</v>
      </c>
      <c r="P18" s="22">
        <f t="shared" ref="P18:P26" ca="1" si="10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4659702</v>
      </c>
      <c r="M20" s="30">
        <f t="shared" ca="1" si="11"/>
        <v>5103426.2300000004</v>
      </c>
      <c r="N20" s="30">
        <f t="shared" ca="1" si="11"/>
        <v>5103426.2300000004</v>
      </c>
      <c r="O20" s="30">
        <f t="shared" ca="1" si="9"/>
        <v>109.52258813975659</v>
      </c>
      <c r="P20" s="30">
        <f t="shared" ca="1" si="10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3" t="s">
        <v>12</v>
      </c>
      <c r="I21" s="270"/>
      <c r="J21" s="270"/>
      <c r="K21" s="498"/>
      <c r="L21" s="498">
        <f t="shared" ref="L21:N21" ca="1" si="12">L22+L23</f>
        <v>4545902</v>
      </c>
      <c r="M21" s="498">
        <f t="shared" ca="1" si="12"/>
        <v>4989626.2300000004</v>
      </c>
      <c r="N21" s="498">
        <f t="shared" ca="1" si="12"/>
        <v>4989626.2300000004</v>
      </c>
      <c r="O21" s="498">
        <f t="shared" ca="1" si="9"/>
        <v>109.76097218989764</v>
      </c>
      <c r="P21" s="498">
        <f t="shared" ca="1" si="10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7"/>
      <c r="J22" s="617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7"/>
      <c r="J23" s="617"/>
      <c r="K23" s="93"/>
      <c r="L23" s="93">
        <f t="shared" ca="1" si="13"/>
        <v>4545902</v>
      </c>
      <c r="M23" s="93">
        <f t="shared" ca="1" si="13"/>
        <v>4989626.2300000004</v>
      </c>
      <c r="N23" s="93">
        <f t="shared" ca="1" si="13"/>
        <v>4989626.2300000004</v>
      </c>
      <c r="O23" s="93">
        <f t="shared" ca="1" si="9"/>
        <v>109.76097218989764</v>
      </c>
      <c r="P23" s="93">
        <f t="shared" ca="1" si="10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3" t="s">
        <v>12</v>
      </c>
      <c r="I24" s="270"/>
      <c r="J24" s="270"/>
      <c r="K24" s="498"/>
      <c r="L24" s="498">
        <f t="shared" ref="L24:N24" ca="1" si="14">L25+L26</f>
        <v>113800</v>
      </c>
      <c r="M24" s="498">
        <f t="shared" ca="1" si="14"/>
        <v>113800</v>
      </c>
      <c r="N24" s="498">
        <f t="shared" ca="1" si="14"/>
        <v>113800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7"/>
      <c r="J25" s="617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3088013</v>
      </c>
      <c r="M28" s="22">
        <f t="shared" ca="1" si="16"/>
        <v>2830199.33</v>
      </c>
      <c r="N28" s="22">
        <f t="shared" si="16"/>
        <v>2830199.33</v>
      </c>
      <c r="O28" s="22">
        <f t="shared" ref="O28:O37" ca="1" si="17">IF(L28&gt;0,N28*100/L28,0)</f>
        <v>91.651146870171857</v>
      </c>
      <c r="P28" s="22">
        <f t="shared" ref="P28:P37" ca="1" si="18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3088013</v>
      </c>
      <c r="M30" s="30">
        <f t="shared" ca="1" si="19"/>
        <v>2830199.33</v>
      </c>
      <c r="N30" s="30">
        <f t="shared" si="19"/>
        <v>2830199.33</v>
      </c>
      <c r="O30" s="30">
        <f t="shared" ca="1" si="17"/>
        <v>91.651146870171857</v>
      </c>
      <c r="P30" s="30">
        <f t="shared" ca="1" si="18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3" t="s">
        <v>12</v>
      </c>
      <c r="I31" s="270"/>
      <c r="J31" s="270"/>
      <c r="K31" s="498"/>
      <c r="L31" s="498">
        <f t="shared" ref="L31:N31" ca="1" si="20">L32+L33</f>
        <v>3088013</v>
      </c>
      <c r="M31" s="498">
        <f t="shared" ca="1" si="20"/>
        <v>2830199.33</v>
      </c>
      <c r="N31" s="498">
        <f t="shared" si="20"/>
        <v>2830199.33</v>
      </c>
      <c r="O31" s="498">
        <f t="shared" ca="1" si="17"/>
        <v>91.651146870171857</v>
      </c>
      <c r="P31" s="498">
        <f t="shared" ca="1" si="18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7"/>
      <c r="J32" s="617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7"/>
      <c r="J33" s="617"/>
      <c r="K33" s="93"/>
      <c r="L33" s="93">
        <f t="shared" ca="1" si="21"/>
        <v>3088013</v>
      </c>
      <c r="M33" s="93">
        <f t="shared" ca="1" si="21"/>
        <v>2830199.33</v>
      </c>
      <c r="N33" s="93">
        <f t="shared" si="21"/>
        <v>2830199.33</v>
      </c>
      <c r="O33" s="93">
        <f t="shared" ca="1" si="17"/>
        <v>91.651146870171857</v>
      </c>
      <c r="P33" s="93">
        <f t="shared" ca="1" si="18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3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7"/>
      <c r="J35" s="617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7" t="s">
        <v>24</v>
      </c>
      <c r="B37" s="868"/>
      <c r="C37" s="868"/>
      <c r="D37" s="868"/>
      <c r="E37" s="868"/>
      <c r="F37" s="868"/>
      <c r="G37" s="869"/>
      <c r="H37" s="870"/>
      <c r="I37" s="871"/>
      <c r="J37" s="871"/>
      <c r="K37" s="872"/>
      <c r="L37" s="873">
        <f t="shared" ref="L37:N37" ca="1" si="24">L41+L53+L66+L88+L119+L132+L149+L165+L181+L261+L277+L298+L315+L328+L345+L389+L402</f>
        <v>4659702</v>
      </c>
      <c r="M37" s="873">
        <f t="shared" ca="1" si="24"/>
        <v>5103426.2300000004</v>
      </c>
      <c r="N37" s="873">
        <f t="shared" ca="1" si="24"/>
        <v>5103426.2300000004</v>
      </c>
      <c r="O37" s="873">
        <f t="shared" ca="1" si="17"/>
        <v>109.52258813975659</v>
      </c>
      <c r="P37" s="873">
        <f t="shared" ca="1" si="18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786592</v>
      </c>
      <c r="M41" s="85">
        <f t="shared" ca="1" si="25"/>
        <v>911306.23</v>
      </c>
      <c r="N41" s="85">
        <f t="shared" ca="1" si="25"/>
        <v>911306.23</v>
      </c>
      <c r="O41" s="85">
        <f t="shared" ref="O41:O49" ca="1" si="26">IF(L41&gt;0,N41*100/L41,0)</f>
        <v>115.85500869574061</v>
      </c>
      <c r="P41" s="85">
        <f t="shared" ref="P41:P49" ca="1" si="27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786592</v>
      </c>
      <c r="M43" s="92">
        <f t="shared" ca="1" si="28"/>
        <v>911306.23</v>
      </c>
      <c r="N43" s="92">
        <f t="shared" ca="1" si="28"/>
        <v>911306.23</v>
      </c>
      <c r="O43" s="92">
        <f t="shared" ca="1" si="26"/>
        <v>115.85500869574061</v>
      </c>
      <c r="P43" s="92">
        <f t="shared" ca="1" si="27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3" t="s">
        <v>12</v>
      </c>
      <c r="I44" s="270"/>
      <c r="J44" s="270"/>
      <c r="K44" s="498"/>
      <c r="L44" s="498">
        <f t="shared" ref="L44:N44" ca="1" si="29">L45+L46</f>
        <v>786592</v>
      </c>
      <c r="M44" s="498">
        <f t="shared" ca="1" si="29"/>
        <v>911306.23</v>
      </c>
      <c r="N44" s="498">
        <f t="shared" ca="1" si="29"/>
        <v>911306.23</v>
      </c>
      <c r="O44" s="498">
        <f t="shared" ca="1" si="26"/>
        <v>115.85500869574061</v>
      </c>
      <c r="P44" s="498">
        <f t="shared" ca="1" si="27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7"/>
      <c r="J45" s="617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7"/>
      <c r="J46" s="617"/>
      <c r="K46" s="93"/>
      <c r="L46" s="93">
        <f ca="1">IFERROR(__xludf.DUMMYFUNCTION("IMPORTRANGE(""https://docs.google.com/spreadsheets/d/1MeEWN-I1oV_STSDYn1IFDPWt_1FKiwhDph83XaGc0o0/edit?usp=sharing"",""งบพรบ!M38"")"),786592)</f>
        <v>786592</v>
      </c>
      <c r="M46" s="93">
        <f ca="1">IFERROR(__xludf.DUMMYFUNCTION("IMPORTRANGE(""https://docs.google.com/spreadsheets/d/1MeEWN-I1oV_STSDYn1IFDPWt_1FKiwhDph83XaGc0o0/edit?usp=sharing"",""งบพรบ!R38"")"),911306.23)</f>
        <v>911306.23</v>
      </c>
      <c r="N46" s="93">
        <f ca="1">IFERROR(__xludf.DUMMYFUNCTION("IMPORTRANGE(""https://docs.google.com/spreadsheets/d/1MeEWN-I1oV_STSDYn1IFDPWt_1FKiwhDph83XaGc0o0/edit?usp=sharing"",""งบพรบ!T38"")"),911306.23)</f>
        <v>911306.23</v>
      </c>
      <c r="O46" s="93">
        <f t="shared" ca="1" si="26"/>
        <v>115.85500869574061</v>
      </c>
      <c r="P46" s="93">
        <f t="shared" ca="1" si="27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3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7"/>
      <c r="J48" s="617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IFERROR(__xludf.DUMMYFUNCTION("IMPORTRANGE(""https://docs.google.com/spreadsheets/d/1MeEWN-I1oV_STSDYn1IFDPWt_1FKiwhDph83XaGc0o0/edit?usp=sharing"",""งบพรบ!P38"")"),0)</f>
        <v>0</v>
      </c>
      <c r="M49" s="52">
        <f ca="1">IFERROR(__xludf.DUMMYFUNCTION("IMPORTRANGE(""https://docs.google.com/spreadsheets/d/1MeEWN-I1oV_STSDYn1IFDPWt_1FKiwhDph83XaGc0o0/edit?usp=sharing"",""งบพรบ!S38"")"),0)</f>
        <v>0</v>
      </c>
      <c r="N49" s="52">
        <f ca="1">IFERROR(__xludf.DUMMYFUNCTION("IMPORTRANGE(""https://docs.google.com/spreadsheets/d/1MeEWN-I1oV_STSDYn1IFDPWt_1FKiwhDph83XaGc0o0/edit?usp=sharing"",""งบพรบ!U38"")"),0)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726300</v>
      </c>
      <c r="M53" s="116">
        <f t="shared" ca="1" si="31"/>
        <v>835700</v>
      </c>
      <c r="N53" s="116">
        <f t="shared" ca="1" si="31"/>
        <v>835700</v>
      </c>
      <c r="O53" s="116">
        <f t="shared" ref="O53:O61" ca="1" si="32">IF(L53&gt;0,N53*100/L53,0)</f>
        <v>115.06264628941209</v>
      </c>
      <c r="P53" s="116">
        <f t="shared" ref="P53:P61" ca="1" si="33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726300</v>
      </c>
      <c r="M55" s="123">
        <f t="shared" ca="1" si="34"/>
        <v>835700</v>
      </c>
      <c r="N55" s="123">
        <f t="shared" ca="1" si="34"/>
        <v>835700</v>
      </c>
      <c r="O55" s="123">
        <f t="shared" ca="1" si="32"/>
        <v>115.06264628941209</v>
      </c>
      <c r="P55" s="123">
        <f t="shared" ca="1" si="33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3" t="s">
        <v>12</v>
      </c>
      <c r="I56" s="270"/>
      <c r="J56" s="270"/>
      <c r="K56" s="498"/>
      <c r="L56" s="498">
        <f t="shared" ref="L56:N56" ca="1" si="35">L57+L58</f>
        <v>726300</v>
      </c>
      <c r="M56" s="498">
        <f t="shared" ca="1" si="35"/>
        <v>835700</v>
      </c>
      <c r="N56" s="498">
        <f t="shared" ca="1" si="35"/>
        <v>835700</v>
      </c>
      <c r="O56" s="498">
        <f t="shared" ca="1" si="32"/>
        <v>115.06264628941209</v>
      </c>
      <c r="P56" s="498">
        <f t="shared" ca="1" si="33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7"/>
      <c r="J57" s="617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7"/>
      <c r="J58" s="617"/>
      <c r="K58" s="93"/>
      <c r="L58" s="93">
        <f ca="1">IFERROR(__xludf.DUMMYFUNCTION("IMPORTRANGE(""https://docs.google.com/spreadsheets/d/1MeEWN-I1oV_STSDYn1IFDPWt_1FKiwhDph83XaGc0o0/edit?usp=sharing"",""งบพรบ!W38"")"),726300)</f>
        <v>726300</v>
      </c>
      <c r="M58" s="93">
        <f ca="1">IFERROR(__xludf.DUMMYFUNCTION("IMPORTRANGE(""https://docs.google.com/spreadsheets/d/1MeEWN-I1oV_STSDYn1IFDPWt_1FKiwhDph83XaGc0o0/edit?usp=sharing"",""งบพรบ!AB38"")"),835700)</f>
        <v>835700</v>
      </c>
      <c r="N58" s="93">
        <f ca="1">IFERROR(__xludf.DUMMYFUNCTION("IMPORTRANGE(""https://docs.google.com/spreadsheets/d/1MeEWN-I1oV_STSDYn1IFDPWt_1FKiwhDph83XaGc0o0/edit?usp=sharing"",""งบพรบ!AD38"")"),835700)</f>
        <v>835700</v>
      </c>
      <c r="O58" s="93">
        <f t="shared" ca="1" si="32"/>
        <v>115.06264628941209</v>
      </c>
      <c r="P58" s="93">
        <f t="shared" ca="1" si="33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3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7"/>
      <c r="J60" s="617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IFERROR(__xludf.DUMMYFUNCTION("IMPORTRANGE(""https://docs.google.com/spreadsheets/d/1MeEWN-I1oV_STSDYn1IFDPWt_1FKiwhDph83XaGc0o0/edit?usp=sharing"",""งบพรบ!Z38"")"),0)</f>
        <v>0</v>
      </c>
      <c r="M61" s="52">
        <f ca="1">IFERROR(__xludf.DUMMYFUNCTION("IMPORTRANGE(""https://docs.google.com/spreadsheets/d/1MeEWN-I1oV_STSDYn1IFDPWt_1FKiwhDph83XaGc0o0/edit?usp=sharing"",""งบพรบ!AC38"")"),0)</f>
        <v>0</v>
      </c>
      <c r="N61" s="52">
        <f ca="1">IFERROR(__xludf.DUMMYFUNCTION("IMPORTRANGE(""https://docs.google.com/spreadsheets/d/1MeEWN-I1oV_STSDYn1IFDPWt_1FKiwhDph83XaGc0o0/edit?usp=sharing"",""งบพรบ!AE38"")"),0)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63</v>
      </c>
      <c r="J65" s="144">
        <f t="shared" si="37"/>
        <v>63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855000</v>
      </c>
      <c r="M66" s="155">
        <f t="shared" ca="1" si="39"/>
        <v>870170</v>
      </c>
      <c r="N66" s="155">
        <f t="shared" ca="1" si="39"/>
        <v>870170</v>
      </c>
      <c r="O66" s="155">
        <f t="shared" ref="O66:O74" ca="1" si="40">IF(L66&gt;0,N66*100/L66,0)</f>
        <v>101.77426900584796</v>
      </c>
      <c r="P66" s="155">
        <f t="shared" ref="P66:P74" ca="1" si="41">IF(M66&gt;0,N66*100/M66,0)</f>
        <v>100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7"/>
      <c r="J67" s="617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7"/>
      <c r="J68" s="617"/>
      <c r="K68" s="93"/>
      <c r="L68" s="93">
        <f t="shared" ca="1" si="42"/>
        <v>855000</v>
      </c>
      <c r="M68" s="93">
        <f t="shared" ca="1" si="42"/>
        <v>870170</v>
      </c>
      <c r="N68" s="93">
        <f t="shared" ca="1" si="42"/>
        <v>870170</v>
      </c>
      <c r="O68" s="93">
        <f t="shared" ca="1" si="40"/>
        <v>101.77426900584796</v>
      </c>
      <c r="P68" s="93">
        <f t="shared" ca="1" si="41"/>
        <v>100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855000</v>
      </c>
      <c r="M69" s="498">
        <f t="shared" ca="1" si="43"/>
        <v>870170</v>
      </c>
      <c r="N69" s="498">
        <f t="shared" ca="1" si="43"/>
        <v>870170</v>
      </c>
      <c r="O69" s="498">
        <f t="shared" ca="1" si="40"/>
        <v>101.77426900584796</v>
      </c>
      <c r="P69" s="498">
        <f t="shared" ca="1" si="41"/>
        <v>100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IFERROR(__xludf.DUMMYFUNCTION("IMPORTRANGE(""https://docs.google.com/spreadsheets/d/1MeEWN-I1oV_STSDYn1IFDPWt_1FKiwhDph83XaGc0o0/edit?usp=sharing"",""งบพรบ!AG38"")"),855000)</f>
        <v>855000</v>
      </c>
      <c r="M71" s="93">
        <f ca="1">IFERROR(__xludf.DUMMYFUNCTION("IMPORTRANGE(""https://docs.google.com/spreadsheets/d/1MeEWN-I1oV_STSDYn1IFDPWt_1FKiwhDph83XaGc0o0/edit?usp=sharing"",""งบพรบ!AL38"")"),870170)</f>
        <v>870170</v>
      </c>
      <c r="N71" s="93">
        <f ca="1">IFERROR(__xludf.DUMMYFUNCTION("IMPORTRANGE(""https://docs.google.com/spreadsheets/d/1MeEWN-I1oV_STSDYn1IFDPWt_1FKiwhDph83XaGc0o0/edit?usp=sharing"",""งบพรบ!AN38"")"),870170)</f>
        <v>870170</v>
      </c>
      <c r="O71" s="93">
        <f t="shared" ca="1" si="40"/>
        <v>101.77426900584796</v>
      </c>
      <c r="P71" s="93">
        <f t="shared" ca="1" si="41"/>
        <v>100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IFERROR(__xludf.DUMMYFUNCTION("IMPORTRANGE(""https://docs.google.com/spreadsheets/d/1MeEWN-I1oV_STSDYn1IFDPWt_1FKiwhDph83XaGc0o0/edit?usp=sharing"",""งบพรบ!AJ38"")"),0)</f>
        <v>0</v>
      </c>
      <c r="M74" s="93">
        <f ca="1">IFERROR(__xludf.DUMMYFUNCTION("IMPORTRANGE(""https://docs.google.com/spreadsheets/d/1MeEWN-I1oV_STSDYn1IFDPWt_1FKiwhDph83XaGc0o0/edit?usp=sharing"",""งบพรบ!AM38"")"),0)</f>
        <v>0</v>
      </c>
      <c r="N74" s="93">
        <f ca="1">IFERROR(__xludf.DUMMYFUNCTION("IMPORTRANGE(""https://docs.google.com/spreadsheets/d/1MeEWN-I1oV_STSDYn1IFDPWt_1FKiwhDph83XaGc0o0/edit?usp=sharing"",""งบพรบ!AO38"")"),0)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7" t="s">
        <v>38</v>
      </c>
      <c r="E75" s="173"/>
      <c r="F75" s="173"/>
      <c r="G75" s="174"/>
      <c r="H75" s="76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63</v>
      </c>
      <c r="J77" s="270">
        <f t="shared" si="45"/>
        <v>63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4" t="s">
        <v>34</v>
      </c>
      <c r="I78" s="184">
        <f ca="1">IFERROR(__xludf.DUMMYFUNCTION("IMPORTRANGE(""https://docs.google.com/spreadsheets/d/1QqKyyYR6Q21VydFLVH3TRQUabQu_ym0Zz7PgGX0-kHA/edit?usp=sharing"",""แผน!H38"")"),0)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4" t="s">
        <v>35</v>
      </c>
      <c r="I79" s="184">
        <f ca="1">IFERROR(__xludf.DUMMYFUNCTION("IMPORTRANGE(""https://docs.google.com/spreadsheets/d/1QqKyyYR6Q21VydFLVH3TRQUabQu_ym0Zz7PgGX0-kHA/edit?usp=sharing"",""แผน!I38"")"),0)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4" t="s">
        <v>34</v>
      </c>
      <c r="I80" s="184">
        <f ca="1">IFERROR(__xludf.DUMMYFUNCTION("IMPORTRANGE(""https://docs.google.com/spreadsheets/d/1QqKyyYR6Q21VydFLVH3TRQUabQu_ym0Zz7PgGX0-kHA/edit?usp=sharing"",""แผน!F38"")"),1)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4" t="s">
        <v>35</v>
      </c>
      <c r="I81" s="184">
        <f ca="1">IFERROR(__xludf.DUMMYFUNCTION("IMPORTRANGE(""https://docs.google.com/spreadsheets/d/1QqKyyYR6Q21VydFLVH3TRQUabQu_ym0Zz7PgGX0-kHA/edit?usp=sharing"",""แผน!G38"")"),63)</f>
        <v>63</v>
      </c>
      <c r="J81" s="215">
        <v>63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4" t="s">
        <v>34</v>
      </c>
      <c r="I82" s="184">
        <f ca="1">IFERROR(__xludf.DUMMYFUNCTION("IMPORTRANGE(""https://docs.google.com/spreadsheets/d/1QqKyyYR6Q21VydFLVH3TRQUabQu_ym0Zz7PgGX0-kHA/edit?usp=sharing"",""แผน!D38"")"),0)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4" t="s">
        <v>35</v>
      </c>
      <c r="I83" s="184">
        <f ca="1">IFERROR(__xludf.DUMMYFUNCTION("IMPORTRANGE(""https://docs.google.com/spreadsheets/d/1QqKyyYR6Q21VydFLVH3TRQUabQu_ym0Zz7PgGX0-kHA/edit?usp=sharing"",""แผน!E38"")"),0)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IFERROR(__xludf.DUMMYFUNCTION("IMPORTRANGE(""https://docs.google.com/spreadsheets/d/1QqKyyYR6Q21VydFLVH3TRQUabQu_ym0Zz7PgGX0-kHA/edit?usp=sharing"",""แผน!J38"")"),1)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50200</v>
      </c>
      <c r="N88" s="155">
        <f t="shared" ca="1" si="49"/>
        <v>50200</v>
      </c>
      <c r="O88" s="155">
        <f t="shared" ref="O88:O96" ca="1" si="50">IF(L88&gt;0,N88*100/L88,0)</f>
        <v>160.89743589743588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7"/>
      <c r="J89" s="617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7"/>
      <c r="J90" s="617"/>
      <c r="K90" s="93"/>
      <c r="L90" s="93">
        <f t="shared" ca="1" si="52"/>
        <v>31200</v>
      </c>
      <c r="M90" s="93">
        <f t="shared" ca="1" si="52"/>
        <v>50200</v>
      </c>
      <c r="N90" s="93">
        <f t="shared" ca="1" si="52"/>
        <v>50200</v>
      </c>
      <c r="O90" s="93">
        <f t="shared" ca="1" si="50"/>
        <v>160.89743589743588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31200</v>
      </c>
      <c r="M91" s="498">
        <f t="shared" ca="1" si="53"/>
        <v>50200</v>
      </c>
      <c r="N91" s="498">
        <f t="shared" ca="1" si="53"/>
        <v>50200</v>
      </c>
      <c r="O91" s="498">
        <f t="shared" ca="1" si="50"/>
        <v>160.89743589743588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IFERROR(__xludf.DUMMYFUNCTION("IMPORTRANGE(""https://docs.google.com/spreadsheets/d/1MeEWN-I1oV_STSDYn1IFDPWt_1FKiwhDph83XaGc0o0/edit?usp=sharing"",""งบพรบ!AQ38"")"),31200)</f>
        <v>31200</v>
      </c>
      <c r="M93" s="93">
        <f ca="1">IFERROR(__xludf.DUMMYFUNCTION("IMPORTRANGE(""https://docs.google.com/spreadsheets/d/1MeEWN-I1oV_STSDYn1IFDPWt_1FKiwhDph83XaGc0o0/edit?usp=sharing"",""งบพรบ!AV38"")"),50200)</f>
        <v>50200</v>
      </c>
      <c r="N93" s="93">
        <f ca="1">IFERROR(__xludf.DUMMYFUNCTION("IMPORTRANGE(""https://docs.google.com/spreadsheets/d/1MeEWN-I1oV_STSDYn1IFDPWt_1FKiwhDph83XaGc0o0/edit?usp=sharing"",""งบพรบ!AX38"")"),50200)</f>
        <v>50200</v>
      </c>
      <c r="O93" s="93">
        <f t="shared" ca="1" si="50"/>
        <v>160.89743589743588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IFERROR(__xludf.DUMMYFUNCTION("IMPORTRANGE(""https://docs.google.com/spreadsheets/d/1MeEWN-I1oV_STSDYn1IFDPWt_1FKiwhDph83XaGc0o0/edit?usp=sharing"",""งบพรบ!AT38"")"),0)</f>
        <v>0</v>
      </c>
      <c r="M96" s="93">
        <f ca="1">IFERROR(__xludf.DUMMYFUNCTION("IMPORTRANGE(""https://docs.google.com/spreadsheets/d/1MeEWN-I1oV_STSDYn1IFDPWt_1FKiwhDph83XaGc0o0/edit?usp=sharing"",""งบพรบ!AW38"")"),0)</f>
        <v>0</v>
      </c>
      <c r="N96" s="93">
        <f ca="1">IFERROR(__xludf.DUMMYFUNCTION("IMPORTRANGE(""https://docs.google.com/spreadsheets/d/1MeEWN-I1oV_STSDYn1IFDPWt_1FKiwhDph83XaGc0o0/edit?usp=sharing"",""งบพรบ!AY38"")"),0)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7" t="s">
        <v>38</v>
      </c>
      <c r="E97" s="173"/>
      <c r="F97" s="173"/>
      <c r="G97" s="174"/>
      <c r="H97" s="762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3" t="s">
        <v>46</v>
      </c>
      <c r="I98" s="270">
        <f ca="1">IFERROR(__xludf.DUMMYFUNCTION("IMPORTRANGE(""https://docs.google.com/spreadsheets/d/1QqKyyYR6Q21VydFLVH3TRQUabQu_ym0Zz7PgGX0-kHA/edit?usp=sharing"",""แผน!K38"")"),0)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3" t="s">
        <v>35</v>
      </c>
      <c r="I99" s="270">
        <f ca="1">IFERROR(__xludf.DUMMYFUNCTION("IMPORTRANGE(""https://docs.google.com/spreadsheets/d/1QqKyyYR6Q21VydFLVH3TRQUabQu_ym0Zz7PgGX0-kHA/edit?usp=sharing"",""แผน!L38"")"),0)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3" t="s">
        <v>49</v>
      </c>
      <c r="I100" s="270">
        <f ca="1">IFERROR(__xludf.DUMMYFUNCTION("IMPORTRANGE(""https://docs.google.com/spreadsheets/d/1QqKyyYR6Q21VydFLVH3TRQUabQu_ym0Zz7PgGX0-kHA/edit?usp=sharing"",""แผน!M38"")"),1)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3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6" t="s">
        <v>47</v>
      </c>
      <c r="F102" s="178"/>
      <c r="G102" s="179"/>
      <c r="H102" s="623" t="s">
        <v>46</v>
      </c>
      <c r="I102" s="270">
        <f ca="1">IFERROR(__xludf.DUMMYFUNCTION("IMPORTRANGE(""https://docs.google.com/spreadsheets/d/1QqKyyYR6Q21VydFLVH3TRQUabQu_ym0Zz7PgGX0-kHA/edit?usp=sharing"",""แผน!N38"")"),0)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3" t="s">
        <v>35</v>
      </c>
      <c r="I103" s="270">
        <f ca="1">IFERROR(__xludf.DUMMYFUNCTION("IMPORTRANGE(""https://docs.google.com/spreadsheets/d/1QqKyyYR6Q21VydFLVH3TRQUabQu_ym0Zz7PgGX0-kHA/edit?usp=sharing"",""แผน!O38"")"),0)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3" t="s">
        <v>35</v>
      </c>
      <c r="I104" s="270">
        <f ca="1">IFERROR(__xludf.DUMMYFUNCTION("IMPORTRANGE(""https://docs.google.com/spreadsheets/d/1QqKyyYR6Q21VydFLVH3TRQUabQu_ym0Zz7PgGX0-kHA/edit?usp=sharing"",""แผน!O38"")"),0)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3" t="s">
        <v>49</v>
      </c>
      <c r="I106" s="270">
        <f ca="1">IFERROR(__xludf.DUMMYFUNCTION("IMPORTRANGE(""https://docs.google.com/spreadsheets/d/1QqKyyYR6Q21VydFLVH3TRQUabQu_ym0Zz7PgGX0-kHA/edit?usp=sharing"",""แผน!P38"")"),0)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3" t="s">
        <v>49</v>
      </c>
      <c r="I107" s="270">
        <f ca="1">IFERROR(__xludf.DUMMYFUNCTION("IMPORTRANGE(""https://docs.google.com/spreadsheets/d/1QqKyyYR6Q21VydFLVH3TRQUabQu_ym0Zz7PgGX0-kHA/edit?usp=sharing"",""แผน!P38"")"),0)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3" t="s">
        <v>49</v>
      </c>
      <c r="I109" s="270">
        <f ca="1">IFERROR(__xludf.DUMMYFUNCTION("IMPORTRANGE(""https://docs.google.com/spreadsheets/d/1QqKyyYR6Q21VydFLVH3TRQUabQu_ym0Zz7PgGX0-kHA/edit?usp=sharing"",""แผน!Q38"")"),1)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3" t="s">
        <v>49</v>
      </c>
      <c r="I110" s="270">
        <f ca="1">IFERROR(__xludf.DUMMYFUNCTION("IMPORTRANGE(""https://docs.google.com/spreadsheets/d/1QqKyyYR6Q21VydFLVH3TRQUabQu_ym0Zz7PgGX0-kHA/edit?usp=sharing"",""แผน!Q38"")"),1)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7" t="s">
        <v>35</v>
      </c>
      <c r="I111" s="193">
        <f ca="1">IFERROR(__xludf.DUMMYFUNCTION("IMPORTRANGE(""https://docs.google.com/spreadsheets/d/1QqKyyYR6Q21VydFLVH3TRQUabQu_ym0Zz7PgGX0-kHA/edit?usp=sharing"",""แผน!R38"")"),0)</f>
        <v>0</v>
      </c>
      <c r="J111" s="681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1">
        <f t="shared" si="59"/>
        <v>1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2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IFERROR(__xludf.DUMMYFUNCTION("IMPORTRANGE(""https://docs.google.com/spreadsheets/d/1QqKyyYR6Q21VydFLVH3TRQUabQu_ym0Zz7PgGX0-kHA/edit?usp=sharing"",""แผน!R38"")"),0)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IFERROR(__xludf.DUMMYFUNCTION("IMPORTRANGE(""https://docs.google.com/spreadsheets/d/1QqKyyYR6Q21VydFLVH3TRQUabQu_ym0Zz7PgGX0-kHA/edit?usp=sharing"",""แผน!R38"")"),0)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IFERROR(__xludf.DUMMYFUNCTION("IMPORTRANGE(""https://docs.google.com/spreadsheets/d/1QqKyyYR6Q21VydFLVH3TRQUabQu_ym0Zz7PgGX0-kHA/edit?usp=sharing"",""แผน!S38"")"),0)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IFERROR(__xludf.DUMMYFUNCTION("IMPORTRANGE(""https://docs.google.com/spreadsheets/d/1QqKyyYR6Q21VydFLVH3TRQUabQu_ym0Zz7PgGX0-kHA/edit?usp=sharing"",""แผน!T38"")"),1)</f>
        <v>1</v>
      </c>
      <c r="J116" s="215">
        <v>1</v>
      </c>
      <c r="K116" s="498">
        <f t="shared" ca="1" si="5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7"/>
      <c r="J120" s="617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7"/>
      <c r="J121" s="617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IFERROR(__xludf.DUMMYFUNCTION("IMPORTRANGE(""https://docs.google.com/spreadsheets/d/1MeEWN-I1oV_STSDYn1IFDPWt_1FKiwhDph83XaGc0o0/edit?usp=sharing"",""งบพรบ!BA38"")"),0)</f>
        <v>0</v>
      </c>
      <c r="M124" s="93">
        <f ca="1">IFERROR(__xludf.DUMMYFUNCTION("IMPORTRANGE(""https://docs.google.com/spreadsheets/d/1MeEWN-I1oV_STSDYn1IFDPWt_1FKiwhDph83XaGc0o0/edit?usp=sharing"",""งบพรบ!BF38"")"),0)</f>
        <v>0</v>
      </c>
      <c r="N124" s="93">
        <f ca="1">IFERROR(__xludf.DUMMYFUNCTION("IMPORTRANGE(""https://docs.google.com/spreadsheets/d/1MeEWN-I1oV_STSDYn1IFDPWt_1FKiwhDph83XaGc0o0/edit?usp=sharing"",""งบพรบ!BH38"")"),0)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IFERROR(__xludf.DUMMYFUNCTION("IMPORTRANGE(""https://docs.google.com/spreadsheets/d/1MeEWN-I1oV_STSDYn1IFDPWt_1FKiwhDph83XaGc0o0/edit?usp=sharing"",""งบพรบ!BD38"")"),0)</f>
        <v>0</v>
      </c>
      <c r="M127" s="93">
        <f ca="1">IFERROR(__xludf.DUMMYFUNCTION("IMPORTRANGE(""https://docs.google.com/spreadsheets/d/1MeEWN-I1oV_STSDYn1IFDPWt_1FKiwhDph83XaGc0o0/edit?usp=sharing"",""งบพรบ!BG38"")"),0)</f>
        <v>0</v>
      </c>
      <c r="N127" s="93">
        <f ca="1">IFERROR(__xludf.DUMMYFUNCTION("IMPORTRANGE(""https://docs.google.com/spreadsheets/d/1MeEWN-I1oV_STSDYn1IFDPWt_1FKiwhDph83XaGc0o0/edit?usp=sharing"",""งบพรบ!BI38"")"),0)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7"/>
      <c r="J133" s="617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7"/>
      <c r="J134" s="617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IFERROR(__xludf.DUMMYFUNCTION("IMPORTRANGE(""https://docs.google.com/spreadsheets/d/1MeEWN-I1oV_STSDYn1IFDPWt_1FKiwhDph83XaGc0o0/edit?usp=sharing"",""งบพรบ!BK38"")"),0)</f>
        <v>0</v>
      </c>
      <c r="M137" s="93">
        <f ca="1">IFERROR(__xludf.DUMMYFUNCTION("IMPORTRANGE(""https://docs.google.com/spreadsheets/d/1MeEWN-I1oV_STSDYn1IFDPWt_1FKiwhDph83XaGc0o0/edit?usp=sharing"",""งบพรบ!BP38"")"),0)</f>
        <v>0</v>
      </c>
      <c r="N137" s="93">
        <f ca="1">IFERROR(__xludf.DUMMYFUNCTION("IMPORTRANGE(""https://docs.google.com/spreadsheets/d/1MeEWN-I1oV_STSDYn1IFDPWt_1FKiwhDph83XaGc0o0/edit?usp=sharing"",""งบพรบ!BR38"")"),0)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IFERROR(__xludf.DUMMYFUNCTION("IMPORTRANGE(""https://docs.google.com/spreadsheets/d/1MeEWN-I1oV_STSDYn1IFDPWt_1FKiwhDph83XaGc0o0/edit?usp=sharing"",""งบพรบ!BN38"")"),0)</f>
        <v>0</v>
      </c>
      <c r="M140" s="93">
        <f ca="1">IFERROR(__xludf.DUMMYFUNCTION("IMPORTRANGE(""https://docs.google.com/spreadsheets/d/1MeEWN-I1oV_STSDYn1IFDPWt_1FKiwhDph83XaGc0o0/edit?usp=sharing"",""งบพรบ!BQ38"")"),0)</f>
        <v>0</v>
      </c>
      <c r="N140" s="93">
        <f ca="1">IFERROR(__xludf.DUMMYFUNCTION("IMPORTRANGE(""https://docs.google.com/spreadsheets/d/1MeEWN-I1oV_STSDYn1IFDPWt_1FKiwhDph83XaGc0o0/edit?usp=sharing"",""งบพรบ!BS38"")"),0)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IFERROR(__xludf.DUMMYFUNCTION("IMPORTRANGE(""https://docs.google.com/spreadsheets/d/1QqKyyYR6Q21VydFLVH3TRQUabQu_ym0Zz7PgGX0-kHA/edit?usp=sharing"",""แผน!U38"")"),0)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IFERROR(__xludf.DUMMYFUNCTION("IMPORTRANGE(""https://docs.google.com/spreadsheets/d/1QqKyyYR6Q21VydFLVH3TRQUabQu_ym0Zz7PgGX0-kHA/edit?usp=sharing"",""แผน!V38"")"),0)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IFERROR(__xludf.DUMMYFUNCTION("IMPORTRANGE(""https://docs.google.com/spreadsheets/d/1QqKyyYR6Q21VydFLVH3TRQUabQu_ym0Zz7PgGX0-kHA/edit?usp=sharing"",""แผน!W38"")"),0)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8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34040</v>
      </c>
      <c r="N149" s="155">
        <f t="shared" ca="1" si="77"/>
        <v>34040</v>
      </c>
      <c r="O149" s="155">
        <f t="shared" ref="O149:O157" ca="1" si="78">IF(L149&gt;0,N149*100/L149,0)</f>
        <v>340.4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7"/>
      <c r="J150" s="617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7"/>
      <c r="J151" s="617"/>
      <c r="K151" s="93"/>
      <c r="L151" s="93">
        <f t="shared" ca="1" si="80"/>
        <v>10000</v>
      </c>
      <c r="M151" s="93">
        <f t="shared" ca="1" si="80"/>
        <v>34040</v>
      </c>
      <c r="N151" s="93">
        <f t="shared" ca="1" si="80"/>
        <v>34040</v>
      </c>
      <c r="O151" s="93">
        <f t="shared" ca="1" si="78"/>
        <v>340.4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34040</v>
      </c>
      <c r="N152" s="498">
        <f t="shared" ca="1" si="81"/>
        <v>34040</v>
      </c>
      <c r="O152" s="498">
        <f t="shared" ca="1" si="78"/>
        <v>340.4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IFERROR(__xludf.DUMMYFUNCTION("IMPORTRANGE(""https://docs.google.com/spreadsheets/d/1MeEWN-I1oV_STSDYn1IFDPWt_1FKiwhDph83XaGc0o0/edit?usp=sharing"",""งบพรบ!BU38"")"),10000)</f>
        <v>10000</v>
      </c>
      <c r="M154" s="93">
        <f ca="1">IFERROR(__xludf.DUMMYFUNCTION("IMPORTRANGE(""https://docs.google.com/spreadsheets/d/1MeEWN-I1oV_STSDYn1IFDPWt_1FKiwhDph83XaGc0o0/edit?usp=sharing"",""งบพรบ!BZ38"")"),34040)</f>
        <v>34040</v>
      </c>
      <c r="N154" s="93">
        <f ca="1">IFERROR(__xludf.DUMMYFUNCTION("IMPORTRANGE(""https://docs.google.com/spreadsheets/d/1MeEWN-I1oV_STSDYn1IFDPWt_1FKiwhDph83XaGc0o0/edit?usp=sharing"",""งบพรบ!CB38"")"),34040)</f>
        <v>34040</v>
      </c>
      <c r="O154" s="93">
        <f t="shared" ca="1" si="78"/>
        <v>340.4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IFERROR(__xludf.DUMMYFUNCTION("IMPORTRANGE(""https://docs.google.com/spreadsheets/d/1MeEWN-I1oV_STSDYn1IFDPWt_1FKiwhDph83XaGc0o0/edit?usp=sharing"",""งบพรบ!BX38"")"),0)</f>
        <v>0</v>
      </c>
      <c r="M157" s="93">
        <f ca="1">IFERROR(__xludf.DUMMYFUNCTION("IMPORTRANGE(""https://docs.google.com/spreadsheets/d/1MeEWN-I1oV_STSDYn1IFDPWt_1FKiwhDph83XaGc0o0/edit?usp=sharing"",""งบพรบ!CA38"")"),0)</f>
        <v>0</v>
      </c>
      <c r="N157" s="93">
        <f ca="1">IFERROR(__xludf.DUMMYFUNCTION("IMPORTRANGE(""https://docs.google.com/spreadsheets/d/1MeEWN-I1oV_STSDYn1IFDPWt_1FKiwhDph83XaGc0o0/edit?usp=sharing"",""งบพรบ!CC38"")"),0)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IFERROR(__xludf.DUMMYFUNCTION("IMPORTRANGE(""https://docs.google.com/spreadsheets/d/1QqKyyYR6Q21VydFLVH3TRQUabQu_ym0Zz7PgGX0-kHA/edit?usp=sharing"",""แผน!X38"")"),20)</f>
        <v>20</v>
      </c>
      <c r="J159" s="215">
        <v>20</v>
      </c>
      <c r="K159" s="498">
        <f ca="1">IF(I159&gt;0,J159*100/I159,0)</f>
        <v>100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7"/>
      <c r="J160" s="617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36950</v>
      </c>
      <c r="N165" s="155">
        <f t="shared" ca="1" si="84"/>
        <v>36950</v>
      </c>
      <c r="O165" s="155">
        <f t="shared" ref="O165:O173" ca="1" si="85">IF(L165&gt;0,N165*100/L165,0)</f>
        <v>175.53444180522564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7"/>
      <c r="J166" s="617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7"/>
      <c r="J167" s="617"/>
      <c r="K167" s="93"/>
      <c r="L167" s="93">
        <f t="shared" ca="1" si="87"/>
        <v>21050</v>
      </c>
      <c r="M167" s="93">
        <f t="shared" ca="1" si="87"/>
        <v>36950</v>
      </c>
      <c r="N167" s="93">
        <f t="shared" ca="1" si="87"/>
        <v>36950</v>
      </c>
      <c r="O167" s="93">
        <f t="shared" ca="1" si="85"/>
        <v>175.53444180522564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36950</v>
      </c>
      <c r="N168" s="498">
        <f t="shared" ca="1" si="88"/>
        <v>36950</v>
      </c>
      <c r="O168" s="498">
        <f t="shared" ca="1" si="85"/>
        <v>175.53444180522564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IFERROR(__xludf.DUMMYFUNCTION("IMPORTRANGE(""https://docs.google.com/spreadsheets/d/1MeEWN-I1oV_STSDYn1IFDPWt_1FKiwhDph83XaGc0o0/edit?usp=sharing"",""งบพรบ!CE38"")"),21050)</f>
        <v>21050</v>
      </c>
      <c r="M170" s="93">
        <f ca="1">IFERROR(__xludf.DUMMYFUNCTION("IMPORTRANGE(""https://docs.google.com/spreadsheets/d/1MeEWN-I1oV_STSDYn1IFDPWt_1FKiwhDph83XaGc0o0/edit?usp=sharing"",""งบพรบ!CJ38"")"),36950)</f>
        <v>36950</v>
      </c>
      <c r="N170" s="93">
        <f ca="1">IFERROR(__xludf.DUMMYFUNCTION("IMPORTRANGE(""https://docs.google.com/spreadsheets/d/1MeEWN-I1oV_STSDYn1IFDPWt_1FKiwhDph83XaGc0o0/edit?usp=sharing"",""งบพรบ!CL38"")"),36950)</f>
        <v>36950</v>
      </c>
      <c r="O170" s="93">
        <f t="shared" ca="1" si="85"/>
        <v>175.53444180522564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IFERROR(__xludf.DUMMYFUNCTION("IMPORTRANGE(""https://docs.google.com/spreadsheets/d/1MeEWN-I1oV_STSDYn1IFDPWt_1FKiwhDph83XaGc0o0/edit?usp=sharing"",""งบพรบ!CH38"")"),0)</f>
        <v>0</v>
      </c>
      <c r="M173" s="93">
        <f ca="1">IFERROR(__xludf.DUMMYFUNCTION("IMPORTRANGE(""https://docs.google.com/spreadsheets/d/1MeEWN-I1oV_STSDYn1IFDPWt_1FKiwhDph83XaGc0o0/edit?usp=sharing"",""งบพรบ!CK38"")"),0)</f>
        <v>0</v>
      </c>
      <c r="N173" s="93">
        <f ca="1">IFERROR(__xludf.DUMMYFUNCTION("IMPORTRANGE(""https://docs.google.com/spreadsheets/d/1MeEWN-I1oV_STSDYn1IFDPWt_1FKiwhDph83XaGc0o0/edit?usp=sharing"",""งบพรบ!CM38"")"),0)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7" t="s">
        <v>38</v>
      </c>
      <c r="E175" s="173"/>
      <c r="F175" s="173"/>
      <c r="G175" s="174"/>
      <c r="H175" s="76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6" t="s">
        <v>85</v>
      </c>
      <c r="E176" s="178"/>
      <c r="F176" s="178"/>
      <c r="G176" s="179"/>
      <c r="H176" s="623" t="s">
        <v>35</v>
      </c>
      <c r="I176" s="270">
        <f ca="1">IFERROR(__xludf.DUMMYFUNCTION("IMPORTRANGE(""https://docs.google.com/spreadsheets/d/1QqKyyYR6Q21VydFLVH3TRQUabQu_ym0Zz7PgGX0-kHA/edit?usp=sharing"",""แผน!Y38"")"),10)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90000</v>
      </c>
      <c r="M181" s="155">
        <f t="shared" ca="1" si="92"/>
        <v>90000</v>
      </c>
      <c r="N181" s="155">
        <f t="shared" ca="1" si="92"/>
        <v>90000</v>
      </c>
      <c r="O181" s="155">
        <f t="shared" ref="O181:O189" ca="1" si="93">IF(L181&gt;0,N181*100/L181,0)</f>
        <v>100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7"/>
      <c r="J182" s="617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7"/>
      <c r="J183" s="617"/>
      <c r="K183" s="93"/>
      <c r="L183" s="93">
        <f t="shared" ca="1" si="95"/>
        <v>90000</v>
      </c>
      <c r="M183" s="93">
        <f t="shared" ca="1" si="95"/>
        <v>90000</v>
      </c>
      <c r="N183" s="93">
        <f t="shared" ca="1" si="95"/>
        <v>90000</v>
      </c>
      <c r="O183" s="93">
        <f t="shared" ca="1" si="93"/>
        <v>100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90000</v>
      </c>
      <c r="M184" s="498">
        <f t="shared" ca="1" si="96"/>
        <v>90000</v>
      </c>
      <c r="N184" s="498">
        <f t="shared" ca="1" si="96"/>
        <v>90000</v>
      </c>
      <c r="O184" s="498">
        <f t="shared" ca="1" si="93"/>
        <v>100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IFERROR(__xludf.DUMMYFUNCTION("IMPORTRANGE(""https://docs.google.com/spreadsheets/d/1MeEWN-I1oV_STSDYn1IFDPWt_1FKiwhDph83XaGc0o0/edit?usp=sharing"",""งบพรบ!CO38"")"),90000)</f>
        <v>90000</v>
      </c>
      <c r="M186" s="93">
        <f ca="1">IFERROR(__xludf.DUMMYFUNCTION("IMPORTRANGE(""https://docs.google.com/spreadsheets/d/1MeEWN-I1oV_STSDYn1IFDPWt_1FKiwhDph83XaGc0o0/edit?usp=sharing"",""งบพรบ!CT38"")"),90000)</f>
        <v>90000</v>
      </c>
      <c r="N186" s="93">
        <f ca="1">IFERROR(__xludf.DUMMYFUNCTION("IMPORTRANGE(""https://docs.google.com/spreadsheets/d/1MeEWN-I1oV_STSDYn1IFDPWt_1FKiwhDph83XaGc0o0/edit?usp=sharing"",""งบพรบ!CV38"")"),90000)</f>
        <v>90000</v>
      </c>
      <c r="O186" s="93">
        <f t="shared" ca="1" si="93"/>
        <v>100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IFERROR(__xludf.DUMMYFUNCTION("IMPORTRANGE(""https://docs.google.com/spreadsheets/d/1MeEWN-I1oV_STSDYn1IFDPWt_1FKiwhDph83XaGc0o0/edit?usp=sharing"",""งบพรบ!CR38"")"),0)</f>
        <v>0</v>
      </c>
      <c r="M189" s="93">
        <f ca="1">IFERROR(__xludf.DUMMYFUNCTION("IMPORTRANGE(""https://docs.google.com/spreadsheets/d/1MeEWN-I1oV_STSDYn1IFDPWt_1FKiwhDph83XaGc0o0/edit?usp=sharing"",""งบพรบ!CU38"")"),0)</f>
        <v>0</v>
      </c>
      <c r="N189" s="93">
        <f ca="1">IFERROR(__xludf.DUMMYFUNCTION("IMPORTRANGE(""https://docs.google.com/spreadsheets/d/1MeEWN-I1oV_STSDYn1IFDPWt_1FKiwhDph83XaGc0o0/edit?usp=sharing"",""งบพรบ!CW38"")"),0)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8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IFERROR(__xludf.DUMMYFUNCTION("IMPORTRANGE(""https://docs.google.com/spreadsheets/d/1QqKyyYR6Q21VydFLVH3TRQUabQu_ym0Zz7PgGX0-kHA/edit?usp=sharing"",""แผน!Z38"")"),6000)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7" t="s">
        <v>38</v>
      </c>
      <c r="E192" s="173"/>
      <c r="F192" s="173"/>
      <c r="G192" s="174"/>
      <c r="H192" s="762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4" t="s">
        <v>90</v>
      </c>
      <c r="I193" s="270">
        <f ca="1">IFERROR(__xludf.DUMMYFUNCTION("IMPORTRANGE(""https://docs.google.com/spreadsheets/d/1QqKyyYR6Q21VydFLVH3TRQUabQu_ym0Zz7PgGX0-kHA/edit?usp=sharing"",""แผน!AC38"")"),4)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125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125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8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IFERROR(__xludf.DUMMYFUNCTION("IMPORTRANGE(""https://docs.google.com/spreadsheets/d/1QqKyyYR6Q21VydFLVH3TRQUabQu_ym0Zz7PgGX0-kHA/edit?usp=sharing"",""แผน!AE38"")"),3000)</f>
        <v>3000</v>
      </c>
      <c r="M199" s="498"/>
      <c r="N199" s="840">
        <v>3000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3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IFERROR(__xludf.DUMMYFUNCTION("IMPORTRANGE(""https://docs.google.com/spreadsheets/d/1QqKyyYR6Q21VydFLVH3TRQUabQu_ym0Zz7PgGX0-kHA/edit?usp=sharing"",""แผน!AF38"")"),24000)</f>
        <v>24000</v>
      </c>
      <c r="M200" s="498"/>
      <c r="N200" s="840">
        <v>24000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3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IFERROR(__xludf.DUMMYFUNCTION("IMPORTRANGE(""https://docs.google.com/spreadsheets/d/1QqKyyYR6Q21VydFLVH3TRQUabQu_ym0Zz7PgGX0-kHA/edit?usp=sharing"",""แผน!AG38"")"),12000)</f>
        <v>12000</v>
      </c>
      <c r="M201" s="498"/>
      <c r="N201" s="840">
        <v>12000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3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IFERROR(__xludf.DUMMYFUNCTION("IMPORTRANGE(""https://docs.google.com/spreadsheets/d/1QqKyyYR6Q21VydFLVH3TRQUabQu_ym0Zz7PgGX0-kHA/edit?usp=sharing"",""แผน!AH38"")"),0)</f>
        <v>0</v>
      </c>
      <c r="M202" s="498"/>
      <c r="N202" s="840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7" t="s">
        <v>38</v>
      </c>
      <c r="E203" s="173"/>
      <c r="F203" s="173"/>
      <c r="G203" s="174"/>
      <c r="H203" s="76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2" t="s">
        <v>96</v>
      </c>
      <c r="I204" s="270">
        <f ca="1">IFERROR(__xludf.DUMMYFUNCTION("IMPORTRANGE(""https://docs.google.com/spreadsheets/d/1QqKyyYR6Q21VydFLVH3TRQUabQu_ym0Zz7PgGX0-kHA/edit?usp=sharing"",""แผน!AI38"")"),3)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2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2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8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IFERROR(__xludf.DUMMYFUNCTION("IMPORTRANGE(""https://docs.google.com/spreadsheets/d/1QqKyyYR6Q21VydFLVH3TRQUabQu_ym0Zz7PgGX0-kHA/edit?usp=sharing"",""แผน!AK38"")"),1000)</f>
        <v>1000</v>
      </c>
      <c r="M210" s="498"/>
      <c r="N210" s="840">
        <v>1000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IFERROR(__xludf.DUMMYFUNCTION("IMPORTRANGE(""https://docs.google.com/spreadsheets/d/1QqKyyYR6Q21VydFLVH3TRQUabQu_ym0Zz7PgGX0-kHA/edit?usp=sharing"",""แผน!AL38"")"),5000)</f>
        <v>5000</v>
      </c>
      <c r="M211" s="498"/>
      <c r="N211" s="840">
        <v>5000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IFERROR(__xludf.DUMMYFUNCTION("IMPORTRANGE(""https://docs.google.com/spreadsheets/d/1QqKyyYR6Q21VydFLVH3TRQUabQu_ym0Zz7PgGX0-kHA/edit?usp=sharing"",""แผน!AM38"")"),8000)</f>
        <v>8000</v>
      </c>
      <c r="M212" s="498"/>
      <c r="N212" s="840">
        <v>8000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7" t="s">
        <v>38</v>
      </c>
      <c r="E213" s="173"/>
      <c r="F213" s="173"/>
      <c r="G213" s="174"/>
      <c r="H213" s="762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2" t="s">
        <v>96</v>
      </c>
      <c r="I214" s="270">
        <f ca="1">IFERROR(__xludf.DUMMYFUNCTION("IMPORTRANGE(""https://docs.google.com/spreadsheets/d/1QqKyyYR6Q21VydFLVH3TRQUabQu_ym0Zz7PgGX0-kHA/edit?usp=sharing"",""แผน!AN38"")"),1)</f>
        <v>1</v>
      </c>
      <c r="J214" s="215">
        <v>1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2" t="s">
        <v>96</v>
      </c>
      <c r="I215" s="270">
        <f ca="1">IFERROR(__xludf.DUMMYFUNCTION("IMPORTRANGE(""https://docs.google.com/spreadsheets/d/1QqKyyYR6Q21VydFLVH3TRQUabQu_ym0Zz7PgGX0-kHA/edit?usp=sharing"",""แผน!AN38"")"),1)</f>
        <v>1</v>
      </c>
      <c r="J215" s="215">
        <v>1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100000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8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31000</v>
      </c>
      <c r="M217" s="155"/>
      <c r="N217" s="155">
        <f>N218+N219+N220</f>
        <v>31000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IFERROR(__xludf.DUMMYFUNCTION("IMPORTRANGE(""https://docs.google.com/spreadsheets/d/1QqKyyYR6Q21VydFLVH3TRQUabQu_ym0Zz7PgGX0-kHA/edit?usp=sharing"",""แผน!AP38"")"),6000)</f>
        <v>6000</v>
      </c>
      <c r="M218" s="498"/>
      <c r="N218" s="840">
        <v>6000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IFERROR(__xludf.DUMMYFUNCTION("IMPORTRANGE(""https://docs.google.com/spreadsheets/d/1QqKyyYR6Q21VydFLVH3TRQUabQu_ym0Zz7PgGX0-kHA/edit?usp=sharing"",""แผน!AQ38"")"),25000)</f>
        <v>25000</v>
      </c>
      <c r="M219" s="498"/>
      <c r="N219" s="840">
        <v>25000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IFERROR(__xludf.DUMMYFUNCTION("IMPORTRANGE(""https://docs.google.com/spreadsheets/d/1QqKyyYR6Q21VydFLVH3TRQUabQu_ym0Zz7PgGX0-kHA/edit?usp=sharing"",""แผน!AR38"")"),0)</f>
        <v>0</v>
      </c>
      <c r="M220" s="498"/>
      <c r="N220" s="840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7" t="s">
        <v>38</v>
      </c>
      <c r="E221" s="173"/>
      <c r="F221" s="173"/>
      <c r="G221" s="174"/>
      <c r="H221" s="76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4" t="s">
        <v>109</v>
      </c>
      <c r="I223" s="270">
        <f ca="1">IFERROR(__xludf.DUMMYFUNCTION("IMPORTRANGE(""https://docs.google.com/spreadsheets/d/1QqKyyYR6Q21VydFLVH3TRQUabQu_ym0Zz7PgGX0-kHA/edit?usp=sharing"",""แผน!AT38"")"),100000)</f>
        <v>100000</v>
      </c>
      <c r="J223" s="215">
        <v>100000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4" t="s">
        <v>109</v>
      </c>
      <c r="I224" s="270">
        <f ca="1">IFERROR(__xludf.DUMMYFUNCTION("IMPORTRANGE(""https://docs.google.com/spreadsheets/d/1QqKyyYR6Q21VydFLVH3TRQUabQu_ym0Zz7PgGX0-kHA/edit?usp=sharing"",""แผน!AT38"")"),100000)</f>
        <v>100000</v>
      </c>
      <c r="J224" s="215">
        <v>100000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4" t="s">
        <v>35</v>
      </c>
      <c r="I225" s="270">
        <f ca="1">IFERROR(__xludf.DUMMYFUNCTION("IMPORTRANGE(""https://docs.google.com/spreadsheets/d/1QqKyyYR6Q21VydFLVH3TRQUabQu_ym0Zz7PgGX0-kHA/edit?usp=sharing"",""แผน!AS38"")"),0)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8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2"/>
      <c r="P227" s="8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7"/>
      <c r="J229" s="617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7"/>
      <c r="J230" s="617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7"/>
      <c r="J231" s="617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7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7">
        <f t="shared" ref="I233:J233" ca="1" si="108">I244+I255</f>
        <v>0</v>
      </c>
      <c r="J233" s="617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7"/>
      <c r="J234" s="617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7">
        <f t="shared" ref="I235:J236" si="109">I246+I257</f>
        <v>0</v>
      </c>
      <c r="J235" s="617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7">
        <f t="shared" si="109"/>
        <v>0</v>
      </c>
      <c r="J236" s="617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IFERROR(__xludf.DUMMYFUNCTION("IMPORTRANGE(""https://docs.google.com/spreadsheets/d/1QqKyyYR6Q21VydFLVH3TRQUabQu_ym0Zz7PgGX0-kHA/edit?usp=sharing"",""แผน!AV38"")"),0)</f>
        <v>0</v>
      </c>
      <c r="M239" s="322"/>
      <c r="N239" s="88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IFERROR(__xludf.DUMMYFUNCTION("IMPORTRANGE(""https://docs.google.com/spreadsheets/d/1QqKyyYR6Q21VydFLVH3TRQUabQu_ym0Zz7PgGX0-kHA/edit?usp=sharing"",""แผน!AW38"")"),0)</f>
        <v>0</v>
      </c>
      <c r="M240" s="322"/>
      <c r="N240" s="88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IFERROR(__xludf.DUMMYFUNCTION("IMPORTRANGE(""https://docs.google.com/spreadsheets/d/1QqKyyYR6Q21VydFLVH3TRQUabQu_ym0Zz7PgGX0-kHA/edit?usp=sharing"",""แผน!AX38"")"),0)</f>
        <v>0</v>
      </c>
      <c r="M241" s="322"/>
      <c r="N241" s="88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IFERROR(__xludf.DUMMYFUNCTION("IMPORTRANGE(""https://docs.google.com/spreadsheets/d/1QqKyyYR6Q21VydFLVH3TRQUabQu_ym0Zz7PgGX0-kHA/edit?usp=sharing"",""แผน!AY38"")"),0)</f>
        <v>0</v>
      </c>
      <c r="M242" s="322"/>
      <c r="N242" s="88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7" t="s">
        <v>38</v>
      </c>
      <c r="E243" s="173"/>
      <c r="F243" s="173"/>
      <c r="G243" s="174"/>
      <c r="H243" s="762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4" t="s">
        <v>35</v>
      </c>
      <c r="I244" s="270">
        <f ca="1">IFERROR(__xludf.DUMMYFUNCTION("IMPORTRANGE(""https://docs.google.com/spreadsheets/d/1QqKyyYR6Q21VydFLVH3TRQUabQu_ym0Zz7PgGX0-kHA/edit?usp=sharing"",""แผน!BE38"")"),0)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4" t="s">
        <v>43</v>
      </c>
      <c r="E245" s="178"/>
      <c r="F245" s="178"/>
      <c r="G245" s="179"/>
      <c r="H245" s="764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4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4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8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IFERROR(__xludf.DUMMYFUNCTION("IMPORTRANGE(""https://docs.google.com/spreadsheets/d/1QqKyyYR6Q21VydFLVH3TRQUabQu_ym0Zz7PgGX0-kHA/edit?usp=sharing"",""แผน!AZ38"")"),0)</f>
        <v>0</v>
      </c>
      <c r="M250" s="322"/>
      <c r="N250" s="88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IFERROR(__xludf.DUMMYFUNCTION("IMPORTRANGE(""https://docs.google.com/spreadsheets/d/1QqKyyYR6Q21VydFLVH3TRQUabQu_ym0Zz7PgGX0-kHA/edit?usp=sharing"",""แผน!BA38"")"),0)</f>
        <v>0</v>
      </c>
      <c r="M251" s="322"/>
      <c r="N251" s="88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IFERROR(__xludf.DUMMYFUNCTION("IMPORTRANGE(""https://docs.google.com/spreadsheets/d/1QqKyyYR6Q21VydFLVH3TRQUabQu_ym0Zz7PgGX0-kHA/edit?usp=sharing"",""แผน!BB38"")"),0)</f>
        <v>0</v>
      </c>
      <c r="M252" s="322"/>
      <c r="N252" s="88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IFERROR(__xludf.DUMMYFUNCTION("IMPORTRANGE(""https://docs.google.com/spreadsheets/d/1QqKyyYR6Q21VydFLVH3TRQUabQu_ym0Zz7PgGX0-kHA/edit?usp=sharing"",""แผน!BC38"")"),0)</f>
        <v>0</v>
      </c>
      <c r="M253" s="322"/>
      <c r="N253" s="88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7" t="s">
        <v>38</v>
      </c>
      <c r="E254" s="173"/>
      <c r="F254" s="173"/>
      <c r="G254" s="174"/>
      <c r="H254" s="762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4" t="s">
        <v>35</v>
      </c>
      <c r="I255" s="270">
        <f ca="1">IFERROR(__xludf.DUMMYFUNCTION("IMPORTRANGE(""https://docs.google.com/spreadsheets/d/1QqKyyYR6Q21VydFLVH3TRQUabQu_ym0Zz7PgGX0-kHA/edit?usp=sharing"",""แผน!BF38"")"),0)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4" t="s">
        <v>43</v>
      </c>
      <c r="E256" s="178"/>
      <c r="F256" s="178"/>
      <c r="G256" s="179"/>
      <c r="H256" s="764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4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4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26900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7"/>
      <c r="J262" s="617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7"/>
      <c r="J263" s="617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26900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26900</v>
      </c>
      <c r="N264" s="498">
        <f t="shared" ca="1" si="120"/>
        <v>26900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IFERROR(__xludf.DUMMYFUNCTION("IMPORTRANGE(""https://docs.google.com/spreadsheets/d/1MeEWN-I1oV_STSDYn1IFDPWt_1FKiwhDph83XaGc0o0/edit?usp=sharing"",""งบพรบ!CY38"")"),26900)</f>
        <v>26900</v>
      </c>
      <c r="M266" s="93">
        <f ca="1">IFERROR(__xludf.DUMMYFUNCTION("IMPORTRANGE(""https://docs.google.com/spreadsheets/d/1MeEWN-I1oV_STSDYn1IFDPWt_1FKiwhDph83XaGc0o0/edit?usp=sharing"",""งบพรบ!DD38"")"),26900)</f>
        <v>26900</v>
      </c>
      <c r="N266" s="93">
        <f ca="1">IFERROR(__xludf.DUMMYFUNCTION("IMPORTRANGE(""https://docs.google.com/spreadsheets/d/1MeEWN-I1oV_STSDYn1IFDPWt_1FKiwhDph83XaGc0o0/edit?usp=sharing"",""งบพรบ!DF38"")"),26900)</f>
        <v>26900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IFERROR(__xludf.DUMMYFUNCTION("IMPORTRANGE(""https://docs.google.com/spreadsheets/d/1MeEWN-I1oV_STSDYn1IFDPWt_1FKiwhDph83XaGc0o0/edit?usp=sharing"",""งบพรบ!DB38"")"),0)</f>
        <v>0</v>
      </c>
      <c r="M269" s="93">
        <f ca="1">IFERROR(__xludf.DUMMYFUNCTION("IMPORTRANGE(""https://docs.google.com/spreadsheets/d/1MeEWN-I1oV_STSDYn1IFDPWt_1FKiwhDph83XaGc0o0/edit?usp=sharing"",""งบพรบ!DE38"")"),0)</f>
        <v>0</v>
      </c>
      <c r="N269" s="93">
        <f ca="1">IFERROR(__xludf.DUMMYFUNCTION("IMPORTRANGE(""https://docs.google.com/spreadsheets/d/1MeEWN-I1oV_STSDYn1IFDPWt_1FKiwhDph83XaGc0o0/edit?usp=sharing"",""งบพรบ!DG38"")"),0)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7" t="s">
        <v>38</v>
      </c>
      <c r="E270" s="173"/>
      <c r="F270" s="173"/>
      <c r="G270" s="174"/>
      <c r="H270" s="76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6">
        <v>0</v>
      </c>
      <c r="J272" s="506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100</v>
      </c>
      <c r="J276" s="406">
        <f t="shared" si="124"/>
        <v>100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41010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7"/>
      <c r="J278" s="617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7"/>
      <c r="J279" s="617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41010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41010</v>
      </c>
      <c r="M280" s="498">
        <f t="shared" ca="1" si="129"/>
        <v>41010</v>
      </c>
      <c r="N280" s="498">
        <f t="shared" ca="1" si="129"/>
        <v>41010</v>
      </c>
      <c r="O280" s="498">
        <f t="shared" ca="1" si="126"/>
        <v>100</v>
      </c>
      <c r="P280" s="498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IFERROR(__xludf.DUMMYFUNCTION("IMPORTRANGE(""https://docs.google.com/spreadsheets/d/1MeEWN-I1oV_STSDYn1IFDPWt_1FKiwhDph83XaGc0o0/edit?usp=sharing"",""งบพรบ!DI38"")"),41010)</f>
        <v>41010</v>
      </c>
      <c r="M282" s="93">
        <f ca="1">IFERROR(__xludf.DUMMYFUNCTION("IMPORTRANGE(""https://docs.google.com/spreadsheets/d/1MeEWN-I1oV_STSDYn1IFDPWt_1FKiwhDph83XaGc0o0/edit?usp=sharing"",""งบพรบ!DN38"")"),41010)</f>
        <v>41010</v>
      </c>
      <c r="N282" s="93">
        <f ca="1">IFERROR(__xludf.DUMMYFUNCTION("IMPORTRANGE(""https://docs.google.com/spreadsheets/d/1MeEWN-I1oV_STSDYn1IFDPWt_1FKiwhDph83XaGc0o0/edit?usp=sharing"",""งบพรบ!DP38"")"),41010)</f>
        <v>41010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IFERROR(__xludf.DUMMYFUNCTION("IMPORTRANGE(""https://docs.google.com/spreadsheets/d/1MeEWN-I1oV_STSDYn1IFDPWt_1FKiwhDph83XaGc0o0/edit?usp=sharing"",""งบพรบ!DL38"")"),0)</f>
        <v>0</v>
      </c>
      <c r="M285" s="93">
        <f ca="1">IFERROR(__xludf.DUMMYFUNCTION("IMPORTRANGE(""https://docs.google.com/spreadsheets/d/1MeEWN-I1oV_STSDYn1IFDPWt_1FKiwhDph83XaGc0o0/edit?usp=sharing"",""งบพรบ!DO38"")"),0)</f>
        <v>0</v>
      </c>
      <c r="N285" s="93">
        <f ca="1">IFERROR(__xludf.DUMMYFUNCTION("IMPORTRANGE(""https://docs.google.com/spreadsheets/d/1MeEWN-I1oV_STSDYn1IFDPWt_1FKiwhDph83XaGc0o0/edit?usp=sharing"",""งบพรบ!DQ38"")"),0)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7" t="s">
        <v>38</v>
      </c>
      <c r="E286" s="173"/>
      <c r="F286" s="173"/>
      <c r="G286" s="174"/>
      <c r="H286" s="76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6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IFERROR(__xludf.DUMMYFUNCTION("IMPORTRANGE(""https://docs.google.com/spreadsheets/d/1QqKyyYR6Q21VydFLVH3TRQUabQu_ym0Zz7PgGX0-kHA/edit?usp=sharing"",""แผน!EC38"")"),100)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6" t="s">
        <v>130</v>
      </c>
      <c r="E288" s="171"/>
      <c r="F288" s="178"/>
      <c r="G288" s="179"/>
      <c r="H288" s="180" t="s">
        <v>35</v>
      </c>
      <c r="I288" s="681">
        <f ca="1">IFERROR(__xludf.DUMMYFUNCTION("IMPORTRANGE(""https://docs.google.com/spreadsheets/d/1QqKyyYR6Q21VydFLVH3TRQUabQu_ym0Zz7PgGX0-kHA/edit?usp=sharing"",""แผน!EB38"")"),10)</f>
        <v>10</v>
      </c>
      <c r="J288" s="681">
        <f ca="1">IF(AND(J291&gt;=I288,J294&gt;=I288),J294,0)</f>
        <v>10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4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6" t="s">
        <v>132</v>
      </c>
      <c r="F290" s="178"/>
      <c r="G290" s="179"/>
      <c r="H290" s="764" t="s">
        <v>35</v>
      </c>
      <c r="I290" s="184">
        <f ca="1">IFERROR(__xludf.DUMMYFUNCTION("IMPORTRANGE(""https://docs.google.com/spreadsheets/d/1QqKyyYR6Q21VydFLVH3TRQUabQu_ym0Zz7PgGX0-kHA/edit?usp=sharing"",""แผน!EB38"")"),10)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6" t="s">
        <v>133</v>
      </c>
      <c r="F291" s="178"/>
      <c r="G291" s="179"/>
      <c r="H291" s="764" t="s">
        <v>35</v>
      </c>
      <c r="I291" s="184">
        <f ca="1">IFERROR(__xludf.DUMMYFUNCTION("IMPORTRANGE(""https://docs.google.com/spreadsheets/d/1QqKyyYR6Q21VydFLVH3TRQUabQu_ym0Zz7PgGX0-kHA/edit?usp=sharing"",""แผน!EB38"")"),10)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6" t="s">
        <v>132</v>
      </c>
      <c r="F293" s="178"/>
      <c r="G293" s="179"/>
      <c r="H293" s="764" t="s">
        <v>35</v>
      </c>
      <c r="I293" s="184">
        <f ca="1">IFERROR(__xludf.DUMMYFUNCTION("IMPORTRANGE(""https://docs.google.com/spreadsheets/d/1QqKyyYR6Q21VydFLVH3TRQUabQu_ym0Zz7PgGX0-kHA/edit?usp=sharing"",""แผน!EB38"")"),10)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4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IFERROR(__xludf.DUMMYFUNCTION("IMPORTRANGE(""https://docs.google.com/spreadsheets/d/1QqKyyYR6Q21VydFLVH3TRQUabQu_ym0Zz7PgGX0-kHA/edit?usp=sharing"",""แผน!EB38"")"),10)</f>
        <v>10</v>
      </c>
      <c r="J294" s="424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387000</v>
      </c>
      <c r="M298" s="155">
        <f t="shared" ca="1" si="135"/>
        <v>400000</v>
      </c>
      <c r="N298" s="155">
        <f t="shared" ca="1" si="135"/>
        <v>400000</v>
      </c>
      <c r="O298" s="155">
        <f t="shared" ref="O298:O306" ca="1" si="136">IF(L298&gt;0,N298*100/L298,0)</f>
        <v>103.35917312661499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7"/>
      <c r="J299" s="617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7"/>
      <c r="J300" s="617"/>
      <c r="K300" s="93"/>
      <c r="L300" s="93">
        <f t="shared" ca="1" si="138"/>
        <v>387000</v>
      </c>
      <c r="M300" s="93">
        <f t="shared" ca="1" si="138"/>
        <v>400000</v>
      </c>
      <c r="N300" s="93">
        <f t="shared" ca="1" si="138"/>
        <v>400000</v>
      </c>
      <c r="O300" s="93">
        <f t="shared" ca="1" si="136"/>
        <v>103.35917312661499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387000</v>
      </c>
      <c r="M301" s="498">
        <f t="shared" ca="1" si="139"/>
        <v>400000</v>
      </c>
      <c r="N301" s="498">
        <f t="shared" ca="1" si="139"/>
        <v>400000</v>
      </c>
      <c r="O301" s="498">
        <f t="shared" ca="1" si="136"/>
        <v>103.35917312661499</v>
      </c>
      <c r="P301" s="498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IFERROR(__xludf.DUMMYFUNCTION("IMPORTRANGE(""https://docs.google.com/spreadsheets/d/1MeEWN-I1oV_STSDYn1IFDPWt_1FKiwhDph83XaGc0o0/edit?usp=sharing"",""งบพรบ!DS38"")"),387000)</f>
        <v>387000</v>
      </c>
      <c r="M303" s="93">
        <f ca="1">IFERROR(__xludf.DUMMYFUNCTION("IMPORTRANGE(""https://docs.google.com/spreadsheets/d/1MeEWN-I1oV_STSDYn1IFDPWt_1FKiwhDph83XaGc0o0/edit?usp=sharing"",""งบพรบ!DX38"")"),400000)</f>
        <v>400000</v>
      </c>
      <c r="N303" s="93">
        <f ca="1">IFERROR(__xludf.DUMMYFUNCTION("IMPORTRANGE(""https://docs.google.com/spreadsheets/d/1MeEWN-I1oV_STSDYn1IFDPWt_1FKiwhDph83XaGc0o0/edit?usp=sharing"",""งบพรบ!DZ38"")"),400000)</f>
        <v>400000</v>
      </c>
      <c r="O303" s="93">
        <f t="shared" ca="1" si="136"/>
        <v>103.35917312661499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IFERROR(__xludf.DUMMYFUNCTION("IMPORTRANGE(""https://docs.google.com/spreadsheets/d/1MeEWN-I1oV_STSDYn1IFDPWt_1FKiwhDph83XaGc0o0/edit?usp=sharing"",""งบพรบ!DV38"")"),0)</f>
        <v>0</v>
      </c>
      <c r="M306" s="93">
        <f ca="1">IFERROR(__xludf.DUMMYFUNCTION("IMPORTRANGE(""https://docs.google.com/spreadsheets/d/1MeEWN-I1oV_STSDYn1IFDPWt_1FKiwhDph83XaGc0o0/edit?usp=sharing"",""งบพรบ!DY38"")"),0)</f>
        <v>0</v>
      </c>
      <c r="N306" s="93">
        <f ca="1">IFERROR(__xludf.DUMMYFUNCTION("IMPORTRANGE(""https://docs.google.com/spreadsheets/d/1MeEWN-I1oV_STSDYn1IFDPWt_1FKiwhDph83XaGc0o0/edit?usp=sharing"",""งบพรบ!EA38"")"),0)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7" t="s">
        <v>38</v>
      </c>
      <c r="E307" s="173"/>
      <c r="F307" s="173"/>
      <c r="G307" s="174"/>
      <c r="H307" s="762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4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4" t="s">
        <v>35</v>
      </c>
      <c r="I309" s="270">
        <f ca="1">IFERROR(__xludf.DUMMYFUNCTION("IMPORTRANGE(""https://docs.google.com/spreadsheets/d/1QqKyyYR6Q21VydFLVH3TRQUabQu_ym0Zz7PgGX0-kHA/edit?usp=sharing"",""แผน!ED38"")"),25)</f>
        <v>25</v>
      </c>
      <c r="J309" s="215">
        <v>25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4" t="s">
        <v>35</v>
      </c>
      <c r="I310" s="270">
        <f ca="1">IFERROR(__xludf.DUMMYFUNCTION("IMPORTRANGE(""https://docs.google.com/spreadsheets/d/1QqKyyYR6Q21VydFLVH3TRQUabQu_ym0Zz7PgGX0-kHA/edit?usp=sharing"",""แผน!ED38"")"),25)</f>
        <v>25</v>
      </c>
      <c r="J310" s="215">
        <v>25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4" t="s">
        <v>35</v>
      </c>
      <c r="I311" s="270">
        <f ca="1">IFERROR(__xludf.DUMMYFUNCTION("IMPORTRANGE(""https://docs.google.com/spreadsheets/d/1QqKyyYR6Q21VydFLVH3TRQUabQu_ym0Zz7PgGX0-kHA/edit?usp=sharing"",""แผน!ED38"")"),25)</f>
        <v>25</v>
      </c>
      <c r="J311" s="215">
        <v>25</v>
      </c>
      <c r="K311" s="498">
        <f t="shared" ca="1" si="141"/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4" t="s">
        <v>35</v>
      </c>
      <c r="I312" s="270">
        <f ca="1">IFERROR(__xludf.DUMMYFUNCTION("IMPORTRANGE(""https://docs.google.com/spreadsheets/d/1QqKyyYR6Q21VydFLVH3TRQUabQu_ym0Zz7PgGX0-kHA/edit?usp=sharing"",""แผน!EE38"")"),5)</f>
        <v>5</v>
      </c>
      <c r="J312" s="215">
        <v>5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7"/>
      <c r="J316" s="617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7"/>
      <c r="J317" s="617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IFERROR(__xludf.DUMMYFUNCTION("IMPORTRANGE(""https://docs.google.com/spreadsheets/d/1MeEWN-I1oV_STSDYn1IFDPWt_1FKiwhDph83XaGc0o0/edit?usp=sharing"",""งบพรบ!EC38"")"),0)</f>
        <v>0</v>
      </c>
      <c r="M320" s="93">
        <f ca="1">IFERROR(__xludf.DUMMYFUNCTION("IMPORTRANGE(""https://docs.google.com/spreadsheets/d/1MeEWN-I1oV_STSDYn1IFDPWt_1FKiwhDph83XaGc0o0/edit?usp=sharing"",""งบพรบ!EH38"")"),0)</f>
        <v>0</v>
      </c>
      <c r="N320" s="93">
        <f ca="1">IFERROR(__xludf.DUMMYFUNCTION("IMPORTRANGE(""https://docs.google.com/spreadsheets/d/1MeEWN-I1oV_STSDYn1IFDPWt_1FKiwhDph83XaGc0o0/edit?usp=sharing"",""งบพรบ!EJ38"")"),0)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IFERROR(__xludf.DUMMYFUNCTION("IMPORTRANGE(""https://docs.google.com/spreadsheets/d/1MeEWN-I1oV_STSDYn1IFDPWt_1FKiwhDph83XaGc0o0/edit?usp=sharing"",""งบพรบ!EF38"")"),0)</f>
        <v>0</v>
      </c>
      <c r="M323" s="93">
        <f ca="1">IFERROR(__xludf.DUMMYFUNCTION("IMPORTRANGE(""https://docs.google.com/spreadsheets/d/1MeEWN-I1oV_STSDYn1IFDPWt_1FKiwhDph83XaGc0o0/edit?usp=sharing"",""งบพรบ!EI38"")"),0)</f>
        <v>0</v>
      </c>
      <c r="N323" s="93">
        <f ca="1">IFERROR(__xludf.DUMMYFUNCTION("IMPORTRANGE(""https://docs.google.com/spreadsheets/d/1MeEWN-I1oV_STSDYn1IFDPWt_1FKiwhDph83XaGc0o0/edit?usp=sharing"",""งบพรบ!EK38"")"),0)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7" t="s">
        <v>38</v>
      </c>
      <c r="E324" s="173"/>
      <c r="F324" s="173"/>
      <c r="G324" s="174"/>
      <c r="H324" s="762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3" t="s">
        <v>146</v>
      </c>
      <c r="I325" s="270">
        <f ca="1">IFERROR(__xludf.DUMMYFUNCTION("IMPORTRANGE(""https://docs.google.com/spreadsheets/d/1QqKyyYR6Q21VydFLVH3TRQUabQu_ym0Zz7PgGX0-kHA/edit?usp=sharing"",""แผน!EF38"")"),0)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IFERROR(__xludf.DUMMYFUNCTION("IMPORTRANGE(""https://docs.google.com/spreadsheets/d/1QqKyyYR6Q21VydFLVH3TRQUabQu_ym0Zz7PgGX0-kHA/edit?usp=sharing"",""แผน!EG38"")"),6300)</f>
        <v>6300</v>
      </c>
      <c r="J327" s="444">
        <f ca="1">J338+J341+J342+J343</f>
        <v>10372</v>
      </c>
      <c r="K327" s="445">
        <f ca="1">IF(I327&gt;0,J327*100/I327,0)</f>
        <v>164.63492063492063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355200</v>
      </c>
      <c r="M328" s="155">
        <f t="shared" ca="1" si="149"/>
        <v>357700</v>
      </c>
      <c r="N328" s="155">
        <f t="shared" ca="1" si="149"/>
        <v>357700</v>
      </c>
      <c r="O328" s="155">
        <f t="shared" ref="O328:O336" ca="1" si="150">IF(L328&gt;0,N328*100/L328,0)</f>
        <v>100.70382882882883</v>
      </c>
      <c r="P328" s="155">
        <f t="shared" ref="P328:P336" ca="1" si="151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7"/>
      <c r="J329" s="617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7"/>
      <c r="J330" s="617"/>
      <c r="K330" s="93"/>
      <c r="L330" s="93">
        <f t="shared" ca="1" si="152"/>
        <v>355200</v>
      </c>
      <c r="M330" s="93">
        <f t="shared" ca="1" si="152"/>
        <v>357700</v>
      </c>
      <c r="N330" s="93">
        <f t="shared" ca="1" si="152"/>
        <v>357700</v>
      </c>
      <c r="O330" s="93">
        <f t="shared" ca="1" si="150"/>
        <v>100.70382882882883</v>
      </c>
      <c r="P330" s="93">
        <f t="shared" ca="1" si="151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355200</v>
      </c>
      <c r="M331" s="498">
        <f t="shared" ca="1" si="153"/>
        <v>357700</v>
      </c>
      <c r="N331" s="498">
        <f t="shared" ca="1" si="153"/>
        <v>357700</v>
      </c>
      <c r="O331" s="498">
        <f t="shared" ca="1" si="150"/>
        <v>100.70382882882883</v>
      </c>
      <c r="P331" s="498">
        <f t="shared" ca="1" si="151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IFERROR(__xludf.DUMMYFUNCTION("IMPORTRANGE(""https://docs.google.com/spreadsheets/d/1MeEWN-I1oV_STSDYn1IFDPWt_1FKiwhDph83XaGc0o0/edit?usp=sharing"",""งบพรบ!EM38"")"),355200)</f>
        <v>355200</v>
      </c>
      <c r="M333" s="93">
        <f ca="1">IFERROR(__xludf.DUMMYFUNCTION("IMPORTRANGE(""https://docs.google.com/spreadsheets/d/1MeEWN-I1oV_STSDYn1IFDPWt_1FKiwhDph83XaGc0o0/edit?usp=sharing"",""งบพรบ!ER38"")"),357700)</f>
        <v>357700</v>
      </c>
      <c r="N333" s="93">
        <f ca="1">IFERROR(__xludf.DUMMYFUNCTION("IMPORTRANGE(""https://docs.google.com/spreadsheets/d/1MeEWN-I1oV_STSDYn1IFDPWt_1FKiwhDph83XaGc0o0/edit?usp=sharing"",""งบพรบ!ET38"")"),357700)</f>
        <v>357700</v>
      </c>
      <c r="O333" s="93">
        <f t="shared" ca="1" si="150"/>
        <v>100.70382882882883</v>
      </c>
      <c r="P333" s="93">
        <f t="shared" ca="1" si="151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IFERROR(__xludf.DUMMYFUNCTION("IMPORTRANGE(""https://docs.google.com/spreadsheets/d/1MeEWN-I1oV_STSDYn1IFDPWt_1FKiwhDph83XaGc0o0/edit?usp=sharing"",""งบพรบ!EP38"")"),0)</f>
        <v>0</v>
      </c>
      <c r="M336" s="93">
        <f ca="1">IFERROR(__xludf.DUMMYFUNCTION("IMPORTRANGE(""https://docs.google.com/spreadsheets/d/1MeEWN-I1oV_STSDYn1IFDPWt_1FKiwhDph83XaGc0o0/edit?usp=sharing"",""งบพรบ!ES38"")"),0)</f>
        <v>0</v>
      </c>
      <c r="N336" s="93">
        <f ca="1">IFERROR(__xludf.DUMMYFUNCTION("IMPORTRANGE(""https://docs.google.com/spreadsheets/d/1MeEWN-I1oV_STSDYn1IFDPWt_1FKiwhDph83XaGc0o0/edit?usp=sharing"",""งบพรบ!EU38"")"),0)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86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62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IFERROR(__xludf.DUMMYFUNCTION("IMPORTRANGE(""https://docs.google.com/spreadsheets/d/1QqKyyYR6Q21VydFLVH3TRQUabQu_ym0Zz7PgGX0-kHA/edit?usp=sharing"",""แผน!EG38"")"),6300)</f>
        <v>6300</v>
      </c>
      <c r="J338" s="270">
        <f ca="1">IFERROR(__xludf.DUMMYFUNCTION("IMPORTRANGE(""https://docs.google.com/spreadsheets/d/1kVcqe37tkHyjCSG3S0O1AXqVkqjo8mSIZil3BcpIysc/edit?usp=sharing"",""ศูนย์!D38"")"),10066)</f>
        <v>10066</v>
      </c>
      <c r="K338" s="498">
        <f ca="1">IF(I338&gt;0,J338*100/I338,0)</f>
        <v>159.77777777777777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IFERROR(__xludf.DUMMYFUNCTION("IMPORTRANGE(""https://docs.google.com/spreadsheets/d/1QqKyyYR6Q21VydFLVH3TRQUabQu_ym0Zz7PgGX0-kHA/edit?usp=sharing"",""แผน!EH38"")"),6)</f>
        <v>6</v>
      </c>
      <c r="J340" s="270">
        <f ca="1">IFERROR(__xludf.DUMMYFUNCTION("IMPORTRANGE(""https://docs.google.com/spreadsheets/d/1kVcqe37tkHyjCSG3S0O1AXqVkqjo8mSIZil3BcpIysc/edit?usp=sharing"",""ศูนย์!E38"")"),6)</f>
        <v>6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IFERROR(__xludf.DUMMYFUNCTION("IMPORTRANGE(""https://docs.google.com/spreadsheets/d/1kVcqe37tkHyjCSG3S0O1AXqVkqjo8mSIZil3BcpIysc/edit?usp=sharing"",""ศูนย์!F38"")"),305)</f>
        <v>305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IFERROR(__xludf.DUMMYFUNCTION("IMPORTRANGE(""https://docs.google.com/spreadsheets/d/1kVcqe37tkHyjCSG3S0O1AXqVkqjo8mSIZil3BcpIysc/edit?usp=sharing"",""ศูนย์!G38"")"),1)</f>
        <v>1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IFERROR(__xludf.DUMMYFUNCTION("IMPORTRANGE(""https://docs.google.com/spreadsheets/d/1kVcqe37tkHyjCSG3S0O1AXqVkqjo8mSIZil3BcpIysc/edit?usp=sharing"",""ศูนย์!H38"")"),0)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1329450</v>
      </c>
      <c r="M345" s="155">
        <f t="shared" ca="1" si="155"/>
        <v>1449450</v>
      </c>
      <c r="N345" s="155">
        <f t="shared" ca="1" si="155"/>
        <v>1449450</v>
      </c>
      <c r="O345" s="155">
        <f t="shared" ref="O345:O353" ca="1" si="156">IF(L345&gt;0,N345*100/L345,0)</f>
        <v>109.02628906690737</v>
      </c>
      <c r="P345" s="155">
        <f t="shared" ref="P345:P353" ca="1" si="157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7"/>
      <c r="J346" s="617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7"/>
      <c r="J347" s="617"/>
      <c r="K347" s="93"/>
      <c r="L347" s="93">
        <f t="shared" ca="1" si="158"/>
        <v>1329450</v>
      </c>
      <c r="M347" s="93">
        <f t="shared" ca="1" si="158"/>
        <v>1449450</v>
      </c>
      <c r="N347" s="93">
        <f t="shared" ca="1" si="158"/>
        <v>1449450</v>
      </c>
      <c r="O347" s="93">
        <f t="shared" ca="1" si="156"/>
        <v>109.02628906690737</v>
      </c>
      <c r="P347" s="93">
        <f t="shared" ca="1" si="157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1215650</v>
      </c>
      <c r="M348" s="498">
        <f t="shared" ca="1" si="159"/>
        <v>1335650</v>
      </c>
      <c r="N348" s="498">
        <f t="shared" ca="1" si="159"/>
        <v>1335650</v>
      </c>
      <c r="O348" s="498">
        <f t="shared" ca="1" si="156"/>
        <v>109.87126228766503</v>
      </c>
      <c r="P348" s="498">
        <f t="shared" ca="1" si="157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IFERROR(__xludf.DUMMYFUNCTION("IMPORTRANGE(""https://docs.google.com/spreadsheets/d/1MeEWN-I1oV_STSDYn1IFDPWt_1FKiwhDph83XaGc0o0/edit?usp=sharing"",""งบพรบ!EW38"")"),1215650)</f>
        <v>1215650</v>
      </c>
      <c r="M350" s="93">
        <f ca="1">IFERROR(__xludf.DUMMYFUNCTION("IMPORTRANGE(""https://docs.google.com/spreadsheets/d/1MeEWN-I1oV_STSDYn1IFDPWt_1FKiwhDph83XaGc0o0/edit?usp=sharing"",""งบพรบ!FB38"")"),1335650)</f>
        <v>1335650</v>
      </c>
      <c r="N350" s="93">
        <f ca="1">IFERROR(__xludf.DUMMYFUNCTION("IMPORTRANGE(""https://docs.google.com/spreadsheets/d/1MeEWN-I1oV_STSDYn1IFDPWt_1FKiwhDph83XaGc0o0/edit?usp=sharing"",""งบพรบ!FD38"")"),1335650)</f>
        <v>1335650</v>
      </c>
      <c r="O350" s="93">
        <f t="shared" ca="1" si="156"/>
        <v>109.87126228766503</v>
      </c>
      <c r="P350" s="93">
        <f t="shared" ca="1" si="157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113800</v>
      </c>
      <c r="M351" s="498">
        <f t="shared" ca="1" si="160"/>
        <v>113800</v>
      </c>
      <c r="N351" s="498">
        <f t="shared" ca="1" si="160"/>
        <v>113800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IFERROR(__xludf.DUMMYFUNCTION("IMPORTRANGE(""https://docs.google.com/spreadsheets/d/1MeEWN-I1oV_STSDYn1IFDPWt_1FKiwhDph83XaGc0o0/edit?usp=sharing"",""งบพรบ!EZ38"")"),113800)</f>
        <v>113800</v>
      </c>
      <c r="M353" s="93">
        <f ca="1">IFERROR(__xludf.DUMMYFUNCTION("IMPORTRANGE(""https://docs.google.com/spreadsheets/d/1MeEWN-I1oV_STSDYn1IFDPWt_1FKiwhDph83XaGc0o0/edit?usp=sharing"",""งบพรบ!FC38"")"),113800)</f>
        <v>113800</v>
      </c>
      <c r="N353" s="93">
        <f ca="1">IFERROR(__xludf.DUMMYFUNCTION("IMPORTRANGE(""https://docs.google.com/spreadsheets/d/1MeEWN-I1oV_STSDYn1IFDPWt_1FKiwhDph83XaGc0o0/edit?usp=sharing"",""งบพรบ!FE38"")"),113800)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8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IFERROR(__xludf.DUMMYFUNCTION("IMPORTRANGE(""https://docs.google.com/spreadsheets/d/1QqKyyYR6Q21VydFLVH3TRQUabQu_ym0Zz7PgGX0-kHA/edit?usp=sharing"",""แผน!EP38"")"),696)</f>
        <v>696</v>
      </c>
      <c r="J355" s="465">
        <f ca="1">J362</f>
        <v>910</v>
      </c>
      <c r="K355" s="466">
        <f ca="1">IF(I355&gt;0,J355*100/I355,0)</f>
        <v>130.7471264367816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77" t="s">
        <v>38</v>
      </c>
      <c r="E357" s="173"/>
      <c r="F357" s="173"/>
      <c r="G357" s="174"/>
      <c r="H357" s="762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IFERROR(__xludf.DUMMYFUNCTION("IMPORTRANGE(""https://docs.google.com/spreadsheets/d/1XWAQStnk-4SwqDmLtmXYiTMKHgktTP8We1SCoS47DrQ/edit?usp=sharing"",""จัดที่ดิน!W38"")"),1078)</f>
        <v>1078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IFERROR(__xludf.DUMMYFUNCTION("IMPORTRANGE(""https://docs.google.com/spreadsheets/d/1QqKyyYR6Q21VydFLVH3TRQUabQu_ym0Zz7PgGX0-kHA/edit?usp=sharing"",""แผน!EO38"")"),6960)</f>
        <v>6960</v>
      </c>
      <c r="J359" s="270">
        <f ca="1">IFERROR(__xludf.DUMMYFUNCTION("IMPORTRANGE(""https://docs.google.com/spreadsheets/d/1XWAQStnk-4SwqDmLtmXYiTMKHgktTP8We1SCoS47DrQ/edit?usp=sharing"",""จัดที่ดิน!X38"")"),7619.05999999999)</f>
        <v>7619.0599999999904</v>
      </c>
      <c r="K359" s="498">
        <f t="shared" ca="1" si="161"/>
        <v>109.46925287356308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4" t="s">
        <v>35</v>
      </c>
      <c r="I360" s="270">
        <f ca="1">IFERROR(__xludf.DUMMYFUNCTION("IMPORTRANGE(""https://docs.google.com/spreadsheets/d/1QqKyyYR6Q21VydFLVH3TRQUabQu_ym0Zz7PgGX0-kHA/edit?usp=sharing"",""แผน!EP38"")"),696)</f>
        <v>696</v>
      </c>
      <c r="J360" s="270">
        <f ca="1">IFERROR(__xludf.DUMMYFUNCTION("IMPORTRANGE(""https://docs.google.com/spreadsheets/d/1XWAQStnk-4SwqDmLtmXYiTMKHgktTP8We1SCoS47DrQ/edit?usp=sharing"",""จัดที่ดิน!Y38"")"),912)</f>
        <v>912</v>
      </c>
      <c r="K360" s="498">
        <f t="shared" ca="1" si="161"/>
        <v>131.0344827586207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IFERROR(__xludf.DUMMYFUNCTION("IMPORTRANGE(""https://docs.google.com/spreadsheets/d/1XWAQStnk-4SwqDmLtmXYiTMKHgktTP8We1SCoS47DrQ/edit?usp=sharing"",""จัดที่ดิน!Z38"")"),6612.82)</f>
        <v>6612.82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4" t="s">
        <v>35</v>
      </c>
      <c r="I362" s="270">
        <f ca="1">IFERROR(__xludf.DUMMYFUNCTION("IMPORTRANGE(""https://docs.google.com/spreadsheets/d/1QqKyyYR6Q21VydFLVH3TRQUabQu_ym0Zz7PgGX0-kHA/edit?usp=sharing"",""แผน!EP38"")"),696)</f>
        <v>696</v>
      </c>
      <c r="J362" s="270">
        <f ca="1">IFERROR(__xludf.DUMMYFUNCTION("IMPORTRANGE(""https://docs.google.com/spreadsheets/d/1XWAQStnk-4SwqDmLtmXYiTMKHgktTP8We1SCoS47DrQ/edit?usp=sharing"",""จัดที่ดิน!AA38"")"),910)</f>
        <v>910</v>
      </c>
      <c r="K362" s="498">
        <f t="shared" ca="1" si="161"/>
        <v>130.7471264367816</v>
      </c>
      <c r="L362" s="163"/>
      <c r="M362" s="163"/>
      <c r="N362" s="163"/>
      <c r="O362" s="163"/>
      <c r="P362" s="163"/>
    </row>
    <row r="363" spans="1:26" ht="18.75" hidden="1">
      <c r="A363" s="499" t="s">
        <v>169</v>
      </c>
      <c r="B363" s="178"/>
      <c r="C363" s="171"/>
      <c r="D363" s="178"/>
      <c r="E363" s="447"/>
      <c r="F363" s="178"/>
      <c r="G363" s="179"/>
      <c r="H363" s="76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IFERROR(__xludf.DUMMYFUNCTION("IMPORTRANGE(""https://docs.google.com/spreadsheets/d/1XWAQStnk-4SwqDmLtmXYiTMKHgktTP8We1SCoS47DrQ/edit?usp=sharing"",""จัดที่ดิน!AB38"")"),7150.56)</f>
        <v>7150.56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t="shared" ref="I364:J364" ca="1" si="162">I365+I374</f>
        <v>1236</v>
      </c>
      <c r="J364" s="479">
        <f t="shared" ca="1" si="162"/>
        <v>1529</v>
      </c>
      <c r="K364" s="480">
        <f t="shared" ca="1" si="161"/>
        <v>123.70550161812298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IFERROR(__xludf.DUMMYFUNCTION("IMPORTRANGE(""https://docs.google.com/spreadsheets/d/1QqKyyYR6Q21VydFLVH3TRQUabQu_ym0Zz7PgGX0-kHA/edit?usp=sharing"",""แผน!EJ38"")"),596)</f>
        <v>596</v>
      </c>
      <c r="J365" s="491">
        <f ca="1">J372</f>
        <v>802</v>
      </c>
      <c r="K365" s="492">
        <f t="shared" ca="1" si="161"/>
        <v>134.56375838926175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77" t="s">
        <v>38</v>
      </c>
      <c r="E367" s="173"/>
      <c r="F367" s="173"/>
      <c r="G367" s="174"/>
      <c r="H367" s="762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IFERROR(__xludf.DUMMYFUNCTION("IMPORTRANGE(""https://docs.google.com/spreadsheets/d/1XWAQStnk-4SwqDmLtmXYiTMKHgktTP8We1SCoS47DrQ/edit?usp=sharing"",""จัดที่ดิน!E38"")"),924)</f>
        <v>924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IFERROR(__xludf.DUMMYFUNCTION("IMPORTRANGE(""https://docs.google.com/spreadsheets/d/1QqKyyYR6Q21VydFLVH3TRQUabQu_ym0Zz7PgGX0-kHA/edit?usp=sharing"",""แผน!EI38"")"),5960)</f>
        <v>5960</v>
      </c>
      <c r="J369" s="270">
        <f ca="1">IFERROR(__xludf.DUMMYFUNCTION("IMPORTRANGE(""https://docs.google.com/spreadsheets/d/1XWAQStnk-4SwqDmLtmXYiTMKHgktTP8We1SCoS47DrQ/edit?usp=sharing"",""จัดที่ดิน!F38"")"),6480.49)</f>
        <v>6480.49</v>
      </c>
      <c r="K369" s="498">
        <f t="shared" ca="1" si="163"/>
        <v>108.73305369127517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4" t="s">
        <v>35</v>
      </c>
      <c r="I370" s="270">
        <f ca="1">IFERROR(__xludf.DUMMYFUNCTION("IMPORTRANGE(""https://docs.google.com/spreadsheets/d/1QqKyyYR6Q21VydFLVH3TRQUabQu_ym0Zz7PgGX0-kHA/edit?usp=sharing"",""แผน!EJ38"")"),596)</f>
        <v>596</v>
      </c>
      <c r="J370" s="270">
        <f ca="1">IFERROR(__xludf.DUMMYFUNCTION("IMPORTRANGE(""https://docs.google.com/spreadsheets/d/1XWAQStnk-4SwqDmLtmXYiTMKHgktTP8We1SCoS47DrQ/edit?usp=sharing"",""จัดที่ดิน!G38"")"),804)</f>
        <v>804</v>
      </c>
      <c r="K370" s="498">
        <f t="shared" ca="1" si="163"/>
        <v>134.8993288590604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IFERROR(__xludf.DUMMYFUNCTION("IMPORTRANGE(""https://docs.google.com/spreadsheets/d/1XWAQStnk-4SwqDmLtmXYiTMKHgktTP8We1SCoS47DrQ/edit?usp=sharing"",""จัดที่ดิน!H38"")"),5801.18)</f>
        <v>5801.18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4" t="s">
        <v>35</v>
      </c>
      <c r="I372" s="270">
        <f ca="1">IFERROR(__xludf.DUMMYFUNCTION("IMPORTRANGE(""https://docs.google.com/spreadsheets/d/1QqKyyYR6Q21VydFLVH3TRQUabQu_ym0Zz7PgGX0-kHA/edit?usp=sharing"",""แผน!EJ38"")"),596)</f>
        <v>596</v>
      </c>
      <c r="J372" s="270">
        <f ca="1">IFERROR(__xludf.DUMMYFUNCTION("IMPORTRANGE(""https://docs.google.com/spreadsheets/d/1XWAQStnk-4SwqDmLtmXYiTMKHgktTP8We1SCoS47DrQ/edit?usp=sharing"",""จัดที่ดิน!I38"")"),802)</f>
        <v>802</v>
      </c>
      <c r="K372" s="498">
        <f t="shared" ca="1" si="163"/>
        <v>134.56375838926175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8"/>
      <c r="C373" s="171"/>
      <c r="D373" s="178"/>
      <c r="E373" s="447"/>
      <c r="F373" s="178"/>
      <c r="G373" s="179"/>
      <c r="H373" s="76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IFERROR(__xludf.DUMMYFUNCTION("IMPORTRANGE(""https://docs.google.com/spreadsheets/d/1XWAQStnk-4SwqDmLtmXYiTMKHgktTP8We1SCoS47DrQ/edit?usp=sharing"",""จัดที่ดิน!J38"")"),6338.92)</f>
        <v>6338.92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IFERROR(__xludf.DUMMYFUNCTION("IMPORTRANGE(""https://docs.google.com/spreadsheets/d/1QqKyyYR6Q21VydFLVH3TRQUabQu_ym0Zz7PgGX0-kHA/edit?usp=sharing"",""แผน!EU38"")"),640)</f>
        <v>640</v>
      </c>
      <c r="J374" s="491">
        <f ca="1">J381</f>
        <v>727</v>
      </c>
      <c r="K374" s="492">
        <f t="shared" ca="1" si="163"/>
        <v>113.59375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77" t="s">
        <v>38</v>
      </c>
      <c r="E376" s="173"/>
      <c r="F376" s="173"/>
      <c r="G376" s="174"/>
      <c r="H376" s="762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IFERROR(__xludf.DUMMYFUNCTION("IMPORTRANGE(""https://docs.google.com/spreadsheets/d/1XWAQStnk-4SwqDmLtmXYiTMKHgktTP8We1SCoS47DrQ/edit?usp=sharing"",""จัดที่ดิน!AH38"")"),154)</f>
        <v>154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IFERROR(__xludf.DUMMYFUNCTION("IMPORTRANGE(""https://docs.google.com/spreadsheets/d/1QqKyyYR6Q21VydFLVH3TRQUabQu_ym0Zz7PgGX0-kHA/edit?usp=sharing"",""แผน!ET38"")"),1000)</f>
        <v>1000</v>
      </c>
      <c r="J378" s="270">
        <f ca="1">IFERROR(__xludf.DUMMYFUNCTION("IMPORTRANGE(""https://docs.google.com/spreadsheets/d/1XWAQStnk-4SwqDmLtmXYiTMKHgktTP8We1SCoS47DrQ/edit?usp=sharing"",""จัดที่ดิน!AI38"")"),1138.57)</f>
        <v>1138.57</v>
      </c>
      <c r="K378" s="498">
        <f t="shared" ca="1" si="164"/>
        <v>113.857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4" t="s">
        <v>35</v>
      </c>
      <c r="I379" s="270">
        <f ca="1">IFERROR(__xludf.DUMMYFUNCTION("IMPORTRANGE(""https://docs.google.com/spreadsheets/d/1QqKyyYR6Q21VydFLVH3TRQUabQu_ym0Zz7PgGX0-kHA/edit?usp=sharing"",""แผน!EU38"")"),640)</f>
        <v>640</v>
      </c>
      <c r="J379" s="270">
        <f ca="1">IFERROR(__xludf.DUMMYFUNCTION("IMPORTRANGE(""https://docs.google.com/spreadsheets/d/1XWAQStnk-4SwqDmLtmXYiTMKHgktTP8We1SCoS47DrQ/edit?usp=sharing"",""จัดที่ดิน!AJ38"")"),729)</f>
        <v>729</v>
      </c>
      <c r="K379" s="498">
        <f t="shared" ca="1" si="164"/>
        <v>113.90625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IFERROR(__xludf.DUMMYFUNCTION("IMPORTRANGE(""https://docs.google.com/spreadsheets/d/1XWAQStnk-4SwqDmLtmXYiTMKHgktTP8We1SCoS47DrQ/edit?usp=sharing"",""จัดที่ดิน!AK38"")"),7304.62)</f>
        <v>7304.62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4" t="s">
        <v>35</v>
      </c>
      <c r="I381" s="270">
        <f ca="1">IFERROR(__xludf.DUMMYFUNCTION("IMPORTRANGE(""https://docs.google.com/spreadsheets/d/1QqKyyYR6Q21VydFLVH3TRQUabQu_ym0Zz7PgGX0-kHA/edit?usp=sharing"",""แผน!EU38"")"),640)</f>
        <v>640</v>
      </c>
      <c r="J381" s="270">
        <f ca="1">IFERROR(__xludf.DUMMYFUNCTION("IMPORTRANGE(""https://docs.google.com/spreadsheets/d/1XWAQStnk-4SwqDmLtmXYiTMKHgktTP8We1SCoS47DrQ/edit?usp=sharing"",""จัดที่ดิน!AL38"")"),727)</f>
        <v>727</v>
      </c>
      <c r="K381" s="498">
        <f t="shared" ca="1" si="164"/>
        <v>113.59375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8"/>
      <c r="C382" s="171"/>
      <c r="D382" s="178"/>
      <c r="E382" s="447"/>
      <c r="F382" s="178"/>
      <c r="G382" s="179"/>
      <c r="H382" s="76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IFERROR(__xludf.DUMMYFUNCTION("IMPORTRANGE(""https://docs.google.com/spreadsheets/d/1XWAQStnk-4SwqDmLtmXYiTMKHgktTP8We1SCoS47DrQ/edit?usp=sharing"",""จัดที่ดิน!AM38"")"),7282.82)</f>
        <v>7282.82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500"/>
      <c r="B383" s="501"/>
      <c r="C383" s="291"/>
      <c r="D383" s="889" t="s">
        <v>170</v>
      </c>
      <c r="E383" s="291"/>
      <c r="F383" s="291"/>
      <c r="G383" s="503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86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62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4" t="s">
        <v>171</v>
      </c>
      <c r="F385" s="381"/>
      <c r="G385" s="382"/>
      <c r="H385" s="505" t="s">
        <v>35</v>
      </c>
      <c r="I385" s="506">
        <f ca="1">IFERROR(__xludf.DUMMYFUNCTION("IMPORTRANGE(""https://docs.google.com/spreadsheets/d/1QqKyyYR6Q21VydFLVH3TRQUabQu_ym0Zz7PgGX0-kHA/edit?usp=sharing"",""แผน!EW38"")"),50)</f>
        <v>50</v>
      </c>
      <c r="J385" s="506">
        <f ca="1">IFERROR(__xludf.DUMMYFUNCTION("IMPORTRANGE(""https://docs.google.com/spreadsheets/d/1XWAQStnk-4SwqDmLtmXYiTMKHgktTP8We1SCoS47DrQ/edit?usp=sharing"",""จัดที่ดิน!AP38"")"),18)</f>
        <v>18</v>
      </c>
      <c r="K385" s="507">
        <f ca="1">IF(I385&gt;0,J385*100/I385,0)</f>
        <v>36</v>
      </c>
      <c r="L385" s="385"/>
      <c r="M385" s="385"/>
      <c r="N385" s="385"/>
      <c r="O385" s="385"/>
      <c r="P385" s="385"/>
    </row>
    <row r="386" spans="1:26" ht="19.5" hidden="1">
      <c r="A386" s="508" t="s">
        <v>172</v>
      </c>
      <c r="B386" s="509"/>
      <c r="C386" s="509"/>
      <c r="D386" s="509"/>
      <c r="E386" s="510"/>
      <c r="F386" s="510"/>
      <c r="G386" s="511"/>
      <c r="H386" s="512"/>
      <c r="I386" s="513"/>
      <c r="J386" s="513"/>
      <c r="K386" s="514"/>
      <c r="L386" s="514"/>
      <c r="M386" s="514"/>
      <c r="N386" s="514"/>
      <c r="O386" s="514"/>
      <c r="P386" s="514"/>
    </row>
    <row r="387" spans="1:26" ht="19.5" hidden="1">
      <c r="A387" s="515" t="s">
        <v>173</v>
      </c>
      <c r="B387" s="516"/>
      <c r="C387" s="516"/>
      <c r="D387" s="517"/>
      <c r="E387" s="516"/>
      <c r="F387" s="516"/>
      <c r="G387" s="516"/>
      <c r="H387" s="518"/>
      <c r="I387" s="519"/>
      <c r="J387" s="519"/>
      <c r="K387" s="520"/>
      <c r="L387" s="520"/>
      <c r="M387" s="520"/>
      <c r="N387" s="520"/>
      <c r="O387" s="520"/>
      <c r="P387" s="520"/>
    </row>
    <row r="388" spans="1:26" ht="19.5" hidden="1">
      <c r="A388" s="521"/>
      <c r="B388" s="522" t="s">
        <v>174</v>
      </c>
      <c r="C388" s="523"/>
      <c r="D388" s="524"/>
      <c r="E388" s="524"/>
      <c r="F388" s="524"/>
      <c r="G388" s="525"/>
      <c r="H388" s="526" t="s">
        <v>66</v>
      </c>
      <c r="I388" s="527">
        <f t="shared" ref="I388:J388" si="165">I400</f>
        <v>0</v>
      </c>
      <c r="J388" s="527">
        <f t="shared" si="165"/>
        <v>0</v>
      </c>
      <c r="K388" s="528">
        <f>IF(I388&gt;0,J388*100/I388,0)</f>
        <v>0</v>
      </c>
      <c r="L388" s="529"/>
      <c r="M388" s="529"/>
      <c r="N388" s="529"/>
      <c r="O388" s="529"/>
      <c r="P388" s="529"/>
    </row>
    <row r="389" spans="1:26" ht="19.5" hidden="1">
      <c r="A389" s="147"/>
      <c r="B389" s="148"/>
      <c r="C389" s="149" t="s">
        <v>16</v>
      </c>
      <c r="D389" s="87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7"/>
      <c r="J390" s="617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7"/>
      <c r="J391" s="617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IFERROR(__xludf.DUMMYFUNCTION("IMPORTRANGE(""https://docs.google.com/spreadsheets/d/1MeEWN-I1oV_STSDYn1IFDPWt_1FKiwhDph83XaGc0o0/edit?usp=sharing"",""งบพรบ!FG38"")"),0)</f>
        <v>0</v>
      </c>
      <c r="M394" s="93">
        <f ca="1">IFERROR(__xludf.DUMMYFUNCTION("IMPORTRANGE(""https://docs.google.com/spreadsheets/d/1MeEWN-I1oV_STSDYn1IFDPWt_1FKiwhDph83XaGc0o0/edit?usp=sharing"",""งบพรบ!FL38"")"),0)</f>
        <v>0</v>
      </c>
      <c r="N394" s="93">
        <f ca="1">IFERROR(__xludf.DUMMYFUNCTION("IMPORTRANGE(""https://docs.google.com/spreadsheets/d/1MeEWN-I1oV_STSDYn1IFDPWt_1FKiwhDph83XaGc0o0/edit?usp=sharing"",""งบพรบ!FN38"")"),0)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IFERROR(__xludf.DUMMYFUNCTION("IMPORTRANGE(""https://docs.google.com/spreadsheets/d/1MeEWN-I1oV_STSDYn1IFDPWt_1FKiwhDph83XaGc0o0/edit?usp=sharing"",""งบพรบ!FJ38"")"),0)</f>
        <v>0</v>
      </c>
      <c r="M397" s="93">
        <f ca="1">IFERROR(__xludf.DUMMYFUNCTION("IMPORTRANGE(""https://docs.google.com/spreadsheets/d/1MeEWN-I1oV_STSDYn1IFDPWt_1FKiwhDph83XaGc0o0/edit?usp=sharing"",""งบพรบ!FM38"")"),0)</f>
        <v>0</v>
      </c>
      <c r="N397" s="93">
        <f ca="1">IFERROR(__xludf.DUMMYFUNCTION("IMPORTRANGE(""https://docs.google.com/spreadsheets/d/1MeEWN-I1oV_STSDYn1IFDPWt_1FKiwhDph83XaGc0o0/edit?usp=sharing"",""งบพรบ!FO38"")"),0)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7" t="s">
        <v>38</v>
      </c>
      <c r="E398" s="173"/>
      <c r="F398" s="173"/>
      <c r="G398" s="174"/>
      <c r="H398" s="762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30"/>
      <c r="B399" s="148"/>
      <c r="C399" s="531"/>
      <c r="D399" s="532" t="s">
        <v>175</v>
      </c>
      <c r="E399" s="415"/>
      <c r="F399" s="148"/>
      <c r="G399" s="151"/>
      <c r="H399" s="533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4"/>
      <c r="M399" s="534"/>
      <c r="N399" s="534"/>
      <c r="O399" s="534"/>
      <c r="P399" s="534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1"/>
      <c r="B401" s="522" t="s">
        <v>177</v>
      </c>
      <c r="C401" s="523"/>
      <c r="D401" s="524"/>
      <c r="E401" s="524"/>
      <c r="F401" s="524"/>
      <c r="G401" s="525"/>
      <c r="H401" s="526" t="s">
        <v>66</v>
      </c>
      <c r="I401" s="527">
        <f t="shared" ref="I401:J401" si="173">I412</f>
        <v>0</v>
      </c>
      <c r="J401" s="527">
        <f t="shared" si="173"/>
        <v>0</v>
      </c>
      <c r="K401" s="528">
        <f t="shared" si="172"/>
        <v>0</v>
      </c>
      <c r="L401" s="529"/>
      <c r="M401" s="529"/>
      <c r="N401" s="529"/>
      <c r="O401" s="529"/>
      <c r="P401" s="529"/>
    </row>
    <row r="402" spans="1:26" ht="19.5" hidden="1">
      <c r="A402" s="147"/>
      <c r="B402" s="148"/>
      <c r="C402" s="149" t="s">
        <v>16</v>
      </c>
      <c r="D402" s="87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7"/>
      <c r="J403" s="617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7"/>
      <c r="J404" s="617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IFERROR(__xludf.DUMMYFUNCTION("IMPORTRANGE(""https://docs.google.com/spreadsheets/d/1MeEWN-I1oV_STSDYn1IFDPWt_1FKiwhDph83XaGc0o0/edit?usp=sharing"",""งบพรบ!FQ38"")"),0)</f>
        <v>0</v>
      </c>
      <c r="M407" s="93">
        <f ca="1">IFERROR(__xludf.DUMMYFUNCTION("IMPORTRANGE(""https://docs.google.com/spreadsheets/d/1MeEWN-I1oV_STSDYn1IFDPWt_1FKiwhDph83XaGc0o0/edit?usp=sharing"",""งบพรบ!FV38"")"),0)</f>
        <v>0</v>
      </c>
      <c r="N407" s="93">
        <f ca="1">IFERROR(__xludf.DUMMYFUNCTION("IMPORTRANGE(""https://docs.google.com/spreadsheets/d/1MeEWN-I1oV_STSDYn1IFDPWt_1FKiwhDph83XaGc0o0/edit?usp=sharing"",""งบพรบ!FX38"")"),0)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IFERROR(__xludf.DUMMYFUNCTION("IMPORTRANGE(""https://docs.google.com/spreadsheets/d/1MeEWN-I1oV_STSDYn1IFDPWt_1FKiwhDph83XaGc0o0/edit?usp=sharing"",""งบพรบ!FT38"")"),0)</f>
        <v>0</v>
      </c>
      <c r="M410" s="93">
        <f ca="1">IFERROR(__xludf.DUMMYFUNCTION("IMPORTRANGE(""https://docs.google.com/spreadsheets/d/1MeEWN-I1oV_STSDYn1IFDPWt_1FKiwhDph83XaGc0o0/edit?usp=sharing"",""งบพรบ!FW38"")"),0)</f>
        <v>0</v>
      </c>
      <c r="N410" s="93">
        <f ca="1">IFERROR(__xludf.DUMMYFUNCTION("IMPORTRANGE(""https://docs.google.com/spreadsheets/d/1MeEWN-I1oV_STSDYn1IFDPWt_1FKiwhDph83XaGc0o0/edit?usp=sharing"",""งบพรบ!FY38"")"),0)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90" t="s">
        <v>38</v>
      </c>
      <c r="E411" s="536"/>
      <c r="F411" s="536"/>
      <c r="G411" s="537"/>
      <c r="H411" s="762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8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9"/>
      <c r="B413" s="540"/>
      <c r="C413" s="540"/>
      <c r="D413" s="541" t="s">
        <v>179</v>
      </c>
      <c r="E413" s="540"/>
      <c r="F413" s="540"/>
      <c r="G413" s="542"/>
      <c r="H413" s="543" t="s">
        <v>180</v>
      </c>
      <c r="I413" s="544">
        <v>0</v>
      </c>
      <c r="J413" s="545">
        <v>0</v>
      </c>
      <c r="K413" s="546">
        <f t="shared" si="180"/>
        <v>0</v>
      </c>
      <c r="L413" s="547"/>
      <c r="M413" s="547"/>
      <c r="N413" s="547"/>
      <c r="O413" s="547"/>
      <c r="P413" s="547"/>
    </row>
    <row r="414" spans="1:26" ht="19.5">
      <c r="A414" s="548" t="s">
        <v>181</v>
      </c>
      <c r="B414" s="549"/>
      <c r="C414" s="549"/>
      <c r="D414" s="549"/>
      <c r="E414" s="549"/>
      <c r="F414" s="549"/>
      <c r="G414" s="550"/>
      <c r="H414" s="551"/>
      <c r="I414" s="552"/>
      <c r="J414" s="552"/>
      <c r="K414" s="553"/>
      <c r="L414" s="554">
        <f t="shared" ref="L414:N414" ca="1" si="181">L419+L444+L467+L502+L523+L544+L629+L655+L685+L737+L754+L770+L786+L805</f>
        <v>3088013</v>
      </c>
      <c r="M414" s="554">
        <f t="shared" ca="1" si="181"/>
        <v>2830199.33</v>
      </c>
      <c r="N414" s="554">
        <f t="shared" si="181"/>
        <v>2830199.33</v>
      </c>
      <c r="O414" s="554">
        <f ca="1">IF(L414&gt;0,N414*100/L414,0)</f>
        <v>91.651146870171857</v>
      </c>
      <c r="P414" s="554">
        <f ca="1">IF(M414&gt;0,N414*100/M414,0)</f>
        <v>100</v>
      </c>
    </row>
    <row r="415" spans="1:26" ht="19.5">
      <c r="A415" s="555" t="s">
        <v>182</v>
      </c>
      <c r="B415" s="556"/>
      <c r="C415" s="556"/>
      <c r="D415" s="556"/>
      <c r="E415" s="556"/>
      <c r="F415" s="556"/>
      <c r="G415" s="556"/>
      <c r="H415" s="557"/>
      <c r="I415" s="558"/>
      <c r="J415" s="558"/>
      <c r="K415" s="559"/>
      <c r="L415" s="560"/>
      <c r="M415" s="560"/>
      <c r="N415" s="560"/>
      <c r="O415" s="560"/>
      <c r="P415" s="560"/>
    </row>
    <row r="416" spans="1:26" ht="19.5">
      <c r="A416" s="555" t="s">
        <v>183</v>
      </c>
      <c r="B416" s="556"/>
      <c r="C416" s="556"/>
      <c r="D416" s="556"/>
      <c r="E416" s="556"/>
      <c r="F416" s="556"/>
      <c r="G416" s="561"/>
      <c r="H416" s="562"/>
      <c r="I416" s="563"/>
      <c r="J416" s="563"/>
      <c r="K416" s="560"/>
      <c r="L416" s="560"/>
      <c r="M416" s="560"/>
      <c r="N416" s="560"/>
      <c r="O416" s="560"/>
      <c r="P416" s="560"/>
    </row>
    <row r="417" spans="1:26" ht="39">
      <c r="A417" s="564">
        <v>1</v>
      </c>
      <c r="B417" s="566" t="s">
        <v>184</v>
      </c>
      <c r="C417" s="566"/>
      <c r="D417" s="567"/>
      <c r="E417" s="567"/>
      <c r="F417" s="567"/>
      <c r="G417" s="568"/>
      <c r="H417" s="569" t="s">
        <v>35</v>
      </c>
      <c r="I417" s="570">
        <f t="shared" ref="I417:J418" ca="1" si="182">I433</f>
        <v>20</v>
      </c>
      <c r="J417" s="570">
        <f t="shared" ca="1" si="182"/>
        <v>20</v>
      </c>
      <c r="K417" s="571">
        <f t="shared" ref="K417:K418" ca="1" si="183">IF(I417&gt;0,J417*100/I417,0)</f>
        <v>100</v>
      </c>
      <c r="L417" s="572"/>
      <c r="M417" s="572"/>
      <c r="N417" s="572"/>
      <c r="O417" s="572"/>
      <c r="P417" s="572"/>
    </row>
    <row r="418" spans="1:26" ht="19.5">
      <c r="A418" s="573"/>
      <c r="B418" s="564"/>
      <c r="C418" s="566"/>
      <c r="D418" s="567"/>
      <c r="E418" s="567"/>
      <c r="F418" s="567"/>
      <c r="G418" s="568"/>
      <c r="H418" s="569" t="s">
        <v>49</v>
      </c>
      <c r="I418" s="570">
        <f t="shared" ca="1" si="182"/>
        <v>1</v>
      </c>
      <c r="J418" s="570">
        <f t="shared" si="182"/>
        <v>1</v>
      </c>
      <c r="K418" s="571">
        <f t="shared" ca="1" si="183"/>
        <v>100</v>
      </c>
      <c r="L418" s="572"/>
      <c r="M418" s="572"/>
      <c r="N418" s="572"/>
      <c r="O418" s="572"/>
      <c r="P418" s="572"/>
    </row>
    <row r="419" spans="1:26" ht="19.5">
      <c r="A419" s="147"/>
      <c r="B419" s="148"/>
      <c r="C419" s="148" t="s">
        <v>16</v>
      </c>
      <c r="D419" s="891" t="s">
        <v>17</v>
      </c>
      <c r="E419" s="862"/>
      <c r="F419" s="86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79660</v>
      </c>
      <c r="M419" s="155">
        <f t="shared" ca="1" si="184"/>
        <v>84660</v>
      </c>
      <c r="N419" s="155">
        <f t="shared" si="184"/>
        <v>84660</v>
      </c>
      <c r="O419" s="155">
        <f t="shared" ref="O419:O424" ca="1" si="185">IF(L419&gt;0,N419*100/L419,0)</f>
        <v>106.27667587245794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7"/>
      <c r="J420" s="617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7"/>
      <c r="J421" s="617"/>
      <c r="K421" s="93"/>
      <c r="L421" s="93">
        <f t="shared" ca="1" si="187"/>
        <v>79660</v>
      </c>
      <c r="M421" s="93">
        <f t="shared" ca="1" si="187"/>
        <v>84660</v>
      </c>
      <c r="N421" s="93">
        <f t="shared" si="187"/>
        <v>84660</v>
      </c>
      <c r="O421" s="93">
        <f t="shared" ca="1" si="185"/>
        <v>106.27667587245794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79660</v>
      </c>
      <c r="M422" s="498">
        <f t="shared" ca="1" si="188"/>
        <v>84660</v>
      </c>
      <c r="N422" s="498">
        <f t="shared" si="188"/>
        <v>84660</v>
      </c>
      <c r="O422" s="498">
        <f t="shared" ca="1" si="185"/>
        <v>106.27667587245794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7"/>
      <c r="J423" s="617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7"/>
      <c r="J424" s="617"/>
      <c r="K424" s="93"/>
      <c r="L424" s="93">
        <f ca="1">IFERROR(__xludf.DUMMYFUNCTION("IMPORTRANGE(""https://docs.google.com/spreadsheets/d/1QqKyyYR6Q21VydFLVH3TRQUabQu_ym0Zz7PgGX0-kHA/edit?usp=sharing"",""แผน!EY38"")"),79660)</f>
        <v>79660</v>
      </c>
      <c r="M424" s="93">
        <f ca="1">L424+5000</f>
        <v>84660</v>
      </c>
      <c r="N424" s="93">
        <f>N425+N426+N427+N428</f>
        <v>84660</v>
      </c>
      <c r="O424" s="93">
        <f t="shared" ca="1" si="185"/>
        <v>106.27667587245794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4"/>
      <c r="B425" s="575"/>
      <c r="C425" s="763"/>
      <c r="D425" s="763"/>
      <c r="E425" s="763"/>
      <c r="F425" s="763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40">
        <v>53925</v>
      </c>
      <c r="O425" s="498"/>
      <c r="P425" s="49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</row>
    <row r="426" spans="1:26" ht="18.75">
      <c r="A426" s="574"/>
      <c r="B426" s="575"/>
      <c r="C426" s="763"/>
      <c r="D426" s="763"/>
      <c r="E426" s="763"/>
      <c r="F426" s="763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40">
        <v>0</v>
      </c>
      <c r="O426" s="498"/>
      <c r="P426" s="49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</row>
    <row r="427" spans="1:26" ht="18.75">
      <c r="A427" s="574"/>
      <c r="B427" s="575"/>
      <c r="C427" s="763"/>
      <c r="D427" s="763"/>
      <c r="E427" s="763"/>
      <c r="F427" s="763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40">
        <v>0</v>
      </c>
      <c r="O427" s="498"/>
      <c r="P427" s="49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40">
        <v>30735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92" t="s">
        <v>38</v>
      </c>
      <c r="E432" s="580"/>
      <c r="F432" s="580"/>
      <c r="G432" s="581"/>
      <c r="H432" s="582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1">
        <f ca="1">I435</f>
        <v>20</v>
      </c>
      <c r="J433" s="681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1">
        <f t="shared" ref="I434:J434" ca="1" si="193">I438+I440</f>
        <v>1</v>
      </c>
      <c r="J434" s="681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3" t="s">
        <v>35</v>
      </c>
      <c r="I435" s="583">
        <f ca="1">IFERROR(__xludf.DUMMYFUNCTION("IMPORTRANGE(""https://docs.google.com/spreadsheets/d/1QqKyyYR6Q21VydFLVH3TRQUabQu_ym0Zz7PgGX0-kHA/edit?usp=sharing"",""แผน!FC38"")"),20)</f>
        <v>20</v>
      </c>
      <c r="J435" s="584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3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3" t="s">
        <v>35</v>
      </c>
      <c r="I437" s="583">
        <f ca="1">IFERROR(__xludf.DUMMYFUNCTION("IMPORTRANGE(""https://docs.google.com/spreadsheets/d/1QqKyyYR6Q21VydFLVH3TRQUabQu_ym0Zz7PgGX0-kHA/edit?usp=sharing"",""แผน!FD38"")"),0)</f>
        <v>0</v>
      </c>
      <c r="J437" s="584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3" t="s">
        <v>49</v>
      </c>
      <c r="I438" s="270">
        <f ca="1">IFERROR(__xludf.DUMMYFUNCTION("IMPORTRANGE(""https://docs.google.com/spreadsheets/d/1QqKyyYR6Q21VydFLVH3TRQUabQu_ym0Zz7PgGX0-kHA/edit?usp=sharing"",""แผน!FE38"")"),0)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3" t="s">
        <v>35</v>
      </c>
      <c r="I439" s="583">
        <f ca="1">IFERROR(__xludf.DUMMYFUNCTION("IMPORTRANGE(""https://docs.google.com/spreadsheets/d/1QqKyyYR6Q21VydFLVH3TRQUabQu_ym0Zz7PgGX0-kHA/edit?usp=sharing"",""แผน!FF38"")"),20)</f>
        <v>20</v>
      </c>
      <c r="J439" s="584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3" t="s">
        <v>49</v>
      </c>
      <c r="I440" s="270">
        <f ca="1">IFERROR(__xludf.DUMMYFUNCTION("IMPORTRANGE(""https://docs.google.com/spreadsheets/d/1QqKyyYR6Q21VydFLVH3TRQUabQu_ym0Zz7PgGX0-kHA/edit?usp=sharing"",""แผน!FG38"")"),1)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3" t="s">
        <v>35</v>
      </c>
      <c r="I441" s="270">
        <f ca="1">IFERROR(__xludf.DUMMYFUNCTION("IMPORTRANGE(""https://docs.google.com/spreadsheets/d/1QqKyyYR6Q21VydFLVH3TRQUabQu_ym0Zz7PgGX0-kHA/edit?usp=sharing"",""แผน!FH38"")"),0)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5">
        <v>2</v>
      </c>
      <c r="B442" s="586" t="s">
        <v>200</v>
      </c>
      <c r="C442" s="587"/>
      <c r="D442" s="587"/>
      <c r="E442" s="587"/>
      <c r="F442" s="587"/>
      <c r="G442" s="588"/>
      <c r="H442" s="589" t="s">
        <v>35</v>
      </c>
      <c r="I442" s="590">
        <f t="shared" ref="I442:J442" ca="1" si="195">I460</f>
        <v>55</v>
      </c>
      <c r="J442" s="590">
        <f t="shared" si="195"/>
        <v>55</v>
      </c>
      <c r="K442" s="591">
        <f t="shared" ca="1" si="194"/>
        <v>100</v>
      </c>
      <c r="L442" s="592"/>
      <c r="M442" s="592"/>
      <c r="N442" s="592"/>
      <c r="O442" s="592"/>
      <c r="P442" s="592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</row>
    <row r="443" spans="1:26" ht="19.5">
      <c r="A443" s="593"/>
      <c r="B443" s="594"/>
      <c r="C443" s="595"/>
      <c r="D443" s="595"/>
      <c r="E443" s="595"/>
      <c r="F443" s="595"/>
      <c r="G443" s="596"/>
      <c r="H443" s="569" t="s">
        <v>46</v>
      </c>
      <c r="I443" s="570">
        <f t="shared" ref="I443:J443" ca="1" si="196">I462</f>
        <v>550</v>
      </c>
      <c r="J443" s="570">
        <f t="shared" si="196"/>
        <v>550</v>
      </c>
      <c r="K443" s="571">
        <f t="shared" ca="1" si="194"/>
        <v>100</v>
      </c>
      <c r="L443" s="572"/>
      <c r="M443" s="572"/>
      <c r="N443" s="572"/>
      <c r="O443" s="572"/>
      <c r="P443" s="572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</row>
    <row r="444" spans="1:26" ht="19.5">
      <c r="A444" s="597"/>
      <c r="B444" s="763"/>
      <c r="C444" s="763" t="s">
        <v>16</v>
      </c>
      <c r="D444" s="863" t="s">
        <v>17</v>
      </c>
      <c r="E444" s="857"/>
      <c r="F444" s="857"/>
      <c r="G444" s="189"/>
      <c r="H444" s="598" t="s">
        <v>12</v>
      </c>
      <c r="I444" s="270"/>
      <c r="J444" s="270"/>
      <c r="K444" s="498"/>
      <c r="L444" s="195">
        <f t="shared" ref="L444:N444" ca="1" si="197">L445+L446</f>
        <v>717500</v>
      </c>
      <c r="M444" s="195">
        <f t="shared" ca="1" si="197"/>
        <v>718325</v>
      </c>
      <c r="N444" s="195">
        <f t="shared" si="197"/>
        <v>718325</v>
      </c>
      <c r="O444" s="195">
        <f t="shared" ref="O444:O449" ca="1" si="198">IF(L444&gt;0,N444*100/L444,0)</f>
        <v>100.11498257839722</v>
      </c>
      <c r="P444" s="195">
        <f t="shared" ref="P444:P449" ca="1" si="199">IF(M444&gt;0,N444*100/M444,0)</f>
        <v>100</v>
      </c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</row>
    <row r="445" spans="1:26" ht="18.75" hidden="1">
      <c r="A445" s="599"/>
      <c r="B445" s="759"/>
      <c r="C445" s="759"/>
      <c r="D445" s="720"/>
      <c r="E445" s="759" t="s">
        <v>185</v>
      </c>
      <c r="F445" s="759"/>
      <c r="G445" s="603"/>
      <c r="H445" s="165" t="s">
        <v>12</v>
      </c>
      <c r="I445" s="617"/>
      <c r="J445" s="617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4"/>
      <c r="R445" s="604"/>
      <c r="S445" s="604"/>
      <c r="T445" s="604"/>
      <c r="U445" s="604"/>
      <c r="V445" s="604"/>
      <c r="W445" s="604"/>
      <c r="X445" s="604"/>
      <c r="Y445" s="604"/>
      <c r="Z445" s="604"/>
    </row>
    <row r="446" spans="1:26" ht="18.75" hidden="1">
      <c r="A446" s="599"/>
      <c r="B446" s="607"/>
      <c r="C446" s="759"/>
      <c r="D446" s="720"/>
      <c r="E446" s="759" t="s">
        <v>186</v>
      </c>
      <c r="F446" s="759"/>
      <c r="G446" s="603"/>
      <c r="H446" s="165" t="s">
        <v>12</v>
      </c>
      <c r="I446" s="617"/>
      <c r="J446" s="617"/>
      <c r="K446" s="93"/>
      <c r="L446" s="93">
        <f t="shared" ca="1" si="200"/>
        <v>717500</v>
      </c>
      <c r="M446" s="93">
        <f t="shared" ca="1" si="200"/>
        <v>718325</v>
      </c>
      <c r="N446" s="93">
        <f t="shared" si="200"/>
        <v>718325</v>
      </c>
      <c r="O446" s="93">
        <f t="shared" ca="1" si="198"/>
        <v>100.11498257839722</v>
      </c>
      <c r="P446" s="93">
        <f t="shared" ca="1" si="199"/>
        <v>100</v>
      </c>
      <c r="Q446" s="604"/>
      <c r="R446" s="604"/>
      <c r="S446" s="604"/>
      <c r="T446" s="604"/>
      <c r="U446" s="604"/>
      <c r="V446" s="604"/>
      <c r="W446" s="604"/>
      <c r="X446" s="604"/>
      <c r="Y446" s="604"/>
      <c r="Z446" s="604"/>
    </row>
    <row r="447" spans="1:26" ht="18.75">
      <c r="A447" s="597"/>
      <c r="B447" s="575"/>
      <c r="C447" s="763"/>
      <c r="D447" s="606" t="s">
        <v>20</v>
      </c>
      <c r="E447" s="763"/>
      <c r="F447" s="763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717500</v>
      </c>
      <c r="M447" s="498">
        <f t="shared" ca="1" si="201"/>
        <v>718325</v>
      </c>
      <c r="N447" s="498">
        <f t="shared" si="201"/>
        <v>718325</v>
      </c>
      <c r="O447" s="498">
        <f t="shared" ca="1" si="198"/>
        <v>100.11498257839722</v>
      </c>
      <c r="P447" s="498">
        <f t="shared" ca="1" si="199"/>
        <v>100</v>
      </c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</row>
    <row r="448" spans="1:26" ht="18.75" hidden="1">
      <c r="A448" s="599"/>
      <c r="B448" s="607"/>
      <c r="C448" s="759"/>
      <c r="D448" s="720"/>
      <c r="E448" s="759" t="s">
        <v>185</v>
      </c>
      <c r="F448" s="759"/>
      <c r="G448" s="603"/>
      <c r="H448" s="165" t="s">
        <v>12</v>
      </c>
      <c r="I448" s="617"/>
      <c r="J448" s="617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</row>
    <row r="449" spans="1:26" ht="18.75" hidden="1">
      <c r="A449" s="599"/>
      <c r="B449" s="607"/>
      <c r="C449" s="759"/>
      <c r="D449" s="720"/>
      <c r="E449" s="759" t="s">
        <v>186</v>
      </c>
      <c r="F449" s="759"/>
      <c r="G449" s="603"/>
      <c r="H449" s="165" t="s">
        <v>12</v>
      </c>
      <c r="I449" s="617"/>
      <c r="J449" s="617"/>
      <c r="K449" s="93"/>
      <c r="L449" s="93">
        <f ca="1">IFERROR(__xludf.DUMMYFUNCTION("IMPORTRANGE(""https://docs.google.com/spreadsheets/d/1QqKyyYR6Q21VydFLVH3TRQUabQu_ym0Zz7PgGX0-kHA/edit?usp=sharing"",""แผน!FJ38"")"),717500)</f>
        <v>717500</v>
      </c>
      <c r="M449" s="93">
        <f ca="1">L449+5000-4175</f>
        <v>718325</v>
      </c>
      <c r="N449" s="93">
        <f>N450+N451+N452+N453</f>
        <v>718325</v>
      </c>
      <c r="O449" s="93">
        <f t="shared" ca="1" si="198"/>
        <v>100.11498257839722</v>
      </c>
      <c r="P449" s="93">
        <f t="shared" ca="1" si="199"/>
        <v>100</v>
      </c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</row>
    <row r="450" spans="1:26" ht="18.75">
      <c r="A450" s="574"/>
      <c r="B450" s="575"/>
      <c r="C450" s="763"/>
      <c r="D450" s="763"/>
      <c r="E450" s="763"/>
      <c r="F450" s="763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40">
        <v>88234</v>
      </c>
      <c r="O450" s="498"/>
      <c r="P450" s="49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</row>
    <row r="451" spans="1:26" ht="18.75">
      <c r="A451" s="574"/>
      <c r="B451" s="575"/>
      <c r="C451" s="763"/>
      <c r="D451" s="763"/>
      <c r="E451" s="763"/>
      <c r="F451" s="763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40">
        <v>445825</v>
      </c>
      <c r="O451" s="498"/>
      <c r="P451" s="49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</row>
    <row r="452" spans="1:26" ht="18.75">
      <c r="A452" s="574"/>
      <c r="B452" s="575"/>
      <c r="C452" s="575"/>
      <c r="D452" s="575"/>
      <c r="E452" s="575"/>
      <c r="F452" s="763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40">
        <v>143000</v>
      </c>
      <c r="O452" s="498"/>
      <c r="P452" s="49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</row>
    <row r="453" spans="1:26" ht="18.75">
      <c r="A453" s="574"/>
      <c r="B453" s="575"/>
      <c r="C453" s="575"/>
      <c r="D453" s="575"/>
      <c r="E453" s="575"/>
      <c r="F453" s="763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40">
        <v>41266</v>
      </c>
      <c r="O453" s="498"/>
      <c r="P453" s="49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</row>
    <row r="454" spans="1:26" ht="18.75">
      <c r="A454" s="597"/>
      <c r="B454" s="575"/>
      <c r="C454" s="575"/>
      <c r="D454" s="606" t="s">
        <v>21</v>
      </c>
      <c r="E454" s="575"/>
      <c r="F454" s="763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</row>
    <row r="455" spans="1:26" ht="18.75" hidden="1">
      <c r="A455" s="599"/>
      <c r="B455" s="607"/>
      <c r="C455" s="607"/>
      <c r="D455" s="607"/>
      <c r="E455" s="607" t="s">
        <v>18</v>
      </c>
      <c r="F455" s="759"/>
      <c r="G455" s="603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4"/>
      <c r="R455" s="604"/>
      <c r="S455" s="604"/>
      <c r="T455" s="604"/>
      <c r="U455" s="604"/>
      <c r="V455" s="604"/>
      <c r="W455" s="604"/>
      <c r="X455" s="604"/>
      <c r="Y455" s="604"/>
      <c r="Z455" s="604"/>
    </row>
    <row r="456" spans="1:26" ht="18.75" hidden="1">
      <c r="A456" s="599"/>
      <c r="B456" s="607"/>
      <c r="C456" s="607"/>
      <c r="D456" s="607"/>
      <c r="E456" s="607" t="s">
        <v>19</v>
      </c>
      <c r="F456" s="759"/>
      <c r="G456" s="603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4"/>
      <c r="R456" s="604"/>
      <c r="S456" s="604"/>
      <c r="T456" s="604"/>
      <c r="U456" s="604"/>
      <c r="V456" s="604"/>
      <c r="W456" s="604"/>
      <c r="X456" s="604"/>
      <c r="Y456" s="604"/>
      <c r="Z456" s="604"/>
    </row>
    <row r="457" spans="1:26" ht="19.5">
      <c r="A457" s="608"/>
      <c r="B457" s="618"/>
      <c r="C457" s="575" t="s">
        <v>16</v>
      </c>
      <c r="D457" s="893" t="s">
        <v>38</v>
      </c>
      <c r="E457" s="611"/>
      <c r="F457" s="761"/>
      <c r="G457" s="613"/>
      <c r="H457" s="762"/>
      <c r="I457" s="270"/>
      <c r="J457" s="270"/>
      <c r="K457" s="498"/>
      <c r="L457" s="498"/>
      <c r="M457" s="498"/>
      <c r="N457" s="498"/>
      <c r="O457" s="498"/>
      <c r="P457" s="49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</row>
    <row r="458" spans="1:26" ht="18.75" hidden="1">
      <c r="A458" s="614"/>
      <c r="B458" s="616"/>
      <c r="C458" s="616"/>
      <c r="D458" s="616" t="s">
        <v>201</v>
      </c>
      <c r="E458" s="616"/>
      <c r="F458" s="720"/>
      <c r="G458" s="366"/>
      <c r="H458" s="370" t="s">
        <v>35</v>
      </c>
      <c r="I458" s="617">
        <v>0</v>
      </c>
      <c r="J458" s="617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4"/>
      <c r="R458" s="604"/>
      <c r="S458" s="604"/>
      <c r="T458" s="604"/>
      <c r="U458" s="604"/>
      <c r="V458" s="604"/>
      <c r="W458" s="604"/>
      <c r="X458" s="604"/>
      <c r="Y458" s="604"/>
      <c r="Z458" s="604"/>
    </row>
    <row r="459" spans="1:26" ht="18.75" hidden="1">
      <c r="A459" s="614"/>
      <c r="B459" s="616"/>
      <c r="C459" s="616"/>
      <c r="D459" s="616" t="s">
        <v>202</v>
      </c>
      <c r="E459" s="616"/>
      <c r="F459" s="720"/>
      <c r="G459" s="366"/>
      <c r="H459" s="370"/>
      <c r="I459" s="617"/>
      <c r="J459" s="617"/>
      <c r="K459" s="93"/>
      <c r="L459" s="93"/>
      <c r="M459" s="93"/>
      <c r="N459" s="93"/>
      <c r="O459" s="93"/>
      <c r="P459" s="93"/>
      <c r="Q459" s="604"/>
      <c r="R459" s="604"/>
      <c r="S459" s="604"/>
      <c r="T459" s="604"/>
      <c r="U459" s="604"/>
      <c r="V459" s="604"/>
      <c r="W459" s="604"/>
      <c r="X459" s="604"/>
      <c r="Y459" s="604"/>
      <c r="Z459" s="604"/>
    </row>
    <row r="460" spans="1:26" ht="18.75">
      <c r="A460" s="608"/>
      <c r="B460" s="618"/>
      <c r="C460" s="618"/>
      <c r="D460" s="618" t="s">
        <v>203</v>
      </c>
      <c r="E460" s="618"/>
      <c r="F460" s="626"/>
      <c r="G460" s="762"/>
      <c r="H460" s="764" t="s">
        <v>35</v>
      </c>
      <c r="I460" s="270">
        <f ca="1">IFERROR(__xludf.DUMMYFUNCTION("IMPORTRANGE(""https://docs.google.com/spreadsheets/d/1QqKyyYR6Q21VydFLVH3TRQUabQu_ym0Zz7PgGX0-kHA/edit?usp=sharing"",""แผน!FN38"")"),55)</f>
        <v>55</v>
      </c>
      <c r="J460" s="215">
        <v>55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</row>
    <row r="461" spans="1:26" ht="18.75">
      <c r="A461" s="608"/>
      <c r="B461" s="618"/>
      <c r="C461" s="618"/>
      <c r="D461" s="618" t="s">
        <v>204</v>
      </c>
      <c r="E461" s="626"/>
      <c r="F461" s="626"/>
      <c r="G461" s="762"/>
      <c r="H461" s="764"/>
      <c r="I461" s="270"/>
      <c r="J461" s="270"/>
      <c r="K461" s="498"/>
      <c r="L461" s="498"/>
      <c r="M461" s="498"/>
      <c r="N461" s="498"/>
      <c r="O461" s="498"/>
      <c r="P461" s="49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</row>
    <row r="462" spans="1:26" ht="18.75">
      <c r="A462" s="608"/>
      <c r="B462" s="618"/>
      <c r="C462" s="618"/>
      <c r="D462" s="618" t="s">
        <v>205</v>
      </c>
      <c r="E462" s="626"/>
      <c r="F462" s="626"/>
      <c r="G462" s="762"/>
      <c r="H462" s="764" t="s">
        <v>46</v>
      </c>
      <c r="I462" s="270">
        <f ca="1">IFERROR(__xludf.DUMMYFUNCTION("IMPORTRANGE(""https://docs.google.com/spreadsheets/d/1QqKyyYR6Q21VydFLVH3TRQUabQu_ym0Zz7PgGX0-kHA/edit?usp=sharing"",""แผน!FO38"")"),550)</f>
        <v>550</v>
      </c>
      <c r="J462" s="215">
        <v>550</v>
      </c>
      <c r="K462" s="498">
        <f t="shared" ref="K462:K466" ca="1" si="205">IF(I462&gt;0,J462*100/I462,0)</f>
        <v>100</v>
      </c>
      <c r="L462" s="498"/>
      <c r="M462" s="498"/>
      <c r="N462" s="498"/>
      <c r="O462" s="498"/>
      <c r="P462" s="49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</row>
    <row r="463" spans="1:26" ht="18.75">
      <c r="A463" s="608"/>
      <c r="B463" s="618"/>
      <c r="C463" s="618"/>
      <c r="D463" s="618" t="s">
        <v>59</v>
      </c>
      <c r="E463" s="626"/>
      <c r="F463" s="763"/>
      <c r="G463" s="189"/>
      <c r="H463" s="764" t="s">
        <v>46</v>
      </c>
      <c r="I463" s="270">
        <f ca="1">IFERROR(__xludf.DUMMYFUNCTION("IMPORTRANGE(""https://docs.google.com/spreadsheets/d/1QqKyyYR6Q21VydFLVH3TRQUabQu_ym0Zz7PgGX0-kHA/edit?usp=sharing"",""แผน!FO38"")"),550)</f>
        <v>550</v>
      </c>
      <c r="J463" s="215">
        <v>550</v>
      </c>
      <c r="K463" s="498">
        <f t="shared" ca="1" si="205"/>
        <v>100</v>
      </c>
      <c r="L463" s="498"/>
      <c r="M463" s="498"/>
      <c r="N463" s="498"/>
      <c r="O463" s="498"/>
      <c r="P463" s="49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</row>
    <row r="464" spans="1:26" ht="19.5">
      <c r="A464" s="608"/>
      <c r="B464" s="618"/>
      <c r="C464" s="618"/>
      <c r="D464" s="618"/>
      <c r="E464" s="626"/>
      <c r="F464" s="626"/>
      <c r="G464" s="620"/>
      <c r="H464" s="764" t="s">
        <v>35</v>
      </c>
      <c r="I464" s="270">
        <f ca="1">IFERROR(__xludf.DUMMYFUNCTION("IMPORTRANGE(""https://docs.google.com/spreadsheets/d/1QqKyyYR6Q21VydFLVH3TRQUabQu_ym0Zz7PgGX0-kHA/edit?usp=sharing"",""แผน!FN38"")"),55)</f>
        <v>55</v>
      </c>
      <c r="J464" s="215">
        <v>55</v>
      </c>
      <c r="K464" s="498">
        <f t="shared" ca="1" si="205"/>
        <v>100</v>
      </c>
      <c r="L464" s="498"/>
      <c r="M464" s="498"/>
      <c r="N464" s="498"/>
      <c r="O464" s="498"/>
      <c r="P464" s="49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</row>
    <row r="465" spans="1:26" ht="19.5">
      <c r="A465" s="585">
        <v>3</v>
      </c>
      <c r="B465" s="586" t="s">
        <v>206</v>
      </c>
      <c r="C465" s="587"/>
      <c r="D465" s="587"/>
      <c r="E465" s="587"/>
      <c r="F465" s="587"/>
      <c r="G465" s="588"/>
      <c r="H465" s="589" t="s">
        <v>35</v>
      </c>
      <c r="I465" s="590">
        <f ca="1">IFERROR(__xludf.DUMMYFUNCTION("IMPORTRANGE(""https://docs.google.com/spreadsheets/d/1QqKyyYR6Q21VydFLVH3TRQUabQu_ym0Zz7PgGX0-kHA/edit?usp=sharing"",""แผน!FX38"")"),131)</f>
        <v>131</v>
      </c>
      <c r="J465" s="590">
        <f>J485+J489+J492</f>
        <v>131</v>
      </c>
      <c r="K465" s="591">
        <f t="shared" ca="1" si="205"/>
        <v>100</v>
      </c>
      <c r="L465" s="592"/>
      <c r="M465" s="592"/>
      <c r="N465" s="592"/>
      <c r="O465" s="592"/>
      <c r="P465" s="592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</row>
    <row r="466" spans="1:26" ht="19.5">
      <c r="A466" s="593"/>
      <c r="B466" s="594"/>
      <c r="C466" s="595"/>
      <c r="D466" s="595"/>
      <c r="E466" s="595"/>
      <c r="F466" s="595"/>
      <c r="G466" s="596"/>
      <c r="H466" s="569" t="s">
        <v>46</v>
      </c>
      <c r="I466" s="570">
        <f ca="1">IFERROR(__xludf.DUMMYFUNCTION("IMPORTRANGE(""https://docs.google.com/spreadsheets/d/1QqKyyYR6Q21VydFLVH3TRQUabQu_ym0Zz7PgGX0-kHA/edit?usp=sharing"",""แผน!FW38"")"),1300)</f>
        <v>1300</v>
      </c>
      <c r="J466" s="570">
        <f>J495+J498</f>
        <v>1300</v>
      </c>
      <c r="K466" s="571">
        <f t="shared" ca="1" si="205"/>
        <v>100</v>
      </c>
      <c r="L466" s="572"/>
      <c r="M466" s="572"/>
      <c r="N466" s="572"/>
      <c r="O466" s="572"/>
      <c r="P466" s="572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</row>
    <row r="467" spans="1:26" ht="19.5">
      <c r="A467" s="597"/>
      <c r="B467" s="763"/>
      <c r="C467" s="763" t="s">
        <v>16</v>
      </c>
      <c r="D467" s="863" t="s">
        <v>17</v>
      </c>
      <c r="E467" s="857"/>
      <c r="F467" s="857"/>
      <c r="G467" s="189"/>
      <c r="H467" s="598" t="s">
        <v>12</v>
      </c>
      <c r="I467" s="270"/>
      <c r="J467" s="270"/>
      <c r="K467" s="498"/>
      <c r="L467" s="195">
        <f t="shared" ref="L467:N467" ca="1" si="206">L468+L469</f>
        <v>1161548</v>
      </c>
      <c r="M467" s="195">
        <f t="shared" ca="1" si="206"/>
        <v>902423.62</v>
      </c>
      <c r="N467" s="195">
        <f t="shared" si="206"/>
        <v>902423.62</v>
      </c>
      <c r="O467" s="195">
        <f t="shared" ref="O467:O472" ca="1" si="207">IF(L467&gt;0,N467*100/L467,0)</f>
        <v>77.691461738989688</v>
      </c>
      <c r="P467" s="195">
        <f t="shared" ref="P467:P472" ca="1" si="208">IF(M467&gt;0,N467*100/M467,0)</f>
        <v>100</v>
      </c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</row>
    <row r="468" spans="1:26" ht="18.75" hidden="1">
      <c r="A468" s="599"/>
      <c r="B468" s="759"/>
      <c r="C468" s="759"/>
      <c r="D468" s="720"/>
      <c r="E468" s="759" t="s">
        <v>185</v>
      </c>
      <c r="F468" s="759"/>
      <c r="G468" s="603"/>
      <c r="H468" s="165" t="s">
        <v>12</v>
      </c>
      <c r="I468" s="617"/>
      <c r="J468" s="617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4"/>
      <c r="R468" s="604"/>
      <c r="S468" s="604"/>
      <c r="T468" s="604"/>
      <c r="U468" s="604"/>
      <c r="V468" s="604"/>
      <c r="W468" s="604"/>
      <c r="X468" s="604"/>
      <c r="Y468" s="604"/>
      <c r="Z468" s="604"/>
    </row>
    <row r="469" spans="1:26" ht="18.75" hidden="1">
      <c r="A469" s="599"/>
      <c r="B469" s="607"/>
      <c r="C469" s="759"/>
      <c r="D469" s="720"/>
      <c r="E469" s="759" t="s">
        <v>186</v>
      </c>
      <c r="F469" s="759"/>
      <c r="G469" s="603"/>
      <c r="H469" s="165" t="s">
        <v>12</v>
      </c>
      <c r="I469" s="617"/>
      <c r="J469" s="617"/>
      <c r="K469" s="93"/>
      <c r="L469" s="93">
        <f t="shared" ca="1" si="209"/>
        <v>1161548</v>
      </c>
      <c r="M469" s="93">
        <f t="shared" ca="1" si="209"/>
        <v>902423.62</v>
      </c>
      <c r="N469" s="93">
        <f t="shared" si="209"/>
        <v>902423.62</v>
      </c>
      <c r="O469" s="93">
        <f t="shared" ca="1" si="207"/>
        <v>77.691461738989688</v>
      </c>
      <c r="P469" s="93">
        <f t="shared" ca="1" si="208"/>
        <v>100</v>
      </c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</row>
    <row r="470" spans="1:26" ht="18.75">
      <c r="A470" s="597"/>
      <c r="B470" s="575"/>
      <c r="C470" s="763"/>
      <c r="D470" s="606" t="s">
        <v>20</v>
      </c>
      <c r="E470" s="763"/>
      <c r="F470" s="763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1161548</v>
      </c>
      <c r="M470" s="498">
        <f t="shared" ca="1" si="210"/>
        <v>902423.62</v>
      </c>
      <c r="N470" s="498">
        <f t="shared" si="210"/>
        <v>902423.62</v>
      </c>
      <c r="O470" s="498">
        <f t="shared" ca="1" si="207"/>
        <v>77.691461738989688</v>
      </c>
      <c r="P470" s="498">
        <f t="shared" ca="1" si="208"/>
        <v>100</v>
      </c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</row>
    <row r="471" spans="1:26" ht="18.75" hidden="1">
      <c r="A471" s="599"/>
      <c r="B471" s="607"/>
      <c r="C471" s="759"/>
      <c r="D471" s="720"/>
      <c r="E471" s="759" t="s">
        <v>185</v>
      </c>
      <c r="F471" s="759"/>
      <c r="G471" s="603"/>
      <c r="H471" s="165" t="s">
        <v>12</v>
      </c>
      <c r="I471" s="617"/>
      <c r="J471" s="617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4"/>
      <c r="R471" s="604"/>
      <c r="S471" s="604"/>
      <c r="T471" s="604"/>
      <c r="U471" s="604"/>
      <c r="V471" s="604"/>
      <c r="W471" s="604"/>
      <c r="X471" s="604"/>
      <c r="Y471" s="604"/>
      <c r="Z471" s="604"/>
    </row>
    <row r="472" spans="1:26" ht="18.75" hidden="1">
      <c r="A472" s="599"/>
      <c r="B472" s="607"/>
      <c r="C472" s="759"/>
      <c r="D472" s="720"/>
      <c r="E472" s="759" t="s">
        <v>186</v>
      </c>
      <c r="F472" s="759"/>
      <c r="G472" s="603"/>
      <c r="H472" s="165" t="s">
        <v>12</v>
      </c>
      <c r="I472" s="617"/>
      <c r="J472" s="617"/>
      <c r="K472" s="93"/>
      <c r="L472" s="93">
        <f ca="1">IFERROR(__xludf.DUMMYFUNCTION("IMPORTRANGE(""https://docs.google.com/spreadsheets/d/1QqKyyYR6Q21VydFLVH3TRQUabQu_ym0Zz7PgGX0-kHA/edit?usp=sharing"",""แผน!FS38"")"),1161548)</f>
        <v>1161548</v>
      </c>
      <c r="M472" s="93">
        <f ca="1">L472+6620-265744.38</f>
        <v>902423.62</v>
      </c>
      <c r="N472" s="93">
        <f>N473+N474+N475+N476</f>
        <v>902423.62</v>
      </c>
      <c r="O472" s="93">
        <f t="shared" ca="1" si="207"/>
        <v>77.691461738989688</v>
      </c>
      <c r="P472" s="93">
        <f t="shared" ca="1" si="208"/>
        <v>100</v>
      </c>
      <c r="Q472" s="604"/>
      <c r="R472" s="604"/>
      <c r="S472" s="604"/>
      <c r="T472" s="604"/>
      <c r="U472" s="604"/>
      <c r="V472" s="604"/>
      <c r="W472" s="604"/>
      <c r="X472" s="604"/>
      <c r="Y472" s="604"/>
      <c r="Z472" s="604"/>
    </row>
    <row r="473" spans="1:26" ht="18.75">
      <c r="A473" s="574"/>
      <c r="B473" s="575"/>
      <c r="C473" s="763"/>
      <c r="D473" s="763"/>
      <c r="E473" s="763"/>
      <c r="F473" s="763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40">
        <v>166342.20000000001</v>
      </c>
      <c r="O473" s="498"/>
      <c r="P473" s="49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</row>
    <row r="474" spans="1:26" ht="18.75">
      <c r="A474" s="574"/>
      <c r="B474" s="575"/>
      <c r="C474" s="763"/>
      <c r="D474" s="763"/>
      <c r="E474" s="763"/>
      <c r="F474" s="763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40">
        <v>553900</v>
      </c>
      <c r="O474" s="498"/>
      <c r="P474" s="49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</row>
    <row r="475" spans="1:26" ht="18.75">
      <c r="A475" s="574"/>
      <c r="B475" s="575"/>
      <c r="C475" s="575"/>
      <c r="D475" s="575"/>
      <c r="E475" s="575"/>
      <c r="F475" s="763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40">
        <v>136695.62</v>
      </c>
      <c r="O475" s="498"/>
      <c r="P475" s="49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</row>
    <row r="476" spans="1:26" ht="18.75">
      <c r="A476" s="574"/>
      <c r="B476" s="575"/>
      <c r="C476" s="575"/>
      <c r="D476" s="575"/>
      <c r="E476" s="575"/>
      <c r="F476" s="763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40">
        <v>45485.8</v>
      </c>
      <c r="O476" s="498"/>
      <c r="P476" s="49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</row>
    <row r="477" spans="1:26" ht="18.75">
      <c r="A477" s="597"/>
      <c r="B477" s="575"/>
      <c r="C477" s="575"/>
      <c r="D477" s="606" t="s">
        <v>21</v>
      </c>
      <c r="E477" s="575"/>
      <c r="F477" s="575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</row>
    <row r="478" spans="1:26" ht="18.75" hidden="1">
      <c r="A478" s="599"/>
      <c r="B478" s="607"/>
      <c r="C478" s="607"/>
      <c r="D478" s="607"/>
      <c r="E478" s="607" t="s">
        <v>18</v>
      </c>
      <c r="F478" s="607"/>
      <c r="G478" s="603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4"/>
      <c r="R478" s="604"/>
      <c r="S478" s="604"/>
      <c r="T478" s="604"/>
      <c r="U478" s="604"/>
      <c r="V478" s="604"/>
      <c r="W478" s="604"/>
      <c r="X478" s="604"/>
      <c r="Y478" s="604"/>
      <c r="Z478" s="604"/>
    </row>
    <row r="479" spans="1:26" ht="18.75" hidden="1">
      <c r="A479" s="599"/>
      <c r="B479" s="607"/>
      <c r="C479" s="607"/>
      <c r="D479" s="607"/>
      <c r="E479" s="607" t="s">
        <v>19</v>
      </c>
      <c r="F479" s="607"/>
      <c r="G479" s="603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4"/>
      <c r="R479" s="604"/>
      <c r="S479" s="604"/>
      <c r="T479" s="604"/>
      <c r="U479" s="604"/>
      <c r="V479" s="604"/>
      <c r="W479" s="604"/>
      <c r="X479" s="604"/>
      <c r="Y479" s="604"/>
      <c r="Z479" s="604"/>
    </row>
    <row r="480" spans="1:26" ht="19.5">
      <c r="A480" s="608"/>
      <c r="B480" s="618"/>
      <c r="C480" s="575" t="s">
        <v>16</v>
      </c>
      <c r="D480" s="894" t="s">
        <v>38</v>
      </c>
      <c r="E480" s="611"/>
      <c r="F480" s="761"/>
      <c r="G480" s="613"/>
      <c r="H480" s="762"/>
      <c r="I480" s="270"/>
      <c r="J480" s="270"/>
      <c r="K480" s="498"/>
      <c r="L480" s="498"/>
      <c r="M480" s="498"/>
      <c r="N480" s="498"/>
      <c r="O480" s="498"/>
      <c r="P480" s="49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</row>
    <row r="481" spans="1:26" ht="19.5">
      <c r="A481" s="608"/>
      <c r="B481" s="618"/>
      <c r="C481" s="618"/>
      <c r="D481" s="625" t="s">
        <v>207</v>
      </c>
      <c r="E481" s="618"/>
      <c r="F481" s="618"/>
      <c r="G481" s="762"/>
      <c r="H481" s="189"/>
      <c r="I481" s="270"/>
      <c r="J481" s="270"/>
      <c r="K481" s="498"/>
      <c r="L481" s="498"/>
      <c r="M481" s="498"/>
      <c r="N481" s="498"/>
      <c r="O481" s="498"/>
      <c r="P481" s="49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</row>
    <row r="482" spans="1:26" ht="18.75">
      <c r="A482" s="608"/>
      <c r="B482" s="618"/>
      <c r="C482" s="618"/>
      <c r="D482" s="618"/>
      <c r="E482" s="618" t="s">
        <v>208</v>
      </c>
      <c r="F482" s="618"/>
      <c r="G482" s="762"/>
      <c r="H482" s="189"/>
      <c r="I482" s="270"/>
      <c r="J482" s="270"/>
      <c r="K482" s="498"/>
      <c r="L482" s="498"/>
      <c r="M482" s="498"/>
      <c r="N482" s="498"/>
      <c r="O482" s="498"/>
      <c r="P482" s="49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</row>
    <row r="483" spans="1:26" ht="18.75">
      <c r="A483" s="608"/>
      <c r="B483" s="618"/>
      <c r="C483" s="618"/>
      <c r="D483" s="618"/>
      <c r="E483" s="618"/>
      <c r="F483" s="618" t="s">
        <v>209</v>
      </c>
      <c r="G483" s="762"/>
      <c r="H483" s="623" t="s">
        <v>46</v>
      </c>
      <c r="I483" s="270">
        <f ca="1">IFERROR(__xludf.DUMMYFUNCTION("IMPORTRANGE(""https://docs.google.com/spreadsheets/d/1QqKyyYR6Q21VydFLVH3TRQUabQu_ym0Zz7PgGX0-kHA/edit?usp=sharing"",""แผน!FY38"")"),1170)</f>
        <v>1170</v>
      </c>
      <c r="J483" s="215">
        <v>1170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</row>
    <row r="484" spans="1:26" ht="18.75">
      <c r="A484" s="608"/>
      <c r="B484" s="618"/>
      <c r="C484" s="618"/>
      <c r="D484" s="618"/>
      <c r="E484" s="618"/>
      <c r="F484" s="618" t="s">
        <v>210</v>
      </c>
      <c r="G484" s="762"/>
      <c r="H484" s="623" t="s">
        <v>35</v>
      </c>
      <c r="I484" s="270"/>
      <c r="J484" s="215">
        <v>117</v>
      </c>
      <c r="K484" s="498"/>
      <c r="L484" s="498"/>
      <c r="M484" s="498"/>
      <c r="N484" s="498"/>
      <c r="O484" s="498"/>
      <c r="P484" s="49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</row>
    <row r="485" spans="1:26" ht="18.75">
      <c r="A485" s="608"/>
      <c r="B485" s="618"/>
      <c r="C485" s="618"/>
      <c r="D485" s="618"/>
      <c r="E485" s="618"/>
      <c r="F485" s="618" t="s">
        <v>211</v>
      </c>
      <c r="G485" s="762"/>
      <c r="H485" s="623" t="s">
        <v>35</v>
      </c>
      <c r="I485" s="270">
        <f ca="1">IFERROR(__xludf.DUMMYFUNCTION("IMPORTRANGE(""https://docs.google.com/spreadsheets/d/1QqKyyYR6Q21VydFLVH3TRQUabQu_ym0Zz7PgGX0-kHA/edit?usp=sharing"",""แผน!FZ38"")"),117)</f>
        <v>117</v>
      </c>
      <c r="J485" s="215">
        <v>117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</row>
    <row r="486" spans="1:26" ht="18.75">
      <c r="A486" s="608"/>
      <c r="B486" s="618"/>
      <c r="C486" s="618"/>
      <c r="D486" s="618"/>
      <c r="E486" s="618" t="s">
        <v>62</v>
      </c>
      <c r="F486" s="618"/>
      <c r="G486" s="762"/>
      <c r="H486" s="623"/>
      <c r="I486" s="270"/>
      <c r="J486" s="270"/>
      <c r="K486" s="498"/>
      <c r="L486" s="498"/>
      <c r="M486" s="498"/>
      <c r="N486" s="498"/>
      <c r="O486" s="498"/>
      <c r="P486" s="49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</row>
    <row r="487" spans="1:26" ht="18.75">
      <c r="A487" s="608"/>
      <c r="B487" s="618"/>
      <c r="C487" s="618"/>
      <c r="D487" s="618"/>
      <c r="E487" s="618"/>
      <c r="F487" s="618" t="s">
        <v>209</v>
      </c>
      <c r="G487" s="762"/>
      <c r="H487" s="623" t="s">
        <v>46</v>
      </c>
      <c r="I487" s="270">
        <f ca="1">IFERROR(__xludf.DUMMYFUNCTION("IMPORTRANGE(""https://docs.google.com/spreadsheets/d/1QqKyyYR6Q21VydFLVH3TRQUabQu_ym0Zz7PgGX0-kHA/edit?usp=sharing"",""แผน!GA38"")"),130)</f>
        <v>130</v>
      </c>
      <c r="J487" s="215">
        <v>130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</row>
    <row r="488" spans="1:26" ht="18.75">
      <c r="A488" s="608"/>
      <c r="B488" s="618"/>
      <c r="C488" s="618"/>
      <c r="D488" s="618"/>
      <c r="E488" s="618"/>
      <c r="F488" s="618" t="s">
        <v>212</v>
      </c>
      <c r="G488" s="762"/>
      <c r="H488" s="623" t="s">
        <v>35</v>
      </c>
      <c r="I488" s="270"/>
      <c r="J488" s="215">
        <v>13</v>
      </c>
      <c r="K488" s="498"/>
      <c r="L488" s="498"/>
      <c r="M488" s="498"/>
      <c r="N488" s="498"/>
      <c r="O488" s="498"/>
      <c r="P488" s="49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</row>
    <row r="489" spans="1:26" ht="18.75">
      <c r="A489" s="608"/>
      <c r="B489" s="618"/>
      <c r="C489" s="618"/>
      <c r="D489" s="618"/>
      <c r="E489" s="618"/>
      <c r="F489" s="618" t="s">
        <v>213</v>
      </c>
      <c r="G489" s="762"/>
      <c r="H489" s="623" t="s">
        <v>35</v>
      </c>
      <c r="I489" s="270">
        <f ca="1">IFERROR(__xludf.DUMMYFUNCTION("IMPORTRANGE(""https://docs.google.com/spreadsheets/d/1QqKyyYR6Q21VydFLVH3TRQUabQu_ym0Zz7PgGX0-kHA/edit?usp=sharing"",""แผน!GB38"")"),13)</f>
        <v>13</v>
      </c>
      <c r="J489" s="215">
        <v>13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</row>
    <row r="490" spans="1:26" ht="18.75">
      <c r="A490" s="608"/>
      <c r="B490" s="618"/>
      <c r="C490" s="618"/>
      <c r="D490" s="618"/>
      <c r="E490" s="618" t="s">
        <v>63</v>
      </c>
      <c r="F490" s="626"/>
      <c r="G490" s="762"/>
      <c r="H490" s="623"/>
      <c r="I490" s="270"/>
      <c r="J490" s="270"/>
      <c r="K490" s="498"/>
      <c r="L490" s="498"/>
      <c r="M490" s="498"/>
      <c r="N490" s="498"/>
      <c r="O490" s="498"/>
      <c r="P490" s="49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</row>
    <row r="491" spans="1:26" ht="18.75">
      <c r="A491" s="608"/>
      <c r="B491" s="618"/>
      <c r="C491" s="618"/>
      <c r="D491" s="618"/>
      <c r="E491" s="618"/>
      <c r="F491" s="618" t="s">
        <v>214</v>
      </c>
      <c r="G491" s="762"/>
      <c r="H491" s="623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</row>
    <row r="492" spans="1:26" ht="18.75">
      <c r="A492" s="608"/>
      <c r="B492" s="618"/>
      <c r="C492" s="618"/>
      <c r="D492" s="618"/>
      <c r="E492" s="618"/>
      <c r="F492" s="618" t="s">
        <v>215</v>
      </c>
      <c r="G492" s="762"/>
      <c r="H492" s="623" t="s">
        <v>35</v>
      </c>
      <c r="I492" s="270">
        <f ca="1">IFERROR(__xludf.DUMMYFUNCTION("IMPORTRANGE(""https://docs.google.com/spreadsheets/d/1QqKyyYR6Q21VydFLVH3TRQUabQu_ym0Zz7PgGX0-kHA/edit?usp=sharing"",""แผน!GC38"")"),1)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</row>
    <row r="493" spans="1:26" ht="19.5">
      <c r="A493" s="608"/>
      <c r="B493" s="618"/>
      <c r="C493" s="618"/>
      <c r="D493" s="625" t="s">
        <v>59</v>
      </c>
      <c r="E493" s="618"/>
      <c r="F493" s="626"/>
      <c r="G493" s="762"/>
      <c r="H493" s="189"/>
      <c r="I493" s="270"/>
      <c r="J493" s="270"/>
      <c r="K493" s="498"/>
      <c r="L493" s="498"/>
      <c r="M493" s="498"/>
      <c r="N493" s="498"/>
      <c r="O493" s="498"/>
      <c r="P493" s="49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</row>
    <row r="494" spans="1:26" ht="18.75">
      <c r="A494" s="608"/>
      <c r="B494" s="618"/>
      <c r="C494" s="618"/>
      <c r="D494" s="618"/>
      <c r="E494" s="618" t="s">
        <v>208</v>
      </c>
      <c r="F494" s="626"/>
      <c r="G494" s="762"/>
      <c r="H494" s="189"/>
      <c r="I494" s="270"/>
      <c r="J494" s="270"/>
      <c r="K494" s="498"/>
      <c r="L494" s="498"/>
      <c r="M494" s="498"/>
      <c r="N494" s="498"/>
      <c r="O494" s="498"/>
      <c r="P494" s="49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</row>
    <row r="495" spans="1:26" ht="18.75">
      <c r="A495" s="608"/>
      <c r="B495" s="618"/>
      <c r="C495" s="618"/>
      <c r="D495" s="618"/>
      <c r="E495" s="618"/>
      <c r="F495" s="626" t="s">
        <v>216</v>
      </c>
      <c r="G495" s="762"/>
      <c r="H495" s="623" t="s">
        <v>46</v>
      </c>
      <c r="I495" s="270">
        <f ca="1">IFERROR(__xludf.DUMMYFUNCTION("IMPORTRANGE(""https://docs.google.com/spreadsheets/d/1QqKyyYR6Q21VydFLVH3TRQUabQu_ym0Zz7PgGX0-kHA/edit?usp=sharing"",""แผน!FY38"")"),1170)</f>
        <v>1170</v>
      </c>
      <c r="J495" s="215">
        <v>1170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</row>
    <row r="496" spans="1:26" ht="18.75">
      <c r="A496" s="608"/>
      <c r="B496" s="618"/>
      <c r="C496" s="618"/>
      <c r="D496" s="618"/>
      <c r="E496" s="618"/>
      <c r="F496" s="626" t="s">
        <v>217</v>
      </c>
      <c r="G496" s="762"/>
      <c r="H496" s="623" t="s">
        <v>46</v>
      </c>
      <c r="I496" s="270"/>
      <c r="J496" s="215">
        <v>117</v>
      </c>
      <c r="K496" s="498"/>
      <c r="L496" s="498"/>
      <c r="M496" s="498"/>
      <c r="N496" s="498"/>
      <c r="O496" s="498"/>
      <c r="P496" s="49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</row>
    <row r="497" spans="1:26" ht="18.75">
      <c r="A497" s="608"/>
      <c r="B497" s="618"/>
      <c r="C497" s="618"/>
      <c r="D497" s="618"/>
      <c r="E497" s="618" t="s">
        <v>62</v>
      </c>
      <c r="F497" s="626"/>
      <c r="G497" s="762"/>
      <c r="H497" s="189"/>
      <c r="I497" s="270"/>
      <c r="J497" s="270"/>
      <c r="K497" s="498"/>
      <c r="L497" s="498"/>
      <c r="M497" s="498"/>
      <c r="N497" s="498"/>
      <c r="O497" s="498"/>
      <c r="P497" s="49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</row>
    <row r="498" spans="1:26" ht="18.75">
      <c r="A498" s="608"/>
      <c r="B498" s="618"/>
      <c r="C498" s="618"/>
      <c r="D498" s="618"/>
      <c r="E498" s="626"/>
      <c r="F498" s="626" t="s">
        <v>218</v>
      </c>
      <c r="G498" s="762"/>
      <c r="H498" s="623" t="s">
        <v>46</v>
      </c>
      <c r="I498" s="270">
        <f ca="1">IFERROR(__xludf.DUMMYFUNCTION("IMPORTRANGE(""https://docs.google.com/spreadsheets/d/1QqKyyYR6Q21VydFLVH3TRQUabQu_ym0Zz7PgGX0-kHA/edit?usp=sharing"",""แผน!GA38"")"),130)</f>
        <v>130</v>
      </c>
      <c r="J498" s="215">
        <v>130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</row>
    <row r="499" spans="1:26" ht="18.75">
      <c r="A499" s="608"/>
      <c r="B499" s="618"/>
      <c r="C499" s="618"/>
      <c r="D499" s="618"/>
      <c r="E499" s="626"/>
      <c r="F499" s="626" t="s">
        <v>219</v>
      </c>
      <c r="G499" s="762"/>
      <c r="H499" s="623" t="s">
        <v>46</v>
      </c>
      <c r="I499" s="270"/>
      <c r="J499" s="215">
        <v>13</v>
      </c>
      <c r="K499" s="498"/>
      <c r="L499" s="498"/>
      <c r="M499" s="498"/>
      <c r="N499" s="498"/>
      <c r="O499" s="498"/>
      <c r="P499" s="49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</row>
    <row r="500" spans="1:26" ht="19.5" hidden="1">
      <c r="A500" s="627">
        <v>4</v>
      </c>
      <c r="B500" s="628" t="s">
        <v>220</v>
      </c>
      <c r="C500" s="629"/>
      <c r="D500" s="630"/>
      <c r="E500" s="630"/>
      <c r="F500" s="630"/>
      <c r="G500" s="631"/>
      <c r="H500" s="632" t="s">
        <v>109</v>
      </c>
      <c r="I500" s="633"/>
      <c r="J500" s="633">
        <f t="shared" ref="J500:J501" si="214">J516</f>
        <v>0</v>
      </c>
      <c r="K500" s="634">
        <f t="shared" ref="K500:K501" si="215">IF(I500&gt;0,J500*100/I500,0)</f>
        <v>0</v>
      </c>
      <c r="L500" s="635"/>
      <c r="M500" s="635"/>
      <c r="N500" s="635"/>
      <c r="O500" s="635"/>
      <c r="P500" s="635"/>
      <c r="Q500" s="604"/>
      <c r="R500" s="604"/>
      <c r="S500" s="604"/>
      <c r="T500" s="604"/>
      <c r="U500" s="604"/>
      <c r="V500" s="604"/>
      <c r="W500" s="604"/>
      <c r="X500" s="604"/>
      <c r="Y500" s="604"/>
      <c r="Z500" s="604"/>
    </row>
    <row r="501" spans="1:26" ht="19.5" hidden="1">
      <c r="A501" s="636"/>
      <c r="B501" s="638" t="s">
        <v>221</v>
      </c>
      <c r="C501" s="638"/>
      <c r="D501" s="639"/>
      <c r="E501" s="639"/>
      <c r="F501" s="639"/>
      <c r="G501" s="640"/>
      <c r="H501" s="641" t="s">
        <v>35</v>
      </c>
      <c r="I501" s="642"/>
      <c r="J501" s="642">
        <f t="shared" si="214"/>
        <v>0</v>
      </c>
      <c r="K501" s="643">
        <f t="shared" si="215"/>
        <v>0</v>
      </c>
      <c r="L501" s="644"/>
      <c r="M501" s="644"/>
      <c r="N501" s="644"/>
      <c r="O501" s="644"/>
      <c r="P501" s="64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</row>
    <row r="502" spans="1:26" ht="19.5" hidden="1">
      <c r="A502" s="599"/>
      <c r="B502" s="759"/>
      <c r="C502" s="759" t="s">
        <v>16</v>
      </c>
      <c r="D502" s="864" t="s">
        <v>17</v>
      </c>
      <c r="E502" s="857"/>
      <c r="F502" s="857"/>
      <c r="G502" s="603"/>
      <c r="H502" s="646" t="s">
        <v>12</v>
      </c>
      <c r="I502" s="617"/>
      <c r="J502" s="617"/>
      <c r="K502" s="93"/>
      <c r="L502" s="647">
        <f t="shared" ref="L502:N502" si="216">L503+L504</f>
        <v>0</v>
      </c>
      <c r="M502" s="647">
        <f t="shared" si="216"/>
        <v>0</v>
      </c>
      <c r="N502" s="647">
        <f t="shared" si="216"/>
        <v>0</v>
      </c>
      <c r="O502" s="647">
        <f t="shared" ref="O502:O507" si="217">IF(L502&gt;0,N502*100/L502,0)</f>
        <v>0</v>
      </c>
      <c r="P502" s="647">
        <f t="shared" ref="P502:P507" si="218">IF(M502&gt;0,N502*100/M502,0)</f>
        <v>0</v>
      </c>
      <c r="Q502" s="604"/>
      <c r="R502" s="604"/>
      <c r="S502" s="604"/>
      <c r="T502" s="604"/>
      <c r="U502" s="604"/>
      <c r="V502" s="604"/>
      <c r="W502" s="604"/>
      <c r="X502" s="604"/>
      <c r="Y502" s="604"/>
      <c r="Z502" s="604"/>
    </row>
    <row r="503" spans="1:26" ht="18.75" hidden="1">
      <c r="A503" s="599"/>
      <c r="B503" s="759"/>
      <c r="C503" s="759"/>
      <c r="D503" s="720"/>
      <c r="E503" s="759" t="s">
        <v>185</v>
      </c>
      <c r="F503" s="759"/>
      <c r="G503" s="603"/>
      <c r="H503" s="165" t="s">
        <v>12</v>
      </c>
      <c r="I503" s="617"/>
      <c r="J503" s="617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4"/>
      <c r="R503" s="604"/>
      <c r="S503" s="604"/>
      <c r="T503" s="604"/>
      <c r="U503" s="604"/>
      <c r="V503" s="604"/>
      <c r="W503" s="604"/>
      <c r="X503" s="604"/>
      <c r="Y503" s="604"/>
      <c r="Z503" s="604"/>
    </row>
    <row r="504" spans="1:26" ht="18.75" hidden="1">
      <c r="A504" s="599"/>
      <c r="B504" s="607"/>
      <c r="C504" s="759"/>
      <c r="D504" s="720"/>
      <c r="E504" s="759" t="s">
        <v>186</v>
      </c>
      <c r="F504" s="759"/>
      <c r="G504" s="603"/>
      <c r="H504" s="165" t="s">
        <v>12</v>
      </c>
      <c r="I504" s="617"/>
      <c r="J504" s="617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4"/>
      <c r="R504" s="604"/>
      <c r="S504" s="604"/>
      <c r="T504" s="604"/>
      <c r="U504" s="604"/>
      <c r="V504" s="604"/>
      <c r="W504" s="604"/>
      <c r="X504" s="604"/>
      <c r="Y504" s="604"/>
      <c r="Z504" s="604"/>
    </row>
    <row r="505" spans="1:26" ht="18.75" hidden="1">
      <c r="A505" s="599"/>
      <c r="B505" s="607"/>
      <c r="C505" s="759"/>
      <c r="D505" s="648" t="s">
        <v>20</v>
      </c>
      <c r="E505" s="759"/>
      <c r="F505" s="759"/>
      <c r="G505" s="603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4"/>
      <c r="R505" s="604"/>
      <c r="S505" s="604"/>
      <c r="T505" s="604"/>
      <c r="U505" s="604"/>
      <c r="V505" s="604"/>
      <c r="W505" s="604"/>
      <c r="X505" s="604"/>
      <c r="Y505" s="604"/>
      <c r="Z505" s="604"/>
    </row>
    <row r="506" spans="1:26" ht="18.75" hidden="1">
      <c r="A506" s="599"/>
      <c r="B506" s="607"/>
      <c r="C506" s="759"/>
      <c r="D506" s="720"/>
      <c r="E506" s="759" t="s">
        <v>185</v>
      </c>
      <c r="F506" s="759"/>
      <c r="G506" s="603"/>
      <c r="H506" s="165" t="s">
        <v>12</v>
      </c>
      <c r="I506" s="617"/>
      <c r="J506" s="617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4"/>
      <c r="R506" s="604"/>
      <c r="S506" s="604"/>
      <c r="T506" s="604"/>
      <c r="U506" s="604"/>
      <c r="V506" s="604"/>
      <c r="W506" s="604"/>
      <c r="X506" s="604"/>
      <c r="Y506" s="604"/>
      <c r="Z506" s="604"/>
    </row>
    <row r="507" spans="1:26" ht="18.75" hidden="1">
      <c r="A507" s="599"/>
      <c r="B507" s="607"/>
      <c r="C507" s="759"/>
      <c r="D507" s="720"/>
      <c r="E507" s="759" t="s">
        <v>186</v>
      </c>
      <c r="F507" s="759"/>
      <c r="G507" s="603"/>
      <c r="H507" s="165" t="s">
        <v>12</v>
      </c>
      <c r="I507" s="617"/>
      <c r="J507" s="617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4"/>
      <c r="R507" s="604"/>
      <c r="S507" s="604"/>
      <c r="T507" s="604"/>
      <c r="U507" s="604"/>
      <c r="V507" s="604"/>
      <c r="W507" s="604"/>
      <c r="X507" s="604"/>
      <c r="Y507" s="604"/>
      <c r="Z507" s="604"/>
    </row>
    <row r="508" spans="1:26" ht="18.75" hidden="1">
      <c r="A508" s="649"/>
      <c r="B508" s="607"/>
      <c r="C508" s="759"/>
      <c r="D508" s="759"/>
      <c r="E508" s="759"/>
      <c r="F508" s="759" t="s">
        <v>187</v>
      </c>
      <c r="G508" s="603"/>
      <c r="H508" s="165" t="s">
        <v>12</v>
      </c>
      <c r="I508" s="617"/>
      <c r="J508" s="617"/>
      <c r="K508" s="93"/>
      <c r="L508" s="93"/>
      <c r="M508" s="93"/>
      <c r="N508" s="93">
        <v>0</v>
      </c>
      <c r="O508" s="93"/>
      <c r="P508" s="93"/>
      <c r="Q508" s="604"/>
      <c r="R508" s="604"/>
      <c r="S508" s="604"/>
      <c r="T508" s="604"/>
      <c r="U508" s="604"/>
      <c r="V508" s="604"/>
      <c r="W508" s="604"/>
      <c r="X508" s="604"/>
      <c r="Y508" s="604"/>
      <c r="Z508" s="604"/>
    </row>
    <row r="509" spans="1:26" ht="18.75" hidden="1">
      <c r="A509" s="649"/>
      <c r="B509" s="607"/>
      <c r="C509" s="759"/>
      <c r="D509" s="759"/>
      <c r="E509" s="759"/>
      <c r="F509" s="759" t="s">
        <v>188</v>
      </c>
      <c r="G509" s="603"/>
      <c r="H509" s="165" t="s">
        <v>12</v>
      </c>
      <c r="I509" s="617"/>
      <c r="J509" s="617"/>
      <c r="K509" s="93"/>
      <c r="L509" s="93"/>
      <c r="M509" s="93"/>
      <c r="N509" s="93">
        <v>0</v>
      </c>
      <c r="O509" s="93"/>
      <c r="P509" s="93"/>
      <c r="Q509" s="604"/>
      <c r="R509" s="604"/>
      <c r="S509" s="604"/>
      <c r="T509" s="604"/>
      <c r="U509" s="604"/>
      <c r="V509" s="604"/>
      <c r="W509" s="604"/>
      <c r="X509" s="604"/>
      <c r="Y509" s="604"/>
      <c r="Z509" s="604"/>
    </row>
    <row r="510" spans="1:26" ht="18.75" hidden="1">
      <c r="A510" s="649"/>
      <c r="B510" s="607"/>
      <c r="C510" s="607"/>
      <c r="D510" s="607"/>
      <c r="E510" s="759"/>
      <c r="F510" s="759" t="s">
        <v>189</v>
      </c>
      <c r="G510" s="603"/>
      <c r="H510" s="165" t="s">
        <v>12</v>
      </c>
      <c r="I510" s="617"/>
      <c r="J510" s="617"/>
      <c r="K510" s="93"/>
      <c r="L510" s="93"/>
      <c r="M510" s="93"/>
      <c r="N510" s="93">
        <v>0</v>
      </c>
      <c r="O510" s="93"/>
      <c r="P510" s="93"/>
      <c r="Q510" s="604"/>
      <c r="R510" s="604"/>
      <c r="S510" s="604"/>
      <c r="T510" s="604"/>
      <c r="U510" s="604"/>
      <c r="V510" s="604"/>
      <c r="W510" s="604"/>
      <c r="X510" s="604"/>
      <c r="Y510" s="604"/>
      <c r="Z510" s="604"/>
    </row>
    <row r="511" spans="1:26" ht="18.75" hidden="1">
      <c r="A511" s="649"/>
      <c r="B511" s="607"/>
      <c r="C511" s="607"/>
      <c r="D511" s="607"/>
      <c r="E511" s="759"/>
      <c r="F511" s="759" t="s">
        <v>190</v>
      </c>
      <c r="G511" s="603"/>
      <c r="H511" s="165" t="s">
        <v>12</v>
      </c>
      <c r="I511" s="617"/>
      <c r="J511" s="617"/>
      <c r="K511" s="93"/>
      <c r="L511" s="93"/>
      <c r="M511" s="93"/>
      <c r="N511" s="93">
        <v>0</v>
      </c>
      <c r="O511" s="93"/>
      <c r="P511" s="93"/>
      <c r="Q511" s="604"/>
      <c r="R511" s="604"/>
      <c r="S511" s="604"/>
      <c r="T511" s="604"/>
      <c r="U511" s="604"/>
      <c r="V511" s="604"/>
      <c r="W511" s="604"/>
      <c r="X511" s="604"/>
      <c r="Y511" s="604"/>
      <c r="Z511" s="604"/>
    </row>
    <row r="512" spans="1:26" ht="18.75" hidden="1">
      <c r="A512" s="599"/>
      <c r="B512" s="607"/>
      <c r="C512" s="607"/>
      <c r="D512" s="648" t="s">
        <v>21</v>
      </c>
      <c r="E512" s="607"/>
      <c r="F512" s="759"/>
      <c r="G512" s="603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4"/>
      <c r="R512" s="604"/>
      <c r="S512" s="604"/>
      <c r="T512" s="604"/>
      <c r="U512" s="604"/>
      <c r="V512" s="604"/>
      <c r="W512" s="604"/>
      <c r="X512" s="604"/>
      <c r="Y512" s="604"/>
      <c r="Z512" s="604"/>
    </row>
    <row r="513" spans="1:26" ht="18.75" hidden="1">
      <c r="A513" s="599"/>
      <c r="B513" s="607"/>
      <c r="C513" s="607"/>
      <c r="D513" s="607"/>
      <c r="E513" s="607" t="s">
        <v>18</v>
      </c>
      <c r="F513" s="759"/>
      <c r="G513" s="603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4"/>
      <c r="R513" s="604"/>
      <c r="S513" s="604"/>
      <c r="T513" s="604"/>
      <c r="U513" s="604"/>
      <c r="V513" s="604"/>
      <c r="W513" s="604"/>
      <c r="X513" s="604"/>
      <c r="Y513" s="604"/>
      <c r="Z513" s="604"/>
    </row>
    <row r="514" spans="1:26" ht="18.75" hidden="1">
      <c r="A514" s="599"/>
      <c r="B514" s="607"/>
      <c r="C514" s="607"/>
      <c r="D514" s="759"/>
      <c r="E514" s="607" t="s">
        <v>19</v>
      </c>
      <c r="F514" s="759"/>
      <c r="G514" s="603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4"/>
      <c r="R514" s="604"/>
      <c r="S514" s="604"/>
      <c r="T514" s="604"/>
      <c r="U514" s="604"/>
      <c r="V514" s="604"/>
      <c r="W514" s="604"/>
      <c r="X514" s="604"/>
      <c r="Y514" s="604"/>
      <c r="Z514" s="604"/>
    </row>
    <row r="515" spans="1:26" ht="19.5" hidden="1">
      <c r="A515" s="614"/>
      <c r="B515" s="616"/>
      <c r="C515" s="607" t="s">
        <v>16</v>
      </c>
      <c r="D515" s="895" t="s">
        <v>38</v>
      </c>
      <c r="E515" s="651"/>
      <c r="F515" s="651"/>
      <c r="G515" s="652"/>
      <c r="H515" s="366"/>
      <c r="I515" s="166"/>
      <c r="J515" s="166"/>
      <c r="K515" s="167"/>
      <c r="L515" s="167"/>
      <c r="M515" s="167"/>
      <c r="N515" s="167"/>
      <c r="O515" s="167"/>
      <c r="P515" s="167"/>
      <c r="Q515" s="604"/>
      <c r="R515" s="604"/>
      <c r="S515" s="604"/>
      <c r="T515" s="604"/>
      <c r="U515" s="604"/>
      <c r="V515" s="604"/>
      <c r="W515" s="604"/>
      <c r="X515" s="604"/>
      <c r="Y515" s="604"/>
      <c r="Z515" s="604"/>
    </row>
    <row r="516" spans="1:26" ht="18.75" hidden="1">
      <c r="A516" s="614"/>
      <c r="B516" s="616"/>
      <c r="C516" s="616"/>
      <c r="D516" s="616" t="s">
        <v>222</v>
      </c>
      <c r="E516" s="720"/>
      <c r="F516" s="720"/>
      <c r="G516" s="366"/>
      <c r="H516" s="653" t="s">
        <v>109</v>
      </c>
      <c r="I516" s="617"/>
      <c r="J516" s="617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4"/>
      <c r="R516" s="604"/>
      <c r="S516" s="604"/>
      <c r="T516" s="604"/>
      <c r="U516" s="604"/>
      <c r="V516" s="604"/>
      <c r="W516" s="604"/>
      <c r="X516" s="604"/>
      <c r="Y516" s="604"/>
      <c r="Z516" s="604"/>
    </row>
    <row r="517" spans="1:26" ht="19.5" hidden="1">
      <c r="A517" s="614"/>
      <c r="B517" s="616"/>
      <c r="C517" s="616"/>
      <c r="D517" s="616" t="s">
        <v>223</v>
      </c>
      <c r="E517" s="720"/>
      <c r="F517" s="720"/>
      <c r="G517" s="366"/>
      <c r="H517" s="654" t="s">
        <v>35</v>
      </c>
      <c r="I517" s="655"/>
      <c r="J517" s="655">
        <f>J518+J519</f>
        <v>0</v>
      </c>
      <c r="K517" s="656">
        <f t="shared" si="224"/>
        <v>0</v>
      </c>
      <c r="L517" s="167"/>
      <c r="M517" s="167"/>
      <c r="N517" s="167"/>
      <c r="O517" s="167"/>
      <c r="P517" s="167"/>
      <c r="Q517" s="604"/>
      <c r="R517" s="604"/>
      <c r="S517" s="604"/>
      <c r="T517" s="604"/>
      <c r="U517" s="604"/>
      <c r="V517" s="604"/>
      <c r="W517" s="604"/>
      <c r="X517" s="604"/>
      <c r="Y517" s="604"/>
      <c r="Z517" s="604"/>
    </row>
    <row r="518" spans="1:26" ht="18.75" hidden="1">
      <c r="A518" s="614"/>
      <c r="B518" s="616"/>
      <c r="C518" s="616"/>
      <c r="D518" s="616"/>
      <c r="E518" s="616" t="s">
        <v>224</v>
      </c>
      <c r="F518" s="720"/>
      <c r="G518" s="366"/>
      <c r="H518" s="370" t="s">
        <v>35</v>
      </c>
      <c r="I518" s="617"/>
      <c r="J518" s="617"/>
      <c r="K518" s="167"/>
      <c r="L518" s="167"/>
      <c r="M518" s="167"/>
      <c r="N518" s="167"/>
      <c r="O518" s="167"/>
      <c r="P518" s="167"/>
      <c r="Q518" s="604"/>
      <c r="R518" s="604"/>
      <c r="S518" s="604"/>
      <c r="T518" s="604"/>
      <c r="U518" s="604"/>
      <c r="V518" s="604"/>
      <c r="W518" s="604"/>
      <c r="X518" s="604"/>
      <c r="Y518" s="604"/>
      <c r="Z518" s="604"/>
    </row>
    <row r="519" spans="1:26" ht="18.75" hidden="1">
      <c r="A519" s="614"/>
      <c r="B519" s="616"/>
      <c r="C519" s="616"/>
      <c r="D519" s="616"/>
      <c r="E519" s="616" t="s">
        <v>225</v>
      </c>
      <c r="F519" s="720"/>
      <c r="G519" s="366"/>
      <c r="H519" s="653" t="s">
        <v>35</v>
      </c>
      <c r="I519" s="617"/>
      <c r="J519" s="617"/>
      <c r="K519" s="167"/>
      <c r="L519" s="167"/>
      <c r="M519" s="167"/>
      <c r="N519" s="167"/>
      <c r="O519" s="167"/>
      <c r="P519" s="167"/>
      <c r="Q519" s="604"/>
      <c r="R519" s="604"/>
      <c r="S519" s="604"/>
      <c r="T519" s="604"/>
      <c r="U519" s="604"/>
      <c r="V519" s="604"/>
      <c r="W519" s="604"/>
      <c r="X519" s="604"/>
      <c r="Y519" s="604"/>
      <c r="Z519" s="604"/>
    </row>
    <row r="520" spans="1:26" ht="19.5">
      <c r="A520" s="657" t="s">
        <v>137</v>
      </c>
      <c r="B520" s="658"/>
      <c r="C520" s="658"/>
      <c r="D520" s="659"/>
      <c r="E520" s="659"/>
      <c r="F520" s="659"/>
      <c r="G520" s="660"/>
      <c r="H520" s="661"/>
      <c r="I520" s="662"/>
      <c r="J520" s="662"/>
      <c r="K520" s="663"/>
      <c r="L520" s="663"/>
      <c r="M520" s="663"/>
      <c r="N520" s="663"/>
      <c r="O520" s="663"/>
      <c r="P520" s="663"/>
    </row>
    <row r="521" spans="1:26" ht="19.5" hidden="1">
      <c r="A521" s="664">
        <v>5</v>
      </c>
      <c r="B521" s="665" t="s">
        <v>226</v>
      </c>
      <c r="C521" s="666"/>
      <c r="D521" s="667"/>
      <c r="E521" s="667"/>
      <c r="F521" s="667"/>
      <c r="G521" s="667"/>
      <c r="H521" s="668"/>
      <c r="I521" s="669"/>
      <c r="J521" s="669"/>
      <c r="K521" s="670"/>
      <c r="L521" s="670"/>
      <c r="M521" s="670"/>
      <c r="N521" s="670"/>
      <c r="O521" s="670"/>
      <c r="P521" s="670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</row>
    <row r="522" spans="1:26" ht="19.5" hidden="1">
      <c r="A522" s="671"/>
      <c r="B522" s="672" t="s">
        <v>227</v>
      </c>
      <c r="C522" s="673"/>
      <c r="D522" s="673"/>
      <c r="E522" s="673"/>
      <c r="F522" s="673"/>
      <c r="G522" s="674"/>
      <c r="H522" s="675" t="s">
        <v>35</v>
      </c>
      <c r="I522" s="708">
        <f t="shared" ref="I522:J522" ca="1" si="225">I537</f>
        <v>0</v>
      </c>
      <c r="J522" s="708">
        <f t="shared" ca="1" si="225"/>
        <v>0</v>
      </c>
      <c r="K522" s="677">
        <f ca="1">IF(I522&gt;0,J522*100/I522,0)</f>
        <v>0</v>
      </c>
      <c r="L522" s="678"/>
      <c r="M522" s="678"/>
      <c r="N522" s="678"/>
      <c r="O522" s="678"/>
      <c r="P522" s="6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</row>
    <row r="523" spans="1:26" ht="19.5" hidden="1">
      <c r="A523" s="597"/>
      <c r="B523" s="763"/>
      <c r="C523" s="763" t="s">
        <v>16</v>
      </c>
      <c r="D523" s="863" t="s">
        <v>17</v>
      </c>
      <c r="E523" s="857"/>
      <c r="F523" s="857"/>
      <c r="G523" s="189"/>
      <c r="H523" s="598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</row>
    <row r="524" spans="1:26" ht="18.75" hidden="1">
      <c r="A524" s="599"/>
      <c r="B524" s="759"/>
      <c r="C524" s="759"/>
      <c r="D524" s="720"/>
      <c r="E524" s="759" t="s">
        <v>185</v>
      </c>
      <c r="F524" s="759"/>
      <c r="G524" s="603"/>
      <c r="H524" s="165" t="s">
        <v>12</v>
      </c>
      <c r="I524" s="617"/>
      <c r="J524" s="617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4"/>
      <c r="R524" s="604"/>
      <c r="S524" s="604"/>
      <c r="T524" s="604"/>
      <c r="U524" s="604"/>
      <c r="V524" s="604"/>
      <c r="W524" s="604"/>
      <c r="X524" s="604"/>
      <c r="Y524" s="604"/>
      <c r="Z524" s="604"/>
    </row>
    <row r="525" spans="1:26" ht="18.75" hidden="1">
      <c r="A525" s="599"/>
      <c r="B525" s="607"/>
      <c r="C525" s="759"/>
      <c r="D525" s="720"/>
      <c r="E525" s="759" t="s">
        <v>186</v>
      </c>
      <c r="F525" s="759"/>
      <c r="G525" s="603"/>
      <c r="H525" s="165" t="s">
        <v>12</v>
      </c>
      <c r="I525" s="617"/>
      <c r="J525" s="617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4"/>
      <c r="R525" s="604"/>
      <c r="S525" s="604"/>
      <c r="T525" s="604"/>
      <c r="U525" s="604"/>
      <c r="V525" s="604"/>
      <c r="W525" s="604"/>
      <c r="X525" s="604"/>
      <c r="Y525" s="604"/>
      <c r="Z525" s="604"/>
    </row>
    <row r="526" spans="1:26" ht="18.75" hidden="1">
      <c r="A526" s="597"/>
      <c r="B526" s="575"/>
      <c r="C526" s="763"/>
      <c r="D526" s="606" t="s">
        <v>20</v>
      </c>
      <c r="E526" s="763"/>
      <c r="F526" s="763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</row>
    <row r="527" spans="1:26" ht="18.75" hidden="1">
      <c r="A527" s="599"/>
      <c r="B527" s="607"/>
      <c r="C527" s="759"/>
      <c r="D527" s="720"/>
      <c r="E527" s="759" t="s">
        <v>185</v>
      </c>
      <c r="F527" s="759"/>
      <c r="G527" s="603"/>
      <c r="H527" s="165" t="s">
        <v>12</v>
      </c>
      <c r="I527" s="617"/>
      <c r="J527" s="617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4"/>
      <c r="R527" s="604"/>
      <c r="S527" s="604"/>
      <c r="T527" s="604"/>
      <c r="U527" s="604"/>
      <c r="V527" s="604"/>
      <c r="W527" s="604"/>
      <c r="X527" s="604"/>
      <c r="Y527" s="604"/>
      <c r="Z527" s="604"/>
    </row>
    <row r="528" spans="1:26" ht="18.75" hidden="1">
      <c r="A528" s="599"/>
      <c r="B528" s="607"/>
      <c r="C528" s="759"/>
      <c r="D528" s="720"/>
      <c r="E528" s="759" t="s">
        <v>186</v>
      </c>
      <c r="F528" s="759"/>
      <c r="G528" s="603"/>
      <c r="H528" s="165" t="s">
        <v>12</v>
      </c>
      <c r="I528" s="617"/>
      <c r="J528" s="617"/>
      <c r="K528" s="93"/>
      <c r="L528" s="93">
        <f ca="1">IFERROR(__xludf.DUMMYFUNCTION("IMPORTRANGE(""https://docs.google.com/spreadsheets/d/1QqKyyYR6Q21VydFLVH3TRQUabQu_ym0Zz7PgGX0-kHA/edit?usp=sharing"",""แผน!GQ38"")"),0)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4"/>
      <c r="R528" s="604"/>
      <c r="S528" s="604"/>
      <c r="T528" s="604"/>
      <c r="U528" s="604"/>
      <c r="V528" s="604"/>
      <c r="W528" s="604"/>
      <c r="X528" s="604"/>
      <c r="Y528" s="604"/>
      <c r="Z528" s="604"/>
    </row>
    <row r="529" spans="1:26" ht="18.75" hidden="1">
      <c r="A529" s="574"/>
      <c r="B529" s="575"/>
      <c r="C529" s="763"/>
      <c r="D529" s="763"/>
      <c r="E529" s="763"/>
      <c r="F529" s="763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40">
        <v>0</v>
      </c>
      <c r="O529" s="498"/>
      <c r="P529" s="49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</row>
    <row r="530" spans="1:26" ht="18.75" hidden="1">
      <c r="A530" s="574"/>
      <c r="B530" s="575"/>
      <c r="C530" s="763"/>
      <c r="D530" s="763"/>
      <c r="E530" s="763"/>
      <c r="F530" s="763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40">
        <v>0</v>
      </c>
      <c r="O530" s="498"/>
      <c r="P530" s="49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</row>
    <row r="531" spans="1:26" ht="18.75" hidden="1">
      <c r="A531" s="574"/>
      <c r="B531" s="575"/>
      <c r="C531" s="763"/>
      <c r="D531" s="763"/>
      <c r="E531" s="763"/>
      <c r="F531" s="763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40">
        <v>0</v>
      </c>
      <c r="O531" s="498"/>
      <c r="P531" s="49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</row>
    <row r="532" spans="1:26" ht="18.75" hidden="1">
      <c r="A532" s="574"/>
      <c r="B532" s="575"/>
      <c r="C532" s="763"/>
      <c r="D532" s="763"/>
      <c r="E532" s="763"/>
      <c r="F532" s="763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40">
        <v>0</v>
      </c>
      <c r="O532" s="498"/>
      <c r="P532" s="49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</row>
    <row r="533" spans="1:26" ht="18.75" hidden="1">
      <c r="A533" s="597"/>
      <c r="B533" s="575"/>
      <c r="C533" s="763"/>
      <c r="D533" s="606" t="s">
        <v>21</v>
      </c>
      <c r="E533" s="763"/>
      <c r="F533" s="763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</row>
    <row r="534" spans="1:26" ht="18.75" hidden="1">
      <c r="A534" s="599"/>
      <c r="B534" s="607"/>
      <c r="C534" s="759"/>
      <c r="D534" s="759"/>
      <c r="E534" s="759" t="s">
        <v>18</v>
      </c>
      <c r="F534" s="759"/>
      <c r="G534" s="603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4"/>
      <c r="R534" s="604"/>
      <c r="S534" s="604"/>
      <c r="T534" s="604"/>
      <c r="U534" s="604"/>
      <c r="V534" s="604"/>
      <c r="W534" s="604"/>
      <c r="X534" s="604"/>
      <c r="Y534" s="604"/>
      <c r="Z534" s="604"/>
    </row>
    <row r="535" spans="1:26" ht="18.75" hidden="1">
      <c r="A535" s="599"/>
      <c r="B535" s="607"/>
      <c r="C535" s="759"/>
      <c r="D535" s="759"/>
      <c r="E535" s="759" t="s">
        <v>19</v>
      </c>
      <c r="F535" s="759"/>
      <c r="G535" s="603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4"/>
      <c r="R535" s="604"/>
      <c r="S535" s="604"/>
      <c r="T535" s="604"/>
      <c r="U535" s="604"/>
      <c r="V535" s="604"/>
      <c r="W535" s="604"/>
      <c r="X535" s="604"/>
      <c r="Y535" s="604"/>
      <c r="Z535" s="604"/>
    </row>
    <row r="536" spans="1:26" ht="19.5" hidden="1">
      <c r="A536" s="608"/>
      <c r="B536" s="618"/>
      <c r="C536" s="763" t="s">
        <v>16</v>
      </c>
      <c r="D536" s="896" t="s">
        <v>38</v>
      </c>
      <c r="E536" s="761"/>
      <c r="F536" s="761"/>
      <c r="G536" s="613"/>
      <c r="H536" s="762"/>
      <c r="I536" s="184"/>
      <c r="J536" s="184"/>
      <c r="K536" s="163"/>
      <c r="L536" s="163"/>
      <c r="M536" s="163"/>
      <c r="N536" s="163"/>
      <c r="O536" s="163"/>
      <c r="P536" s="163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</row>
    <row r="537" spans="1:26" ht="19.5" hidden="1">
      <c r="A537" s="574"/>
      <c r="B537" s="575"/>
      <c r="C537" s="763"/>
      <c r="D537" s="763" t="s">
        <v>228</v>
      </c>
      <c r="E537" s="763"/>
      <c r="F537" s="763"/>
      <c r="G537" s="189"/>
      <c r="H537" s="623" t="s">
        <v>35</v>
      </c>
      <c r="I537" s="681">
        <f ca="1">IFERROR(__xludf.DUMMYFUNCTION("IMPORTRANGE(""https://docs.google.com/spreadsheets/d/1QqKyyYR6Q21VydFLVH3TRQUabQu_ym0Zz7PgGX0-kHA/edit?usp=sharing"",""แผน!GU38"")"),0)</f>
        <v>0</v>
      </c>
      <c r="J537" s="681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2"/>
      <c r="R537" s="682"/>
      <c r="S537" s="682"/>
      <c r="T537" s="682"/>
      <c r="U537" s="682"/>
      <c r="V537" s="682"/>
      <c r="W537" s="682"/>
      <c r="X537" s="682"/>
      <c r="Y537" s="682"/>
      <c r="Z537" s="682"/>
    </row>
    <row r="538" spans="1:26" ht="18.75" hidden="1">
      <c r="A538" s="574"/>
      <c r="B538" s="575"/>
      <c r="C538" s="763"/>
      <c r="D538" s="763"/>
      <c r="E538" s="763" t="s">
        <v>229</v>
      </c>
      <c r="F538" s="763"/>
      <c r="G538" s="189"/>
      <c r="H538" s="623" t="s">
        <v>35</v>
      </c>
      <c r="I538" s="270">
        <f ca="1">IFERROR(__xludf.DUMMYFUNCTION("IMPORTRANGE(""https://docs.google.com/spreadsheets/d/1QqKyyYR6Q21VydFLVH3TRQUabQu_ym0Zz7PgGX0-kHA/edit?usp=sharing"",""แผน!GV38"")"),0)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2"/>
      <c r="R538" s="682"/>
      <c r="S538" s="682"/>
      <c r="T538" s="682"/>
      <c r="U538" s="682"/>
      <c r="V538" s="682"/>
      <c r="W538" s="682"/>
      <c r="X538" s="682"/>
      <c r="Y538" s="682"/>
      <c r="Z538" s="682"/>
    </row>
    <row r="539" spans="1:26" ht="18.75" hidden="1">
      <c r="A539" s="574"/>
      <c r="B539" s="575"/>
      <c r="C539" s="763"/>
      <c r="D539" s="763"/>
      <c r="E539" s="763" t="s">
        <v>230</v>
      </c>
      <c r="F539" s="763"/>
      <c r="G539" s="189"/>
      <c r="H539" s="623" t="s">
        <v>35</v>
      </c>
      <c r="I539" s="270">
        <f ca="1">IFERROR(__xludf.DUMMYFUNCTION("IMPORTRANGE(""https://docs.google.com/spreadsheets/d/1QqKyyYR6Q21VydFLVH3TRQUabQu_ym0Zz7PgGX0-kHA/edit?usp=sharing"",""แผน!GW38"")"),0)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2"/>
      <c r="R539" s="682"/>
      <c r="S539" s="682"/>
      <c r="T539" s="682"/>
      <c r="U539" s="682"/>
      <c r="V539" s="682"/>
      <c r="W539" s="682"/>
      <c r="X539" s="682"/>
      <c r="Y539" s="682"/>
      <c r="Z539" s="682"/>
    </row>
    <row r="540" spans="1:26" ht="18.75" hidden="1">
      <c r="A540" s="574"/>
      <c r="B540" s="575"/>
      <c r="C540" s="763"/>
      <c r="D540" s="763"/>
      <c r="E540" s="763" t="s">
        <v>231</v>
      </c>
      <c r="F540" s="763"/>
      <c r="G540" s="189"/>
      <c r="H540" s="623" t="s">
        <v>35</v>
      </c>
      <c r="I540" s="270">
        <f ca="1">IFERROR(__xludf.DUMMYFUNCTION("IMPORTRANGE(""https://docs.google.com/spreadsheets/d/1QqKyyYR6Q21VydFLVH3TRQUabQu_ym0Zz7PgGX0-kHA/edit?usp=sharing"",""แผน!GX38"")"),0)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2"/>
      <c r="R540" s="682"/>
      <c r="S540" s="682"/>
      <c r="T540" s="682"/>
      <c r="U540" s="682"/>
      <c r="V540" s="682"/>
      <c r="W540" s="682"/>
      <c r="X540" s="682"/>
      <c r="Y540" s="682"/>
      <c r="Z540" s="682"/>
    </row>
    <row r="541" spans="1:26" ht="18.75" hidden="1">
      <c r="A541" s="574"/>
      <c r="B541" s="575"/>
      <c r="C541" s="763"/>
      <c r="D541" s="763"/>
      <c r="E541" s="769" t="s">
        <v>232</v>
      </c>
      <c r="F541" s="763"/>
      <c r="G541" s="189"/>
      <c r="H541" s="623" t="s">
        <v>35</v>
      </c>
      <c r="I541" s="270">
        <f ca="1">IFERROR(__xludf.DUMMYFUNCTION("IMPORTRANGE(""https://docs.google.com/spreadsheets/d/1QqKyyYR6Q21VydFLVH3TRQUabQu_ym0Zz7PgGX0-kHA/edit?usp=sharing"",""แผน!GY38"")"),0)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2"/>
      <c r="R541" s="682"/>
      <c r="S541" s="682"/>
      <c r="T541" s="682"/>
      <c r="U541" s="682"/>
      <c r="V541" s="682"/>
      <c r="W541" s="682"/>
      <c r="X541" s="682"/>
      <c r="Y541" s="682"/>
      <c r="Z541" s="682"/>
    </row>
    <row r="542" spans="1:26" ht="18.75" hidden="1">
      <c r="A542" s="574"/>
      <c r="B542" s="575"/>
      <c r="C542" s="763"/>
      <c r="D542" s="763" t="s">
        <v>59</v>
      </c>
      <c r="E542" s="763"/>
      <c r="F542" s="763"/>
      <c r="G542" s="189"/>
      <c r="H542" s="623" t="s">
        <v>35</v>
      </c>
      <c r="I542" s="270">
        <f ca="1">IFERROR(__xludf.DUMMYFUNCTION("IMPORTRANGE(""https://docs.google.com/spreadsheets/d/1QqKyyYR6Q21VydFLVH3TRQUabQu_ym0Zz7PgGX0-kHA/edit?usp=sharing"",""แผน!GZ38"")"),0)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2"/>
      <c r="R542" s="682"/>
      <c r="S542" s="682"/>
      <c r="T542" s="682"/>
      <c r="U542" s="682"/>
      <c r="V542" s="682"/>
      <c r="W542" s="682"/>
      <c r="X542" s="682"/>
      <c r="Y542" s="682"/>
      <c r="Z542" s="682"/>
    </row>
    <row r="543" spans="1:26" ht="19.5">
      <c r="A543" s="664">
        <v>6</v>
      </c>
      <c r="B543" s="685" t="s">
        <v>233</v>
      </c>
      <c r="C543" s="667"/>
      <c r="D543" s="667"/>
      <c r="E543" s="667"/>
      <c r="F543" s="667"/>
      <c r="G543" s="668"/>
      <c r="H543" s="686" t="s">
        <v>46</v>
      </c>
      <c r="I543" s="687">
        <f t="shared" ref="I543:J543" ca="1" si="235">I559</f>
        <v>52289.705000000002</v>
      </c>
      <c r="J543" s="687">
        <f t="shared" si="235"/>
        <v>52289.704999999994</v>
      </c>
      <c r="K543" s="688">
        <f t="shared" ca="1" si="234"/>
        <v>99.999999999999986</v>
      </c>
      <c r="L543" s="670"/>
      <c r="M543" s="670"/>
      <c r="N543" s="670"/>
      <c r="O543" s="670"/>
      <c r="P543" s="670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</row>
    <row r="544" spans="1:26" ht="19.5">
      <c r="A544" s="689"/>
      <c r="B544" s="690"/>
      <c r="C544" s="690" t="s">
        <v>16</v>
      </c>
      <c r="D544" s="897" t="s">
        <v>17</v>
      </c>
      <c r="E544" s="862"/>
      <c r="F544" s="862"/>
      <c r="G544" s="691"/>
      <c r="H544" s="275" t="s">
        <v>12</v>
      </c>
      <c r="I544" s="420"/>
      <c r="J544" s="420"/>
      <c r="K544" s="154"/>
      <c r="L544" s="155">
        <f t="shared" ref="L544:N544" ca="1" si="236">L545+L546</f>
        <v>543320</v>
      </c>
      <c r="M544" s="155">
        <f t="shared" ca="1" si="236"/>
        <v>545020.01</v>
      </c>
      <c r="N544" s="155">
        <f t="shared" si="236"/>
        <v>545020.01</v>
      </c>
      <c r="O544" s="155">
        <f t="shared" ref="O544:O549" ca="1" si="237">IF(L544&gt;0,N544*100/L544,0)</f>
        <v>100.31289295442834</v>
      </c>
      <c r="P544" s="155">
        <f t="shared" ref="P544:P549" ca="1" si="238">IF(M544&gt;0,N544*100/M544,0)</f>
        <v>100</v>
      </c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</row>
    <row r="545" spans="1:26" ht="18.75" hidden="1">
      <c r="A545" s="599"/>
      <c r="B545" s="759"/>
      <c r="C545" s="759"/>
      <c r="D545" s="759"/>
      <c r="E545" s="759" t="s">
        <v>185</v>
      </c>
      <c r="F545" s="759"/>
      <c r="G545" s="603"/>
      <c r="H545" s="165" t="s">
        <v>12</v>
      </c>
      <c r="I545" s="617"/>
      <c r="J545" s="617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4"/>
      <c r="R545" s="604"/>
      <c r="S545" s="604"/>
      <c r="T545" s="604"/>
      <c r="U545" s="604"/>
      <c r="V545" s="604"/>
      <c r="W545" s="604"/>
      <c r="X545" s="604"/>
      <c r="Y545" s="604"/>
      <c r="Z545" s="604"/>
    </row>
    <row r="546" spans="1:26" ht="18.75" hidden="1">
      <c r="A546" s="599"/>
      <c r="B546" s="607"/>
      <c r="C546" s="759"/>
      <c r="D546" s="759"/>
      <c r="E546" s="759" t="s">
        <v>186</v>
      </c>
      <c r="F546" s="759"/>
      <c r="G546" s="603"/>
      <c r="H546" s="165" t="s">
        <v>12</v>
      </c>
      <c r="I546" s="617"/>
      <c r="J546" s="617"/>
      <c r="K546" s="93"/>
      <c r="L546" s="93">
        <f t="shared" ca="1" si="239"/>
        <v>543320</v>
      </c>
      <c r="M546" s="93">
        <f t="shared" ca="1" si="240"/>
        <v>545020.01</v>
      </c>
      <c r="N546" s="93">
        <f t="shared" si="240"/>
        <v>545020.01</v>
      </c>
      <c r="O546" s="93">
        <f t="shared" ca="1" si="237"/>
        <v>100.31289295442834</v>
      </c>
      <c r="P546" s="93">
        <f t="shared" ca="1" si="238"/>
        <v>100</v>
      </c>
      <c r="Q546" s="604"/>
      <c r="R546" s="604"/>
      <c r="S546" s="604"/>
      <c r="T546" s="604"/>
      <c r="U546" s="604"/>
      <c r="V546" s="604"/>
      <c r="W546" s="604"/>
      <c r="X546" s="604"/>
      <c r="Y546" s="604"/>
      <c r="Z546" s="604"/>
    </row>
    <row r="547" spans="1:26" ht="18.75">
      <c r="A547" s="597"/>
      <c r="B547" s="575"/>
      <c r="C547" s="763"/>
      <c r="D547" s="606" t="s">
        <v>20</v>
      </c>
      <c r="E547" s="763"/>
      <c r="F547" s="763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543320</v>
      </c>
      <c r="M547" s="498">
        <f t="shared" ca="1" si="241"/>
        <v>545020.01</v>
      </c>
      <c r="N547" s="498">
        <f t="shared" si="241"/>
        <v>545020.01</v>
      </c>
      <c r="O547" s="498">
        <f t="shared" ca="1" si="237"/>
        <v>100.31289295442834</v>
      </c>
      <c r="P547" s="498">
        <f t="shared" ca="1" si="238"/>
        <v>100</v>
      </c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</row>
    <row r="548" spans="1:26" ht="18.75" hidden="1">
      <c r="A548" s="599"/>
      <c r="B548" s="607"/>
      <c r="C548" s="759"/>
      <c r="D548" s="720"/>
      <c r="E548" s="759" t="s">
        <v>185</v>
      </c>
      <c r="F548" s="759"/>
      <c r="G548" s="603"/>
      <c r="H548" s="165" t="s">
        <v>12</v>
      </c>
      <c r="I548" s="617"/>
      <c r="J548" s="617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4"/>
      <c r="R548" s="604"/>
      <c r="S548" s="604"/>
      <c r="T548" s="604"/>
      <c r="U548" s="604"/>
      <c r="V548" s="604"/>
      <c r="W548" s="604"/>
      <c r="X548" s="604"/>
      <c r="Y548" s="604"/>
      <c r="Z548" s="604"/>
    </row>
    <row r="549" spans="1:26" ht="18.75" hidden="1">
      <c r="A549" s="599"/>
      <c r="B549" s="607"/>
      <c r="C549" s="759"/>
      <c r="D549" s="720"/>
      <c r="E549" s="759" t="s">
        <v>186</v>
      </c>
      <c r="F549" s="759"/>
      <c r="G549" s="603"/>
      <c r="H549" s="165" t="s">
        <v>12</v>
      </c>
      <c r="I549" s="617"/>
      <c r="J549" s="617"/>
      <c r="K549" s="93"/>
      <c r="L549" s="93">
        <f ca="1">IFERROR(__xludf.DUMMYFUNCTION("IMPORTRANGE(""https://docs.google.com/spreadsheets/d/1QqKyyYR6Q21VydFLVH3TRQUabQu_ym0Zz7PgGX0-kHA/edit?usp=sharing"",""แผน!HB38"")"),543320)</f>
        <v>543320</v>
      </c>
      <c r="M549" s="93">
        <f ca="1">L549+3000-1299.99</f>
        <v>545020.01</v>
      </c>
      <c r="N549" s="93">
        <f>N550+N551+N552+N553+N554</f>
        <v>545020.01</v>
      </c>
      <c r="O549" s="93">
        <f t="shared" ca="1" si="237"/>
        <v>100.31289295442834</v>
      </c>
      <c r="P549" s="93">
        <f t="shared" ca="1" si="238"/>
        <v>100</v>
      </c>
      <c r="Q549" s="604"/>
      <c r="R549" s="604"/>
      <c r="S549" s="604"/>
      <c r="T549" s="604"/>
      <c r="U549" s="604"/>
      <c r="V549" s="604"/>
      <c r="W549" s="604"/>
      <c r="X549" s="604"/>
      <c r="Y549" s="604"/>
      <c r="Z549" s="604"/>
    </row>
    <row r="550" spans="1:26" ht="18.75">
      <c r="A550" s="574"/>
      <c r="B550" s="575"/>
      <c r="C550" s="763"/>
      <c r="D550" s="763"/>
      <c r="E550" s="763"/>
      <c r="F550" s="763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40">
        <v>0</v>
      </c>
      <c r="O550" s="498"/>
      <c r="P550" s="49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</row>
    <row r="551" spans="1:26" ht="18.75">
      <c r="A551" s="574"/>
      <c r="B551" s="575"/>
      <c r="C551" s="575"/>
      <c r="D551" s="575"/>
      <c r="E551" s="763"/>
      <c r="F551" s="763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40">
        <v>0</v>
      </c>
      <c r="O551" s="498"/>
      <c r="P551" s="49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</row>
    <row r="552" spans="1:26" ht="18.75">
      <c r="A552" s="574"/>
      <c r="B552" s="575"/>
      <c r="C552" s="763"/>
      <c r="D552" s="763"/>
      <c r="E552" s="763"/>
      <c r="F552" s="763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40">
        <v>141700.01</v>
      </c>
      <c r="O552" s="498"/>
      <c r="P552" s="498"/>
      <c r="Q552" s="578"/>
      <c r="R552" s="578"/>
      <c r="S552" s="578"/>
      <c r="T552" s="578"/>
      <c r="U552" s="578"/>
      <c r="V552" s="578"/>
      <c r="W552" s="578"/>
      <c r="X552" s="578"/>
      <c r="Y552" s="578"/>
      <c r="Z552" s="578"/>
    </row>
    <row r="553" spans="1:26" ht="18.75">
      <c r="A553" s="574"/>
      <c r="B553" s="575"/>
      <c r="C553" s="575"/>
      <c r="D553" s="575"/>
      <c r="E553" s="763"/>
      <c r="F553" s="763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40">
        <v>400320</v>
      </c>
      <c r="O553" s="498"/>
      <c r="P553" s="49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</row>
    <row r="554" spans="1:26" ht="18.75">
      <c r="A554" s="574"/>
      <c r="B554" s="575"/>
      <c r="C554" s="575"/>
      <c r="D554" s="575"/>
      <c r="E554" s="763"/>
      <c r="F554" s="763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40">
        <v>3000</v>
      </c>
      <c r="O554" s="498"/>
      <c r="P554" s="49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</row>
    <row r="555" spans="1:26" ht="18.75">
      <c r="A555" s="597"/>
      <c r="B555" s="575"/>
      <c r="C555" s="575"/>
      <c r="D555" s="606" t="s">
        <v>21</v>
      </c>
      <c r="E555" s="763"/>
      <c r="F555" s="763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</row>
    <row r="556" spans="1:26" ht="18.75" hidden="1">
      <c r="A556" s="599"/>
      <c r="B556" s="607"/>
      <c r="C556" s="607"/>
      <c r="D556" s="759"/>
      <c r="E556" s="759" t="s">
        <v>18</v>
      </c>
      <c r="F556" s="759"/>
      <c r="G556" s="603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4"/>
      <c r="R556" s="604"/>
      <c r="S556" s="604"/>
      <c r="T556" s="604"/>
      <c r="U556" s="604"/>
      <c r="V556" s="604"/>
      <c r="W556" s="604"/>
      <c r="X556" s="604"/>
      <c r="Y556" s="604"/>
      <c r="Z556" s="604"/>
    </row>
    <row r="557" spans="1:26" ht="18.75" hidden="1">
      <c r="A557" s="599"/>
      <c r="B557" s="607"/>
      <c r="C557" s="607"/>
      <c r="D557" s="759"/>
      <c r="E557" s="759" t="s">
        <v>19</v>
      </c>
      <c r="F557" s="759"/>
      <c r="G557" s="603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4"/>
      <c r="R557" s="604"/>
      <c r="S557" s="604"/>
      <c r="T557" s="604"/>
      <c r="U557" s="604"/>
      <c r="V557" s="604"/>
      <c r="W557" s="604"/>
      <c r="X557" s="604"/>
      <c r="Y557" s="604"/>
      <c r="Z557" s="604"/>
    </row>
    <row r="558" spans="1:26" ht="19.5">
      <c r="A558" s="608"/>
      <c r="B558" s="618"/>
      <c r="C558" s="575" t="s">
        <v>16</v>
      </c>
      <c r="D558" s="896" t="s">
        <v>38</v>
      </c>
      <c r="E558" s="761"/>
      <c r="F558" s="761"/>
      <c r="G558" s="613"/>
      <c r="H558" s="762"/>
      <c r="I558" s="184"/>
      <c r="J558" s="184"/>
      <c r="K558" s="163"/>
      <c r="L558" s="163"/>
      <c r="M558" s="163"/>
      <c r="N558" s="163"/>
      <c r="O558" s="163"/>
      <c r="P558" s="163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</row>
    <row r="559" spans="1:26" ht="19.5">
      <c r="A559" s="692"/>
      <c r="B559" s="693" t="s">
        <v>235</v>
      </c>
      <c r="C559" s="694"/>
      <c r="D559" s="694"/>
      <c r="E559" s="673"/>
      <c r="F559" s="673"/>
      <c r="G559" s="674"/>
      <c r="H559" s="695" t="s">
        <v>46</v>
      </c>
      <c r="I559" s="708">
        <f t="shared" ref="I559:J559" ca="1" si="245">I576</f>
        <v>52289.705000000002</v>
      </c>
      <c r="J559" s="708">
        <f t="shared" si="245"/>
        <v>52289.704999999994</v>
      </c>
      <c r="K559" s="677">
        <f t="shared" ref="K559:K561" ca="1" si="246">IF(I559&gt;0,J559*100/I559,0)</f>
        <v>99.999999999999986</v>
      </c>
      <c r="L559" s="678"/>
      <c r="M559" s="678"/>
      <c r="N559" s="678"/>
      <c r="O559" s="678"/>
      <c r="P559" s="6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</row>
    <row r="560" spans="1:26" ht="19.5">
      <c r="A560" s="608"/>
      <c r="B560" s="618"/>
      <c r="C560" s="625" t="s">
        <v>236</v>
      </c>
      <c r="D560" s="618"/>
      <c r="E560" s="626"/>
      <c r="F560" s="626"/>
      <c r="G560" s="762"/>
      <c r="H560" s="767" t="s">
        <v>46</v>
      </c>
      <c r="I560" s="193">
        <f ca="1">IFERROR(__xludf.DUMMYFUNCTION("IMPORTRANGE(""https://docs.google.com/spreadsheets/d/1QqKyyYR6Q21VydFLVH3TRQUabQu_ym0Zz7PgGX0-kHA/edit?usp=sharing"",""แผน!HH38"")"),52289.705)</f>
        <v>52289.705000000002</v>
      </c>
      <c r="J560" s="193">
        <f t="shared" ref="J560:J561" si="247">J562+J564+J566</f>
        <v>52289</v>
      </c>
      <c r="K560" s="411">
        <f t="shared" ca="1" si="246"/>
        <v>99.998651742250217</v>
      </c>
      <c r="L560" s="163"/>
      <c r="M560" s="163"/>
      <c r="N560" s="163"/>
      <c r="O560" s="163"/>
      <c r="P560" s="163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</row>
    <row r="561" spans="1:26" ht="19.5">
      <c r="A561" s="608"/>
      <c r="B561" s="618"/>
      <c r="C561" s="618"/>
      <c r="D561" s="626"/>
      <c r="E561" s="626"/>
      <c r="F561" s="626"/>
      <c r="G561" s="762"/>
      <c r="H561" s="767" t="s">
        <v>34</v>
      </c>
      <c r="I561" s="193">
        <f ca="1">IFERROR(__xludf.DUMMYFUNCTION("IMPORTRANGE(""https://docs.google.com/spreadsheets/d/1QqKyyYR6Q21VydFLVH3TRQUabQu_ym0Zz7PgGX0-kHA/edit?usp=sharing"",""แผน!HG38"")"),5734)</f>
        <v>5734</v>
      </c>
      <c r="J561" s="193">
        <f t="shared" si="247"/>
        <v>5734</v>
      </c>
      <c r="K561" s="411">
        <f t="shared" ca="1" si="246"/>
        <v>100</v>
      </c>
      <c r="L561" s="163"/>
      <c r="M561" s="163"/>
      <c r="N561" s="163"/>
      <c r="O561" s="163"/>
      <c r="P561" s="163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</row>
    <row r="562" spans="1:26" ht="18.75">
      <c r="A562" s="608"/>
      <c r="B562" s="618"/>
      <c r="C562" s="618"/>
      <c r="D562" s="626" t="s">
        <v>237</v>
      </c>
      <c r="E562" s="626"/>
      <c r="F562" s="626"/>
      <c r="G562" s="762"/>
      <c r="H562" s="764" t="s">
        <v>46</v>
      </c>
      <c r="I562" s="184"/>
      <c r="J562" s="215">
        <v>33275</v>
      </c>
      <c r="K562" s="163"/>
      <c r="L562" s="163"/>
      <c r="M562" s="163"/>
      <c r="N562" s="163"/>
      <c r="O562" s="163"/>
      <c r="P562" s="163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</row>
    <row r="563" spans="1:26" ht="18.75">
      <c r="A563" s="608"/>
      <c r="B563" s="618"/>
      <c r="C563" s="618"/>
      <c r="D563" s="618"/>
      <c r="E563" s="626"/>
      <c r="F563" s="626"/>
      <c r="G563" s="762"/>
      <c r="H563" s="764" t="s">
        <v>34</v>
      </c>
      <c r="I563" s="184"/>
      <c r="J563" s="215">
        <v>4093</v>
      </c>
      <c r="K563" s="163"/>
      <c r="L563" s="163"/>
      <c r="M563" s="163"/>
      <c r="N563" s="163"/>
      <c r="O563" s="163"/>
      <c r="P563" s="163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</row>
    <row r="564" spans="1:26" ht="18.75">
      <c r="A564" s="608"/>
      <c r="B564" s="618"/>
      <c r="C564" s="618"/>
      <c r="D564" s="626" t="s">
        <v>238</v>
      </c>
      <c r="E564" s="626"/>
      <c r="F564" s="626"/>
      <c r="G564" s="762"/>
      <c r="H564" s="764" t="s">
        <v>46</v>
      </c>
      <c r="I564" s="184"/>
      <c r="J564" s="215">
        <v>17713</v>
      </c>
      <c r="K564" s="163"/>
      <c r="L564" s="163"/>
      <c r="M564" s="163"/>
      <c r="N564" s="163"/>
      <c r="O564" s="163"/>
      <c r="P564" s="163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</row>
    <row r="565" spans="1:26" ht="18.75">
      <c r="A565" s="608"/>
      <c r="B565" s="618"/>
      <c r="C565" s="618"/>
      <c r="D565" s="626"/>
      <c r="E565" s="626"/>
      <c r="F565" s="626"/>
      <c r="G565" s="762"/>
      <c r="H565" s="764" t="s">
        <v>34</v>
      </c>
      <c r="I565" s="184"/>
      <c r="J565" s="215">
        <v>1499</v>
      </c>
      <c r="K565" s="163"/>
      <c r="L565" s="163"/>
      <c r="M565" s="163"/>
      <c r="N565" s="163"/>
      <c r="O565" s="163"/>
      <c r="P565" s="163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</row>
    <row r="566" spans="1:26" ht="18.75">
      <c r="A566" s="608"/>
      <c r="B566" s="618"/>
      <c r="C566" s="618"/>
      <c r="D566" s="626" t="s">
        <v>239</v>
      </c>
      <c r="E566" s="626"/>
      <c r="F566" s="626"/>
      <c r="G566" s="762"/>
      <c r="H566" s="764" t="s">
        <v>46</v>
      </c>
      <c r="I566" s="184"/>
      <c r="J566" s="215">
        <v>1301</v>
      </c>
      <c r="K566" s="163"/>
      <c r="L566" s="163"/>
      <c r="M566" s="163"/>
      <c r="N566" s="163"/>
      <c r="O566" s="163"/>
      <c r="P566" s="163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</row>
    <row r="567" spans="1:26" ht="18.75">
      <c r="A567" s="608"/>
      <c r="B567" s="618"/>
      <c r="C567" s="618"/>
      <c r="D567" s="626"/>
      <c r="E567" s="626"/>
      <c r="F567" s="626"/>
      <c r="G567" s="762"/>
      <c r="H567" s="764" t="s">
        <v>34</v>
      </c>
      <c r="I567" s="184"/>
      <c r="J567" s="215">
        <v>142</v>
      </c>
      <c r="K567" s="163"/>
      <c r="L567" s="163"/>
      <c r="M567" s="163"/>
      <c r="N567" s="163"/>
      <c r="O567" s="163"/>
      <c r="P567" s="163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</row>
    <row r="568" spans="1:26" ht="19.5">
      <c r="A568" s="608"/>
      <c r="B568" s="618"/>
      <c r="C568" s="625" t="s">
        <v>240</v>
      </c>
      <c r="D568" s="626"/>
      <c r="E568" s="626"/>
      <c r="F568" s="626"/>
      <c r="G568" s="762"/>
      <c r="H568" s="767" t="s">
        <v>46</v>
      </c>
      <c r="I568" s="193">
        <f ca="1">IFERROR(__xludf.DUMMYFUNCTION("IMPORTRANGE(""https://docs.google.com/spreadsheets/d/1QqKyyYR6Q21VydFLVH3TRQUabQu_ym0Zz7PgGX0-kHA/edit?usp=sharing"",""แผน!HH38"")"),52289.705)</f>
        <v>52289.705000000002</v>
      </c>
      <c r="J568" s="681">
        <f t="shared" ref="J568:J569" si="248">J570+J572+J574</f>
        <v>52289</v>
      </c>
      <c r="K568" s="411">
        <f t="shared" ref="K568:K569" ca="1" si="249">IF(I568&gt;0,J568*100/I568,0)</f>
        <v>99.998651742250217</v>
      </c>
      <c r="L568" s="163"/>
      <c r="M568" s="163"/>
      <c r="N568" s="163"/>
      <c r="O568" s="163"/>
      <c r="P568" s="163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</row>
    <row r="569" spans="1:26" ht="19.5">
      <c r="A569" s="608"/>
      <c r="B569" s="618"/>
      <c r="C569" s="618"/>
      <c r="D569" s="618"/>
      <c r="E569" s="626"/>
      <c r="F569" s="626"/>
      <c r="G569" s="762"/>
      <c r="H569" s="767" t="s">
        <v>34</v>
      </c>
      <c r="I569" s="193">
        <f ca="1">IFERROR(__xludf.DUMMYFUNCTION("IMPORTRANGE(""https://docs.google.com/spreadsheets/d/1QqKyyYR6Q21VydFLVH3TRQUabQu_ym0Zz7PgGX0-kHA/edit?usp=sharing"",""แผน!HG38"")"),5734)</f>
        <v>5734</v>
      </c>
      <c r="J569" s="681">
        <f t="shared" si="248"/>
        <v>5734</v>
      </c>
      <c r="K569" s="411">
        <f t="shared" ca="1" si="249"/>
        <v>100</v>
      </c>
      <c r="L569" s="163"/>
      <c r="M569" s="163"/>
      <c r="N569" s="163"/>
      <c r="O569" s="163"/>
      <c r="P569" s="163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</row>
    <row r="570" spans="1:26" ht="18.75">
      <c r="A570" s="608"/>
      <c r="B570" s="618"/>
      <c r="C570" s="618"/>
      <c r="D570" s="626" t="s">
        <v>241</v>
      </c>
      <c r="E570" s="618"/>
      <c r="F570" s="626"/>
      <c r="G570" s="762"/>
      <c r="H570" s="764" t="s">
        <v>46</v>
      </c>
      <c r="I570" s="184"/>
      <c r="J570" s="215">
        <v>38607</v>
      </c>
      <c r="K570" s="163"/>
      <c r="L570" s="163"/>
      <c r="M570" s="163"/>
      <c r="N570" s="163"/>
      <c r="O570" s="163"/>
      <c r="P570" s="163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</row>
    <row r="571" spans="1:26" ht="18.75">
      <c r="A571" s="608"/>
      <c r="B571" s="618"/>
      <c r="C571" s="618"/>
      <c r="D571" s="618"/>
      <c r="E571" s="626"/>
      <c r="F571" s="626"/>
      <c r="G571" s="762"/>
      <c r="H571" s="764" t="s">
        <v>34</v>
      </c>
      <c r="I571" s="184"/>
      <c r="J571" s="215">
        <v>4489</v>
      </c>
      <c r="K571" s="163"/>
      <c r="L571" s="163"/>
      <c r="M571" s="163"/>
      <c r="N571" s="163"/>
      <c r="O571" s="163"/>
      <c r="P571" s="163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</row>
    <row r="572" spans="1:26" ht="18.75">
      <c r="A572" s="608"/>
      <c r="B572" s="618"/>
      <c r="C572" s="618"/>
      <c r="D572" s="626" t="s">
        <v>242</v>
      </c>
      <c r="E572" s="626"/>
      <c r="F572" s="626"/>
      <c r="G572" s="762"/>
      <c r="H572" s="764" t="s">
        <v>46</v>
      </c>
      <c r="I572" s="184"/>
      <c r="J572" s="215">
        <v>12576</v>
      </c>
      <c r="K572" s="163"/>
      <c r="L572" s="163"/>
      <c r="M572" s="163"/>
      <c r="N572" s="163"/>
      <c r="O572" s="163"/>
      <c r="P572" s="163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</row>
    <row r="573" spans="1:26" ht="18.75">
      <c r="A573" s="608"/>
      <c r="B573" s="618"/>
      <c r="C573" s="618"/>
      <c r="D573" s="626"/>
      <c r="E573" s="626"/>
      <c r="F573" s="626"/>
      <c r="G573" s="762"/>
      <c r="H573" s="764" t="s">
        <v>34</v>
      </c>
      <c r="I573" s="184"/>
      <c r="J573" s="215">
        <v>1119</v>
      </c>
      <c r="K573" s="163"/>
      <c r="L573" s="163"/>
      <c r="M573" s="163"/>
      <c r="N573" s="163"/>
      <c r="O573" s="163"/>
      <c r="P573" s="163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</row>
    <row r="574" spans="1:26" ht="18.75">
      <c r="A574" s="608"/>
      <c r="B574" s="618"/>
      <c r="C574" s="618"/>
      <c r="D574" s="626" t="s">
        <v>243</v>
      </c>
      <c r="E574" s="626"/>
      <c r="F574" s="626"/>
      <c r="G574" s="762"/>
      <c r="H574" s="764" t="s">
        <v>46</v>
      </c>
      <c r="I574" s="184"/>
      <c r="J574" s="215">
        <v>1106</v>
      </c>
      <c r="K574" s="163"/>
      <c r="L574" s="163"/>
      <c r="M574" s="163"/>
      <c r="N574" s="163"/>
      <c r="O574" s="163"/>
      <c r="P574" s="163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</row>
    <row r="575" spans="1:26" ht="18.75">
      <c r="A575" s="608"/>
      <c r="B575" s="618"/>
      <c r="C575" s="618"/>
      <c r="D575" s="618"/>
      <c r="E575" s="626"/>
      <c r="F575" s="626"/>
      <c r="G575" s="762"/>
      <c r="H575" s="764" t="s">
        <v>34</v>
      </c>
      <c r="I575" s="184"/>
      <c r="J575" s="215">
        <v>126</v>
      </c>
      <c r="K575" s="163"/>
      <c r="L575" s="163"/>
      <c r="M575" s="163"/>
      <c r="N575" s="163"/>
      <c r="O575" s="163"/>
      <c r="P575" s="163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</row>
    <row r="576" spans="1:26" ht="19.5">
      <c r="A576" s="608"/>
      <c r="B576" s="618"/>
      <c r="C576" s="625" t="s">
        <v>244</v>
      </c>
      <c r="D576" s="618"/>
      <c r="E576" s="618"/>
      <c r="F576" s="626"/>
      <c r="G576" s="762"/>
      <c r="H576" s="767" t="s">
        <v>46</v>
      </c>
      <c r="I576" s="193">
        <f ca="1">IFERROR(__xludf.DUMMYFUNCTION("IMPORTRANGE(""https://docs.google.com/spreadsheets/d/1QqKyyYR6Q21VydFLVH3TRQUabQu_ym0Zz7PgGX0-kHA/edit?usp=sharing"",""แผน!HH38"")"),52289.705)</f>
        <v>52289.705000000002</v>
      </c>
      <c r="J576" s="681">
        <f t="shared" ref="J576:J577" si="250">J578+J580+J582+J588+J590</f>
        <v>52289.704999999994</v>
      </c>
      <c r="K576" s="411">
        <f t="shared" ref="K576:K577" ca="1" si="251">IF(I576&gt;0,J576*100/I576,0)</f>
        <v>99.999999999999986</v>
      </c>
      <c r="L576" s="163"/>
      <c r="M576" s="163"/>
      <c r="N576" s="163"/>
      <c r="O576" s="163"/>
      <c r="P576" s="163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</row>
    <row r="577" spans="1:26" ht="19.5">
      <c r="A577" s="608"/>
      <c r="B577" s="618"/>
      <c r="C577" s="618"/>
      <c r="D577" s="618"/>
      <c r="E577" s="626"/>
      <c r="F577" s="626"/>
      <c r="G577" s="762"/>
      <c r="H577" s="767" t="s">
        <v>34</v>
      </c>
      <c r="I577" s="193">
        <f ca="1">IFERROR(__xludf.DUMMYFUNCTION("IMPORTRANGE(""https://docs.google.com/spreadsheets/d/1QqKyyYR6Q21VydFLVH3TRQUabQu_ym0Zz7PgGX0-kHA/edit?usp=sharing"",""แผน!HG38"")"),5734)</f>
        <v>5734</v>
      </c>
      <c r="J577" s="681">
        <f t="shared" si="250"/>
        <v>5734</v>
      </c>
      <c r="K577" s="411">
        <f t="shared" ca="1" si="251"/>
        <v>100</v>
      </c>
      <c r="L577" s="163"/>
      <c r="M577" s="163"/>
      <c r="N577" s="163"/>
      <c r="O577" s="163"/>
      <c r="P577" s="163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</row>
    <row r="578" spans="1:26" ht="18.75">
      <c r="A578" s="608"/>
      <c r="B578" s="618"/>
      <c r="C578" s="618"/>
      <c r="D578" s="626" t="s">
        <v>245</v>
      </c>
      <c r="E578" s="626"/>
      <c r="F578" s="626"/>
      <c r="G578" s="762"/>
      <c r="H578" s="764" t="s">
        <v>46</v>
      </c>
      <c r="I578" s="184"/>
      <c r="J578" s="215">
        <v>43867.692499999997</v>
      </c>
      <c r="K578" s="163"/>
      <c r="L578" s="163"/>
      <c r="M578" s="163"/>
      <c r="N578" s="163"/>
      <c r="O578" s="163"/>
      <c r="P578" s="163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</row>
    <row r="579" spans="1:26" ht="18.75">
      <c r="A579" s="608"/>
      <c r="B579" s="618"/>
      <c r="C579" s="618"/>
      <c r="D579" s="618"/>
      <c r="E579" s="626"/>
      <c r="F579" s="626"/>
      <c r="G579" s="762"/>
      <c r="H579" s="764" t="s">
        <v>34</v>
      </c>
      <c r="I579" s="184"/>
      <c r="J579" s="215">
        <v>4963</v>
      </c>
      <c r="K579" s="163"/>
      <c r="L579" s="163"/>
      <c r="M579" s="163"/>
      <c r="N579" s="163"/>
      <c r="O579" s="163"/>
      <c r="P579" s="163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</row>
    <row r="580" spans="1:26" ht="18.75">
      <c r="A580" s="608"/>
      <c r="B580" s="618"/>
      <c r="C580" s="618"/>
      <c r="D580" s="626" t="s">
        <v>246</v>
      </c>
      <c r="E580" s="626"/>
      <c r="F580" s="626"/>
      <c r="G580" s="762"/>
      <c r="H580" s="764" t="s">
        <v>46</v>
      </c>
      <c r="I580" s="184"/>
      <c r="J580" s="215">
        <v>91.75</v>
      </c>
      <c r="K580" s="163"/>
      <c r="L580" s="163"/>
      <c r="M580" s="163"/>
      <c r="N580" s="163"/>
      <c r="O580" s="163"/>
      <c r="P580" s="163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</row>
    <row r="581" spans="1:26" ht="18.75">
      <c r="A581" s="608"/>
      <c r="B581" s="618"/>
      <c r="C581" s="618"/>
      <c r="D581" s="618"/>
      <c r="E581" s="626"/>
      <c r="F581" s="626"/>
      <c r="G581" s="762"/>
      <c r="H581" s="764" t="s">
        <v>34</v>
      </c>
      <c r="I581" s="184"/>
      <c r="J581" s="215">
        <v>11</v>
      </c>
      <c r="K581" s="163"/>
      <c r="L581" s="163"/>
      <c r="M581" s="163"/>
      <c r="N581" s="163"/>
      <c r="O581" s="163"/>
      <c r="P581" s="163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</row>
    <row r="582" spans="1:26" ht="19.5">
      <c r="A582" s="608"/>
      <c r="B582" s="618"/>
      <c r="C582" s="618"/>
      <c r="D582" s="626" t="s">
        <v>247</v>
      </c>
      <c r="E582" s="626"/>
      <c r="F582" s="626"/>
      <c r="G582" s="762"/>
      <c r="H582" s="764" t="s">
        <v>46</v>
      </c>
      <c r="I582" s="184"/>
      <c r="J582" s="681">
        <f t="shared" ref="J582:J583" si="252">J584+J586</f>
        <v>1282.575</v>
      </c>
      <c r="K582" s="411"/>
      <c r="L582" s="163"/>
      <c r="M582" s="163"/>
      <c r="N582" s="163"/>
      <c r="O582" s="163"/>
      <c r="P582" s="163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</row>
    <row r="583" spans="1:26" ht="19.5">
      <c r="A583" s="608"/>
      <c r="B583" s="618"/>
      <c r="C583" s="618"/>
      <c r="D583" s="618"/>
      <c r="E583" s="626"/>
      <c r="F583" s="626"/>
      <c r="G583" s="762"/>
      <c r="H583" s="764" t="s">
        <v>34</v>
      </c>
      <c r="I583" s="184"/>
      <c r="J583" s="681">
        <f t="shared" si="252"/>
        <v>138</v>
      </c>
      <c r="K583" s="411"/>
      <c r="L583" s="163"/>
      <c r="M583" s="163"/>
      <c r="N583" s="163"/>
      <c r="O583" s="163"/>
      <c r="P583" s="163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</row>
    <row r="584" spans="1:26" ht="18.75">
      <c r="A584" s="608"/>
      <c r="B584" s="618"/>
      <c r="C584" s="618"/>
      <c r="D584" s="618"/>
      <c r="E584" s="626" t="s">
        <v>248</v>
      </c>
      <c r="F584" s="626"/>
      <c r="G584" s="762"/>
      <c r="H584" s="764" t="s">
        <v>46</v>
      </c>
      <c r="I584" s="184"/>
      <c r="J584" s="215">
        <v>1282.575</v>
      </c>
      <c r="K584" s="163"/>
      <c r="L584" s="163"/>
      <c r="M584" s="163"/>
      <c r="N584" s="163"/>
      <c r="O584" s="163"/>
      <c r="P584" s="163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</row>
    <row r="585" spans="1:26" ht="18.75">
      <c r="A585" s="608"/>
      <c r="B585" s="618"/>
      <c r="C585" s="618"/>
      <c r="D585" s="618"/>
      <c r="E585" s="626"/>
      <c r="F585" s="626"/>
      <c r="G585" s="762"/>
      <c r="H585" s="764" t="s">
        <v>34</v>
      </c>
      <c r="I585" s="184"/>
      <c r="J585" s="215">
        <v>138</v>
      </c>
      <c r="K585" s="163"/>
      <c r="L585" s="163"/>
      <c r="M585" s="163"/>
      <c r="N585" s="163"/>
      <c r="O585" s="163"/>
      <c r="P585" s="163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</row>
    <row r="586" spans="1:26" ht="18.75">
      <c r="A586" s="608"/>
      <c r="B586" s="618"/>
      <c r="C586" s="618"/>
      <c r="D586" s="618"/>
      <c r="E586" s="626" t="s">
        <v>249</v>
      </c>
      <c r="F586" s="626"/>
      <c r="G586" s="762"/>
      <c r="H586" s="76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</row>
    <row r="587" spans="1:26" ht="18.75">
      <c r="A587" s="608"/>
      <c r="B587" s="618"/>
      <c r="C587" s="618"/>
      <c r="D587" s="618"/>
      <c r="E587" s="618"/>
      <c r="F587" s="626"/>
      <c r="G587" s="762"/>
      <c r="H587" s="76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</row>
    <row r="588" spans="1:26" ht="18.75">
      <c r="A588" s="608"/>
      <c r="B588" s="618"/>
      <c r="C588" s="618"/>
      <c r="D588" s="626" t="s">
        <v>250</v>
      </c>
      <c r="E588" s="626"/>
      <c r="F588" s="626"/>
      <c r="G588" s="762"/>
      <c r="H588" s="764" t="s">
        <v>46</v>
      </c>
      <c r="I588" s="184"/>
      <c r="J588" s="215">
        <v>7047.6875</v>
      </c>
      <c r="K588" s="163"/>
      <c r="L588" s="163"/>
      <c r="M588" s="163"/>
      <c r="N588" s="163"/>
      <c r="O588" s="163"/>
      <c r="P588" s="163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</row>
    <row r="589" spans="1:26" ht="18.75">
      <c r="A589" s="608"/>
      <c r="B589" s="618"/>
      <c r="C589" s="618"/>
      <c r="D589" s="618"/>
      <c r="E589" s="618"/>
      <c r="F589" s="626"/>
      <c r="G589" s="762"/>
      <c r="H589" s="764" t="s">
        <v>34</v>
      </c>
      <c r="I589" s="184"/>
      <c r="J589" s="215">
        <v>622</v>
      </c>
      <c r="K589" s="163"/>
      <c r="L589" s="163"/>
      <c r="M589" s="163"/>
      <c r="N589" s="163"/>
      <c r="O589" s="163"/>
      <c r="P589" s="163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</row>
    <row r="590" spans="1:26" ht="18.75">
      <c r="A590" s="608"/>
      <c r="B590" s="618"/>
      <c r="C590" s="618"/>
      <c r="D590" s="626" t="s">
        <v>251</v>
      </c>
      <c r="E590" s="626"/>
      <c r="F590" s="626"/>
      <c r="G590" s="762"/>
      <c r="H590" s="76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</row>
    <row r="591" spans="1:26" ht="18.75">
      <c r="A591" s="696"/>
      <c r="B591" s="697"/>
      <c r="C591" s="697"/>
      <c r="D591" s="697"/>
      <c r="E591" s="578"/>
      <c r="F591" s="578"/>
      <c r="G591" s="698"/>
      <c r="H591" s="699" t="s">
        <v>34</v>
      </c>
      <c r="I591" s="700"/>
      <c r="J591" s="701">
        <v>0</v>
      </c>
      <c r="K591" s="702"/>
      <c r="L591" s="702"/>
      <c r="M591" s="702"/>
      <c r="N591" s="702"/>
      <c r="O591" s="702"/>
      <c r="P591" s="702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</row>
    <row r="592" spans="1:26" ht="19.5">
      <c r="A592" s="692"/>
      <c r="B592" s="693" t="s">
        <v>252</v>
      </c>
      <c r="C592" s="694"/>
      <c r="D592" s="694"/>
      <c r="E592" s="673"/>
      <c r="F592" s="673"/>
      <c r="G592" s="674"/>
      <c r="H592" s="695" t="s">
        <v>46</v>
      </c>
      <c r="I592" s="703">
        <f t="shared" ref="I592:J592" ca="1" si="253">I593</f>
        <v>7857.35</v>
      </c>
      <c r="J592" s="708">
        <f t="shared" si="253"/>
        <v>7857.3449999999993</v>
      </c>
      <c r="K592" s="677">
        <f t="shared" ref="K592:K594" ca="1" si="254">IF(I592&gt;0,J592*100/I592,0)</f>
        <v>99.999936365313985</v>
      </c>
      <c r="L592" s="678"/>
      <c r="M592" s="678"/>
      <c r="N592" s="678"/>
      <c r="O592" s="678"/>
      <c r="P592" s="6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</row>
    <row r="593" spans="1:26" ht="19.5">
      <c r="A593" s="608"/>
      <c r="B593" s="618"/>
      <c r="C593" s="625" t="s">
        <v>253</v>
      </c>
      <c r="D593" s="618"/>
      <c r="E593" s="618"/>
      <c r="F593" s="626"/>
      <c r="G593" s="762"/>
      <c r="H593" s="767" t="s">
        <v>46</v>
      </c>
      <c r="I593" s="704">
        <f ca="1">IFERROR(__xludf.DUMMYFUNCTION("IMPORTRANGE(""https://docs.google.com/spreadsheets/d/1QqKyyYR6Q21VydFLVH3TRQUabQu_ym0Zz7PgGX0-kHA/edit?usp=sharing"",""แผน!HJ38"")"),7857.35)</f>
        <v>7857.35</v>
      </c>
      <c r="J593" s="193">
        <f t="shared" ref="J593:J594" si="255">J595+J603+J609</f>
        <v>7857.3449999999993</v>
      </c>
      <c r="K593" s="411">
        <f t="shared" ca="1" si="254"/>
        <v>99.999936365313985</v>
      </c>
      <c r="L593" s="163"/>
      <c r="M593" s="163"/>
      <c r="N593" s="163"/>
      <c r="O593" s="163"/>
      <c r="P593" s="163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</row>
    <row r="594" spans="1:26" ht="19.5">
      <c r="A594" s="608"/>
      <c r="B594" s="618"/>
      <c r="C594" s="618"/>
      <c r="D594" s="618"/>
      <c r="E594" s="626"/>
      <c r="F594" s="626"/>
      <c r="G594" s="762"/>
      <c r="H594" s="767" t="s">
        <v>34</v>
      </c>
      <c r="I594" s="193">
        <f ca="1">IFERROR(__xludf.DUMMYFUNCTION("IMPORTRANGE(""https://docs.google.com/spreadsheets/d/1QqKyyYR6Q21VydFLVH3TRQUabQu_ym0Zz7PgGX0-kHA/edit?usp=sharing"",""แผน!HI38"")"),657)</f>
        <v>657</v>
      </c>
      <c r="J594" s="193">
        <f t="shared" si="255"/>
        <v>657</v>
      </c>
      <c r="K594" s="411">
        <f t="shared" ca="1" si="254"/>
        <v>100</v>
      </c>
      <c r="L594" s="163"/>
      <c r="M594" s="163"/>
      <c r="N594" s="163"/>
      <c r="O594" s="163"/>
      <c r="P594" s="163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</row>
    <row r="595" spans="1:26" ht="18.75">
      <c r="A595" s="608"/>
      <c r="B595" s="618"/>
      <c r="C595" s="618" t="s">
        <v>254</v>
      </c>
      <c r="D595" s="618"/>
      <c r="E595" s="618"/>
      <c r="F595" s="626"/>
      <c r="G595" s="762"/>
      <c r="H595" s="764" t="s">
        <v>46</v>
      </c>
      <c r="I595" s="184"/>
      <c r="J595" s="184">
        <f t="shared" ref="J595:J596" si="256">J597+J599</f>
        <v>4981.91</v>
      </c>
      <c r="K595" s="163"/>
      <c r="L595" s="163"/>
      <c r="M595" s="163"/>
      <c r="N595" s="163"/>
      <c r="O595" s="163"/>
      <c r="P595" s="163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</row>
    <row r="596" spans="1:26" ht="18.75">
      <c r="A596" s="608"/>
      <c r="B596" s="618"/>
      <c r="C596" s="618"/>
      <c r="D596" s="618"/>
      <c r="E596" s="626"/>
      <c r="F596" s="626"/>
      <c r="G596" s="762"/>
      <c r="H596" s="764" t="s">
        <v>34</v>
      </c>
      <c r="I596" s="184"/>
      <c r="J596" s="184">
        <f t="shared" si="256"/>
        <v>402</v>
      </c>
      <c r="K596" s="163"/>
      <c r="L596" s="163"/>
      <c r="M596" s="163"/>
      <c r="N596" s="163"/>
      <c r="O596" s="163"/>
      <c r="P596" s="163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</row>
    <row r="597" spans="1:26" ht="18.75">
      <c r="A597" s="608"/>
      <c r="B597" s="618"/>
      <c r="C597" s="618"/>
      <c r="D597" s="746" t="s">
        <v>255</v>
      </c>
      <c r="E597" s="626"/>
      <c r="F597" s="626"/>
      <c r="G597" s="762"/>
      <c r="H597" s="764" t="s">
        <v>46</v>
      </c>
      <c r="I597" s="184"/>
      <c r="J597" s="215">
        <v>4981.91</v>
      </c>
      <c r="K597" s="163"/>
      <c r="L597" s="163"/>
      <c r="M597" s="163"/>
      <c r="N597" s="163"/>
      <c r="O597" s="163"/>
      <c r="P597" s="163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</row>
    <row r="598" spans="1:26" ht="18.75">
      <c r="A598" s="608"/>
      <c r="B598" s="618"/>
      <c r="C598" s="618"/>
      <c r="D598" s="618"/>
      <c r="E598" s="626"/>
      <c r="F598" s="626"/>
      <c r="G598" s="762"/>
      <c r="H598" s="764" t="s">
        <v>34</v>
      </c>
      <c r="I598" s="270"/>
      <c r="J598" s="215">
        <v>402</v>
      </c>
      <c r="K598" s="163"/>
      <c r="L598" s="163"/>
      <c r="M598" s="163"/>
      <c r="N598" s="163"/>
      <c r="O598" s="163"/>
      <c r="P598" s="163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</row>
    <row r="599" spans="1:26" ht="18.75">
      <c r="A599" s="608"/>
      <c r="B599" s="618"/>
      <c r="C599" s="618"/>
      <c r="D599" s="746" t="s">
        <v>256</v>
      </c>
      <c r="E599" s="626"/>
      <c r="F599" s="626"/>
      <c r="G599" s="762"/>
      <c r="H599" s="764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</row>
    <row r="600" spans="1:26" ht="18.75">
      <c r="A600" s="608"/>
      <c r="B600" s="618"/>
      <c r="C600" s="618"/>
      <c r="D600" s="618"/>
      <c r="E600" s="626"/>
      <c r="F600" s="626"/>
      <c r="G600" s="762"/>
      <c r="H600" s="764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</row>
    <row r="601" spans="1:26" ht="18.75">
      <c r="A601" s="608"/>
      <c r="B601" s="618"/>
      <c r="C601" s="618"/>
      <c r="D601" s="746" t="s">
        <v>257</v>
      </c>
      <c r="E601" s="626"/>
      <c r="F601" s="626"/>
      <c r="G601" s="762"/>
      <c r="H601" s="76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</row>
    <row r="602" spans="1:26" ht="18.75">
      <c r="A602" s="608"/>
      <c r="B602" s="618"/>
      <c r="C602" s="618"/>
      <c r="D602" s="618"/>
      <c r="E602" s="626"/>
      <c r="F602" s="626"/>
      <c r="G602" s="762"/>
      <c r="H602" s="76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</row>
    <row r="603" spans="1:26" ht="18.75">
      <c r="A603" s="608"/>
      <c r="B603" s="618"/>
      <c r="C603" s="705" t="s">
        <v>258</v>
      </c>
      <c r="D603" s="618"/>
      <c r="E603" s="618"/>
      <c r="F603" s="626"/>
      <c r="G603" s="762"/>
      <c r="H603" s="764" t="s">
        <v>46</v>
      </c>
      <c r="I603" s="270"/>
      <c r="J603" s="270">
        <f t="shared" ref="J603:J604" si="257">J605+J607</f>
        <v>2875.4349999999999</v>
      </c>
      <c r="K603" s="163"/>
      <c r="L603" s="163"/>
      <c r="M603" s="163"/>
      <c r="N603" s="163"/>
      <c r="O603" s="163"/>
      <c r="P603" s="163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</row>
    <row r="604" spans="1:26" ht="18.75">
      <c r="A604" s="608"/>
      <c r="B604" s="618"/>
      <c r="C604" s="618"/>
      <c r="D604" s="618"/>
      <c r="E604" s="626"/>
      <c r="F604" s="626"/>
      <c r="G604" s="762"/>
      <c r="H604" s="764" t="s">
        <v>34</v>
      </c>
      <c r="I604" s="270"/>
      <c r="J604" s="270">
        <f t="shared" si="257"/>
        <v>255</v>
      </c>
      <c r="K604" s="163"/>
      <c r="L604" s="163"/>
      <c r="M604" s="163"/>
      <c r="N604" s="163"/>
      <c r="O604" s="163"/>
      <c r="P604" s="163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</row>
    <row r="605" spans="1:26" ht="18.75">
      <c r="A605" s="608"/>
      <c r="B605" s="618"/>
      <c r="C605" s="618"/>
      <c r="D605" s="705" t="s">
        <v>259</v>
      </c>
      <c r="E605" s="626"/>
      <c r="F605" s="626"/>
      <c r="G605" s="762"/>
      <c r="H605" s="764" t="s">
        <v>46</v>
      </c>
      <c r="I605" s="270"/>
      <c r="J605" s="215">
        <v>2875.4349999999999</v>
      </c>
      <c r="K605" s="163"/>
      <c r="L605" s="163"/>
      <c r="M605" s="163"/>
      <c r="N605" s="163"/>
      <c r="O605" s="163"/>
      <c r="P605" s="163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</row>
    <row r="606" spans="1:26" ht="18.75">
      <c r="A606" s="608"/>
      <c r="B606" s="618"/>
      <c r="C606" s="618"/>
      <c r="D606" s="618"/>
      <c r="E606" s="618"/>
      <c r="F606" s="626"/>
      <c r="G606" s="762"/>
      <c r="H606" s="764" t="s">
        <v>34</v>
      </c>
      <c r="I606" s="270"/>
      <c r="J606" s="215">
        <v>255</v>
      </c>
      <c r="K606" s="163"/>
      <c r="L606" s="163"/>
      <c r="M606" s="163"/>
      <c r="N606" s="163"/>
      <c r="O606" s="163"/>
      <c r="P606" s="163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</row>
    <row r="607" spans="1:26" ht="18.75">
      <c r="A607" s="608"/>
      <c r="B607" s="618"/>
      <c r="C607" s="618"/>
      <c r="D607" s="705" t="s">
        <v>260</v>
      </c>
      <c r="E607" s="618"/>
      <c r="F607" s="626"/>
      <c r="G607" s="762"/>
      <c r="H607" s="764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</row>
    <row r="608" spans="1:26" ht="18.75">
      <c r="A608" s="608"/>
      <c r="B608" s="618"/>
      <c r="C608" s="618"/>
      <c r="D608" s="618"/>
      <c r="E608" s="626"/>
      <c r="F608" s="626"/>
      <c r="G608" s="762"/>
      <c r="H608" s="764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</row>
    <row r="609" spans="1:26" ht="18.75">
      <c r="A609" s="608"/>
      <c r="B609" s="618"/>
      <c r="C609" s="618" t="s">
        <v>261</v>
      </c>
      <c r="D609" s="618"/>
      <c r="E609" s="618"/>
      <c r="F609" s="626"/>
      <c r="G609" s="762"/>
      <c r="H609" s="764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</row>
    <row r="610" spans="1:26" ht="18.75">
      <c r="A610" s="608"/>
      <c r="B610" s="618"/>
      <c r="C610" s="618"/>
      <c r="D610" s="618"/>
      <c r="E610" s="626"/>
      <c r="F610" s="626"/>
      <c r="G610" s="762"/>
      <c r="H610" s="764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</row>
    <row r="611" spans="1:26" ht="19.5">
      <c r="A611" s="692"/>
      <c r="B611" s="706" t="s">
        <v>262</v>
      </c>
      <c r="C611" s="694"/>
      <c r="D611" s="694"/>
      <c r="E611" s="673"/>
      <c r="F611" s="673"/>
      <c r="G611" s="674"/>
      <c r="H611" s="707" t="s">
        <v>46</v>
      </c>
      <c r="I611" s="708">
        <v>0</v>
      </c>
      <c r="J611" s="708">
        <f>J614+J616</f>
        <v>0</v>
      </c>
      <c r="K611" s="677">
        <f t="shared" ref="K611:K613" si="258">IF(I611&gt;0,J611*100/I611,0)</f>
        <v>0</v>
      </c>
      <c r="L611" s="678"/>
      <c r="M611" s="678"/>
      <c r="N611" s="678"/>
      <c r="O611" s="678"/>
      <c r="P611" s="6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</row>
    <row r="612" spans="1:26" ht="19.5" hidden="1">
      <c r="A612" s="709"/>
      <c r="B612" s="719"/>
      <c r="C612" s="711" t="s">
        <v>263</v>
      </c>
      <c r="D612" s="719"/>
      <c r="E612" s="719"/>
      <c r="F612" s="712"/>
      <c r="G612" s="713"/>
      <c r="H612" s="714" t="s">
        <v>46</v>
      </c>
      <c r="I612" s="716">
        <v>0</v>
      </c>
      <c r="J612" s="716">
        <f t="shared" ref="J612:J613" si="259">J614+J616</f>
        <v>0</v>
      </c>
      <c r="K612" s="717">
        <f t="shared" si="258"/>
        <v>0</v>
      </c>
      <c r="L612" s="718"/>
      <c r="M612" s="718"/>
      <c r="N612" s="718"/>
      <c r="O612" s="718"/>
      <c r="P612" s="718"/>
      <c r="Q612" s="604"/>
      <c r="R612" s="604"/>
      <c r="S612" s="604"/>
      <c r="T612" s="604"/>
      <c r="U612" s="604"/>
      <c r="V612" s="604"/>
      <c r="W612" s="604"/>
      <c r="X612" s="604"/>
      <c r="Y612" s="604"/>
      <c r="Z612" s="604"/>
    </row>
    <row r="613" spans="1:26" ht="19.5" hidden="1">
      <c r="A613" s="709"/>
      <c r="B613" s="719"/>
      <c r="C613" s="719" t="s">
        <v>264</v>
      </c>
      <c r="D613" s="719"/>
      <c r="E613" s="719"/>
      <c r="F613" s="712"/>
      <c r="G613" s="713"/>
      <c r="H613" s="714" t="s">
        <v>34</v>
      </c>
      <c r="I613" s="716">
        <v>0</v>
      </c>
      <c r="J613" s="716">
        <f t="shared" si="259"/>
        <v>0</v>
      </c>
      <c r="K613" s="717">
        <f t="shared" si="258"/>
        <v>0</v>
      </c>
      <c r="L613" s="718"/>
      <c r="M613" s="718"/>
      <c r="N613" s="718"/>
      <c r="O613" s="718"/>
      <c r="P613" s="718"/>
      <c r="Q613" s="604"/>
      <c r="R613" s="604"/>
      <c r="S613" s="604"/>
      <c r="T613" s="604"/>
      <c r="U613" s="604"/>
      <c r="V613" s="604"/>
      <c r="W613" s="604"/>
      <c r="X613" s="604"/>
      <c r="Y613" s="604"/>
      <c r="Z613" s="604"/>
    </row>
    <row r="614" spans="1:26" ht="18.75" hidden="1">
      <c r="A614" s="614"/>
      <c r="B614" s="616"/>
      <c r="C614" s="616"/>
      <c r="D614" s="720" t="s">
        <v>265</v>
      </c>
      <c r="E614" s="616"/>
      <c r="F614" s="720"/>
      <c r="G614" s="366"/>
      <c r="H614" s="370" t="s">
        <v>46</v>
      </c>
      <c r="I614" s="617"/>
      <c r="J614" s="617">
        <v>0</v>
      </c>
      <c r="K614" s="167"/>
      <c r="L614" s="167"/>
      <c r="M614" s="167"/>
      <c r="N614" s="167"/>
      <c r="O614" s="167"/>
      <c r="P614" s="167"/>
      <c r="Q614" s="604"/>
      <c r="R614" s="604"/>
      <c r="S614" s="604"/>
      <c r="T614" s="604"/>
      <c r="U614" s="604"/>
      <c r="V614" s="604"/>
      <c r="W614" s="604"/>
      <c r="X614" s="604"/>
      <c r="Y614" s="604"/>
      <c r="Z614" s="604"/>
    </row>
    <row r="615" spans="1:26" ht="18.75" hidden="1">
      <c r="A615" s="614"/>
      <c r="B615" s="616"/>
      <c r="C615" s="616"/>
      <c r="D615" s="616"/>
      <c r="E615" s="616"/>
      <c r="F615" s="720"/>
      <c r="G615" s="366"/>
      <c r="H615" s="370" t="s">
        <v>34</v>
      </c>
      <c r="I615" s="617"/>
      <c r="J615" s="617">
        <v>0</v>
      </c>
      <c r="K615" s="167"/>
      <c r="L615" s="167"/>
      <c r="M615" s="167"/>
      <c r="N615" s="167"/>
      <c r="O615" s="167"/>
      <c r="P615" s="167"/>
      <c r="Q615" s="604"/>
      <c r="R615" s="604"/>
      <c r="S615" s="604"/>
      <c r="T615" s="604"/>
      <c r="U615" s="604"/>
      <c r="V615" s="604"/>
      <c r="W615" s="604"/>
      <c r="X615" s="604"/>
      <c r="Y615" s="604"/>
      <c r="Z615" s="604"/>
    </row>
    <row r="616" spans="1:26" ht="18.75" hidden="1">
      <c r="A616" s="614"/>
      <c r="B616" s="616"/>
      <c r="C616" s="616"/>
      <c r="D616" s="721" t="s">
        <v>265</v>
      </c>
      <c r="E616" s="720"/>
      <c r="F616" s="720"/>
      <c r="G616" s="366"/>
      <c r="H616" s="370" t="s">
        <v>46</v>
      </c>
      <c r="I616" s="617"/>
      <c r="J616" s="617">
        <v>0</v>
      </c>
      <c r="K616" s="167"/>
      <c r="L616" s="167"/>
      <c r="M616" s="167"/>
      <c r="N616" s="167"/>
      <c r="O616" s="167"/>
      <c r="P616" s="167"/>
      <c r="Q616" s="604"/>
      <c r="R616" s="604"/>
      <c r="S616" s="604"/>
      <c r="T616" s="604"/>
      <c r="U616" s="604"/>
      <c r="V616" s="604"/>
      <c r="W616" s="604"/>
      <c r="X616" s="604"/>
      <c r="Y616" s="604"/>
      <c r="Z616" s="604"/>
    </row>
    <row r="617" spans="1:26" ht="18.75" hidden="1">
      <c r="A617" s="614"/>
      <c r="B617" s="616"/>
      <c r="C617" s="616"/>
      <c r="D617" s="616"/>
      <c r="E617" s="720"/>
      <c r="F617" s="720"/>
      <c r="G617" s="366"/>
      <c r="H617" s="370" t="s">
        <v>34</v>
      </c>
      <c r="I617" s="617"/>
      <c r="J617" s="617">
        <v>0</v>
      </c>
      <c r="K617" s="167"/>
      <c r="L617" s="167"/>
      <c r="M617" s="167"/>
      <c r="N617" s="167"/>
      <c r="O617" s="167"/>
      <c r="P617" s="167"/>
      <c r="Q617" s="604"/>
      <c r="R617" s="604"/>
      <c r="S617" s="604"/>
      <c r="T617" s="604"/>
      <c r="U617" s="604"/>
      <c r="V617" s="604"/>
      <c r="W617" s="604"/>
      <c r="X617" s="604"/>
      <c r="Y617" s="604"/>
      <c r="Z617" s="604"/>
    </row>
    <row r="618" spans="1:26" ht="18.75" hidden="1">
      <c r="A618" s="614"/>
      <c r="B618" s="616"/>
      <c r="C618" s="616"/>
      <c r="D618" s="721" t="s">
        <v>266</v>
      </c>
      <c r="E618" s="720"/>
      <c r="F618" s="720"/>
      <c r="G618" s="366"/>
      <c r="H618" s="370" t="s">
        <v>46</v>
      </c>
      <c r="I618" s="617"/>
      <c r="J618" s="617">
        <v>0</v>
      </c>
      <c r="K618" s="167"/>
      <c r="L618" s="167"/>
      <c r="M618" s="167"/>
      <c r="N618" s="167"/>
      <c r="O618" s="167"/>
      <c r="P618" s="167"/>
      <c r="Q618" s="604"/>
      <c r="R618" s="604"/>
      <c r="S618" s="604"/>
      <c r="T618" s="604"/>
      <c r="U618" s="604"/>
      <c r="V618" s="604"/>
      <c r="W618" s="604"/>
      <c r="X618" s="604"/>
      <c r="Y618" s="604"/>
      <c r="Z618" s="604"/>
    </row>
    <row r="619" spans="1:26" ht="18.75" hidden="1">
      <c r="A619" s="614"/>
      <c r="B619" s="616"/>
      <c r="C619" s="616"/>
      <c r="D619" s="616"/>
      <c r="E619" s="720"/>
      <c r="F619" s="720"/>
      <c r="G619" s="366"/>
      <c r="H619" s="370" t="s">
        <v>34</v>
      </c>
      <c r="I619" s="617"/>
      <c r="J619" s="617">
        <v>0</v>
      </c>
      <c r="K619" s="167"/>
      <c r="L619" s="167"/>
      <c r="M619" s="167"/>
      <c r="N619" s="167"/>
      <c r="O619" s="167"/>
      <c r="P619" s="167"/>
      <c r="Q619" s="604"/>
      <c r="R619" s="604"/>
      <c r="S619" s="604"/>
      <c r="T619" s="604"/>
      <c r="U619" s="604"/>
      <c r="V619" s="604"/>
      <c r="W619" s="604"/>
      <c r="X619" s="604"/>
      <c r="Y619" s="604"/>
      <c r="Z619" s="604"/>
    </row>
    <row r="620" spans="1:26" ht="19.5">
      <c r="A620" s="722"/>
      <c r="B620" s="731"/>
      <c r="C620" s="724" t="s">
        <v>267</v>
      </c>
      <c r="D620" s="731"/>
      <c r="E620" s="731"/>
      <c r="F620" s="725"/>
      <c r="G620" s="726"/>
      <c r="H620" s="727" t="s">
        <v>46</v>
      </c>
      <c r="I620" s="728">
        <f ca="1">IFERROR(__xludf.DUMMYFUNCTION("IMPORTRANGE(""https://docs.google.com/spreadsheets/d/1QqKyyYR6Q21VydFLVH3TRQUabQu_ym0Zz7PgGX0-kHA/edit?usp=sharing"",""แผน!HL38"")"),44)</f>
        <v>44</v>
      </c>
      <c r="J620" s="728">
        <f t="shared" ref="J620:J621" si="260">J622+J624+J626</f>
        <v>44</v>
      </c>
      <c r="K620" s="729">
        <f t="shared" ref="K620:K621" ca="1" si="261">IF(I620&gt;0,J620*100/I620,0)</f>
        <v>100</v>
      </c>
      <c r="L620" s="730"/>
      <c r="M620" s="730"/>
      <c r="N620" s="730"/>
      <c r="O620" s="730"/>
      <c r="P620" s="730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</row>
    <row r="621" spans="1:26" ht="19.5">
      <c r="A621" s="722"/>
      <c r="B621" s="731"/>
      <c r="C621" s="731" t="s">
        <v>268</v>
      </c>
      <c r="D621" s="731"/>
      <c r="E621" s="731"/>
      <c r="F621" s="725"/>
      <c r="G621" s="726"/>
      <c r="H621" s="727" t="s">
        <v>34</v>
      </c>
      <c r="I621" s="728">
        <f ca="1">IFERROR(__xludf.DUMMYFUNCTION("IMPORTRANGE(""https://docs.google.com/spreadsheets/d/1QqKyyYR6Q21VydFLVH3TRQUabQu_ym0Zz7PgGX0-kHA/edit?usp=sharing"",""แผน!HK38"")"),2)</f>
        <v>2</v>
      </c>
      <c r="J621" s="728">
        <f t="shared" si="260"/>
        <v>2</v>
      </c>
      <c r="K621" s="729">
        <f t="shared" ca="1" si="261"/>
        <v>100</v>
      </c>
      <c r="L621" s="730"/>
      <c r="M621" s="730"/>
      <c r="N621" s="730"/>
      <c r="O621" s="730"/>
      <c r="P621" s="730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</row>
    <row r="622" spans="1:26" ht="18.75">
      <c r="A622" s="608"/>
      <c r="B622" s="618"/>
      <c r="C622" s="618"/>
      <c r="D622" s="746" t="s">
        <v>269</v>
      </c>
      <c r="E622" s="626"/>
      <c r="F622" s="626"/>
      <c r="G622" s="762"/>
      <c r="H622" s="764" t="s">
        <v>46</v>
      </c>
      <c r="I622" s="270"/>
      <c r="J622" s="215">
        <v>34</v>
      </c>
      <c r="K622" s="163"/>
      <c r="L622" s="163"/>
      <c r="M622" s="163"/>
      <c r="N622" s="163"/>
      <c r="O622" s="163"/>
      <c r="P622" s="163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</row>
    <row r="623" spans="1:26" ht="18.75">
      <c r="A623" s="608"/>
      <c r="B623" s="618"/>
      <c r="C623" s="618"/>
      <c r="D623" s="618"/>
      <c r="E623" s="626"/>
      <c r="F623" s="626"/>
      <c r="G623" s="762"/>
      <c r="H623" s="764" t="s">
        <v>34</v>
      </c>
      <c r="I623" s="270"/>
      <c r="J623" s="215">
        <v>1</v>
      </c>
      <c r="K623" s="163"/>
      <c r="L623" s="163"/>
      <c r="M623" s="163"/>
      <c r="N623" s="163"/>
      <c r="O623" s="163"/>
      <c r="P623" s="163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</row>
    <row r="624" spans="1:26" ht="18.75">
      <c r="A624" s="608"/>
      <c r="B624" s="618"/>
      <c r="C624" s="618"/>
      <c r="D624" s="746" t="s">
        <v>265</v>
      </c>
      <c r="E624" s="626"/>
      <c r="F624" s="626"/>
      <c r="G624" s="762"/>
      <c r="H624" s="764" t="s">
        <v>46</v>
      </c>
      <c r="I624" s="270"/>
      <c r="J624" s="215">
        <v>10</v>
      </c>
      <c r="K624" s="163"/>
      <c r="L624" s="163"/>
      <c r="M624" s="163"/>
      <c r="N624" s="163"/>
      <c r="O624" s="163"/>
      <c r="P624" s="163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</row>
    <row r="625" spans="1:26" ht="18.75">
      <c r="A625" s="608"/>
      <c r="B625" s="618"/>
      <c r="C625" s="618"/>
      <c r="D625" s="618"/>
      <c r="E625" s="626"/>
      <c r="F625" s="626"/>
      <c r="G625" s="762"/>
      <c r="H625" s="764" t="s">
        <v>34</v>
      </c>
      <c r="I625" s="270"/>
      <c r="J625" s="215">
        <v>1</v>
      </c>
      <c r="K625" s="163"/>
      <c r="L625" s="163"/>
      <c r="M625" s="163"/>
      <c r="N625" s="163"/>
      <c r="O625" s="163"/>
      <c r="P625" s="163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</row>
    <row r="626" spans="1:26" ht="18.75">
      <c r="A626" s="608"/>
      <c r="B626" s="618"/>
      <c r="C626" s="618"/>
      <c r="D626" s="746" t="s">
        <v>270</v>
      </c>
      <c r="E626" s="626"/>
      <c r="F626" s="626"/>
      <c r="G626" s="762"/>
      <c r="H626" s="76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</row>
    <row r="627" spans="1:26" ht="18.75">
      <c r="A627" s="732"/>
      <c r="B627" s="733"/>
      <c r="C627" s="733"/>
      <c r="D627" s="733"/>
      <c r="E627" s="734"/>
      <c r="F627" s="734"/>
      <c r="G627" s="735"/>
      <c r="H627" s="422" t="s">
        <v>34</v>
      </c>
      <c r="I627" s="506"/>
      <c r="J627" s="424">
        <v>0</v>
      </c>
      <c r="K627" s="385"/>
      <c r="L627" s="385"/>
      <c r="M627" s="385"/>
      <c r="N627" s="385"/>
      <c r="O627" s="385"/>
      <c r="P627" s="385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</row>
    <row r="628" spans="1:26" ht="19.5">
      <c r="A628" s="736">
        <v>7</v>
      </c>
      <c r="B628" s="737" t="s">
        <v>271</v>
      </c>
      <c r="C628" s="738"/>
      <c r="D628" s="738"/>
      <c r="E628" s="738"/>
      <c r="F628" s="738"/>
      <c r="G628" s="739"/>
      <c r="H628" s="740" t="s">
        <v>35</v>
      </c>
      <c r="I628" s="741">
        <f t="shared" ref="I628:J628" ca="1" si="262">I651</f>
        <v>240</v>
      </c>
      <c r="J628" s="741">
        <f t="shared" ca="1" si="262"/>
        <v>261</v>
      </c>
      <c r="K628" s="742">
        <f ca="1">IF(I628&gt;0,J628*100/I628,0)</f>
        <v>108.75</v>
      </c>
      <c r="L628" s="743"/>
      <c r="M628" s="743"/>
      <c r="N628" s="743"/>
      <c r="O628" s="743"/>
      <c r="P628" s="743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</row>
    <row r="629" spans="1:26" ht="19.5">
      <c r="A629" s="597"/>
      <c r="B629" s="763"/>
      <c r="C629" s="763" t="s">
        <v>16</v>
      </c>
      <c r="D629" s="863" t="s">
        <v>17</v>
      </c>
      <c r="E629" s="857"/>
      <c r="F629" s="857"/>
      <c r="G629" s="189"/>
      <c r="H629" s="598" t="s">
        <v>12</v>
      </c>
      <c r="I629" s="270"/>
      <c r="J629" s="270"/>
      <c r="K629" s="498"/>
      <c r="L629" s="195">
        <f t="shared" ref="L629:N629" ca="1" si="263">L630+L631</f>
        <v>501175</v>
      </c>
      <c r="M629" s="195">
        <f t="shared" ca="1" si="263"/>
        <v>494960.7</v>
      </c>
      <c r="N629" s="195">
        <f t="shared" si="263"/>
        <v>494960.7</v>
      </c>
      <c r="O629" s="195">
        <f t="shared" ref="O629:O634" ca="1" si="264">IF(L629&gt;0,N629*100/L629,0)</f>
        <v>98.76005387339751</v>
      </c>
      <c r="P629" s="195">
        <f t="shared" ref="P629:P634" ca="1" si="265">IF(M629&gt;0,N629*100/M629,0)</f>
        <v>100</v>
      </c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</row>
    <row r="630" spans="1:26" ht="18.75" hidden="1">
      <c r="A630" s="599"/>
      <c r="B630" s="759"/>
      <c r="C630" s="759"/>
      <c r="D630" s="720"/>
      <c r="E630" s="759" t="s">
        <v>185</v>
      </c>
      <c r="F630" s="759"/>
      <c r="G630" s="603"/>
      <c r="H630" s="165" t="s">
        <v>12</v>
      </c>
      <c r="I630" s="617"/>
      <c r="J630" s="617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4"/>
      <c r="R630" s="604"/>
      <c r="S630" s="604"/>
      <c r="T630" s="604"/>
      <c r="U630" s="604"/>
      <c r="V630" s="604"/>
      <c r="W630" s="604"/>
      <c r="X630" s="604"/>
      <c r="Y630" s="604"/>
      <c r="Z630" s="604"/>
    </row>
    <row r="631" spans="1:26" ht="18.75" hidden="1">
      <c r="A631" s="599"/>
      <c r="B631" s="607"/>
      <c r="C631" s="759"/>
      <c r="D631" s="720"/>
      <c r="E631" s="759" t="s">
        <v>186</v>
      </c>
      <c r="F631" s="759"/>
      <c r="G631" s="603"/>
      <c r="H631" s="165" t="s">
        <v>12</v>
      </c>
      <c r="I631" s="617"/>
      <c r="J631" s="617"/>
      <c r="K631" s="93"/>
      <c r="L631" s="93">
        <f t="shared" ca="1" si="266"/>
        <v>501175</v>
      </c>
      <c r="M631" s="93">
        <f t="shared" ca="1" si="266"/>
        <v>494960.7</v>
      </c>
      <c r="N631" s="93">
        <f t="shared" si="266"/>
        <v>494960.7</v>
      </c>
      <c r="O631" s="93">
        <f t="shared" ca="1" si="264"/>
        <v>98.76005387339751</v>
      </c>
      <c r="P631" s="93">
        <f t="shared" ca="1" si="265"/>
        <v>100</v>
      </c>
      <c r="Q631" s="604"/>
      <c r="R631" s="604"/>
      <c r="S631" s="604"/>
      <c r="T631" s="604"/>
      <c r="U631" s="604"/>
      <c r="V631" s="604"/>
      <c r="W631" s="604"/>
      <c r="X631" s="604"/>
      <c r="Y631" s="604"/>
      <c r="Z631" s="604"/>
    </row>
    <row r="632" spans="1:26" ht="18.75">
      <c r="A632" s="597"/>
      <c r="B632" s="575"/>
      <c r="C632" s="763"/>
      <c r="D632" s="606" t="s">
        <v>20</v>
      </c>
      <c r="E632" s="763"/>
      <c r="F632" s="763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501175</v>
      </c>
      <c r="M632" s="498">
        <f t="shared" ca="1" si="267"/>
        <v>494960.7</v>
      </c>
      <c r="N632" s="498">
        <f t="shared" si="267"/>
        <v>494960.7</v>
      </c>
      <c r="O632" s="498">
        <f t="shared" ca="1" si="264"/>
        <v>98.76005387339751</v>
      </c>
      <c r="P632" s="498">
        <f t="shared" ca="1" si="265"/>
        <v>100</v>
      </c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</row>
    <row r="633" spans="1:26" ht="18.75" hidden="1">
      <c r="A633" s="599"/>
      <c r="B633" s="607"/>
      <c r="C633" s="759"/>
      <c r="D633" s="720"/>
      <c r="E633" s="759" t="s">
        <v>185</v>
      </c>
      <c r="F633" s="759"/>
      <c r="G633" s="603"/>
      <c r="H633" s="165" t="s">
        <v>12</v>
      </c>
      <c r="I633" s="617"/>
      <c r="J633" s="617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4"/>
      <c r="R633" s="604"/>
      <c r="S633" s="604"/>
      <c r="T633" s="604"/>
      <c r="U633" s="604"/>
      <c r="V633" s="604"/>
      <c r="W633" s="604"/>
      <c r="X633" s="604"/>
      <c r="Y633" s="604"/>
      <c r="Z633" s="604"/>
    </row>
    <row r="634" spans="1:26" ht="18.75" hidden="1">
      <c r="A634" s="599"/>
      <c r="B634" s="607"/>
      <c r="C634" s="759"/>
      <c r="D634" s="720"/>
      <c r="E634" s="759" t="s">
        <v>186</v>
      </c>
      <c r="F634" s="759"/>
      <c r="G634" s="603"/>
      <c r="H634" s="165" t="s">
        <v>12</v>
      </c>
      <c r="I634" s="617"/>
      <c r="J634" s="617"/>
      <c r="K634" s="93"/>
      <c r="L634" s="93">
        <f ca="1">IFERROR(__xludf.DUMMYFUNCTION("IMPORTRANGE(""https://docs.google.com/spreadsheets/d/1QqKyyYR6Q21VydFLVH3TRQUabQu_ym0Zz7PgGX0-kHA/edit?usp=sharing"",""แผน!HN38"")"),501175)</f>
        <v>501175</v>
      </c>
      <c r="M634" s="93">
        <f ca="1">L634-4333.3-1881</f>
        <v>494960.7</v>
      </c>
      <c r="N634" s="93">
        <f>N635+N636+N637+N638</f>
        <v>494960.7</v>
      </c>
      <c r="O634" s="93">
        <f t="shared" ca="1" si="264"/>
        <v>98.76005387339751</v>
      </c>
      <c r="P634" s="93">
        <f t="shared" ca="1" si="265"/>
        <v>100</v>
      </c>
      <c r="Q634" s="604"/>
      <c r="R634" s="604"/>
      <c r="S634" s="604"/>
      <c r="T634" s="604"/>
      <c r="U634" s="604"/>
      <c r="V634" s="604"/>
      <c r="W634" s="604"/>
      <c r="X634" s="604"/>
      <c r="Y634" s="604"/>
      <c r="Z634" s="604"/>
    </row>
    <row r="635" spans="1:26" ht="18.75">
      <c r="A635" s="574"/>
      <c r="B635" s="575"/>
      <c r="C635" s="763"/>
      <c r="D635" s="763"/>
      <c r="E635" s="763"/>
      <c r="F635" s="763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40">
        <v>0</v>
      </c>
      <c r="O635" s="498"/>
      <c r="P635" s="49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</row>
    <row r="636" spans="1:26" ht="18.75">
      <c r="A636" s="574"/>
      <c r="B636" s="575"/>
      <c r="C636" s="763"/>
      <c r="D636" s="763"/>
      <c r="E636" s="763"/>
      <c r="F636" s="763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40">
        <v>0</v>
      </c>
      <c r="O636" s="498"/>
      <c r="P636" s="49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</row>
    <row r="637" spans="1:26" ht="18.75">
      <c r="A637" s="574"/>
      <c r="B637" s="575"/>
      <c r="C637" s="763"/>
      <c r="D637" s="763"/>
      <c r="E637" s="763"/>
      <c r="F637" s="763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920">
        <v>138666.70000000001</v>
      </c>
      <c r="O637" s="498"/>
      <c r="P637" s="498"/>
      <c r="Q637" s="578"/>
      <c r="R637" s="578"/>
      <c r="S637" s="578"/>
      <c r="T637" s="578"/>
      <c r="U637" s="578"/>
      <c r="V637" s="578"/>
      <c r="W637" s="578"/>
      <c r="X637" s="578"/>
      <c r="Y637" s="578"/>
      <c r="Z637" s="578"/>
    </row>
    <row r="638" spans="1:26" ht="18.75">
      <c r="A638" s="574"/>
      <c r="B638" s="575"/>
      <c r="C638" s="763"/>
      <c r="D638" s="763"/>
      <c r="E638" s="763"/>
      <c r="F638" s="763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40">
        <v>356294</v>
      </c>
      <c r="O638" s="498"/>
      <c r="P638" s="49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</row>
    <row r="639" spans="1:26" ht="18.75">
      <c r="A639" s="597"/>
      <c r="B639" s="575"/>
      <c r="C639" s="763"/>
      <c r="D639" s="606" t="s">
        <v>21</v>
      </c>
      <c r="E639" s="763"/>
      <c r="F639" s="763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</row>
    <row r="640" spans="1:26" ht="18.75" hidden="1">
      <c r="A640" s="599"/>
      <c r="B640" s="607"/>
      <c r="C640" s="759"/>
      <c r="D640" s="759"/>
      <c r="E640" s="759" t="s">
        <v>18</v>
      </c>
      <c r="F640" s="759"/>
      <c r="G640" s="603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4"/>
      <c r="R640" s="604"/>
      <c r="S640" s="604"/>
      <c r="T640" s="604"/>
      <c r="U640" s="604"/>
      <c r="V640" s="604"/>
      <c r="W640" s="604"/>
      <c r="X640" s="604"/>
      <c r="Y640" s="604"/>
      <c r="Z640" s="604"/>
    </row>
    <row r="641" spans="1:26" ht="18.75" hidden="1">
      <c r="A641" s="599"/>
      <c r="B641" s="607"/>
      <c r="C641" s="759"/>
      <c r="D641" s="759"/>
      <c r="E641" s="759" t="s">
        <v>19</v>
      </c>
      <c r="F641" s="759"/>
      <c r="G641" s="603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4"/>
      <c r="R641" s="604"/>
      <c r="S641" s="604"/>
      <c r="T641" s="604"/>
      <c r="U641" s="604"/>
      <c r="V641" s="604"/>
      <c r="W641" s="604"/>
      <c r="X641" s="604"/>
      <c r="Y641" s="604"/>
      <c r="Z641" s="604"/>
    </row>
    <row r="642" spans="1:26" ht="19.5">
      <c r="A642" s="608"/>
      <c r="B642" s="618"/>
      <c r="C642" s="763" t="s">
        <v>16</v>
      </c>
      <c r="D642" s="896" t="s">
        <v>38</v>
      </c>
      <c r="E642" s="761"/>
      <c r="F642" s="761"/>
      <c r="G642" s="613"/>
      <c r="H642" s="762"/>
      <c r="I642" s="184"/>
      <c r="J642" s="184"/>
      <c r="K642" s="163"/>
      <c r="L642" s="163"/>
      <c r="M642" s="163"/>
      <c r="N642" s="163"/>
      <c r="O642" s="163"/>
      <c r="P642" s="163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</row>
    <row r="643" spans="1:26" ht="18.75">
      <c r="A643" s="744"/>
      <c r="B643" s="575"/>
      <c r="C643" s="763"/>
      <c r="D643" s="626"/>
      <c r="E643" s="746" t="s">
        <v>272</v>
      </c>
      <c r="F643" s="626"/>
      <c r="G643" s="762"/>
      <c r="H643" s="764" t="s">
        <v>273</v>
      </c>
      <c r="I643" s="270">
        <f ca="1">IFERROR(__xludf.DUMMYFUNCTION("IMPORTRANGE(""https://docs.google.com/spreadsheets/d/1QqKyyYR6Q21VydFLVH3TRQUabQu_ym0Zz7PgGX0-kHA/edit?usp=sharing"",""แผน!HR38"")"),1)</f>
        <v>1</v>
      </c>
      <c r="J643" s="215">
        <v>1</v>
      </c>
      <c r="K643" s="163">
        <f t="shared" ref="K643:K652" ca="1" si="271">IF(I643&gt;0,J643*100/I643,0)</f>
        <v>100</v>
      </c>
      <c r="L643" s="163"/>
      <c r="M643" s="163"/>
      <c r="N643" s="498"/>
      <c r="O643" s="163"/>
      <c r="P643" s="163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</row>
    <row r="644" spans="1:26" ht="18.75">
      <c r="A644" s="744"/>
      <c r="B644" s="575"/>
      <c r="C644" s="763"/>
      <c r="D644" s="626"/>
      <c r="E644" s="746" t="s">
        <v>274</v>
      </c>
      <c r="F644" s="626"/>
      <c r="G644" s="762"/>
      <c r="H644" s="764" t="s">
        <v>275</v>
      </c>
      <c r="I644" s="270">
        <f ca="1">IFERROR(__xludf.DUMMYFUNCTION("IMPORTRANGE(""https://docs.google.com/spreadsheets/d/1QqKyyYR6Q21VydFLVH3TRQUabQu_ym0Zz7PgGX0-kHA/edit?usp=sharing"",""แผน!HR38"")"),1)</f>
        <v>1</v>
      </c>
      <c r="J644" s="215">
        <v>1</v>
      </c>
      <c r="K644" s="163">
        <f t="shared" ca="1" si="271"/>
        <v>100</v>
      </c>
      <c r="L644" s="163"/>
      <c r="M644" s="163"/>
      <c r="N644" s="498"/>
      <c r="O644" s="163"/>
      <c r="P644" s="163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</row>
    <row r="645" spans="1:26" ht="18.75">
      <c r="A645" s="744"/>
      <c r="B645" s="575"/>
      <c r="C645" s="763"/>
      <c r="D645" s="626"/>
      <c r="E645" s="746" t="s">
        <v>276</v>
      </c>
      <c r="F645" s="626"/>
      <c r="G645" s="762"/>
      <c r="H645" s="76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IFERROR(__xludf.DUMMYFUNCTION("IMPORTRANGE(""https://docs.google.com/spreadsheets/d/1XWAQStnk-4SwqDmLtmXYiTMKHgktTP8We1SCoS47DrQ/edit?usp=sharing"",""จัดที่ดิน!AS38"")"),243)</f>
        <v>243</v>
      </c>
      <c r="K645" s="163">
        <f t="shared" si="271"/>
        <v>0</v>
      </c>
      <c r="L645" s="163"/>
      <c r="M645" s="163"/>
      <c r="N645" s="498"/>
      <c r="O645" s="163"/>
      <c r="P645" s="163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</row>
    <row r="646" spans="1:26" ht="18.75">
      <c r="A646" s="744"/>
      <c r="B646" s="575"/>
      <c r="C646" s="763"/>
      <c r="D646" s="626"/>
      <c r="E646" s="626"/>
      <c r="F646" s="626"/>
      <c r="G646" s="762"/>
      <c r="H646" s="76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IFERROR(__xludf.DUMMYFUNCTION("IMPORTRANGE(""https://docs.google.com/spreadsheets/d/1XWAQStnk-4SwqDmLtmXYiTMKHgktTP8We1SCoS47DrQ/edit?usp=sharing"",""จัดที่ดิน!AT38"")"),122.73)</f>
        <v>122.73</v>
      </c>
      <c r="K646" s="498">
        <f t="shared" si="271"/>
        <v>0</v>
      </c>
      <c r="L646" s="163"/>
      <c r="M646" s="163"/>
      <c r="N646" s="498"/>
      <c r="O646" s="163"/>
      <c r="P646" s="163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</row>
    <row r="647" spans="1:26" ht="18.75">
      <c r="A647" s="744"/>
      <c r="B647" s="575"/>
      <c r="C647" s="763"/>
      <c r="D647" s="626"/>
      <c r="E647" s="746" t="s">
        <v>162</v>
      </c>
      <c r="F647" s="626"/>
      <c r="G647" s="762"/>
      <c r="H647" s="764" t="s">
        <v>35</v>
      </c>
      <c r="I647" s="270">
        <f ca="1">IFERROR(__xludf.DUMMYFUNCTION("IMPORTRANGE(""https://docs.google.com/spreadsheets/d/1QqKyyYR6Q21VydFLVH3TRQUabQu_ym0Zz7PgGX0-kHA/edit?usp=sharing"",""แผน!HS38"")"),240)</f>
        <v>240</v>
      </c>
      <c r="J647" s="270">
        <f ca="1">IFERROR(__xludf.DUMMYFUNCTION("IMPORTRANGE(""https://docs.google.com/spreadsheets/d/1XWAQStnk-4SwqDmLtmXYiTMKHgktTP8We1SCoS47DrQ/edit?usp=sharing"",""จัดที่ดิน!AU38"")"),263)</f>
        <v>263</v>
      </c>
      <c r="K647" s="163">
        <f t="shared" ca="1" si="271"/>
        <v>109.58333333333333</v>
      </c>
      <c r="L647" s="163"/>
      <c r="M647" s="163"/>
      <c r="N647" s="163"/>
      <c r="O647" s="163"/>
      <c r="P647" s="163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</row>
    <row r="648" spans="1:26" ht="18.75">
      <c r="A648" s="744"/>
      <c r="B648" s="575"/>
      <c r="C648" s="763"/>
      <c r="D648" s="626"/>
      <c r="E648" s="626"/>
      <c r="F648" s="626"/>
      <c r="G648" s="762"/>
      <c r="H648" s="76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IFERROR(__xludf.DUMMYFUNCTION("IMPORTRANGE(""https://docs.google.com/spreadsheets/d/1XWAQStnk-4SwqDmLtmXYiTMKHgktTP8We1SCoS47DrQ/edit?usp=sharing"",""จัดที่ดิน!AV38"")"),135.08)</f>
        <v>135.08000000000001</v>
      </c>
      <c r="K648" s="498">
        <f t="shared" si="271"/>
        <v>0</v>
      </c>
      <c r="L648" s="163"/>
      <c r="M648" s="163"/>
      <c r="N648" s="163"/>
      <c r="O648" s="163"/>
      <c r="P648" s="163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</row>
    <row r="649" spans="1:26" ht="18.75">
      <c r="A649" s="744"/>
      <c r="B649" s="575"/>
      <c r="C649" s="763"/>
      <c r="D649" s="626"/>
      <c r="E649" s="746" t="s">
        <v>277</v>
      </c>
      <c r="F649" s="626"/>
      <c r="G649" s="762"/>
      <c r="H649" s="764" t="s">
        <v>35</v>
      </c>
      <c r="I649" s="270">
        <f ca="1">IFERROR(__xludf.DUMMYFUNCTION("IMPORTRANGE(""https://docs.google.com/spreadsheets/d/1QqKyyYR6Q21VydFLVH3TRQUabQu_ym0Zz7PgGX0-kHA/edit?usp=sharing"",""แผน!HS38"")"),240)</f>
        <v>240</v>
      </c>
      <c r="J649" s="270">
        <f ca="1">IFERROR(__xludf.DUMMYFUNCTION("IMPORTRANGE(""https://docs.google.com/spreadsheets/d/1XWAQStnk-4SwqDmLtmXYiTMKHgktTP8We1SCoS47DrQ/edit?usp=sharing"",""จัดที่ดิน!AW38"")"),263)</f>
        <v>263</v>
      </c>
      <c r="K649" s="163">
        <f t="shared" ca="1" si="271"/>
        <v>109.58333333333333</v>
      </c>
      <c r="L649" s="163"/>
      <c r="M649" s="163"/>
      <c r="N649" s="163"/>
      <c r="O649" s="163"/>
      <c r="P649" s="163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</row>
    <row r="650" spans="1:26" ht="18.75">
      <c r="A650" s="744"/>
      <c r="B650" s="575"/>
      <c r="C650" s="763"/>
      <c r="D650" s="626"/>
      <c r="E650" s="626"/>
      <c r="F650" s="626"/>
      <c r="G650" s="762"/>
      <c r="H650" s="76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IFERROR(__xludf.DUMMYFUNCTION("IMPORTRANGE(""https://docs.google.com/spreadsheets/d/1XWAQStnk-4SwqDmLtmXYiTMKHgktTP8We1SCoS47DrQ/edit?usp=sharing"",""จัดที่ดิน!AX38"")"),135.08)</f>
        <v>135.08000000000001</v>
      </c>
      <c r="K650" s="498">
        <f t="shared" si="271"/>
        <v>0</v>
      </c>
      <c r="L650" s="163"/>
      <c r="M650" s="163"/>
      <c r="N650" s="163"/>
      <c r="O650" s="163"/>
      <c r="P650" s="163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</row>
    <row r="651" spans="1:26" ht="18.75">
      <c r="A651" s="744"/>
      <c r="B651" s="575"/>
      <c r="C651" s="763"/>
      <c r="D651" s="626"/>
      <c r="E651" s="746" t="s">
        <v>278</v>
      </c>
      <c r="F651" s="626"/>
      <c r="G651" s="762"/>
      <c r="H651" s="764" t="s">
        <v>35</v>
      </c>
      <c r="I651" s="270">
        <f ca="1">IFERROR(__xludf.DUMMYFUNCTION("IMPORTRANGE(""https://docs.google.com/spreadsheets/d/1QqKyyYR6Q21VydFLVH3TRQUabQu_ym0Zz7PgGX0-kHA/edit?usp=sharing"",""แผน!HS38"")"),240)</f>
        <v>240</v>
      </c>
      <c r="J651" s="270">
        <f ca="1">IFERROR(__xludf.DUMMYFUNCTION("IMPORTRANGE(""https://docs.google.com/spreadsheets/d/1XWAQStnk-4SwqDmLtmXYiTMKHgktTP8We1SCoS47DrQ/edit?usp=sharing"",""จัดที่ดิน!AY38"")"),261)</f>
        <v>261</v>
      </c>
      <c r="K651" s="163">
        <f t="shared" ca="1" si="271"/>
        <v>108.75</v>
      </c>
      <c r="L651" s="163"/>
      <c r="M651" s="163"/>
      <c r="N651" s="163"/>
      <c r="O651" s="163"/>
      <c r="P651" s="163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</row>
    <row r="652" spans="1:26" ht="18.75">
      <c r="A652" s="74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8"/>
      <c r="C652" s="749"/>
      <c r="D652" s="734"/>
      <c r="E652" s="734"/>
      <c r="F652" s="734"/>
      <c r="G652" s="735"/>
      <c r="H652" s="505" t="s">
        <v>46</v>
      </c>
      <c r="I652" s="506">
        <v>0</v>
      </c>
      <c r="J652" s="506">
        <f ca="1">IFERROR(__xludf.DUMMYFUNCTION("IMPORTRANGE(""https://docs.google.com/spreadsheets/d/1XWAQStnk-4SwqDmLtmXYiTMKHgktTP8We1SCoS47DrQ/edit?usp=sharing"",""จัดที่ดิน!AZ38"")"),134.1375)</f>
        <v>134.13749999999999</v>
      </c>
      <c r="K652" s="507">
        <f t="shared" si="271"/>
        <v>0</v>
      </c>
      <c r="L652" s="385"/>
      <c r="M652" s="385"/>
      <c r="N652" s="385"/>
      <c r="O652" s="385"/>
      <c r="P652" s="385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</row>
    <row r="653" spans="1:26" ht="19.5">
      <c r="A653" s="750">
        <v>8</v>
      </c>
      <c r="B653" s="737" t="s">
        <v>279</v>
      </c>
      <c r="C653" s="738"/>
      <c r="D653" s="738"/>
      <c r="E653" s="738"/>
      <c r="F653" s="738"/>
      <c r="G653" s="739"/>
      <c r="H653" s="739"/>
      <c r="I653" s="751"/>
      <c r="J653" s="751"/>
      <c r="K653" s="743"/>
      <c r="L653" s="743"/>
      <c r="M653" s="743"/>
      <c r="N653" s="743"/>
      <c r="O653" s="743"/>
      <c r="P653" s="743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</row>
    <row r="654" spans="1:26" ht="19.5">
      <c r="A654" s="673"/>
      <c r="B654" s="672" t="s">
        <v>280</v>
      </c>
      <c r="C654" s="673"/>
      <c r="D654" s="673"/>
      <c r="E654" s="673"/>
      <c r="F654" s="673"/>
      <c r="G654" s="674"/>
      <c r="H654" s="707" t="s">
        <v>46</v>
      </c>
      <c r="I654" s="708">
        <f t="shared" ref="I654:J654" ca="1" si="272">I669</f>
        <v>100</v>
      </c>
      <c r="J654" s="708">
        <f t="shared" si="272"/>
        <v>0</v>
      </c>
      <c r="K654" s="677">
        <f ca="1">IF(I654&gt;0,J654*100/I654,0)</f>
        <v>0</v>
      </c>
      <c r="L654" s="678"/>
      <c r="M654" s="678"/>
      <c r="N654" s="678"/>
      <c r="O654" s="678"/>
      <c r="P654" s="6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</row>
    <row r="655" spans="1:26" ht="19.5">
      <c r="A655" s="597"/>
      <c r="B655" s="763"/>
      <c r="C655" s="763" t="s">
        <v>16</v>
      </c>
      <c r="D655" s="863" t="s">
        <v>17</v>
      </c>
      <c r="E655" s="857"/>
      <c r="F655" s="857"/>
      <c r="G655" s="189"/>
      <c r="H655" s="598" t="s">
        <v>12</v>
      </c>
      <c r="I655" s="270"/>
      <c r="J655" s="270"/>
      <c r="K655" s="498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15600</v>
      </c>
      <c r="O655" s="195">
        <f t="shared" ref="O655:O660" ca="1" si="274">IF(L655&gt;0,N655*100/L655,0)</f>
        <v>100</v>
      </c>
      <c r="P655" s="195">
        <f t="shared" ref="P655:P660" ca="1" si="275">IF(M655&gt;0,N655*100/M655,0)</f>
        <v>100</v>
      </c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</row>
    <row r="656" spans="1:26" ht="18.75" hidden="1">
      <c r="A656" s="599"/>
      <c r="B656" s="759"/>
      <c r="C656" s="759"/>
      <c r="D656" s="720"/>
      <c r="E656" s="759" t="s">
        <v>185</v>
      </c>
      <c r="F656" s="759"/>
      <c r="G656" s="603"/>
      <c r="H656" s="165" t="s">
        <v>12</v>
      </c>
      <c r="I656" s="617"/>
      <c r="J656" s="617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4"/>
      <c r="R656" s="604"/>
      <c r="S656" s="604"/>
      <c r="T656" s="604"/>
      <c r="U656" s="604"/>
      <c r="V656" s="604"/>
      <c r="W656" s="604"/>
      <c r="X656" s="604"/>
      <c r="Y656" s="604"/>
      <c r="Z656" s="604"/>
    </row>
    <row r="657" spans="1:26" ht="18.75" hidden="1">
      <c r="A657" s="599"/>
      <c r="B657" s="607"/>
      <c r="C657" s="759"/>
      <c r="D657" s="720"/>
      <c r="E657" s="759" t="s">
        <v>186</v>
      </c>
      <c r="F657" s="759"/>
      <c r="G657" s="603"/>
      <c r="H657" s="165" t="s">
        <v>12</v>
      </c>
      <c r="I657" s="617"/>
      <c r="J657" s="617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15600</v>
      </c>
      <c r="O657" s="93">
        <f t="shared" ca="1" si="274"/>
        <v>100</v>
      </c>
      <c r="P657" s="93">
        <f t="shared" ca="1" si="275"/>
        <v>100</v>
      </c>
      <c r="Q657" s="604"/>
      <c r="R657" s="604"/>
      <c r="S657" s="604"/>
      <c r="T657" s="604"/>
      <c r="U657" s="604"/>
      <c r="V657" s="604"/>
      <c r="W657" s="604"/>
      <c r="X657" s="604"/>
      <c r="Y657" s="604"/>
      <c r="Z657" s="604"/>
    </row>
    <row r="658" spans="1:26" ht="18.75">
      <c r="A658" s="597"/>
      <c r="B658" s="575"/>
      <c r="C658" s="763"/>
      <c r="D658" s="606" t="s">
        <v>20</v>
      </c>
      <c r="E658" s="763"/>
      <c r="F658" s="763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15600</v>
      </c>
      <c r="M658" s="498">
        <f t="shared" ca="1" si="277"/>
        <v>15600</v>
      </c>
      <c r="N658" s="498">
        <f t="shared" si="277"/>
        <v>15600</v>
      </c>
      <c r="O658" s="498">
        <f t="shared" ca="1" si="274"/>
        <v>100</v>
      </c>
      <c r="P658" s="498">
        <f t="shared" ca="1" si="275"/>
        <v>100</v>
      </c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</row>
    <row r="659" spans="1:26" ht="18.75" hidden="1">
      <c r="A659" s="599"/>
      <c r="B659" s="607"/>
      <c r="C659" s="759"/>
      <c r="D659" s="720"/>
      <c r="E659" s="759" t="s">
        <v>185</v>
      </c>
      <c r="F659" s="759"/>
      <c r="G659" s="603"/>
      <c r="H659" s="165" t="s">
        <v>12</v>
      </c>
      <c r="I659" s="617"/>
      <c r="J659" s="617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4"/>
      <c r="R659" s="604"/>
      <c r="S659" s="604"/>
      <c r="T659" s="604"/>
      <c r="U659" s="604"/>
      <c r="V659" s="604"/>
      <c r="W659" s="604"/>
      <c r="X659" s="604"/>
      <c r="Y659" s="604"/>
      <c r="Z659" s="604"/>
    </row>
    <row r="660" spans="1:26" ht="18.75" hidden="1">
      <c r="A660" s="599"/>
      <c r="B660" s="607"/>
      <c r="C660" s="759"/>
      <c r="D660" s="720"/>
      <c r="E660" s="759" t="s">
        <v>186</v>
      </c>
      <c r="F660" s="759"/>
      <c r="G660" s="603"/>
      <c r="H660" s="165" t="s">
        <v>12</v>
      </c>
      <c r="I660" s="617"/>
      <c r="J660" s="617"/>
      <c r="K660" s="93"/>
      <c r="L660" s="93">
        <f ca="1">IFERROR(__xludf.DUMMYFUNCTION("IMPORTRANGE(""https://docs.google.com/spreadsheets/d/1QqKyyYR6Q21VydFLVH3TRQUabQu_ym0Zz7PgGX0-kHA/edit?usp=sharing"",""แผน!HV38"")"),15600)</f>
        <v>15600</v>
      </c>
      <c r="M660" s="93">
        <f ca="1">L660</f>
        <v>15600</v>
      </c>
      <c r="N660" s="93">
        <f>N661+N662+N663+N664</f>
        <v>15600</v>
      </c>
      <c r="O660" s="93">
        <f t="shared" ca="1" si="274"/>
        <v>100</v>
      </c>
      <c r="P660" s="93">
        <f t="shared" ca="1" si="275"/>
        <v>100</v>
      </c>
      <c r="Q660" s="604"/>
      <c r="R660" s="604"/>
      <c r="S660" s="604"/>
      <c r="T660" s="604"/>
      <c r="U660" s="604"/>
      <c r="V660" s="604"/>
      <c r="W660" s="604"/>
      <c r="X660" s="604"/>
      <c r="Y660" s="604"/>
      <c r="Z660" s="604"/>
    </row>
    <row r="661" spans="1:26" ht="18.75">
      <c r="A661" s="574"/>
      <c r="B661" s="575"/>
      <c r="C661" s="763"/>
      <c r="D661" s="763"/>
      <c r="E661" s="763"/>
      <c r="F661" s="763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40">
        <v>0</v>
      </c>
      <c r="O661" s="498"/>
      <c r="P661" s="49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</row>
    <row r="662" spans="1:26" ht="18.75">
      <c r="A662" s="574"/>
      <c r="B662" s="575"/>
      <c r="C662" s="763"/>
      <c r="D662" s="763"/>
      <c r="E662" s="763"/>
      <c r="F662" s="763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40">
        <v>0</v>
      </c>
      <c r="O662" s="498"/>
      <c r="P662" s="49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</row>
    <row r="663" spans="1:26" ht="18.75">
      <c r="A663" s="574"/>
      <c r="B663" s="575"/>
      <c r="C663" s="575"/>
      <c r="D663" s="763"/>
      <c r="E663" s="763"/>
      <c r="F663" s="763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40">
        <v>0</v>
      </c>
      <c r="O663" s="498"/>
      <c r="P663" s="49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</row>
    <row r="664" spans="1:26" ht="18.75">
      <c r="A664" s="574"/>
      <c r="B664" s="575"/>
      <c r="C664" s="575"/>
      <c r="D664" s="575"/>
      <c r="E664" s="763"/>
      <c r="F664" s="763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40">
        <v>15600</v>
      </c>
      <c r="O664" s="498"/>
      <c r="P664" s="49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</row>
    <row r="665" spans="1:26" ht="18.75">
      <c r="A665" s="597"/>
      <c r="B665" s="575"/>
      <c r="C665" s="575"/>
      <c r="D665" s="606" t="s">
        <v>21</v>
      </c>
      <c r="E665" s="763"/>
      <c r="F665" s="763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</row>
    <row r="666" spans="1:26" ht="18.75" hidden="1">
      <c r="A666" s="599"/>
      <c r="B666" s="607"/>
      <c r="C666" s="607"/>
      <c r="D666" s="607"/>
      <c r="E666" s="759" t="s">
        <v>18</v>
      </c>
      <c r="F666" s="759"/>
      <c r="G666" s="603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4"/>
      <c r="R666" s="604"/>
      <c r="S666" s="604"/>
      <c r="T666" s="604"/>
      <c r="U666" s="604"/>
      <c r="V666" s="604"/>
      <c r="W666" s="604"/>
      <c r="X666" s="604"/>
      <c r="Y666" s="604"/>
      <c r="Z666" s="604"/>
    </row>
    <row r="667" spans="1:26" ht="18.75" hidden="1">
      <c r="A667" s="599"/>
      <c r="B667" s="607"/>
      <c r="C667" s="607"/>
      <c r="D667" s="607"/>
      <c r="E667" s="759" t="s">
        <v>19</v>
      </c>
      <c r="F667" s="759"/>
      <c r="G667" s="603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4"/>
      <c r="R667" s="604"/>
      <c r="S667" s="604"/>
      <c r="T667" s="604"/>
      <c r="U667" s="604"/>
      <c r="V667" s="604"/>
      <c r="W667" s="604"/>
      <c r="X667" s="604"/>
      <c r="Y667" s="604"/>
      <c r="Z667" s="604"/>
    </row>
    <row r="668" spans="1:26" ht="19.5">
      <c r="A668" s="608"/>
      <c r="B668" s="618"/>
      <c r="C668" s="575" t="s">
        <v>16</v>
      </c>
      <c r="D668" s="893" t="s">
        <v>38</v>
      </c>
      <c r="E668" s="761"/>
      <c r="F668" s="761"/>
      <c r="G668" s="613"/>
      <c r="H668" s="762"/>
      <c r="I668" s="184"/>
      <c r="J668" s="184"/>
      <c r="K668" s="163"/>
      <c r="L668" s="163"/>
      <c r="M668" s="163"/>
      <c r="N668" s="163"/>
      <c r="O668" s="163"/>
      <c r="P668" s="163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</row>
    <row r="669" spans="1:26" ht="19.5">
      <c r="A669" s="608"/>
      <c r="B669" s="618"/>
      <c r="C669" s="618"/>
      <c r="D669" s="618" t="s">
        <v>281</v>
      </c>
      <c r="E669" s="626"/>
      <c r="F669" s="626"/>
      <c r="G669" s="762"/>
      <c r="H669" s="767" t="s">
        <v>46</v>
      </c>
      <c r="I669" s="681">
        <f ca="1">IFERROR(__xludf.DUMMYFUNCTION("IMPORTRANGE(""https://docs.google.com/spreadsheets/d/1QqKyyYR6Q21VydFLVH3TRQUabQu_ym0Zz7PgGX0-kHA/edit?usp=sharing"",""แผน!IA38"")"),100)</f>
        <v>100</v>
      </c>
      <c r="J669" s="681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</row>
    <row r="670" spans="1:26" ht="18.75">
      <c r="A670" s="608"/>
      <c r="B670" s="618"/>
      <c r="C670" s="618"/>
      <c r="D670" s="618"/>
      <c r="E670" s="626" t="s">
        <v>282</v>
      </c>
      <c r="F670" s="626"/>
      <c r="G670" s="762"/>
      <c r="H670" s="764" t="s">
        <v>66</v>
      </c>
      <c r="I670" s="270">
        <f ca="1">IFERROR(__xludf.DUMMYFUNCTION("IMPORTRANGE(""https://docs.google.com/spreadsheets/d/1QqKyyYR6Q21VydFLVH3TRQUabQu_ym0Zz7PgGX0-kHA/edit?usp=sharing"",""แผน!HZ38"")"),6)</f>
        <v>6</v>
      </c>
      <c r="J670" s="215">
        <v>6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</row>
    <row r="671" spans="1:26" ht="18.75">
      <c r="A671" s="608"/>
      <c r="B671" s="618"/>
      <c r="C671" s="618"/>
      <c r="D671" s="618"/>
      <c r="E671" s="626" t="s">
        <v>283</v>
      </c>
      <c r="F671" s="626"/>
      <c r="G671" s="762"/>
      <c r="H671" s="764" t="s">
        <v>66</v>
      </c>
      <c r="I671" s="270">
        <f ca="1">IFERROR(__xludf.DUMMYFUNCTION("IMPORTRANGE(""https://docs.google.com/spreadsheets/d/1QqKyyYR6Q21VydFLVH3TRQUabQu_ym0Zz7PgGX0-kHA/edit?usp=sharing"",""แผน!HZ38"")"),6)</f>
        <v>6</v>
      </c>
      <c r="J671" s="215">
        <v>6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</row>
    <row r="672" spans="1:26" ht="18.75">
      <c r="A672" s="608"/>
      <c r="B672" s="618"/>
      <c r="C672" s="618"/>
      <c r="D672" s="618"/>
      <c r="E672" s="626" t="s">
        <v>284</v>
      </c>
      <c r="F672" s="626"/>
      <c r="G672" s="762"/>
      <c r="H672" s="764" t="s">
        <v>46</v>
      </c>
      <c r="I672" s="270"/>
      <c r="J672" s="919">
        <v>115.83</v>
      </c>
      <c r="K672" s="498">
        <f t="shared" ref="K672:K675" ca="1" si="281">IF(I$669&gt;0,J672*100/I$669,0)</f>
        <v>115.83</v>
      </c>
      <c r="L672" s="163"/>
      <c r="M672" s="163"/>
      <c r="N672" s="163"/>
      <c r="O672" s="163"/>
      <c r="P672" s="163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</row>
    <row r="673" spans="1:26" ht="18.75">
      <c r="A673" s="608"/>
      <c r="B673" s="618"/>
      <c r="C673" s="618"/>
      <c r="D673" s="618"/>
      <c r="E673" s="626" t="s">
        <v>285</v>
      </c>
      <c r="F673" s="626"/>
      <c r="G673" s="762"/>
      <c r="H673" s="764" t="s">
        <v>46</v>
      </c>
      <c r="I673" s="270"/>
      <c r="J673" s="919">
        <v>115.83</v>
      </c>
      <c r="K673" s="498">
        <f t="shared" ca="1" si="281"/>
        <v>115.83</v>
      </c>
      <c r="L673" s="163"/>
      <c r="M673" s="163"/>
      <c r="N673" s="163"/>
      <c r="O673" s="163"/>
      <c r="P673" s="163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</row>
    <row r="674" spans="1:26" ht="18.75">
      <c r="A674" s="608"/>
      <c r="B674" s="618"/>
      <c r="C674" s="618"/>
      <c r="D674" s="618"/>
      <c r="E674" s="626" t="s">
        <v>286</v>
      </c>
      <c r="F674" s="626"/>
      <c r="G674" s="762"/>
      <c r="H674" s="764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</row>
    <row r="675" spans="1:26" ht="19.5">
      <c r="A675" s="608"/>
      <c r="B675" s="618"/>
      <c r="C675" s="618"/>
      <c r="D675" s="618"/>
      <c r="E675" s="626" t="s">
        <v>287</v>
      </c>
      <c r="F675" s="626"/>
      <c r="G675" s="762"/>
      <c r="H675" s="764" t="s">
        <v>46</v>
      </c>
      <c r="I675" s="270"/>
      <c r="J675" s="681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</row>
    <row r="676" spans="1:26" ht="18.75">
      <c r="A676" s="608"/>
      <c r="B676" s="618"/>
      <c r="C676" s="618"/>
      <c r="D676" s="618"/>
      <c r="E676" s="626"/>
      <c r="F676" s="626" t="s">
        <v>288</v>
      </c>
      <c r="G676" s="762"/>
      <c r="H676" s="764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</row>
    <row r="677" spans="1:26" ht="18.75">
      <c r="A677" s="608"/>
      <c r="B677" s="618"/>
      <c r="C677" s="618"/>
      <c r="D677" s="618"/>
      <c r="E677" s="626"/>
      <c r="F677" s="626" t="s">
        <v>289</v>
      </c>
      <c r="G677" s="762"/>
      <c r="H677" s="764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</row>
    <row r="678" spans="1:26" ht="19.5">
      <c r="A678" s="608"/>
      <c r="B678" s="618"/>
      <c r="C678" s="618"/>
      <c r="D678" s="618" t="s">
        <v>290</v>
      </c>
      <c r="E678" s="626"/>
      <c r="F678" s="626"/>
      <c r="G678" s="762"/>
      <c r="H678" s="764" t="s">
        <v>46</v>
      </c>
      <c r="I678" s="681">
        <f ca="1">IFERROR(__xludf.DUMMYFUNCTION("IMPORTRANGE(""https://docs.google.com/spreadsheets/d/1QqKyyYR6Q21VydFLVH3TRQUabQu_ym0Zz7PgGX0-kHA/edit?usp=sharing"",""แผน!IB38"")"),0)</f>
        <v>0</v>
      </c>
      <c r="J678" s="681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</row>
    <row r="679" spans="1:26" ht="18.75">
      <c r="A679" s="608"/>
      <c r="B679" s="618"/>
      <c r="C679" s="618"/>
      <c r="D679" s="618"/>
      <c r="E679" s="626" t="s">
        <v>291</v>
      </c>
      <c r="F679" s="626"/>
      <c r="G679" s="762"/>
      <c r="H679" s="764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</row>
    <row r="680" spans="1:26" ht="18.75">
      <c r="A680" s="608"/>
      <c r="B680" s="618"/>
      <c r="C680" s="618"/>
      <c r="D680" s="618"/>
      <c r="E680" s="626"/>
      <c r="F680" s="626" t="s">
        <v>288</v>
      </c>
      <c r="G680" s="762"/>
      <c r="H680" s="764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</row>
    <row r="681" spans="1:26" ht="18.75">
      <c r="A681" s="608"/>
      <c r="B681" s="618"/>
      <c r="C681" s="618"/>
      <c r="D681" s="618"/>
      <c r="E681" s="626"/>
      <c r="F681" s="626" t="s">
        <v>289</v>
      </c>
      <c r="G681" s="762"/>
      <c r="H681" s="764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</row>
    <row r="682" spans="1:26" ht="18.75">
      <c r="A682" s="608"/>
      <c r="B682" s="618"/>
      <c r="C682" s="618"/>
      <c r="D682" s="618"/>
      <c r="E682" s="626" t="s">
        <v>292</v>
      </c>
      <c r="F682" s="626"/>
      <c r="G682" s="762"/>
      <c r="H682" s="764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</row>
    <row r="683" spans="1:26" ht="18.75">
      <c r="A683" s="608"/>
      <c r="B683" s="618"/>
      <c r="C683" s="618"/>
      <c r="D683" s="618"/>
      <c r="E683" s="626"/>
      <c r="F683" s="626" t="s">
        <v>293</v>
      </c>
      <c r="G683" s="762"/>
      <c r="H683" s="764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</row>
    <row r="684" spans="1:26" ht="19.5">
      <c r="A684" s="753"/>
      <c r="B684" s="754" t="s">
        <v>294</v>
      </c>
      <c r="C684" s="753"/>
      <c r="D684" s="753"/>
      <c r="E684" s="753"/>
      <c r="F684" s="753"/>
      <c r="G684" s="755"/>
      <c r="H684" s="755"/>
      <c r="I684" s="756"/>
      <c r="J684" s="756"/>
      <c r="K684" s="757"/>
      <c r="L684" s="757"/>
      <c r="M684" s="757"/>
      <c r="N684" s="757"/>
      <c r="O684" s="757"/>
      <c r="P684" s="757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</row>
    <row r="685" spans="1:26" ht="19.5">
      <c r="A685" s="597"/>
      <c r="B685" s="763"/>
      <c r="C685" s="763" t="s">
        <v>16</v>
      </c>
      <c r="D685" s="863" t="s">
        <v>17</v>
      </c>
      <c r="E685" s="857"/>
      <c r="F685" s="857"/>
      <c r="G685" s="189"/>
      <c r="H685" s="598" t="s">
        <v>12</v>
      </c>
      <c r="I685" s="270"/>
      <c r="J685" s="270"/>
      <c r="K685" s="498"/>
      <c r="L685" s="195">
        <f t="shared" ref="L685:N685" ca="1" si="282">L686+L687</f>
        <v>69210</v>
      </c>
      <c r="M685" s="195">
        <f t="shared" ca="1" si="282"/>
        <v>69210</v>
      </c>
      <c r="N685" s="195">
        <f t="shared" si="282"/>
        <v>69210</v>
      </c>
      <c r="O685" s="195">
        <f t="shared" ref="O685:O688" ca="1" si="283">IF(L685&gt;0,N685*100/L685,0)</f>
        <v>100</v>
      </c>
      <c r="P685" s="195">
        <f t="shared" ref="P685:P688" ca="1" si="284">IF(M685&gt;0,N685*100/M685,0)</f>
        <v>100</v>
      </c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</row>
    <row r="686" spans="1:26" ht="18.75" hidden="1">
      <c r="A686" s="599"/>
      <c r="B686" s="759"/>
      <c r="C686" s="759"/>
      <c r="D686" s="720"/>
      <c r="E686" s="759" t="s">
        <v>185</v>
      </c>
      <c r="F686" s="759"/>
      <c r="G686" s="603"/>
      <c r="H686" s="165" t="s">
        <v>12</v>
      </c>
      <c r="I686" s="617"/>
      <c r="J686" s="617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4"/>
      <c r="R686" s="604"/>
      <c r="S686" s="604"/>
      <c r="T686" s="604"/>
      <c r="U686" s="604"/>
      <c r="V686" s="604"/>
      <c r="W686" s="604"/>
      <c r="X686" s="604"/>
      <c r="Y686" s="604"/>
      <c r="Z686" s="604"/>
    </row>
    <row r="687" spans="1:26" ht="18.75" hidden="1">
      <c r="A687" s="599"/>
      <c r="B687" s="607"/>
      <c r="C687" s="759"/>
      <c r="D687" s="720"/>
      <c r="E687" s="759" t="s">
        <v>186</v>
      </c>
      <c r="F687" s="759"/>
      <c r="G687" s="603"/>
      <c r="H687" s="165" t="s">
        <v>12</v>
      </c>
      <c r="I687" s="617"/>
      <c r="J687" s="617"/>
      <c r="K687" s="93"/>
      <c r="L687" s="93">
        <f t="shared" ca="1" si="285"/>
        <v>69210</v>
      </c>
      <c r="M687" s="93">
        <f t="shared" ca="1" si="285"/>
        <v>69210</v>
      </c>
      <c r="N687" s="93">
        <f t="shared" si="285"/>
        <v>69210</v>
      </c>
      <c r="O687" s="93">
        <f t="shared" ca="1" si="283"/>
        <v>100</v>
      </c>
      <c r="P687" s="93">
        <f t="shared" ca="1" si="284"/>
        <v>100</v>
      </c>
      <c r="Q687" s="604"/>
      <c r="R687" s="604"/>
      <c r="S687" s="604"/>
      <c r="T687" s="604"/>
      <c r="U687" s="604"/>
      <c r="V687" s="604"/>
      <c r="W687" s="604"/>
      <c r="X687" s="604"/>
      <c r="Y687" s="604"/>
      <c r="Z687" s="604"/>
    </row>
    <row r="688" spans="1:26" ht="18.75">
      <c r="A688" s="597"/>
      <c r="B688" s="575"/>
      <c r="C688" s="763"/>
      <c r="D688" s="606" t="s">
        <v>20</v>
      </c>
      <c r="E688" s="763"/>
      <c r="F688" s="763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69210</v>
      </c>
      <c r="M688" s="498">
        <f t="shared" ca="1" si="286"/>
        <v>69210</v>
      </c>
      <c r="N688" s="498">
        <f t="shared" si="286"/>
        <v>69210</v>
      </c>
      <c r="O688" s="498">
        <f t="shared" ca="1" si="283"/>
        <v>100</v>
      </c>
      <c r="P688" s="498">
        <f t="shared" ca="1" si="284"/>
        <v>100</v>
      </c>
      <c r="Q688" s="578"/>
      <c r="R688" s="578"/>
      <c r="S688" s="578"/>
      <c r="T688" s="578"/>
      <c r="U688" s="578"/>
      <c r="V688" s="578"/>
      <c r="W688" s="578"/>
      <c r="X688" s="578"/>
      <c r="Y688" s="578"/>
      <c r="Z688" s="578"/>
    </row>
    <row r="689" spans="1:26" ht="18.75" hidden="1">
      <c r="A689" s="599"/>
      <c r="B689" s="607"/>
      <c r="C689" s="759"/>
      <c r="D689" s="720"/>
      <c r="E689" s="759" t="s">
        <v>185</v>
      </c>
      <c r="F689" s="759"/>
      <c r="G689" s="603"/>
      <c r="H689" s="165" t="s">
        <v>12</v>
      </c>
      <c r="I689" s="617"/>
      <c r="J689" s="617"/>
      <c r="K689" s="93"/>
      <c r="L689" s="93">
        <v>0</v>
      </c>
      <c r="M689" s="93">
        <v>0</v>
      </c>
      <c r="N689" s="93">
        <v>0</v>
      </c>
      <c r="O689" s="93"/>
      <c r="P689" s="93"/>
      <c r="Q689" s="604"/>
      <c r="R689" s="604"/>
      <c r="S689" s="604"/>
      <c r="T689" s="604"/>
      <c r="U689" s="604"/>
      <c r="V689" s="604"/>
      <c r="W689" s="604"/>
      <c r="X689" s="604"/>
      <c r="Y689" s="604"/>
      <c r="Z689" s="604"/>
    </row>
    <row r="690" spans="1:26" ht="18.75" hidden="1">
      <c r="A690" s="599"/>
      <c r="B690" s="607"/>
      <c r="C690" s="759"/>
      <c r="D690" s="720"/>
      <c r="E690" s="759" t="s">
        <v>186</v>
      </c>
      <c r="F690" s="759"/>
      <c r="G690" s="603"/>
      <c r="H690" s="165" t="s">
        <v>12</v>
      </c>
      <c r="I690" s="617"/>
      <c r="J690" s="617"/>
      <c r="K690" s="93"/>
      <c r="L690" s="93">
        <f ca="1">IFERROR(__xludf.DUMMYFUNCTION("IMPORTRANGE(""https://docs.google.com/spreadsheets/d/1QqKyyYR6Q21VydFLVH3TRQUabQu_ym0Zz7PgGX0-kHA/edit?usp=sharing"",""แผน!HW38"")"),69210)</f>
        <v>69210</v>
      </c>
      <c r="M690" s="93">
        <f ca="1">L690</f>
        <v>69210</v>
      </c>
      <c r="N690" s="93">
        <f>N691+N692+N693+N694</f>
        <v>69210</v>
      </c>
      <c r="O690" s="93">
        <f ca="1">IF(L690&gt;0,N690*100/L690,0)</f>
        <v>100</v>
      </c>
      <c r="P690" s="93">
        <f ca="1">IF(M690&gt;0,N690*100/M690,0)</f>
        <v>100</v>
      </c>
      <c r="Q690" s="604"/>
      <c r="R690" s="604"/>
      <c r="S690" s="604"/>
      <c r="T690" s="604"/>
      <c r="U690" s="604"/>
      <c r="V690" s="604"/>
      <c r="W690" s="604"/>
      <c r="X690" s="604"/>
      <c r="Y690" s="604"/>
      <c r="Z690" s="604"/>
    </row>
    <row r="691" spans="1:26" ht="18.75">
      <c r="A691" s="574"/>
      <c r="B691" s="575"/>
      <c r="C691" s="763"/>
      <c r="D691" s="763"/>
      <c r="E691" s="763"/>
      <c r="F691" s="763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40">
        <v>0</v>
      </c>
      <c r="O691" s="498"/>
      <c r="P691" s="49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</row>
    <row r="692" spans="1:26" ht="18.75">
      <c r="A692" s="574"/>
      <c r="B692" s="575"/>
      <c r="C692" s="763"/>
      <c r="D692" s="763"/>
      <c r="E692" s="763"/>
      <c r="F692" s="763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40">
        <v>0</v>
      </c>
      <c r="O692" s="498"/>
      <c r="P692" s="49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</row>
    <row r="693" spans="1:26" ht="18.75">
      <c r="A693" s="574"/>
      <c r="B693" s="575"/>
      <c r="C693" s="763"/>
      <c r="D693" s="763"/>
      <c r="E693" s="763"/>
      <c r="F693" s="763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40">
        <v>0</v>
      </c>
      <c r="O693" s="498"/>
      <c r="P693" s="49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</row>
    <row r="694" spans="1:26" ht="18.75">
      <c r="A694" s="574"/>
      <c r="B694" s="575"/>
      <c r="C694" s="763"/>
      <c r="D694" s="763"/>
      <c r="E694" s="763"/>
      <c r="F694" s="763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40">
        <v>69210</v>
      </c>
      <c r="O694" s="498"/>
      <c r="P694" s="49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</row>
    <row r="695" spans="1:26" ht="18.75">
      <c r="A695" s="597"/>
      <c r="B695" s="575"/>
      <c r="C695" s="763"/>
      <c r="D695" s="606" t="s">
        <v>21</v>
      </c>
      <c r="E695" s="763"/>
      <c r="F695" s="763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</row>
    <row r="696" spans="1:26" ht="18.75" hidden="1">
      <c r="A696" s="599"/>
      <c r="B696" s="607"/>
      <c r="C696" s="759"/>
      <c r="D696" s="759"/>
      <c r="E696" s="759" t="s">
        <v>18</v>
      </c>
      <c r="F696" s="759"/>
      <c r="G696" s="603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4"/>
      <c r="R696" s="604"/>
      <c r="S696" s="604"/>
      <c r="T696" s="604"/>
      <c r="U696" s="604"/>
      <c r="V696" s="604"/>
      <c r="W696" s="604"/>
      <c r="X696" s="604"/>
      <c r="Y696" s="604"/>
      <c r="Z696" s="604"/>
    </row>
    <row r="697" spans="1:26" ht="18.75" hidden="1">
      <c r="A697" s="599"/>
      <c r="B697" s="607"/>
      <c r="C697" s="759"/>
      <c r="D697" s="759"/>
      <c r="E697" s="759" t="s">
        <v>19</v>
      </c>
      <c r="F697" s="759"/>
      <c r="G697" s="603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4"/>
      <c r="R697" s="604"/>
      <c r="S697" s="604"/>
      <c r="T697" s="604"/>
      <c r="U697" s="604"/>
      <c r="V697" s="604"/>
      <c r="W697" s="604"/>
      <c r="X697" s="604"/>
      <c r="Y697" s="604"/>
      <c r="Z697" s="604"/>
    </row>
    <row r="698" spans="1:26" ht="19.5">
      <c r="A698" s="608"/>
      <c r="B698" s="618"/>
      <c r="C698" s="763" t="s">
        <v>16</v>
      </c>
      <c r="D698" s="898" t="s">
        <v>38</v>
      </c>
      <c r="E698" s="761"/>
      <c r="F698" s="761"/>
      <c r="G698" s="613"/>
      <c r="H698" s="762"/>
      <c r="I698" s="184"/>
      <c r="J698" s="184"/>
      <c r="K698" s="163"/>
      <c r="L698" s="163"/>
      <c r="M698" s="163"/>
      <c r="N698" s="163"/>
      <c r="O698" s="163"/>
      <c r="P698" s="163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</row>
    <row r="699" spans="1:26" ht="18.75">
      <c r="A699" s="744"/>
      <c r="B699" s="763"/>
      <c r="C699" s="763"/>
      <c r="D699" s="763" t="s">
        <v>295</v>
      </c>
      <c r="E699" s="763"/>
      <c r="F699" s="763"/>
      <c r="G699" s="189"/>
      <c r="H699" s="764" t="s">
        <v>46</v>
      </c>
      <c r="I699" s="765">
        <f ca="1">IFERROR(__xludf.DUMMYFUNCTION("IMPORTRANGE(""https://docs.google.com/spreadsheets/d/1QqKyyYR6Q21VydFLVH3TRQUabQu_ym0Zz7PgGX0-kHA/edit?usp=sharing"",""แผน!IC38"")"),0)</f>
        <v>0</v>
      </c>
      <c r="J699" s="270">
        <f ca="1">IFERROR(__xludf.DUMMYFUNCTION("IMPORTRANGE(""https://docs.google.com/spreadsheets/d/1XWAQStnk-4SwqDmLtmXYiTMKHgktTP8We1SCoS47DrQ/edit?usp=sharing"",""จัดที่ดิน!BB38"")"),0)</f>
        <v>0</v>
      </c>
      <c r="K699" s="498">
        <f t="shared" ref="K699:K701" ca="1" si="290">IF(I699&gt;0,J699*100/I699,0)</f>
        <v>0</v>
      </c>
      <c r="L699" s="498"/>
      <c r="M699" s="189"/>
      <c r="N699" s="766"/>
      <c r="O699" s="498"/>
      <c r="P699" s="49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</row>
    <row r="700" spans="1:26" ht="18.75">
      <c r="A700" s="744"/>
      <c r="B700" s="763"/>
      <c r="C700" s="763"/>
      <c r="D700" s="763" t="s">
        <v>296</v>
      </c>
      <c r="E700" s="763"/>
      <c r="F700" s="763"/>
      <c r="G700" s="189"/>
      <c r="H700" s="764" t="s">
        <v>35</v>
      </c>
      <c r="I700" s="765">
        <f ca="1">IFERROR(__xludf.DUMMYFUNCTION("IMPORTRANGE(""https://docs.google.com/spreadsheets/d/1QqKyyYR6Q21VydFLVH3TRQUabQu_ym0Zz7PgGX0-kHA/edit?usp=sharing"",""แผน!ID38"")"),0)</f>
        <v>0</v>
      </c>
      <c r="J700" s="270">
        <f ca="1">IFERROR(__xludf.DUMMYFUNCTION("IMPORTRANGE(""https://docs.google.com/spreadsheets/d/1XWAQStnk-4SwqDmLtmXYiTMKHgktTP8We1SCoS47DrQ/edit?usp=sharing"",""จัดที่ดิน!BD38"")"),0)</f>
        <v>0</v>
      </c>
      <c r="K700" s="498">
        <f t="shared" ca="1" si="290"/>
        <v>0</v>
      </c>
      <c r="L700" s="498"/>
      <c r="M700" s="189"/>
      <c r="N700" s="766"/>
      <c r="O700" s="498"/>
      <c r="P700" s="49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</row>
    <row r="701" spans="1:26" ht="19.5">
      <c r="A701" s="744"/>
      <c r="B701" s="763"/>
      <c r="C701" s="763"/>
      <c r="D701" s="763" t="s">
        <v>297</v>
      </c>
      <c r="E701" s="763"/>
      <c r="F701" s="763"/>
      <c r="G701" s="189"/>
      <c r="H701" s="767" t="s">
        <v>46</v>
      </c>
      <c r="I701" s="768">
        <f ca="1">IFERROR(__xludf.DUMMYFUNCTION("IMPORTRANGE(""https://docs.google.com/spreadsheets/d/1QqKyyYR6Q21VydFLVH3TRQUabQu_ym0Zz7PgGX0-kHA/edit?usp=sharing"",""แผน!IE38"")"),10)</f>
        <v>10</v>
      </c>
      <c r="J701" s="681">
        <f>J704+J707</f>
        <v>75</v>
      </c>
      <c r="K701" s="195">
        <f t="shared" ca="1" si="290"/>
        <v>750</v>
      </c>
      <c r="L701" s="498"/>
      <c r="M701" s="189"/>
      <c r="N701" s="766"/>
      <c r="O701" s="498"/>
      <c r="P701" s="49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</row>
    <row r="702" spans="1:26" ht="18.75">
      <c r="A702" s="744"/>
      <c r="B702" s="763"/>
      <c r="C702" s="763"/>
      <c r="D702" s="763"/>
      <c r="E702" s="763" t="s">
        <v>298</v>
      </c>
      <c r="F702" s="763"/>
      <c r="G702" s="189"/>
      <c r="H702" s="764" t="s">
        <v>35</v>
      </c>
      <c r="I702" s="765"/>
      <c r="J702" s="215">
        <v>8</v>
      </c>
      <c r="K702" s="498"/>
      <c r="L702" s="498"/>
      <c r="M702" s="189"/>
      <c r="N702" s="766"/>
      <c r="O702" s="498"/>
      <c r="P702" s="49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</row>
    <row r="703" spans="1:26" ht="18.75">
      <c r="A703" s="744"/>
      <c r="B703" s="763"/>
      <c r="C703" s="763"/>
      <c r="D703" s="763"/>
      <c r="E703" s="763"/>
      <c r="F703" s="763"/>
      <c r="G703" s="189"/>
      <c r="H703" s="764" t="s">
        <v>34</v>
      </c>
      <c r="I703" s="765"/>
      <c r="J703" s="215">
        <v>12</v>
      </c>
      <c r="K703" s="498"/>
      <c r="L703" s="498"/>
      <c r="M703" s="189"/>
      <c r="N703" s="766"/>
      <c r="O703" s="498"/>
      <c r="P703" s="49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</row>
    <row r="704" spans="1:26" ht="18.75">
      <c r="A704" s="744"/>
      <c r="B704" s="763"/>
      <c r="C704" s="763"/>
      <c r="D704" s="763"/>
      <c r="E704" s="763"/>
      <c r="F704" s="763"/>
      <c r="G704" s="189"/>
      <c r="H704" s="764" t="s">
        <v>46</v>
      </c>
      <c r="I704" s="765">
        <f ca="1">IFERROR(__xludf.DUMMYFUNCTION("IMPORTRANGE(""https://docs.google.com/spreadsheets/d/1QqKyyYR6Q21VydFLVH3TRQUabQu_ym0Zz7PgGX0-kHA/edit?usp=sharing"",""แผน!IF38"")"),10)</f>
        <v>10</v>
      </c>
      <c r="J704" s="215">
        <v>75</v>
      </c>
      <c r="K704" s="498"/>
      <c r="L704" s="498"/>
      <c r="M704" s="189"/>
      <c r="N704" s="766"/>
      <c r="O704" s="498"/>
      <c r="P704" s="49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</row>
    <row r="705" spans="1:26" ht="18.75">
      <c r="A705" s="744"/>
      <c r="B705" s="763"/>
      <c r="C705" s="763"/>
      <c r="D705" s="763"/>
      <c r="E705" s="763" t="s">
        <v>299</v>
      </c>
      <c r="F705" s="763"/>
      <c r="G705" s="189"/>
      <c r="H705" s="764" t="s">
        <v>35</v>
      </c>
      <c r="I705" s="765"/>
      <c r="J705" s="215">
        <v>0</v>
      </c>
      <c r="K705" s="498"/>
      <c r="L705" s="498"/>
      <c r="M705" s="189"/>
      <c r="N705" s="766"/>
      <c r="O705" s="498"/>
      <c r="P705" s="49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</row>
    <row r="706" spans="1:26" ht="18.75">
      <c r="A706" s="744"/>
      <c r="B706" s="763"/>
      <c r="C706" s="763"/>
      <c r="D706" s="763"/>
      <c r="E706" s="763"/>
      <c r="F706" s="763"/>
      <c r="G706" s="189"/>
      <c r="H706" s="764" t="s">
        <v>34</v>
      </c>
      <c r="I706" s="765"/>
      <c r="J706" s="215">
        <v>0</v>
      </c>
      <c r="K706" s="498"/>
      <c r="L706" s="498"/>
      <c r="M706" s="189"/>
      <c r="N706" s="766"/>
      <c r="O706" s="498"/>
      <c r="P706" s="49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</row>
    <row r="707" spans="1:26" ht="18.75">
      <c r="A707" s="744"/>
      <c r="B707" s="763"/>
      <c r="C707" s="763"/>
      <c r="D707" s="763"/>
      <c r="E707" s="763"/>
      <c r="F707" s="763"/>
      <c r="G707" s="189"/>
      <c r="H707" s="764" t="s">
        <v>46</v>
      </c>
      <c r="I707" s="765">
        <f ca="1">IFERROR(__xludf.DUMMYFUNCTION("IMPORTRANGE(""https://docs.google.com/spreadsheets/d/1QqKyyYR6Q21VydFLVH3TRQUabQu_ym0Zz7PgGX0-kHA/edit?usp=sharing"",""แผน!IG38"")"),0)</f>
        <v>0</v>
      </c>
      <c r="J707" s="215">
        <v>0</v>
      </c>
      <c r="K707" s="498"/>
      <c r="L707" s="498"/>
      <c r="M707" s="189"/>
      <c r="N707" s="766"/>
      <c r="O707" s="498"/>
      <c r="P707" s="49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</row>
    <row r="708" spans="1:26" ht="19.5">
      <c r="A708" s="744"/>
      <c r="B708" s="763"/>
      <c r="C708" s="763"/>
      <c r="D708" s="769" t="s">
        <v>300</v>
      </c>
      <c r="E708" s="763"/>
      <c r="F708" s="763"/>
      <c r="G708" s="189"/>
      <c r="H708" s="767" t="s">
        <v>46</v>
      </c>
      <c r="I708" s="768">
        <f ca="1">IFERROR(__xludf.DUMMYFUNCTION("IMPORTRANGE(""https://docs.google.com/spreadsheets/d/1QqKyyYR6Q21VydFLVH3TRQUabQu_ym0Zz7PgGX0-kHA/edit?usp=sharing"",""แผน!IH38"")"),0)</f>
        <v>0</v>
      </c>
      <c r="J708" s="681">
        <f>J714+J717</f>
        <v>0</v>
      </c>
      <c r="K708" s="195">
        <f ca="1">IF(I708&gt;0,J708*100/I708,0)</f>
        <v>0</v>
      </c>
      <c r="L708" s="498"/>
      <c r="M708" s="189"/>
      <c r="N708" s="766"/>
      <c r="O708" s="498"/>
      <c r="P708" s="49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</row>
    <row r="709" spans="1:26" ht="18.75">
      <c r="A709" s="744"/>
      <c r="B709" s="763"/>
      <c r="C709" s="763"/>
      <c r="D709" s="763"/>
      <c r="E709" s="763" t="s">
        <v>301</v>
      </c>
      <c r="F709" s="763"/>
      <c r="G709" s="189"/>
      <c r="H709" s="764" t="s">
        <v>34</v>
      </c>
      <c r="I709" s="765"/>
      <c r="J709" s="215">
        <v>0</v>
      </c>
      <c r="K709" s="498"/>
      <c r="L709" s="766"/>
      <c r="M709" s="189"/>
      <c r="N709" s="766"/>
      <c r="O709" s="498"/>
      <c r="P709" s="49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</row>
    <row r="710" spans="1:26" ht="18.75">
      <c r="A710" s="744"/>
      <c r="B710" s="763"/>
      <c r="C710" s="763"/>
      <c r="D710" s="763"/>
      <c r="E710" s="763"/>
      <c r="F710" s="763"/>
      <c r="G710" s="189"/>
      <c r="H710" s="764" t="s">
        <v>46</v>
      </c>
      <c r="I710" s="765"/>
      <c r="J710" s="215">
        <v>0</v>
      </c>
      <c r="K710" s="498"/>
      <c r="L710" s="766"/>
      <c r="M710" s="189"/>
      <c r="N710" s="766"/>
      <c r="O710" s="498"/>
      <c r="P710" s="49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</row>
    <row r="711" spans="1:26" ht="18.75">
      <c r="A711" s="744"/>
      <c r="B711" s="763"/>
      <c r="C711" s="763"/>
      <c r="D711" s="763"/>
      <c r="E711" s="763" t="s">
        <v>302</v>
      </c>
      <c r="F711" s="763"/>
      <c r="G711" s="189"/>
      <c r="H711" s="762"/>
      <c r="I711" s="765"/>
      <c r="J711" s="270"/>
      <c r="K711" s="498"/>
      <c r="L711" s="766"/>
      <c r="M711" s="189"/>
      <c r="N711" s="766"/>
      <c r="O711" s="498"/>
      <c r="P711" s="49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</row>
    <row r="712" spans="1:26" ht="18.75">
      <c r="A712" s="744"/>
      <c r="B712" s="763"/>
      <c r="C712" s="763"/>
      <c r="D712" s="763"/>
      <c r="E712" s="763"/>
      <c r="F712" s="763" t="s">
        <v>303</v>
      </c>
      <c r="G712" s="189"/>
      <c r="H712" s="764" t="s">
        <v>35</v>
      </c>
      <c r="I712" s="765"/>
      <c r="J712" s="215">
        <v>0</v>
      </c>
      <c r="K712" s="498"/>
      <c r="L712" s="766"/>
      <c r="M712" s="189"/>
      <c r="N712" s="766"/>
      <c r="O712" s="498"/>
      <c r="P712" s="49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</row>
    <row r="713" spans="1:26" ht="18.75">
      <c r="A713" s="744"/>
      <c r="B713" s="763"/>
      <c r="C713" s="763"/>
      <c r="D713" s="763"/>
      <c r="E713" s="763"/>
      <c r="F713" s="763"/>
      <c r="G713" s="189"/>
      <c r="H713" s="764" t="s">
        <v>34</v>
      </c>
      <c r="I713" s="765"/>
      <c r="J713" s="215">
        <v>0</v>
      </c>
      <c r="K713" s="498"/>
      <c r="L713" s="766"/>
      <c r="M713" s="189"/>
      <c r="N713" s="766"/>
      <c r="O713" s="498"/>
      <c r="P713" s="49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</row>
    <row r="714" spans="1:26" ht="18.75">
      <c r="A714" s="744"/>
      <c r="B714" s="763"/>
      <c r="C714" s="763"/>
      <c r="D714" s="763"/>
      <c r="E714" s="763"/>
      <c r="F714" s="763"/>
      <c r="G714" s="189"/>
      <c r="H714" s="764" t="s">
        <v>46</v>
      </c>
      <c r="I714" s="765"/>
      <c r="J714" s="215">
        <v>0</v>
      </c>
      <c r="K714" s="498"/>
      <c r="L714" s="766"/>
      <c r="M714" s="189"/>
      <c r="N714" s="766"/>
      <c r="O714" s="498"/>
      <c r="P714" s="49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</row>
    <row r="715" spans="1:26" ht="18.75">
      <c r="A715" s="744"/>
      <c r="B715" s="763"/>
      <c r="C715" s="763"/>
      <c r="D715" s="763"/>
      <c r="E715" s="763"/>
      <c r="F715" s="763" t="s">
        <v>304</v>
      </c>
      <c r="G715" s="189"/>
      <c r="H715" s="764" t="s">
        <v>35</v>
      </c>
      <c r="I715" s="765"/>
      <c r="J715" s="215">
        <v>0</v>
      </c>
      <c r="K715" s="498"/>
      <c r="L715" s="766"/>
      <c r="M715" s="189"/>
      <c r="N715" s="766"/>
      <c r="O715" s="498"/>
      <c r="P715" s="49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</row>
    <row r="716" spans="1:26" ht="18.75">
      <c r="A716" s="744"/>
      <c r="B716" s="763"/>
      <c r="C716" s="763"/>
      <c r="D716" s="763"/>
      <c r="E716" s="763"/>
      <c r="F716" s="763"/>
      <c r="G716" s="189"/>
      <c r="H716" s="764" t="s">
        <v>34</v>
      </c>
      <c r="I716" s="765"/>
      <c r="J716" s="215">
        <v>0</v>
      </c>
      <c r="K716" s="498"/>
      <c r="L716" s="766"/>
      <c r="M716" s="189"/>
      <c r="N716" s="766"/>
      <c r="O716" s="498"/>
      <c r="P716" s="49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</row>
    <row r="717" spans="1:26" ht="18.75">
      <c r="A717" s="744"/>
      <c r="B717" s="763"/>
      <c r="C717" s="763"/>
      <c r="D717" s="763"/>
      <c r="E717" s="763"/>
      <c r="F717" s="763"/>
      <c r="G717" s="189"/>
      <c r="H717" s="764" t="s">
        <v>46</v>
      </c>
      <c r="I717" s="765"/>
      <c r="J717" s="215">
        <v>0</v>
      </c>
      <c r="K717" s="498"/>
      <c r="L717" s="766"/>
      <c r="M717" s="189"/>
      <c r="N717" s="766"/>
      <c r="O717" s="498"/>
      <c r="P717" s="49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</row>
    <row r="718" spans="1:26" ht="18.75">
      <c r="A718" s="744"/>
      <c r="B718" s="763"/>
      <c r="C718" s="763"/>
      <c r="D718" s="763" t="s">
        <v>305</v>
      </c>
      <c r="E718" s="763"/>
      <c r="F718" s="763"/>
      <c r="G718" s="189"/>
      <c r="H718" s="764" t="s">
        <v>35</v>
      </c>
      <c r="I718" s="765"/>
      <c r="J718" s="270">
        <f ca="1">IFERROR(__xludf.DUMMYFUNCTION("IMPORTRANGE(""https://docs.google.com/spreadsheets/d/1XWAQStnk-4SwqDmLtmXYiTMKHgktTP8We1SCoS47DrQ/edit?usp=sharing"",""จัดที่ดิน!BF38"")"),0)</f>
        <v>0</v>
      </c>
      <c r="K718" s="498"/>
      <c r="L718" s="498"/>
      <c r="M718" s="189"/>
      <c r="N718" s="766"/>
      <c r="O718" s="498"/>
      <c r="P718" s="49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</row>
    <row r="719" spans="1:26" ht="18.75">
      <c r="A719" s="744"/>
      <c r="B719" s="763"/>
      <c r="C719" s="763"/>
      <c r="D719" s="763"/>
      <c r="E719" s="763"/>
      <c r="F719" s="763"/>
      <c r="G719" s="189"/>
      <c r="H719" s="764" t="s">
        <v>34</v>
      </c>
      <c r="I719" s="765"/>
      <c r="J719" s="270">
        <f ca="1">IFERROR(__xludf.DUMMYFUNCTION("IMPORTRANGE(""https://docs.google.com/spreadsheets/d/1XWAQStnk-4SwqDmLtmXYiTMKHgktTP8We1SCoS47DrQ/edit?usp=sharing"",""จัดที่ดิน!BG38"")"),0)</f>
        <v>0</v>
      </c>
      <c r="K719" s="498"/>
      <c r="L719" s="766"/>
      <c r="M719" s="189"/>
      <c r="N719" s="766"/>
      <c r="O719" s="498"/>
      <c r="P719" s="49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</row>
    <row r="720" spans="1:26" ht="18.75">
      <c r="A720" s="744"/>
      <c r="B720" s="763"/>
      <c r="C720" s="763"/>
      <c r="D720" s="763"/>
      <c r="E720" s="763"/>
      <c r="F720" s="763"/>
      <c r="G720" s="189"/>
      <c r="H720" s="764" t="s">
        <v>46</v>
      </c>
      <c r="I720" s="765">
        <f ca="1">IFERROR(__xludf.DUMMYFUNCTION("IMPORTRANGE(""https://docs.google.com/spreadsheets/d/1QqKyyYR6Q21VydFLVH3TRQUabQu_ym0Zz7PgGX0-kHA/edit?usp=sharing"",""แผน!II38"")"),69)</f>
        <v>69</v>
      </c>
      <c r="J720" s="270">
        <f ca="1">IFERROR(__xludf.DUMMYFUNCTION("IMPORTRANGE(""https://docs.google.com/spreadsheets/d/1XWAQStnk-4SwqDmLtmXYiTMKHgktTP8We1SCoS47DrQ/edit?usp=sharing"",""จัดที่ดิน!BH38"")"),0)</f>
        <v>0</v>
      </c>
      <c r="K720" s="498">
        <f t="shared" ref="K720:K723" ca="1" si="291">IF(I720&gt;0,J720*100/I720,0)</f>
        <v>0</v>
      </c>
      <c r="L720" s="766"/>
      <c r="M720" s="189"/>
      <c r="N720" s="766"/>
      <c r="O720" s="498"/>
      <c r="P720" s="49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</row>
    <row r="721" spans="1:26" ht="19.5">
      <c r="A721" s="744"/>
      <c r="B721" s="763"/>
      <c r="C721" s="763"/>
      <c r="D721" s="763" t="s">
        <v>306</v>
      </c>
      <c r="E721" s="763"/>
      <c r="F721" s="763"/>
      <c r="G721" s="189"/>
      <c r="H721" s="767" t="s">
        <v>35</v>
      </c>
      <c r="I721" s="768">
        <f ca="1">IFERROR(__xludf.DUMMYFUNCTION("IMPORTRANGE(""https://docs.google.com/spreadsheets/d/1QqKyyYR6Q21VydFLVH3TRQUabQu_ym0Zz7PgGX0-kHA/edit?usp=sharing"",""แผน!IJ38"")"),2)</f>
        <v>2</v>
      </c>
      <c r="J721" s="681">
        <f ca="1">J723+J726</f>
        <v>2</v>
      </c>
      <c r="K721" s="195">
        <f t="shared" ca="1" si="291"/>
        <v>100</v>
      </c>
      <c r="L721" s="766"/>
      <c r="M721" s="189"/>
      <c r="N721" s="766"/>
      <c r="O721" s="498"/>
      <c r="P721" s="49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</row>
    <row r="722" spans="1:26" ht="19.5">
      <c r="A722" s="744"/>
      <c r="B722" s="763"/>
      <c r="C722" s="763"/>
      <c r="D722" s="763"/>
      <c r="E722" s="763"/>
      <c r="F722" s="763"/>
      <c r="G722" s="189"/>
      <c r="H722" s="767" t="s">
        <v>46</v>
      </c>
      <c r="I722" s="768">
        <f ca="1">IFERROR(__xludf.DUMMYFUNCTION("IMPORTRANGE(""https://docs.google.com/spreadsheets/d/1QqKyyYR6Q21VydFLVH3TRQUabQu_ym0Zz7PgGX0-kHA/edit?usp=sharing"",""แผน!IK38"")"),10)</f>
        <v>10</v>
      </c>
      <c r="J722" s="681">
        <f ca="1">J725+J728</f>
        <v>11.005000000000001</v>
      </c>
      <c r="K722" s="195">
        <f t="shared" ca="1" si="291"/>
        <v>110.05</v>
      </c>
      <c r="L722" s="498"/>
      <c r="M722" s="189"/>
      <c r="N722" s="766"/>
      <c r="O722" s="498"/>
      <c r="P722" s="49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</row>
    <row r="723" spans="1:26" ht="18.75">
      <c r="A723" s="744"/>
      <c r="B723" s="763"/>
      <c r="C723" s="763"/>
      <c r="D723" s="763"/>
      <c r="E723" s="763" t="s">
        <v>307</v>
      </c>
      <c r="F723" s="763"/>
      <c r="G723" s="189"/>
      <c r="H723" s="764" t="s">
        <v>35</v>
      </c>
      <c r="I723" s="765">
        <f ca="1">IFERROR(__xludf.DUMMYFUNCTION("IMPORTRANGE(""https://docs.google.com/spreadsheets/d/1QqKyyYR6Q21VydFLVH3TRQUabQu_ym0Zz7PgGX0-kHA/edit?usp=sharing"",""แผน!IL38"")"),2)</f>
        <v>2</v>
      </c>
      <c r="J723" s="270">
        <f ca="1">IFERROR(__xludf.DUMMYFUNCTION("IMPORTRANGE(""https://docs.google.com/spreadsheets/d/1XWAQStnk-4SwqDmLtmXYiTMKHgktTP8We1SCoS47DrQ/edit?usp=sharing"",""จัดที่ดิน!BM38"")"),2)</f>
        <v>2</v>
      </c>
      <c r="K723" s="498">
        <f t="shared" ca="1" si="291"/>
        <v>100</v>
      </c>
      <c r="L723" s="498"/>
      <c r="M723" s="189"/>
      <c r="N723" s="766"/>
      <c r="O723" s="498"/>
      <c r="P723" s="49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</row>
    <row r="724" spans="1:26" ht="18.75">
      <c r="A724" s="744"/>
      <c r="B724" s="763"/>
      <c r="C724" s="763"/>
      <c r="D724" s="763"/>
      <c r="E724" s="763"/>
      <c r="F724" s="763"/>
      <c r="G724" s="189"/>
      <c r="H724" s="764" t="s">
        <v>34</v>
      </c>
      <c r="I724" s="765"/>
      <c r="J724" s="270">
        <f ca="1">IFERROR(__xludf.DUMMYFUNCTION("IMPORTRANGE(""https://docs.google.com/spreadsheets/d/1XWAQStnk-4SwqDmLtmXYiTMKHgktTP8We1SCoS47DrQ/edit?usp=sharing"",""จัดที่ดิน!BN38"")"),2)</f>
        <v>2</v>
      </c>
      <c r="K724" s="498"/>
      <c r="L724" s="766"/>
      <c r="M724" s="189"/>
      <c r="N724" s="766"/>
      <c r="O724" s="498"/>
      <c r="P724" s="49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</row>
    <row r="725" spans="1:26" ht="18.75">
      <c r="A725" s="744"/>
      <c r="B725" s="763"/>
      <c r="C725" s="763"/>
      <c r="D725" s="763"/>
      <c r="E725" s="763"/>
      <c r="F725" s="763"/>
      <c r="G725" s="189"/>
      <c r="H725" s="764" t="s">
        <v>46</v>
      </c>
      <c r="I725" s="765">
        <f ca="1">IFERROR(__xludf.DUMMYFUNCTION("IMPORTRANGE(""https://docs.google.com/spreadsheets/d/1QqKyyYR6Q21VydFLVH3TRQUabQu_ym0Zz7PgGX0-kHA/edit?usp=sharing"",""แผน!IM38"")"),10)</f>
        <v>10</v>
      </c>
      <c r="J725" s="270">
        <f ca="1">IFERROR(__xludf.DUMMYFUNCTION("IMPORTRANGE(""https://docs.google.com/spreadsheets/d/1XWAQStnk-4SwqDmLtmXYiTMKHgktTP8We1SCoS47DrQ/edit?usp=sharing"",""จัดที่ดิน!BO38"")"),11.005)</f>
        <v>11.005000000000001</v>
      </c>
      <c r="K725" s="498">
        <f t="shared" ref="K725:K726" ca="1" si="292">IF(I725&gt;0,J725*100/I725,0)</f>
        <v>110.05</v>
      </c>
      <c r="L725" s="766"/>
      <c r="M725" s="189"/>
      <c r="N725" s="766"/>
      <c r="O725" s="498"/>
      <c r="P725" s="49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</row>
    <row r="726" spans="1:26" ht="18.75">
      <c r="A726" s="744"/>
      <c r="B726" s="763"/>
      <c r="C726" s="763"/>
      <c r="D726" s="763"/>
      <c r="E726" s="763" t="s">
        <v>308</v>
      </c>
      <c r="F726" s="763"/>
      <c r="G726" s="189"/>
      <c r="H726" s="764" t="s">
        <v>35</v>
      </c>
      <c r="I726" s="765">
        <f ca="1">IFERROR(__xludf.DUMMYFUNCTION("IMPORTRANGE(""https://docs.google.com/spreadsheets/d/1QqKyyYR6Q21VydFLVH3TRQUabQu_ym0Zz7PgGX0-kHA/edit?usp=sharing"",""แผน!IN38"")"),0)</f>
        <v>0</v>
      </c>
      <c r="J726" s="270">
        <f ca="1">IFERROR(__xludf.DUMMYFUNCTION("IMPORTRANGE(""https://docs.google.com/spreadsheets/d/1XWAQStnk-4SwqDmLtmXYiTMKHgktTP8We1SCoS47DrQ/edit?usp=sharing"",""จัดที่ดิน!BR38"")"),0)</f>
        <v>0</v>
      </c>
      <c r="K726" s="498">
        <f t="shared" ca="1" si="292"/>
        <v>0</v>
      </c>
      <c r="L726" s="498"/>
      <c r="M726" s="189"/>
      <c r="N726" s="766"/>
      <c r="O726" s="498"/>
      <c r="P726" s="49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</row>
    <row r="727" spans="1:26" ht="18.75">
      <c r="A727" s="744"/>
      <c r="B727" s="763"/>
      <c r="C727" s="763"/>
      <c r="D727" s="763"/>
      <c r="E727" s="763"/>
      <c r="F727" s="763"/>
      <c r="G727" s="189"/>
      <c r="H727" s="764" t="s">
        <v>34</v>
      </c>
      <c r="I727" s="765"/>
      <c r="J727" s="270">
        <f ca="1">IFERROR(__xludf.DUMMYFUNCTION("IMPORTRANGE(""https://docs.google.com/spreadsheets/d/1XWAQStnk-4SwqDmLtmXYiTMKHgktTP8We1SCoS47DrQ/edit?usp=sharing"",""จัดที่ดิน!BS38"")"),0)</f>
        <v>0</v>
      </c>
      <c r="K727" s="498"/>
      <c r="L727" s="766"/>
      <c r="M727" s="189"/>
      <c r="N727" s="766"/>
      <c r="O727" s="498"/>
      <c r="P727" s="49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</row>
    <row r="728" spans="1:26" ht="18.75">
      <c r="A728" s="744"/>
      <c r="B728" s="763"/>
      <c r="C728" s="763"/>
      <c r="D728" s="763"/>
      <c r="E728" s="763"/>
      <c r="F728" s="763"/>
      <c r="G728" s="189"/>
      <c r="H728" s="764" t="s">
        <v>46</v>
      </c>
      <c r="I728" s="765">
        <f ca="1">IFERROR(__xludf.DUMMYFUNCTION("IMPORTRANGE(""https://docs.google.com/spreadsheets/d/1QqKyyYR6Q21VydFLVH3TRQUabQu_ym0Zz7PgGX0-kHA/edit?usp=sharing"",""แผน!IO38"")"),0)</f>
        <v>0</v>
      </c>
      <c r="J728" s="270">
        <f ca="1">IFERROR(__xludf.DUMMYFUNCTION("IMPORTRANGE(""https://docs.google.com/spreadsheets/d/1XWAQStnk-4SwqDmLtmXYiTMKHgktTP8We1SCoS47DrQ/edit?usp=sharing"",""จัดที่ดิน!BT38"")"),0)</f>
        <v>0</v>
      </c>
      <c r="K728" s="498">
        <f t="shared" ref="K728:K729" ca="1" si="293">IF(I728&gt;0,J728*100/I728,0)</f>
        <v>0</v>
      </c>
      <c r="L728" s="766"/>
      <c r="M728" s="189"/>
      <c r="N728" s="766"/>
      <c r="O728" s="498"/>
      <c r="P728" s="49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</row>
    <row r="729" spans="1:26" ht="19.5">
      <c r="A729" s="744"/>
      <c r="B729" s="763"/>
      <c r="C729" s="763"/>
      <c r="D729" s="763" t="s">
        <v>309</v>
      </c>
      <c r="E729" s="763"/>
      <c r="F729" s="763"/>
      <c r="G729" s="189"/>
      <c r="H729" s="767" t="s">
        <v>46</v>
      </c>
      <c r="I729" s="768">
        <f ca="1">IFERROR(__xludf.DUMMYFUNCTION("IMPORTRANGE(""https://docs.google.com/spreadsheets/d/1QqKyyYR6Q21VydFLVH3TRQUabQu_ym0Zz7PgGX0-kHA/edit?usp=sharing"",""แผน!IP38"")"),657)</f>
        <v>657</v>
      </c>
      <c r="J729" s="681">
        <f>J732+J735</f>
        <v>686</v>
      </c>
      <c r="K729" s="195">
        <f t="shared" ca="1" si="293"/>
        <v>104.41400304414003</v>
      </c>
      <c r="L729" s="498"/>
      <c r="M729" s="189"/>
      <c r="N729" s="766"/>
      <c r="O729" s="498"/>
      <c r="P729" s="49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</row>
    <row r="730" spans="1:26" ht="18.75">
      <c r="A730" s="744"/>
      <c r="B730" s="763"/>
      <c r="C730" s="763"/>
      <c r="D730" s="763"/>
      <c r="E730" s="763" t="s">
        <v>310</v>
      </c>
      <c r="F730" s="763"/>
      <c r="G730" s="189"/>
      <c r="H730" s="764" t="s">
        <v>35</v>
      </c>
      <c r="I730" s="765"/>
      <c r="J730" s="215">
        <v>0</v>
      </c>
      <c r="K730" s="498"/>
      <c r="L730" s="766"/>
      <c r="M730" s="498"/>
      <c r="N730" s="766"/>
      <c r="O730" s="498"/>
      <c r="P730" s="49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</row>
    <row r="731" spans="1:26" ht="18.75">
      <c r="A731" s="744"/>
      <c r="B731" s="763"/>
      <c r="C731" s="763"/>
      <c r="D731" s="763"/>
      <c r="E731" s="763"/>
      <c r="F731" s="763"/>
      <c r="G731" s="189"/>
      <c r="H731" s="764" t="s">
        <v>34</v>
      </c>
      <c r="I731" s="765"/>
      <c r="J731" s="215">
        <v>0</v>
      </c>
      <c r="K731" s="498"/>
      <c r="L731" s="766"/>
      <c r="M731" s="498"/>
      <c r="N731" s="766"/>
      <c r="O731" s="498"/>
      <c r="P731" s="49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</row>
    <row r="732" spans="1:26" ht="18.75">
      <c r="A732" s="744"/>
      <c r="B732" s="763"/>
      <c r="C732" s="763"/>
      <c r="D732" s="763"/>
      <c r="E732" s="763"/>
      <c r="F732" s="763"/>
      <c r="G732" s="189"/>
      <c r="H732" s="764" t="s">
        <v>46</v>
      </c>
      <c r="I732" s="765"/>
      <c r="J732" s="215">
        <v>0</v>
      </c>
      <c r="K732" s="498"/>
      <c r="L732" s="766"/>
      <c r="M732" s="498"/>
      <c r="N732" s="766"/>
      <c r="O732" s="498"/>
      <c r="P732" s="49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</row>
    <row r="733" spans="1:26" ht="18.75">
      <c r="A733" s="744"/>
      <c r="B733" s="763"/>
      <c r="C733" s="763"/>
      <c r="D733" s="763"/>
      <c r="E733" s="763" t="s">
        <v>311</v>
      </c>
      <c r="F733" s="763"/>
      <c r="G733" s="189"/>
      <c r="H733" s="764" t="s">
        <v>35</v>
      </c>
      <c r="I733" s="765"/>
      <c r="J733" s="215">
        <v>64</v>
      </c>
      <c r="K733" s="498"/>
      <c r="L733" s="766"/>
      <c r="M733" s="498"/>
      <c r="N733" s="766"/>
      <c r="O733" s="498"/>
      <c r="P733" s="49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</row>
    <row r="734" spans="1:26" ht="18.75">
      <c r="A734" s="744"/>
      <c r="B734" s="763"/>
      <c r="C734" s="763"/>
      <c r="D734" s="763"/>
      <c r="E734" s="763"/>
      <c r="F734" s="763"/>
      <c r="G734" s="189"/>
      <c r="H734" s="764" t="s">
        <v>34</v>
      </c>
      <c r="I734" s="765"/>
      <c r="J734" s="215">
        <v>75</v>
      </c>
      <c r="K734" s="498"/>
      <c r="L734" s="766"/>
      <c r="M734" s="498"/>
      <c r="N734" s="766"/>
      <c r="O734" s="498"/>
      <c r="P734" s="49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</row>
    <row r="735" spans="1:26" ht="19.5">
      <c r="A735" s="770"/>
      <c r="B735" s="771" t="s">
        <v>312</v>
      </c>
      <c r="C735" s="734"/>
      <c r="D735" s="734"/>
      <c r="E735" s="734"/>
      <c r="F735" s="734"/>
      <c r="G735" s="735"/>
      <c r="H735" s="422" t="s">
        <v>46</v>
      </c>
      <c r="I735" s="772"/>
      <c r="J735" s="56">
        <v>686</v>
      </c>
      <c r="K735" s="507"/>
      <c r="L735" s="773"/>
      <c r="M735" s="507"/>
      <c r="N735" s="773"/>
      <c r="O735" s="507"/>
      <c r="P735" s="507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</row>
    <row r="736" spans="1:26" ht="19.5" hidden="1">
      <c r="A736" s="774">
        <v>9</v>
      </c>
      <c r="B736" s="775" t="s">
        <v>313</v>
      </c>
      <c r="C736" s="776"/>
      <c r="D736" s="776"/>
      <c r="E736" s="776"/>
      <c r="F736" s="776"/>
      <c r="G736" s="777"/>
      <c r="H736" s="778" t="s">
        <v>46</v>
      </c>
      <c r="I736" s="779"/>
      <c r="J736" s="779">
        <f>J751</f>
        <v>0</v>
      </c>
      <c r="K736" s="780">
        <f>IF(I736&gt;0,J736*100/I736,0)</f>
        <v>0</v>
      </c>
      <c r="L736" s="781"/>
      <c r="M736" s="781"/>
      <c r="N736" s="781"/>
      <c r="O736" s="781"/>
      <c r="P736" s="781"/>
      <c r="Q736" s="604"/>
      <c r="R736" s="604"/>
      <c r="S736" s="604"/>
      <c r="T736" s="604"/>
      <c r="U736" s="604"/>
      <c r="V736" s="604"/>
      <c r="W736" s="604"/>
      <c r="X736" s="604"/>
      <c r="Y736" s="604"/>
      <c r="Z736" s="604"/>
    </row>
    <row r="737" spans="1:26" ht="19.5" hidden="1">
      <c r="A737" s="599"/>
      <c r="B737" s="759"/>
      <c r="C737" s="759" t="s">
        <v>16</v>
      </c>
      <c r="D737" s="864" t="s">
        <v>17</v>
      </c>
      <c r="E737" s="857"/>
      <c r="F737" s="857"/>
      <c r="G737" s="603"/>
      <c r="H737" s="646" t="s">
        <v>12</v>
      </c>
      <c r="I737" s="617"/>
      <c r="J737" s="617"/>
      <c r="K737" s="93"/>
      <c r="L737" s="647">
        <f t="shared" ref="L737:N737" si="294">L738+L739</f>
        <v>0</v>
      </c>
      <c r="M737" s="647">
        <f t="shared" si="294"/>
        <v>0</v>
      </c>
      <c r="N737" s="647">
        <f t="shared" si="294"/>
        <v>0</v>
      </c>
      <c r="O737" s="647">
        <f t="shared" ref="O737:O742" si="295">IF(L737&gt;0,N737*100/L737,0)</f>
        <v>0</v>
      </c>
      <c r="P737" s="647">
        <f t="shared" ref="P737:P742" si="296">IF(M737&gt;0,N737*100/M737,0)</f>
        <v>0</v>
      </c>
      <c r="Q737" s="604"/>
      <c r="R737" s="604"/>
      <c r="S737" s="604"/>
      <c r="T737" s="604"/>
      <c r="U737" s="604"/>
      <c r="V737" s="604"/>
      <c r="W737" s="604"/>
      <c r="X737" s="604"/>
      <c r="Y737" s="604"/>
      <c r="Z737" s="604"/>
    </row>
    <row r="738" spans="1:26" ht="18.75" hidden="1">
      <c r="A738" s="599"/>
      <c r="B738" s="759"/>
      <c r="C738" s="759"/>
      <c r="D738" s="720"/>
      <c r="E738" s="759" t="s">
        <v>185</v>
      </c>
      <c r="F738" s="759"/>
      <c r="G738" s="603"/>
      <c r="H738" s="165" t="s">
        <v>12</v>
      </c>
      <c r="I738" s="617"/>
      <c r="J738" s="617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4"/>
      <c r="R738" s="604"/>
      <c r="S738" s="604"/>
      <c r="T738" s="604"/>
      <c r="U738" s="604"/>
      <c r="V738" s="604"/>
      <c r="W738" s="604"/>
      <c r="X738" s="604"/>
      <c r="Y738" s="604"/>
      <c r="Z738" s="604"/>
    </row>
    <row r="739" spans="1:26" ht="18.75" hidden="1">
      <c r="A739" s="599"/>
      <c r="B739" s="607"/>
      <c r="C739" s="759"/>
      <c r="D739" s="720"/>
      <c r="E739" s="759" t="s">
        <v>186</v>
      </c>
      <c r="F739" s="759"/>
      <c r="G739" s="603"/>
      <c r="H739" s="165" t="s">
        <v>12</v>
      </c>
      <c r="I739" s="617"/>
      <c r="J739" s="617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4"/>
      <c r="R739" s="604"/>
      <c r="S739" s="604"/>
      <c r="T739" s="604"/>
      <c r="U739" s="604"/>
      <c r="V739" s="604"/>
      <c r="W739" s="604"/>
      <c r="X739" s="604"/>
      <c r="Y739" s="604"/>
      <c r="Z739" s="604"/>
    </row>
    <row r="740" spans="1:26" ht="19.5" hidden="1">
      <c r="A740" s="599"/>
      <c r="B740" s="607"/>
      <c r="C740" s="759"/>
      <c r="D740" s="645" t="s">
        <v>20</v>
      </c>
      <c r="E740" s="759"/>
      <c r="F740" s="759"/>
      <c r="G740" s="603"/>
      <c r="H740" s="646" t="s">
        <v>12</v>
      </c>
      <c r="I740" s="166"/>
      <c r="J740" s="166"/>
      <c r="K740" s="167"/>
      <c r="L740" s="647">
        <f t="shared" ref="L740:N740" si="298">L741+L742</f>
        <v>0</v>
      </c>
      <c r="M740" s="647">
        <f t="shared" si="298"/>
        <v>0</v>
      </c>
      <c r="N740" s="647">
        <f t="shared" si="298"/>
        <v>0</v>
      </c>
      <c r="O740" s="647">
        <f t="shared" si="295"/>
        <v>0</v>
      </c>
      <c r="P740" s="647">
        <f t="shared" si="296"/>
        <v>0</v>
      </c>
      <c r="Q740" s="604"/>
      <c r="R740" s="604"/>
      <c r="S740" s="604"/>
      <c r="T740" s="604"/>
      <c r="U740" s="604"/>
      <c r="V740" s="604"/>
      <c r="W740" s="604"/>
      <c r="X740" s="604"/>
      <c r="Y740" s="604"/>
      <c r="Z740" s="604"/>
    </row>
    <row r="741" spans="1:26" ht="18.75" hidden="1">
      <c r="A741" s="599"/>
      <c r="B741" s="607"/>
      <c r="C741" s="759"/>
      <c r="D741" s="720"/>
      <c r="E741" s="759" t="s">
        <v>185</v>
      </c>
      <c r="F741" s="759"/>
      <c r="G741" s="603"/>
      <c r="H741" s="165" t="s">
        <v>12</v>
      </c>
      <c r="I741" s="617"/>
      <c r="J741" s="617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4"/>
      <c r="R741" s="604"/>
      <c r="S741" s="604"/>
      <c r="T741" s="604"/>
      <c r="U741" s="604"/>
      <c r="V741" s="604"/>
      <c r="W741" s="604"/>
      <c r="X741" s="604"/>
      <c r="Y741" s="604"/>
      <c r="Z741" s="604"/>
    </row>
    <row r="742" spans="1:26" ht="18.75" hidden="1">
      <c r="A742" s="599"/>
      <c r="B742" s="607"/>
      <c r="C742" s="759"/>
      <c r="D742" s="720"/>
      <c r="E742" s="759" t="s">
        <v>186</v>
      </c>
      <c r="F742" s="759"/>
      <c r="G742" s="603"/>
      <c r="H742" s="165" t="s">
        <v>12</v>
      </c>
      <c r="I742" s="617"/>
      <c r="J742" s="617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4"/>
      <c r="R742" s="604"/>
      <c r="S742" s="604"/>
      <c r="T742" s="604"/>
      <c r="U742" s="604"/>
      <c r="V742" s="604"/>
      <c r="W742" s="604"/>
      <c r="X742" s="604"/>
      <c r="Y742" s="604"/>
      <c r="Z742" s="604"/>
    </row>
    <row r="743" spans="1:26" ht="18.75" hidden="1">
      <c r="A743" s="649"/>
      <c r="B743" s="607"/>
      <c r="C743" s="759"/>
      <c r="D743" s="759"/>
      <c r="E743" s="759"/>
      <c r="F743" s="759" t="s">
        <v>187</v>
      </c>
      <c r="G743" s="603"/>
      <c r="H743" s="165" t="s">
        <v>12</v>
      </c>
      <c r="I743" s="617"/>
      <c r="J743" s="617"/>
      <c r="K743" s="93"/>
      <c r="L743" s="93"/>
      <c r="M743" s="93"/>
      <c r="N743" s="93"/>
      <c r="O743" s="93"/>
      <c r="P743" s="93"/>
      <c r="Q743" s="604"/>
      <c r="R743" s="604"/>
      <c r="S743" s="604"/>
      <c r="T743" s="604"/>
      <c r="U743" s="604"/>
      <c r="V743" s="604"/>
      <c r="W743" s="604"/>
      <c r="X743" s="604"/>
      <c r="Y743" s="604"/>
      <c r="Z743" s="604"/>
    </row>
    <row r="744" spans="1:26" ht="18.75" hidden="1">
      <c r="A744" s="649"/>
      <c r="B744" s="607"/>
      <c r="C744" s="759"/>
      <c r="D744" s="759"/>
      <c r="E744" s="759"/>
      <c r="F744" s="759" t="s">
        <v>188</v>
      </c>
      <c r="G744" s="603"/>
      <c r="H744" s="165" t="s">
        <v>12</v>
      </c>
      <c r="I744" s="617"/>
      <c r="J744" s="617"/>
      <c r="K744" s="93"/>
      <c r="L744" s="93"/>
      <c r="M744" s="93"/>
      <c r="N744" s="93"/>
      <c r="O744" s="93"/>
      <c r="P744" s="93"/>
      <c r="Q744" s="604"/>
      <c r="R744" s="604"/>
      <c r="S744" s="604"/>
      <c r="T744" s="604"/>
      <c r="U744" s="604"/>
      <c r="V744" s="604"/>
      <c r="W744" s="604"/>
      <c r="X744" s="604"/>
      <c r="Y744" s="604"/>
      <c r="Z744" s="604"/>
    </row>
    <row r="745" spans="1:26" ht="18.75" hidden="1">
      <c r="A745" s="649"/>
      <c r="B745" s="607"/>
      <c r="C745" s="759"/>
      <c r="D745" s="759"/>
      <c r="E745" s="759"/>
      <c r="F745" s="759" t="s">
        <v>189</v>
      </c>
      <c r="G745" s="603"/>
      <c r="H745" s="165" t="s">
        <v>12</v>
      </c>
      <c r="I745" s="617"/>
      <c r="J745" s="617"/>
      <c r="K745" s="93"/>
      <c r="L745" s="93"/>
      <c r="M745" s="93"/>
      <c r="N745" s="93"/>
      <c r="O745" s="93"/>
      <c r="P745" s="93"/>
      <c r="Q745" s="604"/>
      <c r="R745" s="604"/>
      <c r="S745" s="604"/>
      <c r="T745" s="604"/>
      <c r="U745" s="604"/>
      <c r="V745" s="604"/>
      <c r="W745" s="604"/>
      <c r="X745" s="604"/>
      <c r="Y745" s="604"/>
      <c r="Z745" s="604"/>
    </row>
    <row r="746" spans="1:26" ht="18.75" hidden="1">
      <c r="A746" s="649"/>
      <c r="B746" s="607"/>
      <c r="C746" s="759"/>
      <c r="D746" s="759"/>
      <c r="E746" s="759"/>
      <c r="F746" s="759" t="s">
        <v>190</v>
      </c>
      <c r="G746" s="603"/>
      <c r="H746" s="165" t="s">
        <v>12</v>
      </c>
      <c r="I746" s="617"/>
      <c r="J746" s="617"/>
      <c r="K746" s="93"/>
      <c r="L746" s="93"/>
      <c r="M746" s="93"/>
      <c r="N746" s="93"/>
      <c r="O746" s="93"/>
      <c r="P746" s="93"/>
      <c r="Q746" s="604"/>
      <c r="R746" s="604"/>
      <c r="S746" s="604"/>
      <c r="T746" s="604"/>
      <c r="U746" s="604"/>
      <c r="V746" s="604"/>
      <c r="W746" s="604"/>
      <c r="X746" s="604"/>
      <c r="Y746" s="604"/>
      <c r="Z746" s="604"/>
    </row>
    <row r="747" spans="1:26" ht="19.5" hidden="1">
      <c r="A747" s="599"/>
      <c r="B747" s="607"/>
      <c r="C747" s="759"/>
      <c r="D747" s="645" t="s">
        <v>21</v>
      </c>
      <c r="E747" s="759"/>
      <c r="F747" s="759"/>
      <c r="G747" s="603"/>
      <c r="H747" s="783" t="s">
        <v>12</v>
      </c>
      <c r="I747" s="166"/>
      <c r="J747" s="166"/>
      <c r="K747" s="167"/>
      <c r="L747" s="647">
        <f t="shared" ref="L747:N747" si="299">L748+L749</f>
        <v>0</v>
      </c>
      <c r="M747" s="647">
        <f t="shared" si="299"/>
        <v>0</v>
      </c>
      <c r="N747" s="647">
        <f t="shared" si="299"/>
        <v>0</v>
      </c>
      <c r="O747" s="647">
        <f t="shared" ref="O747:O749" si="300">IF(L747&gt;0,N747*100/L747,0)</f>
        <v>0</v>
      </c>
      <c r="P747" s="647">
        <f t="shared" ref="P747:P749" si="301">IF(M747&gt;0,N747*100/M747,0)</f>
        <v>0</v>
      </c>
      <c r="Q747" s="604"/>
      <c r="R747" s="604"/>
      <c r="S747" s="604"/>
      <c r="T747" s="604"/>
      <c r="U747" s="604"/>
      <c r="V747" s="604"/>
      <c r="W747" s="604"/>
      <c r="X747" s="604"/>
      <c r="Y747" s="604"/>
      <c r="Z747" s="604"/>
    </row>
    <row r="748" spans="1:26" ht="18.75" hidden="1">
      <c r="A748" s="599"/>
      <c r="B748" s="607"/>
      <c r="C748" s="759"/>
      <c r="D748" s="759"/>
      <c r="E748" s="759" t="s">
        <v>18</v>
      </c>
      <c r="F748" s="759"/>
      <c r="G748" s="603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4"/>
      <c r="R748" s="604"/>
      <c r="S748" s="604"/>
      <c r="T748" s="604"/>
      <c r="U748" s="604"/>
      <c r="V748" s="604"/>
      <c r="W748" s="604"/>
      <c r="X748" s="604"/>
      <c r="Y748" s="604"/>
      <c r="Z748" s="604"/>
    </row>
    <row r="749" spans="1:26" ht="18.75" hidden="1">
      <c r="A749" s="599"/>
      <c r="B749" s="607"/>
      <c r="C749" s="759"/>
      <c r="D749" s="759"/>
      <c r="E749" s="759" t="s">
        <v>19</v>
      </c>
      <c r="F749" s="759"/>
      <c r="G749" s="603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4"/>
      <c r="R749" s="604"/>
      <c r="S749" s="604"/>
      <c r="T749" s="604"/>
      <c r="U749" s="604"/>
      <c r="V749" s="604"/>
      <c r="W749" s="604"/>
      <c r="X749" s="604"/>
      <c r="Y749" s="604"/>
      <c r="Z749" s="604"/>
    </row>
    <row r="750" spans="1:26" ht="19.5" hidden="1">
      <c r="A750" s="614"/>
      <c r="B750" s="616"/>
      <c r="C750" s="759" t="s">
        <v>16</v>
      </c>
      <c r="D750" s="899" t="s">
        <v>38</v>
      </c>
      <c r="E750" s="651"/>
      <c r="F750" s="651"/>
      <c r="G750" s="652"/>
      <c r="H750" s="366"/>
      <c r="I750" s="166"/>
      <c r="J750" s="166"/>
      <c r="K750" s="167"/>
      <c r="L750" s="167"/>
      <c r="M750" s="167"/>
      <c r="N750" s="167"/>
      <c r="O750" s="167"/>
      <c r="P750" s="167"/>
      <c r="Q750" s="604"/>
      <c r="R750" s="604"/>
      <c r="S750" s="604"/>
      <c r="T750" s="604"/>
      <c r="U750" s="604"/>
      <c r="V750" s="604"/>
      <c r="W750" s="604"/>
      <c r="X750" s="604"/>
      <c r="Y750" s="604"/>
      <c r="Z750" s="604"/>
    </row>
    <row r="751" spans="1:26" ht="18.75" hidden="1">
      <c r="A751" s="649"/>
      <c r="B751" s="607"/>
      <c r="C751" s="759"/>
      <c r="D751" s="759"/>
      <c r="E751" s="759" t="s">
        <v>314</v>
      </c>
      <c r="F751" s="759"/>
      <c r="G751" s="603"/>
      <c r="H751" s="165" t="s">
        <v>46</v>
      </c>
      <c r="I751" s="617"/>
      <c r="J751" s="617"/>
      <c r="K751" s="93"/>
      <c r="L751" s="93"/>
      <c r="M751" s="93"/>
      <c r="N751" s="93"/>
      <c r="O751" s="93"/>
      <c r="P751" s="93"/>
      <c r="Q751" s="604"/>
      <c r="R751" s="604"/>
      <c r="S751" s="604"/>
      <c r="T751" s="604"/>
      <c r="U751" s="604"/>
      <c r="V751" s="604"/>
      <c r="W751" s="604"/>
      <c r="X751" s="604"/>
      <c r="Y751" s="604"/>
      <c r="Z751" s="604"/>
    </row>
    <row r="752" spans="1:26" ht="18.75" hidden="1">
      <c r="A752" s="649"/>
      <c r="B752" s="607"/>
      <c r="C752" s="759"/>
      <c r="D752" s="759"/>
      <c r="E752" s="759"/>
      <c r="F752" s="759"/>
      <c r="G752" s="603"/>
      <c r="H752" s="165" t="s">
        <v>315</v>
      </c>
      <c r="I752" s="617"/>
      <c r="J752" s="617"/>
      <c r="K752" s="93"/>
      <c r="L752" s="93"/>
      <c r="M752" s="93"/>
      <c r="N752" s="93"/>
      <c r="O752" s="93"/>
      <c r="P752" s="93"/>
      <c r="Q752" s="604"/>
      <c r="R752" s="604"/>
      <c r="S752" s="604"/>
      <c r="T752" s="604"/>
      <c r="U752" s="604"/>
      <c r="V752" s="604"/>
      <c r="W752" s="604"/>
      <c r="X752" s="604"/>
      <c r="Y752" s="604"/>
      <c r="Z752" s="604"/>
    </row>
    <row r="753" spans="1:26" ht="19.5" hidden="1">
      <c r="A753" s="785">
        <v>10</v>
      </c>
      <c r="B753" s="786" t="s">
        <v>316</v>
      </c>
      <c r="C753" s="787"/>
      <c r="D753" s="787"/>
      <c r="E753" s="787"/>
      <c r="F753" s="787"/>
      <c r="G753" s="788"/>
      <c r="H753" s="789" t="s">
        <v>46</v>
      </c>
      <c r="I753" s="790"/>
      <c r="J753" s="790">
        <f>J768</f>
        <v>0</v>
      </c>
      <c r="K753" s="791">
        <f>IF(I753&gt;0,J753*100/I753,0)</f>
        <v>0</v>
      </c>
      <c r="L753" s="792"/>
      <c r="M753" s="792"/>
      <c r="N753" s="792"/>
      <c r="O753" s="792"/>
      <c r="P753" s="792"/>
      <c r="Q753" s="604"/>
      <c r="R753" s="604"/>
      <c r="S753" s="604"/>
      <c r="T753" s="604"/>
      <c r="U753" s="604"/>
      <c r="V753" s="604"/>
      <c r="W753" s="604"/>
      <c r="X753" s="604"/>
      <c r="Y753" s="604"/>
      <c r="Z753" s="604"/>
    </row>
    <row r="754" spans="1:26" ht="19.5" hidden="1">
      <c r="A754" s="599"/>
      <c r="B754" s="759"/>
      <c r="C754" s="759" t="s">
        <v>16</v>
      </c>
      <c r="D754" s="864" t="s">
        <v>17</v>
      </c>
      <c r="E754" s="857"/>
      <c r="F754" s="857"/>
      <c r="G754" s="603"/>
      <c r="H754" s="646" t="s">
        <v>12</v>
      </c>
      <c r="I754" s="617"/>
      <c r="J754" s="617"/>
      <c r="K754" s="93"/>
      <c r="L754" s="647">
        <f t="shared" ref="L754:N754" si="302">L755+L756</f>
        <v>0</v>
      </c>
      <c r="M754" s="647">
        <f t="shared" si="302"/>
        <v>0</v>
      </c>
      <c r="N754" s="647">
        <f t="shared" si="302"/>
        <v>0</v>
      </c>
      <c r="O754" s="647">
        <f t="shared" ref="O754:O759" si="303">IF(L754&gt;0,N754*100/L754,0)</f>
        <v>0</v>
      </c>
      <c r="P754" s="647">
        <f t="shared" ref="P754:P759" si="304">IF(M754&gt;0,N754*100/M754,0)</f>
        <v>0</v>
      </c>
      <c r="Q754" s="604"/>
      <c r="R754" s="604"/>
      <c r="S754" s="604"/>
      <c r="T754" s="604"/>
      <c r="U754" s="604"/>
      <c r="V754" s="604"/>
      <c r="W754" s="604"/>
      <c r="X754" s="604"/>
      <c r="Y754" s="604"/>
      <c r="Z754" s="604"/>
    </row>
    <row r="755" spans="1:26" ht="18.75" hidden="1">
      <c r="A755" s="599"/>
      <c r="B755" s="759"/>
      <c r="C755" s="759"/>
      <c r="D755" s="720"/>
      <c r="E755" s="759" t="s">
        <v>185</v>
      </c>
      <c r="F755" s="759"/>
      <c r="G755" s="603"/>
      <c r="H755" s="165" t="s">
        <v>12</v>
      </c>
      <c r="I755" s="617"/>
      <c r="J755" s="617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4"/>
      <c r="R755" s="604"/>
      <c r="S755" s="604"/>
      <c r="T755" s="604"/>
      <c r="U755" s="604"/>
      <c r="V755" s="604"/>
      <c r="W755" s="604"/>
      <c r="X755" s="604"/>
      <c r="Y755" s="604"/>
      <c r="Z755" s="604"/>
    </row>
    <row r="756" spans="1:26" ht="18.75" hidden="1">
      <c r="A756" s="599"/>
      <c r="B756" s="607"/>
      <c r="C756" s="759"/>
      <c r="D756" s="720"/>
      <c r="E756" s="759" t="s">
        <v>186</v>
      </c>
      <c r="F756" s="759"/>
      <c r="G756" s="603"/>
      <c r="H756" s="165" t="s">
        <v>12</v>
      </c>
      <c r="I756" s="617"/>
      <c r="J756" s="617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4"/>
      <c r="R756" s="604"/>
      <c r="S756" s="604"/>
      <c r="T756" s="604"/>
      <c r="U756" s="604"/>
      <c r="V756" s="604"/>
      <c r="W756" s="604"/>
      <c r="X756" s="604"/>
      <c r="Y756" s="604"/>
      <c r="Z756" s="604"/>
    </row>
    <row r="757" spans="1:26" ht="19.5" hidden="1">
      <c r="A757" s="599"/>
      <c r="B757" s="607"/>
      <c r="C757" s="759"/>
      <c r="D757" s="645" t="s">
        <v>20</v>
      </c>
      <c r="E757" s="759"/>
      <c r="F757" s="759"/>
      <c r="G757" s="603"/>
      <c r="H757" s="646" t="s">
        <v>12</v>
      </c>
      <c r="I757" s="166"/>
      <c r="J757" s="166"/>
      <c r="K757" s="167"/>
      <c r="L757" s="647">
        <f t="shared" ref="L757:N757" si="306">L758+L759</f>
        <v>0</v>
      </c>
      <c r="M757" s="647">
        <f t="shared" si="306"/>
        <v>0</v>
      </c>
      <c r="N757" s="647">
        <f t="shared" si="306"/>
        <v>0</v>
      </c>
      <c r="O757" s="647">
        <f t="shared" si="303"/>
        <v>0</v>
      </c>
      <c r="P757" s="647">
        <f t="shared" si="304"/>
        <v>0</v>
      </c>
      <c r="Q757" s="604"/>
      <c r="R757" s="604"/>
      <c r="S757" s="604"/>
      <c r="T757" s="604"/>
      <c r="U757" s="604"/>
      <c r="V757" s="604"/>
      <c r="W757" s="604"/>
      <c r="X757" s="604"/>
      <c r="Y757" s="604"/>
      <c r="Z757" s="604"/>
    </row>
    <row r="758" spans="1:26" ht="18.75" hidden="1">
      <c r="A758" s="599"/>
      <c r="B758" s="607"/>
      <c r="C758" s="759"/>
      <c r="D758" s="720"/>
      <c r="E758" s="759" t="s">
        <v>185</v>
      </c>
      <c r="F758" s="759"/>
      <c r="G758" s="603"/>
      <c r="H758" s="165" t="s">
        <v>12</v>
      </c>
      <c r="I758" s="617"/>
      <c r="J758" s="617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4"/>
      <c r="R758" s="604"/>
      <c r="S758" s="604"/>
      <c r="T758" s="604"/>
      <c r="U758" s="604"/>
      <c r="V758" s="604"/>
      <c r="W758" s="604"/>
      <c r="X758" s="604"/>
      <c r="Y758" s="604"/>
      <c r="Z758" s="604"/>
    </row>
    <row r="759" spans="1:26" ht="18.75" hidden="1">
      <c r="A759" s="599"/>
      <c r="B759" s="607"/>
      <c r="C759" s="759"/>
      <c r="D759" s="720"/>
      <c r="E759" s="759" t="s">
        <v>186</v>
      </c>
      <c r="F759" s="759"/>
      <c r="G759" s="603"/>
      <c r="H759" s="165" t="s">
        <v>12</v>
      </c>
      <c r="I759" s="617"/>
      <c r="J759" s="617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4"/>
      <c r="R759" s="604"/>
      <c r="S759" s="604"/>
      <c r="T759" s="604"/>
      <c r="U759" s="604"/>
      <c r="V759" s="604"/>
      <c r="W759" s="604"/>
      <c r="X759" s="604"/>
      <c r="Y759" s="604"/>
      <c r="Z759" s="604"/>
    </row>
    <row r="760" spans="1:26" ht="18.75" hidden="1">
      <c r="A760" s="649"/>
      <c r="B760" s="607"/>
      <c r="C760" s="759"/>
      <c r="D760" s="759"/>
      <c r="E760" s="759"/>
      <c r="F760" s="759" t="s">
        <v>187</v>
      </c>
      <c r="G760" s="603"/>
      <c r="H760" s="165" t="s">
        <v>12</v>
      </c>
      <c r="I760" s="617"/>
      <c r="J760" s="617"/>
      <c r="K760" s="93"/>
      <c r="L760" s="93"/>
      <c r="M760" s="93"/>
      <c r="N760" s="93"/>
      <c r="O760" s="93"/>
      <c r="P760" s="93"/>
      <c r="Q760" s="604"/>
      <c r="R760" s="604"/>
      <c r="S760" s="604"/>
      <c r="T760" s="604"/>
      <c r="U760" s="604"/>
      <c r="V760" s="604"/>
      <c r="W760" s="604"/>
      <c r="X760" s="604"/>
      <c r="Y760" s="604"/>
      <c r="Z760" s="604"/>
    </row>
    <row r="761" spans="1:26" ht="18.75" hidden="1">
      <c r="A761" s="649"/>
      <c r="B761" s="607"/>
      <c r="C761" s="759"/>
      <c r="D761" s="759"/>
      <c r="E761" s="759"/>
      <c r="F761" s="759" t="s">
        <v>188</v>
      </c>
      <c r="G761" s="603"/>
      <c r="H761" s="165" t="s">
        <v>12</v>
      </c>
      <c r="I761" s="617"/>
      <c r="J761" s="617"/>
      <c r="K761" s="93"/>
      <c r="L761" s="93"/>
      <c r="M761" s="93"/>
      <c r="N761" s="93"/>
      <c r="O761" s="93"/>
      <c r="P761" s="93"/>
      <c r="Q761" s="604"/>
      <c r="R761" s="604"/>
      <c r="S761" s="604"/>
      <c r="T761" s="604"/>
      <c r="U761" s="604"/>
      <c r="V761" s="604"/>
      <c r="W761" s="604"/>
      <c r="X761" s="604"/>
      <c r="Y761" s="604"/>
      <c r="Z761" s="604"/>
    </row>
    <row r="762" spans="1:26" ht="18.75" hidden="1">
      <c r="A762" s="649"/>
      <c r="B762" s="607"/>
      <c r="C762" s="759"/>
      <c r="D762" s="759"/>
      <c r="E762" s="759"/>
      <c r="F762" s="759" t="s">
        <v>189</v>
      </c>
      <c r="G762" s="603"/>
      <c r="H762" s="165" t="s">
        <v>12</v>
      </c>
      <c r="I762" s="617"/>
      <c r="J762" s="617"/>
      <c r="K762" s="93"/>
      <c r="L762" s="93"/>
      <c r="M762" s="93"/>
      <c r="N762" s="93"/>
      <c r="O762" s="93"/>
      <c r="P762" s="93"/>
      <c r="Q762" s="604"/>
      <c r="R762" s="604"/>
      <c r="S762" s="604"/>
      <c r="T762" s="604"/>
      <c r="U762" s="604"/>
      <c r="V762" s="604"/>
      <c r="W762" s="604"/>
      <c r="X762" s="604"/>
      <c r="Y762" s="604"/>
      <c r="Z762" s="604"/>
    </row>
    <row r="763" spans="1:26" ht="18.75" hidden="1">
      <c r="A763" s="649"/>
      <c r="B763" s="607"/>
      <c r="C763" s="759"/>
      <c r="D763" s="759"/>
      <c r="E763" s="759"/>
      <c r="F763" s="759" t="s">
        <v>190</v>
      </c>
      <c r="G763" s="603"/>
      <c r="H763" s="165" t="s">
        <v>12</v>
      </c>
      <c r="I763" s="617"/>
      <c r="J763" s="617"/>
      <c r="K763" s="93"/>
      <c r="L763" s="93"/>
      <c r="M763" s="93"/>
      <c r="N763" s="93"/>
      <c r="O763" s="93"/>
      <c r="P763" s="93"/>
      <c r="Q763" s="604"/>
      <c r="R763" s="604"/>
      <c r="S763" s="604"/>
      <c r="T763" s="604"/>
      <c r="U763" s="604"/>
      <c r="V763" s="604"/>
      <c r="W763" s="604"/>
      <c r="X763" s="604"/>
      <c r="Y763" s="604"/>
      <c r="Z763" s="604"/>
    </row>
    <row r="764" spans="1:26" ht="19.5" hidden="1">
      <c r="A764" s="599"/>
      <c r="B764" s="607"/>
      <c r="C764" s="759"/>
      <c r="D764" s="645" t="s">
        <v>21</v>
      </c>
      <c r="E764" s="759"/>
      <c r="F764" s="759"/>
      <c r="G764" s="603"/>
      <c r="H764" s="783" t="s">
        <v>12</v>
      </c>
      <c r="I764" s="166"/>
      <c r="J764" s="166"/>
      <c r="K764" s="167"/>
      <c r="L764" s="647">
        <f t="shared" ref="L764:N764" si="307">L765+L766</f>
        <v>0</v>
      </c>
      <c r="M764" s="647">
        <f t="shared" si="307"/>
        <v>0</v>
      </c>
      <c r="N764" s="647">
        <f t="shared" si="307"/>
        <v>0</v>
      </c>
      <c r="O764" s="647">
        <f t="shared" ref="O764:O766" si="308">IF(L764&gt;0,N764*100/L764,0)</f>
        <v>0</v>
      </c>
      <c r="P764" s="647">
        <f t="shared" ref="P764:P766" si="309">IF(M764&gt;0,N764*100/M764,0)</f>
        <v>0</v>
      </c>
      <c r="Q764" s="604"/>
      <c r="R764" s="604"/>
      <c r="S764" s="604"/>
      <c r="T764" s="604"/>
      <c r="U764" s="604"/>
      <c r="V764" s="604"/>
      <c r="W764" s="604"/>
      <c r="X764" s="604"/>
      <c r="Y764" s="604"/>
      <c r="Z764" s="604"/>
    </row>
    <row r="765" spans="1:26" ht="18.75" hidden="1">
      <c r="A765" s="599"/>
      <c r="B765" s="607"/>
      <c r="C765" s="759"/>
      <c r="D765" s="759"/>
      <c r="E765" s="759" t="s">
        <v>18</v>
      </c>
      <c r="F765" s="759"/>
      <c r="G765" s="603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4"/>
      <c r="R765" s="604"/>
      <c r="S765" s="604"/>
      <c r="T765" s="604"/>
      <c r="U765" s="604"/>
      <c r="V765" s="604"/>
      <c r="W765" s="604"/>
      <c r="X765" s="604"/>
      <c r="Y765" s="604"/>
      <c r="Z765" s="604"/>
    </row>
    <row r="766" spans="1:26" ht="18.75" hidden="1">
      <c r="A766" s="599"/>
      <c r="B766" s="607"/>
      <c r="C766" s="759"/>
      <c r="D766" s="759"/>
      <c r="E766" s="759" t="s">
        <v>19</v>
      </c>
      <c r="F766" s="759"/>
      <c r="G766" s="603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4"/>
      <c r="R766" s="604"/>
      <c r="S766" s="604"/>
      <c r="T766" s="604"/>
      <c r="U766" s="604"/>
      <c r="V766" s="604"/>
      <c r="W766" s="604"/>
      <c r="X766" s="604"/>
      <c r="Y766" s="604"/>
      <c r="Z766" s="604"/>
    </row>
    <row r="767" spans="1:26" ht="19.5" hidden="1">
      <c r="A767" s="614"/>
      <c r="B767" s="616"/>
      <c r="C767" s="759" t="s">
        <v>16</v>
      </c>
      <c r="D767" s="899" t="s">
        <v>38</v>
      </c>
      <c r="E767" s="651"/>
      <c r="F767" s="651"/>
      <c r="G767" s="652"/>
      <c r="H767" s="366"/>
      <c r="I767" s="166"/>
      <c r="J767" s="166"/>
      <c r="K767" s="167"/>
      <c r="L767" s="167"/>
      <c r="M767" s="167"/>
      <c r="N767" s="167"/>
      <c r="O767" s="167"/>
      <c r="P767" s="167"/>
      <c r="Q767" s="604"/>
      <c r="R767" s="604"/>
      <c r="S767" s="604"/>
      <c r="T767" s="604"/>
      <c r="U767" s="604"/>
      <c r="V767" s="604"/>
      <c r="W767" s="604"/>
      <c r="X767" s="604"/>
      <c r="Y767" s="604"/>
      <c r="Z767" s="604"/>
    </row>
    <row r="768" spans="1:26" ht="18.75" hidden="1">
      <c r="A768" s="649"/>
      <c r="B768" s="607"/>
      <c r="C768" s="759"/>
      <c r="D768" s="759"/>
      <c r="E768" s="759" t="s">
        <v>317</v>
      </c>
      <c r="F768" s="759"/>
      <c r="G768" s="603"/>
      <c r="H768" s="165" t="s">
        <v>46</v>
      </c>
      <c r="I768" s="617"/>
      <c r="J768" s="617"/>
      <c r="K768" s="93"/>
      <c r="L768" s="93"/>
      <c r="M768" s="93"/>
      <c r="N768" s="93"/>
      <c r="O768" s="93"/>
      <c r="P768" s="93"/>
      <c r="Q768" s="604"/>
      <c r="R768" s="604"/>
      <c r="S768" s="604"/>
      <c r="T768" s="604"/>
      <c r="U768" s="604"/>
      <c r="V768" s="604"/>
      <c r="W768" s="604"/>
      <c r="X768" s="604"/>
      <c r="Y768" s="604"/>
      <c r="Z768" s="604"/>
    </row>
    <row r="769" spans="1:26" ht="19.5" hidden="1">
      <c r="A769" s="793">
        <v>11</v>
      </c>
      <c r="B769" s="794" t="s">
        <v>318</v>
      </c>
      <c r="C769" s="795"/>
      <c r="D769" s="795"/>
      <c r="E769" s="795"/>
      <c r="F769" s="795"/>
      <c r="G769" s="796"/>
      <c r="H769" s="797" t="s">
        <v>46</v>
      </c>
      <c r="I769" s="798"/>
      <c r="J769" s="798">
        <f>J784</f>
        <v>0</v>
      </c>
      <c r="K769" s="799">
        <f>IF(I769&gt;0,J769*100/I769,0)</f>
        <v>0</v>
      </c>
      <c r="L769" s="800"/>
      <c r="M769" s="800"/>
      <c r="N769" s="800"/>
      <c r="O769" s="800"/>
      <c r="P769" s="800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</row>
    <row r="770" spans="1:26" ht="19.5" hidden="1">
      <c r="A770" s="599"/>
      <c r="B770" s="759"/>
      <c r="C770" s="759" t="s">
        <v>16</v>
      </c>
      <c r="D770" s="864" t="s">
        <v>17</v>
      </c>
      <c r="E770" s="857"/>
      <c r="F770" s="857"/>
      <c r="G770" s="603"/>
      <c r="H770" s="646" t="s">
        <v>12</v>
      </c>
      <c r="I770" s="617"/>
      <c r="J770" s="617"/>
      <c r="K770" s="93"/>
      <c r="L770" s="647">
        <f t="shared" ref="L770:N770" si="310">L771+L772</f>
        <v>0</v>
      </c>
      <c r="M770" s="647">
        <f t="shared" si="310"/>
        <v>0</v>
      </c>
      <c r="N770" s="647">
        <f t="shared" si="310"/>
        <v>0</v>
      </c>
      <c r="O770" s="647">
        <f t="shared" ref="O770:O775" si="311">IF(L770&gt;0,N770*100/L770,0)</f>
        <v>0</v>
      </c>
      <c r="P770" s="647">
        <f t="shared" ref="P770:P775" si="312">IF(M770&gt;0,N770*100/M770,0)</f>
        <v>0</v>
      </c>
      <c r="Q770" s="604"/>
      <c r="R770" s="604"/>
      <c r="S770" s="604"/>
      <c r="T770" s="604"/>
      <c r="U770" s="604"/>
      <c r="V770" s="604"/>
      <c r="W770" s="604"/>
      <c r="X770" s="604"/>
      <c r="Y770" s="604"/>
      <c r="Z770" s="604"/>
    </row>
    <row r="771" spans="1:26" ht="18.75" hidden="1">
      <c r="A771" s="599"/>
      <c r="B771" s="759"/>
      <c r="C771" s="759"/>
      <c r="D771" s="720"/>
      <c r="E771" s="759" t="s">
        <v>185</v>
      </c>
      <c r="F771" s="759"/>
      <c r="G771" s="603"/>
      <c r="H771" s="165" t="s">
        <v>12</v>
      </c>
      <c r="I771" s="617"/>
      <c r="J771" s="617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4"/>
      <c r="R771" s="604"/>
      <c r="S771" s="604"/>
      <c r="T771" s="604"/>
      <c r="U771" s="604"/>
      <c r="V771" s="604"/>
      <c r="W771" s="604"/>
      <c r="X771" s="604"/>
      <c r="Y771" s="604"/>
      <c r="Z771" s="604"/>
    </row>
    <row r="772" spans="1:26" ht="18.75" hidden="1">
      <c r="A772" s="599"/>
      <c r="B772" s="607"/>
      <c r="C772" s="759"/>
      <c r="D772" s="720"/>
      <c r="E772" s="759" t="s">
        <v>186</v>
      </c>
      <c r="F772" s="759"/>
      <c r="G772" s="603"/>
      <c r="H772" s="165" t="s">
        <v>12</v>
      </c>
      <c r="I772" s="617"/>
      <c r="J772" s="617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4"/>
      <c r="R772" s="604"/>
      <c r="S772" s="604"/>
      <c r="T772" s="604"/>
      <c r="U772" s="604"/>
      <c r="V772" s="604"/>
      <c r="W772" s="604"/>
      <c r="X772" s="604"/>
      <c r="Y772" s="604"/>
      <c r="Z772" s="604"/>
    </row>
    <row r="773" spans="1:26" ht="19.5" hidden="1">
      <c r="A773" s="599"/>
      <c r="B773" s="607"/>
      <c r="C773" s="759"/>
      <c r="D773" s="645" t="s">
        <v>20</v>
      </c>
      <c r="E773" s="759"/>
      <c r="F773" s="759"/>
      <c r="G773" s="603"/>
      <c r="H773" s="646" t="s">
        <v>12</v>
      </c>
      <c r="I773" s="166"/>
      <c r="J773" s="166"/>
      <c r="K773" s="167"/>
      <c r="L773" s="647">
        <f t="shared" ref="L773:N773" si="314">L774+L775</f>
        <v>0</v>
      </c>
      <c r="M773" s="647">
        <f t="shared" si="314"/>
        <v>0</v>
      </c>
      <c r="N773" s="647">
        <f t="shared" si="314"/>
        <v>0</v>
      </c>
      <c r="O773" s="647">
        <f t="shared" si="311"/>
        <v>0</v>
      </c>
      <c r="P773" s="647">
        <f t="shared" si="312"/>
        <v>0</v>
      </c>
      <c r="Q773" s="604"/>
      <c r="R773" s="604"/>
      <c r="S773" s="604"/>
      <c r="T773" s="604"/>
      <c r="U773" s="604"/>
      <c r="V773" s="604"/>
      <c r="W773" s="604"/>
      <c r="X773" s="604"/>
      <c r="Y773" s="604"/>
      <c r="Z773" s="604"/>
    </row>
    <row r="774" spans="1:26" ht="18.75" hidden="1">
      <c r="A774" s="599"/>
      <c r="B774" s="607"/>
      <c r="C774" s="759"/>
      <c r="D774" s="720"/>
      <c r="E774" s="759" t="s">
        <v>185</v>
      </c>
      <c r="F774" s="759"/>
      <c r="G774" s="603"/>
      <c r="H774" s="165" t="s">
        <v>12</v>
      </c>
      <c r="I774" s="617"/>
      <c r="J774" s="617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4"/>
      <c r="R774" s="604"/>
      <c r="S774" s="604"/>
      <c r="T774" s="604"/>
      <c r="U774" s="604"/>
      <c r="V774" s="604"/>
      <c r="W774" s="604"/>
      <c r="X774" s="604"/>
      <c r="Y774" s="604"/>
      <c r="Z774" s="604"/>
    </row>
    <row r="775" spans="1:26" ht="18.75" hidden="1">
      <c r="A775" s="599"/>
      <c r="B775" s="607"/>
      <c r="C775" s="759"/>
      <c r="D775" s="720"/>
      <c r="E775" s="759" t="s">
        <v>186</v>
      </c>
      <c r="F775" s="759"/>
      <c r="G775" s="603"/>
      <c r="H775" s="165" t="s">
        <v>12</v>
      </c>
      <c r="I775" s="617"/>
      <c r="J775" s="617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4"/>
      <c r="R775" s="604"/>
      <c r="S775" s="604"/>
      <c r="T775" s="604"/>
      <c r="U775" s="604"/>
      <c r="V775" s="604"/>
      <c r="W775" s="604"/>
      <c r="X775" s="604"/>
      <c r="Y775" s="604"/>
      <c r="Z775" s="604"/>
    </row>
    <row r="776" spans="1:26" ht="18.75" hidden="1">
      <c r="A776" s="649"/>
      <c r="B776" s="607"/>
      <c r="C776" s="759"/>
      <c r="D776" s="759"/>
      <c r="E776" s="759"/>
      <c r="F776" s="759" t="s">
        <v>187</v>
      </c>
      <c r="G776" s="603"/>
      <c r="H776" s="165" t="s">
        <v>12</v>
      </c>
      <c r="I776" s="617"/>
      <c r="J776" s="617"/>
      <c r="K776" s="93"/>
      <c r="L776" s="93"/>
      <c r="M776" s="93"/>
      <c r="N776" s="93"/>
      <c r="O776" s="93"/>
      <c r="P776" s="93"/>
      <c r="Q776" s="604"/>
      <c r="R776" s="604"/>
      <c r="S776" s="604"/>
      <c r="T776" s="604"/>
      <c r="U776" s="604"/>
      <c r="V776" s="604"/>
      <c r="W776" s="604"/>
      <c r="X776" s="604"/>
      <c r="Y776" s="604"/>
      <c r="Z776" s="604"/>
    </row>
    <row r="777" spans="1:26" ht="18.75" hidden="1">
      <c r="A777" s="649"/>
      <c r="B777" s="607"/>
      <c r="C777" s="759"/>
      <c r="D777" s="759"/>
      <c r="E777" s="759"/>
      <c r="F777" s="759" t="s">
        <v>188</v>
      </c>
      <c r="G777" s="603"/>
      <c r="H777" s="165" t="s">
        <v>12</v>
      </c>
      <c r="I777" s="617"/>
      <c r="J777" s="617"/>
      <c r="K777" s="93"/>
      <c r="L777" s="93"/>
      <c r="M777" s="93"/>
      <c r="N777" s="93"/>
      <c r="O777" s="93"/>
      <c r="P777" s="93"/>
      <c r="Q777" s="604"/>
      <c r="R777" s="604"/>
      <c r="S777" s="604"/>
      <c r="T777" s="604"/>
      <c r="U777" s="604"/>
      <c r="V777" s="604"/>
      <c r="W777" s="604"/>
      <c r="X777" s="604"/>
      <c r="Y777" s="604"/>
      <c r="Z777" s="604"/>
    </row>
    <row r="778" spans="1:26" ht="18.75" hidden="1">
      <c r="A778" s="649"/>
      <c r="B778" s="607"/>
      <c r="C778" s="759"/>
      <c r="D778" s="759"/>
      <c r="E778" s="759"/>
      <c r="F778" s="759" t="s">
        <v>189</v>
      </c>
      <c r="G778" s="603"/>
      <c r="H778" s="165" t="s">
        <v>12</v>
      </c>
      <c r="I778" s="617"/>
      <c r="J778" s="617"/>
      <c r="K778" s="93"/>
      <c r="L778" s="93"/>
      <c r="M778" s="93"/>
      <c r="N778" s="93"/>
      <c r="O778" s="93"/>
      <c r="P778" s="93"/>
      <c r="Q778" s="604"/>
      <c r="R778" s="604"/>
      <c r="S778" s="604"/>
      <c r="T778" s="604"/>
      <c r="U778" s="604"/>
      <c r="V778" s="604"/>
      <c r="W778" s="604"/>
      <c r="X778" s="604"/>
      <c r="Y778" s="604"/>
      <c r="Z778" s="604"/>
    </row>
    <row r="779" spans="1:26" ht="18.75" hidden="1">
      <c r="A779" s="649"/>
      <c r="B779" s="607"/>
      <c r="C779" s="759"/>
      <c r="D779" s="759"/>
      <c r="E779" s="759"/>
      <c r="F779" s="759" t="s">
        <v>190</v>
      </c>
      <c r="G779" s="603"/>
      <c r="H779" s="165" t="s">
        <v>12</v>
      </c>
      <c r="I779" s="617"/>
      <c r="J779" s="617"/>
      <c r="K779" s="93"/>
      <c r="L779" s="93"/>
      <c r="M779" s="93"/>
      <c r="N779" s="93"/>
      <c r="O779" s="93"/>
      <c r="P779" s="93"/>
      <c r="Q779" s="604"/>
      <c r="R779" s="604"/>
      <c r="S779" s="604"/>
      <c r="T779" s="604"/>
      <c r="U779" s="604"/>
      <c r="V779" s="604"/>
      <c r="W779" s="604"/>
      <c r="X779" s="604"/>
      <c r="Y779" s="604"/>
      <c r="Z779" s="604"/>
    </row>
    <row r="780" spans="1:26" ht="19.5" hidden="1">
      <c r="A780" s="599"/>
      <c r="B780" s="607"/>
      <c r="C780" s="759"/>
      <c r="D780" s="645" t="s">
        <v>21</v>
      </c>
      <c r="E780" s="759"/>
      <c r="F780" s="759"/>
      <c r="G780" s="603"/>
      <c r="H780" s="783" t="s">
        <v>12</v>
      </c>
      <c r="I780" s="166"/>
      <c r="J780" s="166"/>
      <c r="K780" s="167"/>
      <c r="L780" s="647">
        <f t="shared" ref="L780:N780" si="315">L781+L782</f>
        <v>0</v>
      </c>
      <c r="M780" s="647">
        <f t="shared" si="315"/>
        <v>0</v>
      </c>
      <c r="N780" s="647">
        <f t="shared" si="315"/>
        <v>0</v>
      </c>
      <c r="O780" s="647">
        <f t="shared" ref="O780:O782" si="316">IF(L780&gt;0,N780*100/L780,0)</f>
        <v>0</v>
      </c>
      <c r="P780" s="647">
        <f t="shared" ref="P780:P782" si="317">IF(M780&gt;0,N780*100/M780,0)</f>
        <v>0</v>
      </c>
      <c r="Q780" s="604"/>
      <c r="R780" s="604"/>
      <c r="S780" s="604"/>
      <c r="T780" s="604"/>
      <c r="U780" s="604"/>
      <c r="V780" s="604"/>
      <c r="W780" s="604"/>
      <c r="X780" s="604"/>
      <c r="Y780" s="604"/>
      <c r="Z780" s="604"/>
    </row>
    <row r="781" spans="1:26" ht="18.75" hidden="1">
      <c r="A781" s="599"/>
      <c r="B781" s="607"/>
      <c r="C781" s="759"/>
      <c r="D781" s="759"/>
      <c r="E781" s="759" t="s">
        <v>18</v>
      </c>
      <c r="F781" s="759"/>
      <c r="G781" s="603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4"/>
      <c r="R781" s="604"/>
      <c r="S781" s="604"/>
      <c r="T781" s="604"/>
      <c r="U781" s="604"/>
      <c r="V781" s="604"/>
      <c r="W781" s="604"/>
      <c r="X781" s="604"/>
      <c r="Y781" s="604"/>
      <c r="Z781" s="604"/>
    </row>
    <row r="782" spans="1:26" ht="18.75" hidden="1">
      <c r="A782" s="599"/>
      <c r="B782" s="607"/>
      <c r="C782" s="759"/>
      <c r="D782" s="759"/>
      <c r="E782" s="759" t="s">
        <v>19</v>
      </c>
      <c r="F782" s="759"/>
      <c r="G782" s="603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4"/>
      <c r="R782" s="604"/>
      <c r="S782" s="604"/>
      <c r="T782" s="604"/>
      <c r="U782" s="604"/>
      <c r="V782" s="604"/>
      <c r="W782" s="604"/>
      <c r="X782" s="604"/>
      <c r="Y782" s="604"/>
      <c r="Z782" s="604"/>
    </row>
    <row r="783" spans="1:26" ht="19.5" hidden="1">
      <c r="A783" s="614"/>
      <c r="B783" s="616"/>
      <c r="C783" s="759" t="s">
        <v>16</v>
      </c>
      <c r="D783" s="899" t="s">
        <v>38</v>
      </c>
      <c r="E783" s="651"/>
      <c r="F783" s="651"/>
      <c r="G783" s="652"/>
      <c r="H783" s="801"/>
      <c r="I783" s="166"/>
      <c r="J783" s="166"/>
      <c r="K783" s="167"/>
      <c r="L783" s="167"/>
      <c r="M783" s="167"/>
      <c r="N783" s="167"/>
      <c r="O783" s="167"/>
      <c r="P783" s="167"/>
      <c r="Q783" s="604"/>
      <c r="R783" s="604"/>
      <c r="S783" s="604"/>
      <c r="T783" s="604"/>
      <c r="U783" s="604"/>
      <c r="V783" s="604"/>
      <c r="W783" s="604"/>
      <c r="X783" s="604"/>
      <c r="Y783" s="604"/>
      <c r="Z783" s="604"/>
    </row>
    <row r="784" spans="1:26" ht="18.75" hidden="1">
      <c r="A784" s="649"/>
      <c r="B784" s="607"/>
      <c r="C784" s="759"/>
      <c r="D784" s="759"/>
      <c r="E784" s="759" t="s">
        <v>319</v>
      </c>
      <c r="F784" s="759"/>
      <c r="G784" s="603"/>
      <c r="H784" s="165" t="s">
        <v>46</v>
      </c>
      <c r="I784" s="617"/>
      <c r="J784" s="617"/>
      <c r="K784" s="93"/>
      <c r="L784" s="93"/>
      <c r="M784" s="93"/>
      <c r="N784" s="93"/>
      <c r="O784" s="93"/>
      <c r="P784" s="93"/>
      <c r="Q784" s="604"/>
      <c r="R784" s="604"/>
      <c r="S784" s="604"/>
      <c r="T784" s="604"/>
      <c r="U784" s="604"/>
      <c r="V784" s="604"/>
      <c r="W784" s="604"/>
      <c r="X784" s="604"/>
      <c r="Y784" s="604"/>
      <c r="Z784" s="604"/>
    </row>
    <row r="785" spans="1:26" ht="19.5" hidden="1">
      <c r="A785" s="802">
        <v>12</v>
      </c>
      <c r="B785" s="803" t="s">
        <v>320</v>
      </c>
      <c r="C785" s="804"/>
      <c r="D785" s="804"/>
      <c r="E785" s="804"/>
      <c r="F785" s="804"/>
      <c r="G785" s="805"/>
      <c r="H785" s="900" t="s">
        <v>46</v>
      </c>
      <c r="I785" s="901">
        <f t="shared" ref="I785:J785" ca="1" si="318">I800</f>
        <v>0</v>
      </c>
      <c r="J785" s="902">
        <f t="shared" ca="1" si="318"/>
        <v>0</v>
      </c>
      <c r="K785" s="903">
        <f ca="1">IF(I785&gt;0,J785*100/I785,0)</f>
        <v>0</v>
      </c>
      <c r="L785" s="809"/>
      <c r="M785" s="809"/>
      <c r="N785" s="809"/>
      <c r="O785" s="809"/>
      <c r="P785" s="809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</row>
    <row r="786" spans="1:26" ht="19.5" hidden="1">
      <c r="A786" s="597"/>
      <c r="B786" s="575"/>
      <c r="C786" s="763" t="s">
        <v>16</v>
      </c>
      <c r="D786" s="863" t="s">
        <v>17</v>
      </c>
      <c r="E786" s="857"/>
      <c r="F786" s="857"/>
      <c r="G786" s="189"/>
      <c r="H786" s="598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</row>
    <row r="787" spans="1:26" ht="18.75" hidden="1">
      <c r="A787" s="599"/>
      <c r="B787" s="607"/>
      <c r="C787" s="759"/>
      <c r="D787" s="720"/>
      <c r="E787" s="759" t="s">
        <v>185</v>
      </c>
      <c r="F787" s="759"/>
      <c r="G787" s="603"/>
      <c r="H787" s="165" t="s">
        <v>12</v>
      </c>
      <c r="I787" s="617"/>
      <c r="J787" s="617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4"/>
      <c r="R787" s="604"/>
      <c r="S787" s="604"/>
      <c r="T787" s="604"/>
      <c r="U787" s="604"/>
      <c r="V787" s="604"/>
      <c r="W787" s="604"/>
      <c r="X787" s="604"/>
      <c r="Y787" s="604"/>
      <c r="Z787" s="604"/>
    </row>
    <row r="788" spans="1:26" ht="18.75" hidden="1">
      <c r="A788" s="599"/>
      <c r="B788" s="607"/>
      <c r="C788" s="607"/>
      <c r="D788" s="616"/>
      <c r="E788" s="759" t="s">
        <v>186</v>
      </c>
      <c r="F788" s="759"/>
      <c r="G788" s="603"/>
      <c r="H788" s="165" t="s">
        <v>12</v>
      </c>
      <c r="I788" s="617"/>
      <c r="J788" s="617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4"/>
      <c r="R788" s="604"/>
      <c r="S788" s="604"/>
      <c r="T788" s="604"/>
      <c r="U788" s="604"/>
      <c r="V788" s="604"/>
      <c r="W788" s="604"/>
      <c r="X788" s="604"/>
      <c r="Y788" s="604"/>
      <c r="Z788" s="604"/>
    </row>
    <row r="789" spans="1:26" ht="18.75" hidden="1">
      <c r="A789" s="597"/>
      <c r="B789" s="575"/>
      <c r="C789" s="575"/>
      <c r="D789" s="606" t="s">
        <v>20</v>
      </c>
      <c r="E789" s="763"/>
      <c r="F789" s="763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</row>
    <row r="790" spans="1:26" ht="18.75" hidden="1">
      <c r="A790" s="599"/>
      <c r="B790" s="607"/>
      <c r="C790" s="607"/>
      <c r="D790" s="616"/>
      <c r="E790" s="759" t="s">
        <v>185</v>
      </c>
      <c r="F790" s="759"/>
      <c r="G790" s="603"/>
      <c r="H790" s="165" t="s">
        <v>12</v>
      </c>
      <c r="I790" s="617"/>
      <c r="J790" s="617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4"/>
      <c r="R790" s="604"/>
      <c r="S790" s="604"/>
      <c r="T790" s="604"/>
      <c r="U790" s="604"/>
      <c r="V790" s="604"/>
      <c r="W790" s="604"/>
      <c r="X790" s="604"/>
      <c r="Y790" s="604"/>
      <c r="Z790" s="604"/>
    </row>
    <row r="791" spans="1:26" ht="18.75" hidden="1">
      <c r="A791" s="599"/>
      <c r="B791" s="607"/>
      <c r="C791" s="607"/>
      <c r="D791" s="616"/>
      <c r="E791" s="759" t="s">
        <v>186</v>
      </c>
      <c r="F791" s="759"/>
      <c r="G791" s="603"/>
      <c r="H791" s="165" t="s">
        <v>12</v>
      </c>
      <c r="I791" s="617"/>
      <c r="J791" s="617"/>
      <c r="K791" s="93"/>
      <c r="L791" s="93">
        <f ca="1">IFERROR(__xludf.DUMMYFUNCTION("IMPORTRANGE(""https://docs.google.com/spreadsheets/d/1QqKyyYR6Q21VydFLVH3TRQUabQu_ym0Zz7PgGX0-kHA/edit?usp=sharing"",""แผน!JJ38"")"),0)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4"/>
      <c r="R791" s="604"/>
      <c r="S791" s="604"/>
      <c r="T791" s="604"/>
      <c r="U791" s="604"/>
      <c r="V791" s="604"/>
      <c r="W791" s="604"/>
      <c r="X791" s="604"/>
      <c r="Y791" s="604"/>
      <c r="Z791" s="604"/>
    </row>
    <row r="792" spans="1:26" ht="18.75" hidden="1">
      <c r="A792" s="574"/>
      <c r="B792" s="575"/>
      <c r="C792" s="763"/>
      <c r="D792" s="763"/>
      <c r="E792" s="763"/>
      <c r="F792" s="763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40">
        <v>0</v>
      </c>
      <c r="O792" s="498"/>
      <c r="P792" s="49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</row>
    <row r="793" spans="1:26" ht="18.75" hidden="1">
      <c r="A793" s="574"/>
      <c r="B793" s="575"/>
      <c r="C793" s="763"/>
      <c r="D793" s="763"/>
      <c r="E793" s="763"/>
      <c r="F793" s="763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40">
        <v>0</v>
      </c>
      <c r="O793" s="498"/>
      <c r="P793" s="49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</row>
    <row r="794" spans="1:26" ht="18.75" hidden="1">
      <c r="A794" s="574"/>
      <c r="B794" s="575"/>
      <c r="C794" s="763"/>
      <c r="D794" s="763"/>
      <c r="E794" s="763"/>
      <c r="F794" s="763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40">
        <v>0</v>
      </c>
      <c r="O794" s="498"/>
      <c r="P794" s="49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</row>
    <row r="795" spans="1:26" ht="18.75" hidden="1">
      <c r="A795" s="574"/>
      <c r="B795" s="575"/>
      <c r="C795" s="763"/>
      <c r="D795" s="763"/>
      <c r="E795" s="763"/>
      <c r="F795" s="763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40">
        <v>0</v>
      </c>
      <c r="O795" s="498"/>
      <c r="P795" s="49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</row>
    <row r="796" spans="1:26" ht="18.75" hidden="1">
      <c r="A796" s="597"/>
      <c r="B796" s="575"/>
      <c r="C796" s="763"/>
      <c r="D796" s="606" t="s">
        <v>21</v>
      </c>
      <c r="E796" s="763"/>
      <c r="F796" s="763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</row>
    <row r="797" spans="1:26" ht="18.75" hidden="1">
      <c r="A797" s="599"/>
      <c r="B797" s="607"/>
      <c r="C797" s="759"/>
      <c r="D797" s="759"/>
      <c r="E797" s="759" t="s">
        <v>18</v>
      </c>
      <c r="F797" s="759"/>
      <c r="G797" s="603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4"/>
      <c r="R797" s="604"/>
      <c r="S797" s="604"/>
      <c r="T797" s="604"/>
      <c r="U797" s="604"/>
      <c r="V797" s="604"/>
      <c r="W797" s="604"/>
      <c r="X797" s="604"/>
      <c r="Y797" s="604"/>
      <c r="Z797" s="604"/>
    </row>
    <row r="798" spans="1:26" ht="18.75" hidden="1">
      <c r="A798" s="599"/>
      <c r="B798" s="607"/>
      <c r="C798" s="759"/>
      <c r="D798" s="759"/>
      <c r="E798" s="759" t="s">
        <v>19</v>
      </c>
      <c r="F798" s="759"/>
      <c r="G798" s="603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4"/>
      <c r="R798" s="604"/>
      <c r="S798" s="604"/>
      <c r="T798" s="604"/>
      <c r="U798" s="604"/>
      <c r="V798" s="604"/>
      <c r="W798" s="604"/>
      <c r="X798" s="604"/>
      <c r="Y798" s="604"/>
      <c r="Z798" s="604"/>
    </row>
    <row r="799" spans="1:26" ht="19.5" hidden="1">
      <c r="A799" s="608"/>
      <c r="B799" s="618"/>
      <c r="C799" s="763" t="s">
        <v>16</v>
      </c>
      <c r="D799" s="898" t="s">
        <v>38</v>
      </c>
      <c r="E799" s="761"/>
      <c r="F799" s="761"/>
      <c r="G799" s="613"/>
      <c r="H799" s="904"/>
      <c r="I799" s="184"/>
      <c r="J799" s="184"/>
      <c r="K799" s="163"/>
      <c r="L799" s="163"/>
      <c r="M799" s="163"/>
      <c r="N799" s="163"/>
      <c r="O799" s="163"/>
      <c r="P799" s="163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</row>
    <row r="800" spans="1:26" ht="18.75" hidden="1">
      <c r="A800" s="608"/>
      <c r="B800" s="618"/>
      <c r="C800" s="618"/>
      <c r="D800" s="618"/>
      <c r="E800" s="626"/>
      <c r="F800" s="626" t="s">
        <v>321</v>
      </c>
      <c r="G800" s="762"/>
      <c r="H800" s="185" t="s">
        <v>46</v>
      </c>
      <c r="I800" s="184">
        <f ca="1">IFERROR(__xludf.DUMMYFUNCTION("IMPORTRANGE(""https://docs.google.com/spreadsheets/d/1QqKyyYR6Q21VydFLVH3TRQUabQu_ym0Zz7PgGX0-kHA/edit?usp=sharing"",""แผน!JN38"")"),0)</f>
        <v>0</v>
      </c>
      <c r="J800" s="184">
        <f ca="1">IFERROR(__xludf.DUMMYFUNCTION("IMPORTRANGE(""https://docs.google.com/spreadsheets/d/1MaWodYyGHDf7siQLGxnXhG4mBNTNIuy296niS2xXulU/edit?usp=sharing"",""RTK!H38"")"),0)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</row>
    <row r="801" spans="1:26" ht="18.75" hidden="1">
      <c r="A801" s="608"/>
      <c r="B801" s="618"/>
      <c r="C801" s="618"/>
      <c r="D801" s="618"/>
      <c r="E801" s="626"/>
      <c r="F801" s="626"/>
      <c r="G801" s="762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IFERROR(__xludf.DUMMYFUNCTION("IMPORTRANGE(""https://docs.google.com/spreadsheets/d/1MaWodYyGHDf7siQLGxnXhG4mBNTNIuy296niS2xXulU/edit?usp=sharing"",""RTK!I38"")"),0)</f>
        <v>0</v>
      </c>
      <c r="K801" s="498"/>
      <c r="L801" s="498"/>
      <c r="M801" s="498"/>
      <c r="N801" s="498"/>
      <c r="O801" s="163"/>
      <c r="P801" s="163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</row>
    <row r="802" spans="1:26" ht="18.75" hidden="1">
      <c r="A802" s="614"/>
      <c r="B802" s="616"/>
      <c r="C802" s="616"/>
      <c r="D802" s="616"/>
      <c r="E802" s="720"/>
      <c r="F802" s="720" t="s">
        <v>322</v>
      </c>
      <c r="G802" s="366"/>
      <c r="H802" s="653" t="s">
        <v>46</v>
      </c>
      <c r="I802" s="166"/>
      <c r="J802" s="617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4"/>
      <c r="R802" s="604"/>
      <c r="S802" s="604"/>
      <c r="T802" s="604"/>
      <c r="U802" s="604"/>
      <c r="V802" s="604"/>
      <c r="W802" s="604"/>
      <c r="X802" s="604"/>
      <c r="Y802" s="604"/>
      <c r="Z802" s="604"/>
    </row>
    <row r="803" spans="1:26" ht="18.75" hidden="1">
      <c r="A803" s="614"/>
      <c r="B803" s="616"/>
      <c r="C803" s="616"/>
      <c r="D803" s="616"/>
      <c r="E803" s="720"/>
      <c r="F803" s="720"/>
      <c r="G803" s="366"/>
      <c r="H803" s="653" t="s">
        <v>34</v>
      </c>
      <c r="I803" s="166"/>
      <c r="J803" s="617">
        <v>0</v>
      </c>
      <c r="K803" s="167"/>
      <c r="L803" s="167"/>
      <c r="M803" s="167"/>
      <c r="N803" s="167"/>
      <c r="O803" s="167"/>
      <c r="P803" s="167"/>
      <c r="Q803" s="604"/>
      <c r="R803" s="604"/>
      <c r="S803" s="604"/>
      <c r="T803" s="604"/>
      <c r="U803" s="604"/>
      <c r="V803" s="604"/>
      <c r="W803" s="604"/>
      <c r="X803" s="604"/>
      <c r="Y803" s="604"/>
      <c r="Z803" s="604"/>
    </row>
    <row r="804" spans="1:26" ht="19.5" hidden="1">
      <c r="A804" s="793">
        <v>13</v>
      </c>
      <c r="B804" s="794" t="s">
        <v>323</v>
      </c>
      <c r="C804" s="795"/>
      <c r="D804" s="825"/>
      <c r="E804" s="795"/>
      <c r="F804" s="795"/>
      <c r="G804" s="796"/>
      <c r="H804" s="797" t="s">
        <v>46</v>
      </c>
      <c r="I804" s="798"/>
      <c r="J804" s="798">
        <f>J819</f>
        <v>0</v>
      </c>
      <c r="K804" s="799">
        <f>IF(I804&gt;0,J804*100/I804,0)</f>
        <v>0</v>
      </c>
      <c r="L804" s="800"/>
      <c r="M804" s="800"/>
      <c r="N804" s="800"/>
      <c r="O804" s="800"/>
      <c r="P804" s="800"/>
      <c r="Q804" s="604"/>
      <c r="R804" s="604"/>
      <c r="S804" s="604"/>
      <c r="T804" s="604"/>
      <c r="U804" s="604"/>
      <c r="V804" s="604"/>
      <c r="W804" s="604"/>
      <c r="X804" s="604"/>
      <c r="Y804" s="604"/>
      <c r="Z804" s="604"/>
    </row>
    <row r="805" spans="1:26" ht="19.5" hidden="1">
      <c r="A805" s="599"/>
      <c r="B805" s="759"/>
      <c r="C805" s="759" t="s">
        <v>16</v>
      </c>
      <c r="D805" s="864" t="s">
        <v>17</v>
      </c>
      <c r="E805" s="857"/>
      <c r="F805" s="857"/>
      <c r="G805" s="603"/>
      <c r="H805" s="646" t="s">
        <v>12</v>
      </c>
      <c r="I805" s="617"/>
      <c r="J805" s="617"/>
      <c r="K805" s="93"/>
      <c r="L805" s="647">
        <f t="shared" ref="L805:N805" si="327">L806+L807</f>
        <v>0</v>
      </c>
      <c r="M805" s="647">
        <f t="shared" si="327"/>
        <v>0</v>
      </c>
      <c r="N805" s="647">
        <f t="shared" si="327"/>
        <v>0</v>
      </c>
      <c r="O805" s="647">
        <f t="shared" ref="O805:O810" si="328">IF(L805&gt;0,N805*100/L805,0)</f>
        <v>0</v>
      </c>
      <c r="P805" s="647">
        <f t="shared" ref="P805:P810" si="329">IF(M805&gt;0,N805*100/M805,0)</f>
        <v>0</v>
      </c>
      <c r="Q805" s="604"/>
      <c r="R805" s="604"/>
      <c r="S805" s="604"/>
      <c r="T805" s="604"/>
      <c r="U805" s="604"/>
      <c r="V805" s="604"/>
      <c r="W805" s="604"/>
      <c r="X805" s="604"/>
      <c r="Y805" s="604"/>
      <c r="Z805" s="604"/>
    </row>
    <row r="806" spans="1:26" ht="18.75" hidden="1">
      <c r="A806" s="599"/>
      <c r="B806" s="759"/>
      <c r="C806" s="759"/>
      <c r="D806" s="616"/>
      <c r="E806" s="759" t="s">
        <v>185</v>
      </c>
      <c r="F806" s="759"/>
      <c r="G806" s="603"/>
      <c r="H806" s="165" t="s">
        <v>12</v>
      </c>
      <c r="I806" s="617"/>
      <c r="J806" s="617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4"/>
      <c r="R806" s="604"/>
      <c r="S806" s="604"/>
      <c r="T806" s="604"/>
      <c r="U806" s="604"/>
      <c r="V806" s="604"/>
      <c r="W806" s="604"/>
      <c r="X806" s="604"/>
      <c r="Y806" s="604"/>
      <c r="Z806" s="604"/>
    </row>
    <row r="807" spans="1:26" ht="18.75" hidden="1">
      <c r="A807" s="599"/>
      <c r="B807" s="759"/>
      <c r="C807" s="759"/>
      <c r="D807" s="616"/>
      <c r="E807" s="759" t="s">
        <v>186</v>
      </c>
      <c r="F807" s="759"/>
      <c r="G807" s="603"/>
      <c r="H807" s="165" t="s">
        <v>12</v>
      </c>
      <c r="I807" s="617"/>
      <c r="J807" s="617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4"/>
      <c r="R807" s="604"/>
      <c r="S807" s="604"/>
      <c r="T807" s="604"/>
      <c r="U807" s="604"/>
      <c r="V807" s="604"/>
      <c r="W807" s="604"/>
      <c r="X807" s="604"/>
      <c r="Y807" s="604"/>
      <c r="Z807" s="604"/>
    </row>
    <row r="808" spans="1:26" ht="19.5" hidden="1">
      <c r="A808" s="599"/>
      <c r="B808" s="607"/>
      <c r="C808" s="759"/>
      <c r="D808" s="905" t="s">
        <v>20</v>
      </c>
      <c r="E808" s="857"/>
      <c r="F808" s="857"/>
      <c r="G808" s="603"/>
      <c r="H808" s="646" t="s">
        <v>12</v>
      </c>
      <c r="I808" s="166"/>
      <c r="J808" s="166"/>
      <c r="K808" s="167"/>
      <c r="L808" s="647">
        <f t="shared" ref="L808:N808" si="331">L809+L810</f>
        <v>0</v>
      </c>
      <c r="M808" s="647">
        <f t="shared" si="331"/>
        <v>0</v>
      </c>
      <c r="N808" s="647">
        <f t="shared" si="331"/>
        <v>0</v>
      </c>
      <c r="O808" s="647">
        <f t="shared" si="328"/>
        <v>0</v>
      </c>
      <c r="P808" s="647">
        <f t="shared" si="329"/>
        <v>0</v>
      </c>
      <c r="Q808" s="604"/>
      <c r="R808" s="604"/>
      <c r="S808" s="604"/>
      <c r="T808" s="604"/>
      <c r="U808" s="604"/>
      <c r="V808" s="604"/>
      <c r="W808" s="604"/>
      <c r="X808" s="604"/>
      <c r="Y808" s="604"/>
      <c r="Z808" s="604"/>
    </row>
    <row r="809" spans="1:26" ht="18.75" hidden="1">
      <c r="A809" s="599"/>
      <c r="B809" s="759"/>
      <c r="C809" s="759"/>
      <c r="D809" s="616"/>
      <c r="E809" s="759" t="s">
        <v>185</v>
      </c>
      <c r="F809" s="759"/>
      <c r="G809" s="603"/>
      <c r="H809" s="165" t="s">
        <v>12</v>
      </c>
      <c r="I809" s="617"/>
      <c r="J809" s="617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4"/>
      <c r="R809" s="604"/>
      <c r="S809" s="604"/>
      <c r="T809" s="604"/>
      <c r="U809" s="604"/>
      <c r="V809" s="604"/>
      <c r="W809" s="604"/>
      <c r="X809" s="604"/>
      <c r="Y809" s="604"/>
      <c r="Z809" s="604"/>
    </row>
    <row r="810" spans="1:26" ht="18.75" hidden="1">
      <c r="A810" s="599"/>
      <c r="B810" s="759"/>
      <c r="C810" s="759"/>
      <c r="D810" s="616"/>
      <c r="E810" s="759" t="s">
        <v>186</v>
      </c>
      <c r="F810" s="759"/>
      <c r="G810" s="603"/>
      <c r="H810" s="165" t="s">
        <v>12</v>
      </c>
      <c r="I810" s="617"/>
      <c r="J810" s="617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4"/>
      <c r="R810" s="604"/>
      <c r="S810" s="604"/>
      <c r="T810" s="604"/>
      <c r="U810" s="604"/>
      <c r="V810" s="604"/>
      <c r="W810" s="604"/>
      <c r="X810" s="604"/>
      <c r="Y810" s="604"/>
      <c r="Z810" s="604"/>
    </row>
    <row r="811" spans="1:26" ht="18.75" hidden="1">
      <c r="A811" s="649"/>
      <c r="B811" s="607"/>
      <c r="C811" s="759"/>
      <c r="D811" s="607"/>
      <c r="E811" s="759"/>
      <c r="F811" s="759" t="s">
        <v>187</v>
      </c>
      <c r="G811" s="603"/>
      <c r="H811" s="165" t="s">
        <v>12</v>
      </c>
      <c r="I811" s="617"/>
      <c r="J811" s="617"/>
      <c r="K811" s="93"/>
      <c r="L811" s="93"/>
      <c r="M811" s="93"/>
      <c r="N811" s="93"/>
      <c r="O811" s="93"/>
      <c r="P811" s="93"/>
      <c r="Q811" s="604"/>
      <c r="R811" s="604"/>
      <c r="S811" s="604"/>
      <c r="T811" s="604"/>
      <c r="U811" s="604"/>
      <c r="V811" s="604"/>
      <c r="W811" s="604"/>
      <c r="X811" s="604"/>
      <c r="Y811" s="604"/>
      <c r="Z811" s="604"/>
    </row>
    <row r="812" spans="1:26" ht="18.75" hidden="1">
      <c r="A812" s="649"/>
      <c r="B812" s="607"/>
      <c r="C812" s="759"/>
      <c r="D812" s="607"/>
      <c r="E812" s="759"/>
      <c r="F812" s="759" t="s">
        <v>188</v>
      </c>
      <c r="G812" s="603"/>
      <c r="H812" s="165" t="s">
        <v>12</v>
      </c>
      <c r="I812" s="617"/>
      <c r="J812" s="617"/>
      <c r="K812" s="93"/>
      <c r="L812" s="93"/>
      <c r="M812" s="93"/>
      <c r="N812" s="93"/>
      <c r="O812" s="93"/>
      <c r="P812" s="93"/>
      <c r="Q812" s="604"/>
      <c r="R812" s="604"/>
      <c r="S812" s="604"/>
      <c r="T812" s="604"/>
      <c r="U812" s="604"/>
      <c r="V812" s="604"/>
      <c r="W812" s="604"/>
      <c r="X812" s="604"/>
      <c r="Y812" s="604"/>
      <c r="Z812" s="604"/>
    </row>
    <row r="813" spans="1:26" ht="18.75" hidden="1">
      <c r="A813" s="649"/>
      <c r="B813" s="607"/>
      <c r="C813" s="759"/>
      <c r="D813" s="607"/>
      <c r="E813" s="759"/>
      <c r="F813" s="759" t="s">
        <v>189</v>
      </c>
      <c r="G813" s="603"/>
      <c r="H813" s="165" t="s">
        <v>12</v>
      </c>
      <c r="I813" s="617"/>
      <c r="J813" s="617"/>
      <c r="K813" s="93"/>
      <c r="L813" s="93"/>
      <c r="M813" s="93"/>
      <c r="N813" s="93"/>
      <c r="O813" s="93"/>
      <c r="P813" s="93"/>
      <c r="Q813" s="604"/>
      <c r="R813" s="604"/>
      <c r="S813" s="604"/>
      <c r="T813" s="604"/>
      <c r="U813" s="604"/>
      <c r="V813" s="604"/>
      <c r="W813" s="604"/>
      <c r="X813" s="604"/>
      <c r="Y813" s="604"/>
      <c r="Z813" s="604"/>
    </row>
    <row r="814" spans="1:26" ht="18.75" hidden="1">
      <c r="A814" s="649"/>
      <c r="B814" s="607"/>
      <c r="C814" s="759"/>
      <c r="D814" s="607"/>
      <c r="E814" s="759"/>
      <c r="F814" s="759" t="s">
        <v>190</v>
      </c>
      <c r="G814" s="603"/>
      <c r="H814" s="165" t="s">
        <v>12</v>
      </c>
      <c r="I814" s="617"/>
      <c r="J814" s="617"/>
      <c r="K814" s="93"/>
      <c r="L814" s="93"/>
      <c r="M814" s="93"/>
      <c r="N814" s="93"/>
      <c r="O814" s="93"/>
      <c r="P814" s="93"/>
      <c r="Q814" s="604"/>
      <c r="R814" s="604"/>
      <c r="S814" s="604"/>
      <c r="T814" s="604"/>
      <c r="U814" s="604"/>
      <c r="V814" s="604"/>
      <c r="W814" s="604"/>
      <c r="X814" s="604"/>
      <c r="Y814" s="604"/>
      <c r="Z814" s="604"/>
    </row>
    <row r="815" spans="1:26" ht="19.5" hidden="1">
      <c r="A815" s="599"/>
      <c r="B815" s="607"/>
      <c r="C815" s="759"/>
      <c r="D815" s="905" t="s">
        <v>21</v>
      </c>
      <c r="E815" s="857"/>
      <c r="F815" s="857"/>
      <c r="G815" s="603"/>
      <c r="H815" s="783" t="s">
        <v>12</v>
      </c>
      <c r="I815" s="166"/>
      <c r="J815" s="166"/>
      <c r="K815" s="167"/>
      <c r="L815" s="647">
        <f t="shared" ref="L815:N815" si="332">L816+L817</f>
        <v>0</v>
      </c>
      <c r="M815" s="647">
        <f t="shared" si="332"/>
        <v>0</v>
      </c>
      <c r="N815" s="647">
        <f t="shared" si="332"/>
        <v>0</v>
      </c>
      <c r="O815" s="647">
        <f t="shared" ref="O815:O817" si="333">IF(L815&gt;0,N815*100/L815,0)</f>
        <v>0</v>
      </c>
      <c r="P815" s="647">
        <f t="shared" ref="P815:P817" si="334">IF(M815&gt;0,N815*100/M815,0)</f>
        <v>0</v>
      </c>
      <c r="Q815" s="604"/>
      <c r="R815" s="604"/>
      <c r="S815" s="604"/>
      <c r="T815" s="604"/>
      <c r="U815" s="604"/>
      <c r="V815" s="604"/>
      <c r="W815" s="604"/>
      <c r="X815" s="604"/>
      <c r="Y815" s="604"/>
      <c r="Z815" s="604"/>
    </row>
    <row r="816" spans="1:26" ht="18.75" hidden="1">
      <c r="A816" s="599"/>
      <c r="B816" s="607"/>
      <c r="C816" s="759"/>
      <c r="D816" s="607"/>
      <c r="E816" s="759" t="s">
        <v>18</v>
      </c>
      <c r="F816" s="759"/>
      <c r="G816" s="603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4"/>
      <c r="R816" s="604"/>
      <c r="S816" s="604"/>
      <c r="T816" s="604"/>
      <c r="U816" s="604"/>
      <c r="V816" s="604"/>
      <c r="W816" s="604"/>
      <c r="X816" s="604"/>
      <c r="Y816" s="604"/>
      <c r="Z816" s="604"/>
    </row>
    <row r="817" spans="1:26" ht="18.75" hidden="1">
      <c r="A817" s="599"/>
      <c r="B817" s="607"/>
      <c r="C817" s="759"/>
      <c r="D817" s="607"/>
      <c r="E817" s="759" t="s">
        <v>19</v>
      </c>
      <c r="F817" s="759"/>
      <c r="G817" s="603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4"/>
      <c r="R817" s="604"/>
      <c r="S817" s="604"/>
      <c r="T817" s="604"/>
      <c r="U817" s="604"/>
      <c r="V817" s="604"/>
      <c r="W817" s="604"/>
      <c r="X817" s="604"/>
      <c r="Y817" s="604"/>
      <c r="Z817" s="604"/>
    </row>
    <row r="818" spans="1:26" ht="19.5" hidden="1">
      <c r="A818" s="614"/>
      <c r="B818" s="616"/>
      <c r="C818" s="759" t="s">
        <v>16</v>
      </c>
      <c r="D818" s="906" t="s">
        <v>38</v>
      </c>
      <c r="E818" s="651"/>
      <c r="F818" s="651"/>
      <c r="G818" s="652"/>
      <c r="H818" s="366"/>
      <c r="I818" s="166"/>
      <c r="J818" s="166"/>
      <c r="K818" s="167"/>
      <c r="L818" s="167"/>
      <c r="M818" s="167"/>
      <c r="N818" s="167"/>
      <c r="O818" s="167"/>
      <c r="P818" s="167"/>
      <c r="Q818" s="604"/>
      <c r="R818" s="604"/>
      <c r="S818" s="604"/>
      <c r="T818" s="604"/>
      <c r="U818" s="604"/>
      <c r="V818" s="604"/>
      <c r="W818" s="604"/>
      <c r="X818" s="604"/>
      <c r="Y818" s="604"/>
      <c r="Z818" s="604"/>
    </row>
    <row r="819" spans="1:26" ht="19.5" hidden="1" thickBot="1">
      <c r="A819" s="827"/>
      <c r="B819" s="828"/>
      <c r="C819" s="830"/>
      <c r="D819" s="828"/>
      <c r="E819" s="830" t="s">
        <v>324</v>
      </c>
      <c r="F819" s="830"/>
      <c r="G819" s="831"/>
      <c r="H819" s="832" t="s">
        <v>46</v>
      </c>
      <c r="I819" s="833"/>
      <c r="J819" s="833"/>
      <c r="K819" s="834"/>
      <c r="L819" s="834"/>
      <c r="M819" s="834"/>
      <c r="N819" s="834"/>
      <c r="O819" s="834"/>
      <c r="P819" s="834"/>
      <c r="Q819" s="604"/>
      <c r="R819" s="604"/>
      <c r="S819" s="604"/>
      <c r="T819" s="604"/>
      <c r="U819" s="604"/>
      <c r="V819" s="604"/>
      <c r="W819" s="604"/>
      <c r="X819" s="604"/>
      <c r="Y819" s="604"/>
      <c r="Z819" s="604"/>
    </row>
    <row r="820" spans="1:26" ht="19.5">
      <c r="A820" s="907" t="s">
        <v>337</v>
      </c>
      <c r="B820" s="908"/>
      <c r="C820" s="908"/>
      <c r="D820" s="909"/>
      <c r="E820" s="908"/>
      <c r="F820" s="908"/>
      <c r="G820" s="910"/>
      <c r="H820" s="91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912"/>
      <c r="J820" s="912"/>
      <c r="K820" s="913"/>
      <c r="L820" s="913"/>
      <c r="M820" s="913"/>
      <c r="N820" s="913"/>
      <c r="O820" s="913"/>
      <c r="P820" s="913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</row>
    <row r="821" spans="1:26" ht="18.75">
      <c r="A821" s="744"/>
      <c r="B821" s="763" t="s">
        <v>326</v>
      </c>
      <c r="C821" s="763"/>
      <c r="D821" s="575"/>
      <c r="E821" s="763"/>
      <c r="F821" s="763"/>
      <c r="G821" s="189"/>
      <c r="H821" s="623" t="s">
        <v>12</v>
      </c>
      <c r="I821" s="270">
        <f ca="1">IFERROR(__xludf.DUMMYFUNCTION("IMPORTRANGE(""https://docs.google.com/spreadsheets/d/19vJNZY_5yjcGF2XGBMNZRCAIB0Kwfpjp8YEOfu-bneM/edit?usp=sharing"",""งานกองทุน!D38"")"),4879549.97)</f>
        <v>4879549.97</v>
      </c>
      <c r="J821" s="270">
        <f ca="1">IFERROR(__xludf.DUMMYFUNCTION("IMPORTRANGE(""https://docs.google.com/spreadsheets/d/19vJNZY_5yjcGF2XGBMNZRCAIB0Kwfpjp8YEOfu-bneM/edit?usp=sharing"",""งานกองทุน!F38"")"),4967576.62)</f>
        <v>4967576.62</v>
      </c>
      <c r="K821" s="498">
        <f t="shared" ref="K821:K828" ca="1" si="335">IF(I821&gt;0,J821*100/I821,0)</f>
        <v>101.80399115781573</v>
      </c>
      <c r="L821" s="498"/>
      <c r="M821" s="498"/>
      <c r="N821" s="498"/>
      <c r="O821" s="498"/>
      <c r="P821" s="49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</row>
    <row r="822" spans="1:26" ht="18.75">
      <c r="A822" s="744"/>
      <c r="B822" s="763"/>
      <c r="C822" s="763"/>
      <c r="D822" s="575"/>
      <c r="E822" s="763"/>
      <c r="F822" s="763"/>
      <c r="G822" s="189"/>
      <c r="H822" s="623" t="s">
        <v>35</v>
      </c>
      <c r="I822" s="270">
        <f ca="1">IFERROR(__xludf.DUMMYFUNCTION("IMPORTRANGE(""https://docs.google.com/spreadsheets/d/19vJNZY_5yjcGF2XGBMNZRCAIB0Kwfpjp8YEOfu-bneM/edit?usp=sharing"",""งานกองทุน!C38"")"),285)</f>
        <v>285</v>
      </c>
      <c r="J822" s="270">
        <f ca="1">IFERROR(__xludf.DUMMYFUNCTION("IMPORTRANGE(""https://docs.google.com/spreadsheets/d/19vJNZY_5yjcGF2XGBMNZRCAIB0Kwfpjp8YEOfu-bneM/edit?usp=sharing"",""งานกองทุน!E38"")"),298)</f>
        <v>298</v>
      </c>
      <c r="K822" s="498">
        <f t="shared" ca="1" si="335"/>
        <v>104.56140350877193</v>
      </c>
      <c r="L822" s="498"/>
      <c r="M822" s="498"/>
      <c r="N822" s="498"/>
      <c r="O822" s="498"/>
      <c r="P822" s="49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</row>
    <row r="823" spans="1:26" ht="18.75">
      <c r="A823" s="744"/>
      <c r="B823" s="763" t="s">
        <v>327</v>
      </c>
      <c r="C823" s="763"/>
      <c r="D823" s="575"/>
      <c r="E823" s="763"/>
      <c r="F823" s="763"/>
      <c r="G823" s="189"/>
      <c r="H823" s="623" t="s">
        <v>12</v>
      </c>
      <c r="I823" s="270">
        <f ca="1">IFERROR(__xludf.DUMMYFUNCTION("IMPORTRANGE(""https://docs.google.com/spreadsheets/d/19vJNZY_5yjcGF2XGBMNZRCAIB0Kwfpjp8YEOfu-bneM/edit?usp=sharing"",""งานกองทุน!I38"")"),2752725.29)</f>
        <v>2752725.29</v>
      </c>
      <c r="J823" s="270">
        <f ca="1">IFERROR(__xludf.DUMMYFUNCTION("IMPORTRANGE(""https://docs.google.com/spreadsheets/d/19vJNZY_5yjcGF2XGBMNZRCAIB0Kwfpjp8YEOfu-bneM/edit?usp=sharing"",""งานกองทุน!K38"")"),916317.5)</f>
        <v>916317.5</v>
      </c>
      <c r="K823" s="498">
        <f t="shared" ca="1" si="335"/>
        <v>33.287647820462318</v>
      </c>
      <c r="L823" s="498"/>
      <c r="M823" s="498"/>
      <c r="N823" s="498"/>
      <c r="O823" s="498"/>
      <c r="P823" s="49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</row>
    <row r="824" spans="1:26" ht="18.75">
      <c r="A824" s="744"/>
      <c r="B824" s="763"/>
      <c r="C824" s="763"/>
      <c r="D824" s="575"/>
      <c r="E824" s="763"/>
      <c r="F824" s="763"/>
      <c r="G824" s="189"/>
      <c r="H824" s="623" t="s">
        <v>35</v>
      </c>
      <c r="I824" s="270">
        <f ca="1">IFERROR(__xludf.DUMMYFUNCTION("IMPORTRANGE(""https://docs.google.com/spreadsheets/d/19vJNZY_5yjcGF2XGBMNZRCAIB0Kwfpjp8YEOfu-bneM/edit?usp=sharing"",""งานกองทุน!H38"")"),134)</f>
        <v>134</v>
      </c>
      <c r="J824" s="270">
        <f ca="1">IFERROR(__xludf.DUMMYFUNCTION("IMPORTRANGE(""https://docs.google.com/spreadsheets/d/19vJNZY_5yjcGF2XGBMNZRCAIB0Kwfpjp8YEOfu-bneM/edit?usp=sharing"",""งานกองทุน!J38"")"),78)</f>
        <v>78</v>
      </c>
      <c r="K824" s="498">
        <f t="shared" ca="1" si="335"/>
        <v>58.208955223880594</v>
      </c>
      <c r="L824" s="498"/>
      <c r="M824" s="498"/>
      <c r="N824" s="498"/>
      <c r="O824" s="498"/>
      <c r="P824" s="49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</row>
    <row r="825" spans="1:26" ht="18.75">
      <c r="A825" s="744"/>
      <c r="B825" s="763" t="s">
        <v>328</v>
      </c>
      <c r="C825" s="763"/>
      <c r="D825" s="575"/>
      <c r="E825" s="763"/>
      <c r="F825" s="763"/>
      <c r="G825" s="189"/>
      <c r="H825" s="623" t="s">
        <v>12</v>
      </c>
      <c r="I825" s="270">
        <f ca="1">IFERROR(__xludf.DUMMYFUNCTION("IMPORTRANGE(""https://docs.google.com/spreadsheets/d/19vJNZY_5yjcGF2XGBMNZRCAIB0Kwfpjp8YEOfu-bneM/edit?usp=sharing"",""งานกองทุน!N38"")"),2454114.32)</f>
        <v>2454114.3199999998</v>
      </c>
      <c r="J825" s="270">
        <f ca="1">IFERROR(__xludf.DUMMYFUNCTION("IMPORTRANGE(""https://docs.google.com/spreadsheets/d/19vJNZY_5yjcGF2XGBMNZRCAIB0Kwfpjp8YEOfu-bneM/edit?usp=sharing"",""งานกองทุน!P38"")"),1237797.54)</f>
        <v>1237797.54</v>
      </c>
      <c r="K825" s="498">
        <f t="shared" ca="1" si="335"/>
        <v>50.437647908757569</v>
      </c>
      <c r="L825" s="498"/>
      <c r="M825" s="498"/>
      <c r="N825" s="498"/>
      <c r="O825" s="498"/>
      <c r="P825" s="49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</row>
    <row r="826" spans="1:26" ht="18.75">
      <c r="A826" s="744"/>
      <c r="B826" s="763"/>
      <c r="C826" s="763"/>
      <c r="D826" s="575"/>
      <c r="E826" s="763"/>
      <c r="F826" s="763"/>
      <c r="G826" s="189"/>
      <c r="H826" s="623" t="s">
        <v>35</v>
      </c>
      <c r="I826" s="270">
        <f ca="1">IFERROR(__xludf.DUMMYFUNCTION("IMPORTRANGE(""https://docs.google.com/spreadsheets/d/19vJNZY_5yjcGF2XGBMNZRCAIB0Kwfpjp8YEOfu-bneM/edit?usp=sharing"",""งานกองทุน!M38"")"),234)</f>
        <v>234</v>
      </c>
      <c r="J826" s="270">
        <f ca="1">IFERROR(__xludf.DUMMYFUNCTION("IMPORTRANGE(""https://docs.google.com/spreadsheets/d/19vJNZY_5yjcGF2XGBMNZRCAIB0Kwfpjp8YEOfu-bneM/edit?usp=sharing"",""งานกองทุน!O38"")"),210)</f>
        <v>210</v>
      </c>
      <c r="K826" s="498">
        <f t="shared" ca="1" si="335"/>
        <v>89.743589743589737</v>
      </c>
      <c r="L826" s="498"/>
      <c r="M826" s="498"/>
      <c r="N826" s="498"/>
      <c r="O826" s="498"/>
      <c r="P826" s="49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</row>
    <row r="827" spans="1:26" ht="18.75">
      <c r="A827" s="744"/>
      <c r="B827" s="763" t="s">
        <v>329</v>
      </c>
      <c r="C827" s="763"/>
      <c r="D827" s="575"/>
      <c r="E827" s="763"/>
      <c r="F827" s="763"/>
      <c r="G827" s="189"/>
      <c r="H827" s="623" t="s">
        <v>12</v>
      </c>
      <c r="I827" s="270">
        <f ca="1">IFERROR(__xludf.DUMMYFUNCTION("IMPORTRANGE(""https://docs.google.com/spreadsheets/d/19vJNZY_5yjcGF2XGBMNZRCAIB0Kwfpjp8YEOfu-bneM/edit?usp=sharing"",""งานกองทุน!S38"")"),3950000)</f>
        <v>3950000</v>
      </c>
      <c r="J827" s="270">
        <f ca="1">IFERROR(__xludf.DUMMYFUNCTION("IMPORTRANGE(""https://docs.google.com/spreadsheets/d/19vJNZY_5yjcGF2XGBMNZRCAIB0Kwfpjp8YEOfu-bneM/edit?usp=sharing"",""งานกองทุน!U38"")"),6290000)</f>
        <v>6290000</v>
      </c>
      <c r="K827" s="498">
        <f t="shared" ca="1" si="335"/>
        <v>159.24050632911391</v>
      </c>
      <c r="L827" s="498"/>
      <c r="M827" s="498"/>
      <c r="N827" s="498"/>
      <c r="O827" s="498"/>
      <c r="P827" s="49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</row>
    <row r="828" spans="1:26" ht="18.75">
      <c r="A828" s="841"/>
      <c r="B828" s="749"/>
      <c r="C828" s="749"/>
      <c r="D828" s="748"/>
      <c r="E828" s="749"/>
      <c r="F828" s="749"/>
      <c r="G828" s="842"/>
      <c r="H828" s="843" t="s">
        <v>35</v>
      </c>
      <c r="I828" s="506">
        <f ca="1">IFERROR(__xludf.DUMMYFUNCTION("IMPORTRANGE(""https://docs.google.com/spreadsheets/d/19vJNZY_5yjcGF2XGBMNZRCAIB0Kwfpjp8YEOfu-bneM/edit?usp=sharing"",""งานกองทุน!R38"")"),158)</f>
        <v>158</v>
      </c>
      <c r="J828" s="506">
        <f ca="1">IFERROR(__xludf.DUMMYFUNCTION("IMPORTRANGE(""https://docs.google.com/spreadsheets/d/19vJNZY_5yjcGF2XGBMNZRCAIB0Kwfpjp8YEOfu-bneM/edit?usp=sharing"",""งานกองทุน!T38"")"),226)</f>
        <v>226</v>
      </c>
      <c r="K828" s="507">
        <f t="shared" ca="1" si="335"/>
        <v>143.03797468354429</v>
      </c>
      <c r="L828" s="507"/>
      <c r="M828" s="507"/>
      <c r="N828" s="507"/>
      <c r="O828" s="507"/>
      <c r="P828" s="507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22601-0C93-4095-972A-CFE39BCE7CA4}">
  <sheetPr>
    <outlinePr summaryBelow="0" summaryRight="0"/>
    <pageSetUpPr fitToPage="1"/>
  </sheetPr>
  <dimension ref="A1:Z828"/>
  <sheetViews>
    <sheetView view="pageBreakPreview" topLeftCell="C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346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364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6713263</v>
      </c>
      <c r="M8" s="22">
        <f t="shared" ca="1" si="0"/>
        <v>6523920</v>
      </c>
      <c r="N8" s="22">
        <f t="shared" ca="1" si="0"/>
        <v>6523920</v>
      </c>
      <c r="O8" s="22">
        <f t="shared" ref="O8:O16" ca="1" si="1">IF(L8&gt;0,N8*100/L8,0)</f>
        <v>97.179568266579153</v>
      </c>
      <c r="P8" s="22">
        <f t="shared" ref="P8:P16" ca="1" si="2">IF(M8&gt;0,N8*100/M8,0)</f>
        <v>100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6713263</v>
      </c>
      <c r="M10" s="30">
        <f t="shared" ca="1" si="3"/>
        <v>6523920</v>
      </c>
      <c r="N10" s="30">
        <f t="shared" ca="1" si="3"/>
        <v>6523920</v>
      </c>
      <c r="O10" s="30">
        <f t="shared" ca="1" si="1"/>
        <v>97.179568266579153</v>
      </c>
      <c r="P10" s="30">
        <f t="shared" ca="1" si="2"/>
        <v>100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3" t="s">
        <v>12</v>
      </c>
      <c r="I11" s="270"/>
      <c r="J11" s="270"/>
      <c r="K11" s="498"/>
      <c r="L11" s="498">
        <f t="shared" ref="L11:N11" ca="1" si="4">L12+L13</f>
        <v>6132263</v>
      </c>
      <c r="M11" s="498">
        <f t="shared" ca="1" si="4"/>
        <v>5942920</v>
      </c>
      <c r="N11" s="498">
        <f t="shared" ca="1" si="4"/>
        <v>5942920</v>
      </c>
      <c r="O11" s="498">
        <f t="shared" ca="1" si="1"/>
        <v>96.912347040562352</v>
      </c>
      <c r="P11" s="498">
        <f t="shared" ca="1" si="2"/>
        <v>100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7"/>
      <c r="J12" s="617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7"/>
      <c r="J13" s="617"/>
      <c r="K13" s="93"/>
      <c r="L13" s="93">
        <f t="shared" ca="1" si="5"/>
        <v>6132263</v>
      </c>
      <c r="M13" s="93">
        <f t="shared" ca="1" si="5"/>
        <v>5942920</v>
      </c>
      <c r="N13" s="93">
        <f t="shared" ca="1" si="5"/>
        <v>5942920</v>
      </c>
      <c r="O13" s="93">
        <f t="shared" ca="1" si="1"/>
        <v>96.912347040562352</v>
      </c>
      <c r="P13" s="93">
        <f t="shared" ca="1" si="2"/>
        <v>100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3" t="s">
        <v>12</v>
      </c>
      <c r="I14" s="270"/>
      <c r="J14" s="270"/>
      <c r="K14" s="498"/>
      <c r="L14" s="498">
        <f t="shared" ref="L14:N14" ca="1" si="6">L15+L16</f>
        <v>581000</v>
      </c>
      <c r="M14" s="498">
        <f t="shared" ca="1" si="6"/>
        <v>581000</v>
      </c>
      <c r="N14" s="498">
        <f t="shared" ca="1" si="6"/>
        <v>581000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7"/>
      <c r="J15" s="617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581000</v>
      </c>
      <c r="M16" s="52">
        <f t="shared" ca="1" si="7"/>
        <v>581000</v>
      </c>
      <c r="N16" s="52">
        <f t="shared" ca="1" si="7"/>
        <v>581000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4351011</v>
      </c>
      <c r="M18" s="22">
        <f t="shared" ca="1" si="8"/>
        <v>4662244</v>
      </c>
      <c r="N18" s="22">
        <f t="shared" ca="1" si="8"/>
        <v>4662244</v>
      </c>
      <c r="O18" s="22">
        <f t="shared" ref="O18:O26" ca="1" si="9">IF(L18&gt;0,N18*100/L18,0)</f>
        <v>107.1531191256469</v>
      </c>
      <c r="P18" s="22">
        <f t="shared" ref="P18:P26" ca="1" si="10">IF(M18&gt;0,N18*100/M18,0)</f>
        <v>100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4351011</v>
      </c>
      <c r="M20" s="30">
        <f t="shared" ca="1" si="11"/>
        <v>4662244</v>
      </c>
      <c r="N20" s="30">
        <f t="shared" ca="1" si="11"/>
        <v>4662244</v>
      </c>
      <c r="O20" s="30">
        <f t="shared" ca="1" si="9"/>
        <v>107.1531191256469</v>
      </c>
      <c r="P20" s="30">
        <f t="shared" ca="1" si="10"/>
        <v>100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3" t="s">
        <v>12</v>
      </c>
      <c r="I21" s="270"/>
      <c r="J21" s="270"/>
      <c r="K21" s="498"/>
      <c r="L21" s="498">
        <f t="shared" ref="L21:N21" ca="1" si="12">L22+L23</f>
        <v>3770011</v>
      </c>
      <c r="M21" s="498">
        <f t="shared" ca="1" si="12"/>
        <v>4081244</v>
      </c>
      <c r="N21" s="498">
        <f t="shared" ca="1" si="12"/>
        <v>4081244</v>
      </c>
      <c r="O21" s="498">
        <f t="shared" ca="1" si="9"/>
        <v>108.25549315373351</v>
      </c>
      <c r="P21" s="498">
        <f t="shared" ca="1" si="10"/>
        <v>100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7"/>
      <c r="J22" s="617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7"/>
      <c r="J23" s="617"/>
      <c r="K23" s="93"/>
      <c r="L23" s="93">
        <f t="shared" ca="1" si="13"/>
        <v>3770011</v>
      </c>
      <c r="M23" s="93">
        <f t="shared" ca="1" si="13"/>
        <v>4081244</v>
      </c>
      <c r="N23" s="93">
        <f t="shared" ca="1" si="13"/>
        <v>4081244</v>
      </c>
      <c r="O23" s="93">
        <f t="shared" ca="1" si="9"/>
        <v>108.25549315373351</v>
      </c>
      <c r="P23" s="93">
        <f t="shared" ca="1" si="10"/>
        <v>100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3" t="s">
        <v>12</v>
      </c>
      <c r="I24" s="270"/>
      <c r="J24" s="270"/>
      <c r="K24" s="498"/>
      <c r="L24" s="498">
        <f t="shared" ref="L24:N24" ca="1" si="14">L25+L26</f>
        <v>581000</v>
      </c>
      <c r="M24" s="498">
        <f t="shared" ca="1" si="14"/>
        <v>581000</v>
      </c>
      <c r="N24" s="498">
        <f t="shared" ca="1" si="14"/>
        <v>581000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7"/>
      <c r="J25" s="617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581000</v>
      </c>
      <c r="M26" s="52">
        <f t="shared" ca="1" si="15"/>
        <v>581000</v>
      </c>
      <c r="N26" s="52">
        <f t="shared" ca="1" si="15"/>
        <v>581000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2362252</v>
      </c>
      <c r="M28" s="22">
        <f t="shared" ca="1" si="16"/>
        <v>1861676</v>
      </c>
      <c r="N28" s="22">
        <f t="shared" si="16"/>
        <v>1861676</v>
      </c>
      <c r="O28" s="22">
        <f t="shared" ref="O28:O37" ca="1" si="17">IF(L28&gt;0,N28*100/L28,0)</f>
        <v>78.80937342840646</v>
      </c>
      <c r="P28" s="22">
        <f t="shared" ref="P28:P37" ca="1" si="18">IF(M28&gt;0,N28*100/M28,0)</f>
        <v>100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2362252</v>
      </c>
      <c r="M30" s="30">
        <f t="shared" ca="1" si="19"/>
        <v>1861676</v>
      </c>
      <c r="N30" s="30">
        <f t="shared" si="19"/>
        <v>1861676</v>
      </c>
      <c r="O30" s="30">
        <f t="shared" ca="1" si="17"/>
        <v>78.80937342840646</v>
      </c>
      <c r="P30" s="30">
        <f t="shared" ca="1" si="18"/>
        <v>100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3" t="s">
        <v>12</v>
      </c>
      <c r="I31" s="270"/>
      <c r="J31" s="270"/>
      <c r="K31" s="498"/>
      <c r="L31" s="498">
        <f t="shared" ref="L31:N31" ca="1" si="20">L32+L33</f>
        <v>2362252</v>
      </c>
      <c r="M31" s="498">
        <f t="shared" ca="1" si="20"/>
        <v>1861676</v>
      </c>
      <c r="N31" s="498">
        <f t="shared" si="20"/>
        <v>1861676</v>
      </c>
      <c r="O31" s="498">
        <f t="shared" ca="1" si="17"/>
        <v>78.80937342840646</v>
      </c>
      <c r="P31" s="498">
        <f t="shared" ca="1" si="18"/>
        <v>100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7"/>
      <c r="J32" s="617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7"/>
      <c r="J33" s="617"/>
      <c r="K33" s="93"/>
      <c r="L33" s="93">
        <f t="shared" ca="1" si="21"/>
        <v>2362252</v>
      </c>
      <c r="M33" s="93">
        <f t="shared" ca="1" si="21"/>
        <v>1861676</v>
      </c>
      <c r="N33" s="93">
        <f t="shared" si="21"/>
        <v>1861676</v>
      </c>
      <c r="O33" s="93">
        <f t="shared" ca="1" si="17"/>
        <v>78.80937342840646</v>
      </c>
      <c r="P33" s="93">
        <f t="shared" ca="1" si="18"/>
        <v>100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3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7"/>
      <c r="J35" s="617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7" t="s">
        <v>24</v>
      </c>
      <c r="B37" s="868"/>
      <c r="C37" s="868"/>
      <c r="D37" s="868"/>
      <c r="E37" s="868"/>
      <c r="F37" s="868"/>
      <c r="G37" s="869"/>
      <c r="H37" s="870"/>
      <c r="I37" s="871"/>
      <c r="J37" s="871"/>
      <c r="K37" s="872"/>
      <c r="L37" s="873">
        <f t="shared" ref="L37:N37" ca="1" si="24">L41+L53+L66+L88+L119+L132+L149+L165+L181+L261+L277+L298+L315+L328+L345+L389+L402</f>
        <v>4351011</v>
      </c>
      <c r="M37" s="873">
        <f t="shared" ca="1" si="24"/>
        <v>4662244</v>
      </c>
      <c r="N37" s="873">
        <f t="shared" ca="1" si="24"/>
        <v>4662244</v>
      </c>
      <c r="O37" s="873">
        <f t="shared" ca="1" si="17"/>
        <v>107.1531191256469</v>
      </c>
      <c r="P37" s="873">
        <f t="shared" ca="1" si="18"/>
        <v>100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514296</v>
      </c>
      <c r="M41" s="85">
        <f t="shared" ca="1" si="25"/>
        <v>607599</v>
      </c>
      <c r="N41" s="85">
        <f t="shared" ca="1" si="25"/>
        <v>607599</v>
      </c>
      <c r="O41" s="85">
        <f t="shared" ref="O41:O49" ca="1" si="26">IF(L41&gt;0,N41*100/L41,0)</f>
        <v>118.14188716225675</v>
      </c>
      <c r="P41" s="85">
        <f t="shared" ref="P41:P49" ca="1" si="27">IF(M41&gt;0,N41*100/M41,0)</f>
        <v>100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514296</v>
      </c>
      <c r="M43" s="92">
        <f t="shared" ca="1" si="28"/>
        <v>607599</v>
      </c>
      <c r="N43" s="92">
        <f t="shared" ca="1" si="28"/>
        <v>607599</v>
      </c>
      <c r="O43" s="92">
        <f t="shared" ca="1" si="26"/>
        <v>118.14188716225675</v>
      </c>
      <c r="P43" s="92">
        <f t="shared" ca="1" si="27"/>
        <v>100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3" t="s">
        <v>12</v>
      </c>
      <c r="I44" s="270"/>
      <c r="J44" s="270"/>
      <c r="K44" s="498"/>
      <c r="L44" s="498">
        <f t="shared" ref="L44:N44" ca="1" si="29">L45+L46</f>
        <v>514296</v>
      </c>
      <c r="M44" s="498">
        <f t="shared" ca="1" si="29"/>
        <v>607599</v>
      </c>
      <c r="N44" s="498">
        <f t="shared" ca="1" si="29"/>
        <v>607599</v>
      </c>
      <c r="O44" s="498">
        <f t="shared" ca="1" si="26"/>
        <v>118.14188716225675</v>
      </c>
      <c r="P44" s="498">
        <f t="shared" ca="1" si="27"/>
        <v>100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7"/>
      <c r="J45" s="617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7"/>
      <c r="J46" s="617"/>
      <c r="K46" s="93"/>
      <c r="L46" s="93">
        <f ca="1">IFERROR(__xludf.DUMMYFUNCTION("IMPORTRANGE(""https://docs.google.com/spreadsheets/d/1MeEWN-I1oV_STSDYn1IFDPWt_1FKiwhDph83XaGc0o0/edit?usp=sharing"",""งบพรบ!M39"")"),514296)</f>
        <v>514296</v>
      </c>
      <c r="M46" s="93">
        <f ca="1">IFERROR(__xludf.DUMMYFUNCTION("IMPORTRANGE(""https://docs.google.com/spreadsheets/d/1MeEWN-I1oV_STSDYn1IFDPWt_1FKiwhDph83XaGc0o0/edit?usp=sharing"",""งบพรบ!R39"")"),607599)</f>
        <v>607599</v>
      </c>
      <c r="N46" s="93">
        <f ca="1">IFERROR(__xludf.DUMMYFUNCTION("IMPORTRANGE(""https://docs.google.com/spreadsheets/d/1MeEWN-I1oV_STSDYn1IFDPWt_1FKiwhDph83XaGc0o0/edit?usp=sharing"",""งบพรบ!T39"")"),607599)</f>
        <v>607599</v>
      </c>
      <c r="O46" s="93">
        <f t="shared" ca="1" si="26"/>
        <v>118.14188716225675</v>
      </c>
      <c r="P46" s="93">
        <f t="shared" ca="1" si="27"/>
        <v>100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3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7"/>
      <c r="J48" s="617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IFERROR(__xludf.DUMMYFUNCTION("IMPORTRANGE(""https://docs.google.com/spreadsheets/d/1MeEWN-I1oV_STSDYn1IFDPWt_1FKiwhDph83XaGc0o0/edit?usp=sharing"",""งบพรบ!P39"")"),0)</f>
        <v>0</v>
      </c>
      <c r="M49" s="52">
        <f ca="1">IFERROR(__xludf.DUMMYFUNCTION("IMPORTRANGE(""https://docs.google.com/spreadsheets/d/1MeEWN-I1oV_STSDYn1IFDPWt_1FKiwhDph83XaGc0o0/edit?usp=sharing"",""งบพรบ!S39"")"),0)</f>
        <v>0</v>
      </c>
      <c r="N49" s="52">
        <f ca="1">IFERROR(__xludf.DUMMYFUNCTION("IMPORTRANGE(""https://docs.google.com/spreadsheets/d/1MeEWN-I1oV_STSDYn1IFDPWt_1FKiwhDph83XaGc0o0/edit?usp=sharing"",""งบพรบ!U39"")"),0)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679200</v>
      </c>
      <c r="M53" s="116">
        <f t="shared" ca="1" si="31"/>
        <v>724200</v>
      </c>
      <c r="N53" s="116">
        <f t="shared" ca="1" si="31"/>
        <v>724200</v>
      </c>
      <c r="O53" s="116">
        <f t="shared" ref="O53:O61" ca="1" si="32">IF(L53&gt;0,N53*100/L53,0)</f>
        <v>106.62544169611307</v>
      </c>
      <c r="P53" s="116">
        <f t="shared" ref="P53:P61" ca="1" si="33">IF(M53&gt;0,N53*100/M53,0)</f>
        <v>100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679200</v>
      </c>
      <c r="M55" s="123">
        <f t="shared" ca="1" si="34"/>
        <v>724200</v>
      </c>
      <c r="N55" s="123">
        <f t="shared" ca="1" si="34"/>
        <v>724200</v>
      </c>
      <c r="O55" s="123">
        <f t="shared" ca="1" si="32"/>
        <v>106.62544169611307</v>
      </c>
      <c r="P55" s="123">
        <f t="shared" ca="1" si="33"/>
        <v>100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3" t="s">
        <v>12</v>
      </c>
      <c r="I56" s="270"/>
      <c r="J56" s="270"/>
      <c r="K56" s="498"/>
      <c r="L56" s="498">
        <f t="shared" ref="L56:N56" ca="1" si="35">L57+L58</f>
        <v>679200</v>
      </c>
      <c r="M56" s="498">
        <f t="shared" ca="1" si="35"/>
        <v>724200</v>
      </c>
      <c r="N56" s="498">
        <f t="shared" ca="1" si="35"/>
        <v>724200</v>
      </c>
      <c r="O56" s="498">
        <f t="shared" ca="1" si="32"/>
        <v>106.62544169611307</v>
      </c>
      <c r="P56" s="498">
        <f t="shared" ca="1" si="33"/>
        <v>100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7"/>
      <c r="J57" s="617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7"/>
      <c r="J58" s="617"/>
      <c r="K58" s="93"/>
      <c r="L58" s="93">
        <f ca="1">IFERROR(__xludf.DUMMYFUNCTION("IMPORTRANGE(""https://docs.google.com/spreadsheets/d/1MeEWN-I1oV_STSDYn1IFDPWt_1FKiwhDph83XaGc0o0/edit?usp=sharing"",""งบพรบ!W39"")"),679200)</f>
        <v>679200</v>
      </c>
      <c r="M58" s="93">
        <f ca="1">IFERROR(__xludf.DUMMYFUNCTION("IMPORTRANGE(""https://docs.google.com/spreadsheets/d/1MeEWN-I1oV_STSDYn1IFDPWt_1FKiwhDph83XaGc0o0/edit?usp=sharing"",""งบพรบ!AB39"")"),724200)</f>
        <v>724200</v>
      </c>
      <c r="N58" s="93">
        <f ca="1">IFERROR(__xludf.DUMMYFUNCTION("IMPORTRANGE(""https://docs.google.com/spreadsheets/d/1MeEWN-I1oV_STSDYn1IFDPWt_1FKiwhDph83XaGc0o0/edit?usp=sharing"",""งบพรบ!AD39"")"),724200)</f>
        <v>724200</v>
      </c>
      <c r="O58" s="93">
        <f t="shared" ca="1" si="32"/>
        <v>106.62544169611307</v>
      </c>
      <c r="P58" s="93">
        <f t="shared" ca="1" si="33"/>
        <v>100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3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7"/>
      <c r="J60" s="617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IFERROR(__xludf.DUMMYFUNCTION("IMPORTRANGE(""https://docs.google.com/spreadsheets/d/1MeEWN-I1oV_STSDYn1IFDPWt_1FKiwhDph83XaGc0o0/edit?usp=sharing"",""งบพรบ!Z39"")"),0)</f>
        <v>0</v>
      </c>
      <c r="M61" s="52">
        <f ca="1">IFERROR(__xludf.DUMMYFUNCTION("IMPORTRANGE(""https://docs.google.com/spreadsheets/d/1MeEWN-I1oV_STSDYn1IFDPWt_1FKiwhDph83XaGc0o0/edit?usp=sharing"",""งบพรบ!AC39"")"),0)</f>
        <v>0</v>
      </c>
      <c r="N61" s="52">
        <f ca="1">IFERROR(__xludf.DUMMYFUNCTION("IMPORTRANGE(""https://docs.google.com/spreadsheets/d/1MeEWN-I1oV_STSDYn1IFDPWt_1FKiwhDph83XaGc0o0/edit?usp=sharing"",""งบพรบ!AE39"")"),0)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3</v>
      </c>
      <c r="J64" s="144">
        <f t="shared" si="37"/>
        <v>3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109</v>
      </c>
      <c r="J65" s="144">
        <f t="shared" si="37"/>
        <v>109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1621800</v>
      </c>
      <c r="M66" s="155">
        <f t="shared" ca="1" si="39"/>
        <v>1640750</v>
      </c>
      <c r="N66" s="155">
        <f t="shared" ca="1" si="39"/>
        <v>1640750</v>
      </c>
      <c r="O66" s="155">
        <f t="shared" ref="O66:O74" ca="1" si="40">IF(L66&gt;0,N66*100/L66,0)</f>
        <v>101.16845480330497</v>
      </c>
      <c r="P66" s="155">
        <f t="shared" ref="P66:P74" ca="1" si="41">IF(M66&gt;0,N66*100/M66,0)</f>
        <v>100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7"/>
      <c r="J67" s="617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7"/>
      <c r="J68" s="617"/>
      <c r="K68" s="93"/>
      <c r="L68" s="93">
        <f t="shared" ca="1" si="42"/>
        <v>1621800</v>
      </c>
      <c r="M68" s="93">
        <f t="shared" ca="1" si="42"/>
        <v>1640750</v>
      </c>
      <c r="N68" s="93">
        <f t="shared" ca="1" si="42"/>
        <v>1640750</v>
      </c>
      <c r="O68" s="93">
        <f t="shared" ca="1" si="40"/>
        <v>101.16845480330497</v>
      </c>
      <c r="P68" s="93">
        <f t="shared" ca="1" si="41"/>
        <v>100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1621800</v>
      </c>
      <c r="M69" s="498">
        <f t="shared" ca="1" si="43"/>
        <v>1640750</v>
      </c>
      <c r="N69" s="498">
        <f t="shared" ca="1" si="43"/>
        <v>1640750</v>
      </c>
      <c r="O69" s="498">
        <f t="shared" ca="1" si="40"/>
        <v>101.16845480330497</v>
      </c>
      <c r="P69" s="498">
        <f t="shared" ca="1" si="41"/>
        <v>100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IFERROR(__xludf.DUMMYFUNCTION("IMPORTRANGE(""https://docs.google.com/spreadsheets/d/1MeEWN-I1oV_STSDYn1IFDPWt_1FKiwhDph83XaGc0o0/edit?usp=sharing"",""งบพรบ!AG39"")"),1621800)</f>
        <v>1621800</v>
      </c>
      <c r="M71" s="93">
        <f ca="1">IFERROR(__xludf.DUMMYFUNCTION("IMPORTRANGE(""https://docs.google.com/spreadsheets/d/1MeEWN-I1oV_STSDYn1IFDPWt_1FKiwhDph83XaGc0o0/edit?usp=sharing"",""งบพรบ!AL39"")"),1640750)</f>
        <v>1640750</v>
      </c>
      <c r="N71" s="93">
        <f ca="1">IFERROR(__xludf.DUMMYFUNCTION("IMPORTRANGE(""https://docs.google.com/spreadsheets/d/1MeEWN-I1oV_STSDYn1IFDPWt_1FKiwhDph83XaGc0o0/edit?usp=sharing"",""งบพรบ!AN39"")"),1640750)</f>
        <v>1640750</v>
      </c>
      <c r="O71" s="93">
        <f t="shared" ca="1" si="40"/>
        <v>101.16845480330497</v>
      </c>
      <c r="P71" s="93">
        <f t="shared" ca="1" si="41"/>
        <v>100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IFERROR(__xludf.DUMMYFUNCTION("IMPORTRANGE(""https://docs.google.com/spreadsheets/d/1MeEWN-I1oV_STSDYn1IFDPWt_1FKiwhDph83XaGc0o0/edit?usp=sharing"",""งบพรบ!AJ39"")"),0)</f>
        <v>0</v>
      </c>
      <c r="M74" s="93">
        <f ca="1">IFERROR(__xludf.DUMMYFUNCTION("IMPORTRANGE(""https://docs.google.com/spreadsheets/d/1MeEWN-I1oV_STSDYn1IFDPWt_1FKiwhDph83XaGc0o0/edit?usp=sharing"",""งบพรบ!AM39"")"),0)</f>
        <v>0</v>
      </c>
      <c r="N74" s="93">
        <f ca="1">IFERROR(__xludf.DUMMYFUNCTION("IMPORTRANGE(""https://docs.google.com/spreadsheets/d/1MeEWN-I1oV_STSDYn1IFDPWt_1FKiwhDph83XaGc0o0/edit?usp=sharing"",""งบพรบ!AO39"")"),0)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7" t="s">
        <v>38</v>
      </c>
      <c r="E75" s="173"/>
      <c r="F75" s="173"/>
      <c r="G75" s="174"/>
      <c r="H75" s="762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3</v>
      </c>
      <c r="J76" s="270">
        <f t="shared" si="45"/>
        <v>3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109</v>
      </c>
      <c r="J77" s="270">
        <f t="shared" si="45"/>
        <v>109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4" t="s">
        <v>34</v>
      </c>
      <c r="I78" s="184">
        <f ca="1">IFERROR(__xludf.DUMMYFUNCTION("IMPORTRANGE(""https://docs.google.com/spreadsheets/d/1QqKyyYR6Q21VydFLVH3TRQUabQu_ym0Zz7PgGX0-kHA/edit?usp=sharing"",""แผน!H39"")"),1)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4" t="s">
        <v>35</v>
      </c>
      <c r="I79" s="184">
        <f ca="1">IFERROR(__xludf.DUMMYFUNCTION("IMPORTRANGE(""https://docs.google.com/spreadsheets/d/1QqKyyYR6Q21VydFLVH3TRQUabQu_ym0Zz7PgGX0-kHA/edit?usp=sharing"",""แผน!I39"")"),32)</f>
        <v>32</v>
      </c>
      <c r="J79" s="215">
        <v>32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4" t="s">
        <v>34</v>
      </c>
      <c r="I80" s="184">
        <f ca="1">IFERROR(__xludf.DUMMYFUNCTION("IMPORTRANGE(""https://docs.google.com/spreadsheets/d/1QqKyyYR6Q21VydFLVH3TRQUabQu_ym0Zz7PgGX0-kHA/edit?usp=sharing"",""แผน!F39"")"),1)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4" t="s">
        <v>35</v>
      </c>
      <c r="I81" s="184">
        <f ca="1">IFERROR(__xludf.DUMMYFUNCTION("IMPORTRANGE(""https://docs.google.com/spreadsheets/d/1QqKyyYR6Q21VydFLVH3TRQUabQu_ym0Zz7PgGX0-kHA/edit?usp=sharing"",""แผน!G39"")"),37)</f>
        <v>37</v>
      </c>
      <c r="J81" s="215">
        <v>37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4" t="s">
        <v>34</v>
      </c>
      <c r="I82" s="184">
        <f ca="1">IFERROR(__xludf.DUMMYFUNCTION("IMPORTRANGE(""https://docs.google.com/spreadsheets/d/1QqKyyYR6Q21VydFLVH3TRQUabQu_ym0Zz7PgGX0-kHA/edit?usp=sharing"",""แผน!D39"")"),1)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4" t="s">
        <v>35</v>
      </c>
      <c r="I83" s="184">
        <f ca="1">IFERROR(__xludf.DUMMYFUNCTION("IMPORTRANGE(""https://docs.google.com/spreadsheets/d/1QqKyyYR6Q21VydFLVH3TRQUabQu_ym0Zz7PgGX0-kHA/edit?usp=sharing"",""แผน!E39"")"),40)</f>
        <v>40</v>
      </c>
      <c r="J83" s="215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IFERROR(__xludf.DUMMYFUNCTION("IMPORTRANGE(""https://docs.google.com/spreadsheets/d/1QqKyyYR6Q21VydFLVH3TRQUabQu_ym0Zz7PgGX0-kHA/edit?usp=sharing"",""แผน!J39"")"),3)</f>
        <v>3</v>
      </c>
      <c r="J84" s="215">
        <v>3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110880</v>
      </c>
      <c r="M88" s="155">
        <f t="shared" ca="1" si="49"/>
        <v>130480</v>
      </c>
      <c r="N88" s="155">
        <f t="shared" ca="1" si="49"/>
        <v>130480</v>
      </c>
      <c r="O88" s="155">
        <f t="shared" ref="O88:O96" ca="1" si="50">IF(L88&gt;0,N88*100/L88,0)</f>
        <v>117.67676767676768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7"/>
      <c r="J89" s="617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7"/>
      <c r="J90" s="617"/>
      <c r="K90" s="93"/>
      <c r="L90" s="93">
        <f t="shared" ca="1" si="52"/>
        <v>110880</v>
      </c>
      <c r="M90" s="93">
        <f t="shared" ca="1" si="52"/>
        <v>130480</v>
      </c>
      <c r="N90" s="93">
        <f t="shared" ca="1" si="52"/>
        <v>130480</v>
      </c>
      <c r="O90" s="93">
        <f t="shared" ca="1" si="50"/>
        <v>117.67676767676768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110880</v>
      </c>
      <c r="M91" s="498">
        <f t="shared" ca="1" si="53"/>
        <v>130480</v>
      </c>
      <c r="N91" s="498">
        <f t="shared" ca="1" si="53"/>
        <v>130480</v>
      </c>
      <c r="O91" s="498">
        <f t="shared" ca="1" si="50"/>
        <v>117.67676767676768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IFERROR(__xludf.DUMMYFUNCTION("IMPORTRANGE(""https://docs.google.com/spreadsheets/d/1MeEWN-I1oV_STSDYn1IFDPWt_1FKiwhDph83XaGc0o0/edit?usp=sharing"",""งบพรบ!AQ39"")"),110880)</f>
        <v>110880</v>
      </c>
      <c r="M93" s="93">
        <f ca="1">IFERROR(__xludf.DUMMYFUNCTION("IMPORTRANGE(""https://docs.google.com/spreadsheets/d/1MeEWN-I1oV_STSDYn1IFDPWt_1FKiwhDph83XaGc0o0/edit?usp=sharing"",""งบพรบ!AV39"")"),130480)</f>
        <v>130480</v>
      </c>
      <c r="N93" s="93">
        <f ca="1">IFERROR(__xludf.DUMMYFUNCTION("IMPORTRANGE(""https://docs.google.com/spreadsheets/d/1MeEWN-I1oV_STSDYn1IFDPWt_1FKiwhDph83XaGc0o0/edit?usp=sharing"",""งบพรบ!AX39"")"),130480)</f>
        <v>130480</v>
      </c>
      <c r="O93" s="93">
        <f t="shared" ca="1" si="50"/>
        <v>117.67676767676768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IFERROR(__xludf.DUMMYFUNCTION("IMPORTRANGE(""https://docs.google.com/spreadsheets/d/1MeEWN-I1oV_STSDYn1IFDPWt_1FKiwhDph83XaGc0o0/edit?usp=sharing"",""งบพรบ!AT39"")"),0)</f>
        <v>0</v>
      </c>
      <c r="M96" s="93">
        <f ca="1">IFERROR(__xludf.DUMMYFUNCTION("IMPORTRANGE(""https://docs.google.com/spreadsheets/d/1MeEWN-I1oV_STSDYn1IFDPWt_1FKiwhDph83XaGc0o0/edit?usp=sharing"",""งบพรบ!AW39"")"),0)</f>
        <v>0</v>
      </c>
      <c r="N96" s="93">
        <f ca="1">IFERROR(__xludf.DUMMYFUNCTION("IMPORTRANGE(""https://docs.google.com/spreadsheets/d/1MeEWN-I1oV_STSDYn1IFDPWt_1FKiwhDph83XaGc0o0/edit?usp=sharing"",""งบพรบ!AY39"")"),0)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7" t="s">
        <v>38</v>
      </c>
      <c r="E97" s="173"/>
      <c r="F97" s="173"/>
      <c r="G97" s="174"/>
      <c r="H97" s="762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3" t="s">
        <v>46</v>
      </c>
      <c r="I98" s="270">
        <f ca="1">IFERROR(__xludf.DUMMYFUNCTION("IMPORTRANGE(""https://docs.google.com/spreadsheets/d/1QqKyyYR6Q21VydFLVH3TRQUabQu_ym0Zz7PgGX0-kHA/edit?usp=sharing"",""แผน!K39"")"),60)</f>
        <v>60</v>
      </c>
      <c r="J98" s="270">
        <f>J102</f>
        <v>60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3" t="s">
        <v>35</v>
      </c>
      <c r="I99" s="270">
        <f ca="1">IFERROR(__xludf.DUMMYFUNCTION("IMPORTRANGE(""https://docs.google.com/spreadsheets/d/1QqKyyYR6Q21VydFLVH3TRQUabQu_ym0Zz7PgGX0-kHA/edit?usp=sharing"",""แผน!L39"")"),20)</f>
        <v>20</v>
      </c>
      <c r="J99" s="270">
        <f>J104</f>
        <v>20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3" t="s">
        <v>49</v>
      </c>
      <c r="I100" s="270">
        <f ca="1">IFERROR(__xludf.DUMMYFUNCTION("IMPORTRANGE(""https://docs.google.com/spreadsheets/d/1QqKyyYR6Q21VydFLVH3TRQUabQu_ym0Zz7PgGX0-kHA/edit?usp=sharing"",""แผน!M39"")"),2)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3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6" t="s">
        <v>47</v>
      </c>
      <c r="F102" s="178"/>
      <c r="G102" s="179"/>
      <c r="H102" s="623" t="s">
        <v>46</v>
      </c>
      <c r="I102" s="270">
        <f ca="1">IFERROR(__xludf.DUMMYFUNCTION("IMPORTRANGE(""https://docs.google.com/spreadsheets/d/1QqKyyYR6Q21VydFLVH3TRQUabQu_ym0Zz7PgGX0-kHA/edit?usp=sharing"",""แผน!N39"")"),60)</f>
        <v>60</v>
      </c>
      <c r="J102" s="215">
        <v>60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3" t="s">
        <v>35</v>
      </c>
      <c r="I103" s="270">
        <f ca="1">IFERROR(__xludf.DUMMYFUNCTION("IMPORTRANGE(""https://docs.google.com/spreadsheets/d/1QqKyyYR6Q21VydFLVH3TRQUabQu_ym0Zz7PgGX0-kHA/edit?usp=sharing"",""แผน!O39"")"),20)</f>
        <v>20</v>
      </c>
      <c r="J103" s="215">
        <v>20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3" t="s">
        <v>35</v>
      </c>
      <c r="I104" s="270">
        <f ca="1">IFERROR(__xludf.DUMMYFUNCTION("IMPORTRANGE(""https://docs.google.com/spreadsheets/d/1QqKyyYR6Q21VydFLVH3TRQUabQu_ym0Zz7PgGX0-kHA/edit?usp=sharing"",""แผน!O39"")"),20)</f>
        <v>20</v>
      </c>
      <c r="J104" s="215">
        <v>20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3" t="s">
        <v>49</v>
      </c>
      <c r="I106" s="270">
        <f ca="1">IFERROR(__xludf.DUMMYFUNCTION("IMPORTRANGE(""https://docs.google.com/spreadsheets/d/1QqKyyYR6Q21VydFLVH3TRQUabQu_ym0Zz7PgGX0-kHA/edit?usp=sharing"",""แผน!P39"")"),1)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3" t="s">
        <v>49</v>
      </c>
      <c r="I107" s="270">
        <f ca="1">IFERROR(__xludf.DUMMYFUNCTION("IMPORTRANGE(""https://docs.google.com/spreadsheets/d/1QqKyyYR6Q21VydFLVH3TRQUabQu_ym0Zz7PgGX0-kHA/edit?usp=sharing"",""แผน!P39"")"),1)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3" t="s">
        <v>49</v>
      </c>
      <c r="I109" s="270">
        <f ca="1">IFERROR(__xludf.DUMMYFUNCTION("IMPORTRANGE(""https://docs.google.com/spreadsheets/d/1QqKyyYR6Q21VydFLVH3TRQUabQu_ym0Zz7PgGX0-kHA/edit?usp=sharing"",""แผน!Q39"")"),1)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3" t="s">
        <v>49</v>
      </c>
      <c r="I110" s="270">
        <f ca="1">IFERROR(__xludf.DUMMYFUNCTION("IMPORTRANGE(""https://docs.google.com/spreadsheets/d/1QqKyyYR6Q21VydFLVH3TRQUabQu_ym0Zz7PgGX0-kHA/edit?usp=sharing"",""แผน!Q39"")"),1)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7" t="s">
        <v>35</v>
      </c>
      <c r="I111" s="193">
        <f ca="1">IFERROR(__xludf.DUMMYFUNCTION("IMPORTRANGE(""https://docs.google.com/spreadsheets/d/1QqKyyYR6Q21VydFLVH3TRQUabQu_ym0Zz7PgGX0-kHA/edit?usp=sharing"",""แผน!R39"")"),20)</f>
        <v>20</v>
      </c>
      <c r="J111" s="681">
        <f>J114</f>
        <v>20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1">
        <f t="shared" si="59"/>
        <v>2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2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IFERROR(__xludf.DUMMYFUNCTION("IMPORTRANGE(""https://docs.google.com/spreadsheets/d/1QqKyyYR6Q21VydFLVH3TRQUabQu_ym0Zz7PgGX0-kHA/edit?usp=sharing"",""แผน!R39"")"),20)</f>
        <v>20</v>
      </c>
      <c r="J113" s="215">
        <v>20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IFERROR(__xludf.DUMMYFUNCTION("IMPORTRANGE(""https://docs.google.com/spreadsheets/d/1QqKyyYR6Q21VydFLVH3TRQUabQu_ym0Zz7PgGX0-kHA/edit?usp=sharing"",""แผน!R39"")"),20)</f>
        <v>20</v>
      </c>
      <c r="J114" s="215">
        <v>20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IFERROR(__xludf.DUMMYFUNCTION("IMPORTRANGE(""https://docs.google.com/spreadsheets/d/1QqKyyYR6Q21VydFLVH3TRQUabQu_ym0Zz7PgGX0-kHA/edit?usp=sharing"",""แผน!S39"")"),1)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IFERROR(__xludf.DUMMYFUNCTION("IMPORTRANGE(""https://docs.google.com/spreadsheets/d/1QqKyyYR6Q21VydFLVH3TRQUabQu_ym0Zz7PgGX0-kHA/edit?usp=sharing"",""แผน!T39"")"),1)</f>
        <v>1</v>
      </c>
      <c r="J116" s="215">
        <v>1</v>
      </c>
      <c r="K116" s="498">
        <f t="shared" ca="1" si="58"/>
        <v>100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212000</v>
      </c>
      <c r="M119" s="155">
        <f t="shared" ca="1" si="60"/>
        <v>212000</v>
      </c>
      <c r="N119" s="155">
        <f t="shared" ca="1" si="60"/>
        <v>212000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7"/>
      <c r="J120" s="617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7"/>
      <c r="J121" s="617"/>
      <c r="K121" s="93"/>
      <c r="L121" s="93">
        <f t="shared" ca="1" si="63"/>
        <v>212000</v>
      </c>
      <c r="M121" s="93">
        <f t="shared" ca="1" si="63"/>
        <v>212000</v>
      </c>
      <c r="N121" s="93">
        <f t="shared" ca="1" si="63"/>
        <v>212000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IFERROR(__xludf.DUMMYFUNCTION("IMPORTRANGE(""https://docs.google.com/spreadsheets/d/1MeEWN-I1oV_STSDYn1IFDPWt_1FKiwhDph83XaGc0o0/edit?usp=sharing"",""งบพรบ!BA39"")"),0)</f>
        <v>0</v>
      </c>
      <c r="M124" s="93">
        <f ca="1">IFERROR(__xludf.DUMMYFUNCTION("IMPORTRANGE(""https://docs.google.com/spreadsheets/d/1MeEWN-I1oV_STSDYn1IFDPWt_1FKiwhDph83XaGc0o0/edit?usp=sharing"",""งบพรบ!BF39"")"),0)</f>
        <v>0</v>
      </c>
      <c r="N124" s="93">
        <f ca="1">IFERROR(__xludf.DUMMYFUNCTION("IMPORTRANGE(""https://docs.google.com/spreadsheets/d/1MeEWN-I1oV_STSDYn1IFDPWt_1FKiwhDph83XaGc0o0/edit?usp=sharing"",""งบพรบ!BH39"")"),0)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212000</v>
      </c>
      <c r="M125" s="498">
        <f t="shared" ca="1" si="65"/>
        <v>212000</v>
      </c>
      <c r="N125" s="498">
        <f t="shared" ca="1" si="65"/>
        <v>212000</v>
      </c>
      <c r="O125" s="498">
        <f t="shared" ca="1" si="61"/>
        <v>100</v>
      </c>
      <c r="P125" s="498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IFERROR(__xludf.DUMMYFUNCTION("IMPORTRANGE(""https://docs.google.com/spreadsheets/d/1MeEWN-I1oV_STSDYn1IFDPWt_1FKiwhDph83XaGc0o0/edit?usp=sharing"",""งบพรบ!BD39"")"),212000)</f>
        <v>212000</v>
      </c>
      <c r="M127" s="93">
        <f ca="1">IFERROR(__xludf.DUMMYFUNCTION("IMPORTRANGE(""https://docs.google.com/spreadsheets/d/1MeEWN-I1oV_STSDYn1IFDPWt_1FKiwhDph83XaGc0o0/edit?usp=sharing"",""งบพรบ!BG39"")"),212000)</f>
        <v>212000</v>
      </c>
      <c r="N127" s="93">
        <f ca="1">IFERROR(__xludf.DUMMYFUNCTION("IMPORTRANGE(""https://docs.google.com/spreadsheets/d/1MeEWN-I1oV_STSDYn1IFDPWt_1FKiwhDph83XaGc0o0/edit?usp=sharing"",""งบพรบ!BI39"")"),212000)</f>
        <v>212000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473365</v>
      </c>
      <c r="N132" s="155">
        <f t="shared" ca="1" si="69"/>
        <v>473365</v>
      </c>
      <c r="O132" s="155">
        <f t="shared" ref="O132:O140" ca="1" si="70">IF(L132&gt;0,N132*100/L132,0)</f>
        <v>104.04426714142846</v>
      </c>
      <c r="P132" s="155">
        <f t="shared" ref="P132:P140" ca="1" si="71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7"/>
      <c r="J133" s="617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7"/>
      <c r="J134" s="617"/>
      <c r="K134" s="93"/>
      <c r="L134" s="93">
        <f t="shared" ca="1" si="72"/>
        <v>454965</v>
      </c>
      <c r="M134" s="93">
        <f t="shared" ca="1" si="72"/>
        <v>473365</v>
      </c>
      <c r="N134" s="93">
        <f t="shared" ca="1" si="72"/>
        <v>473365</v>
      </c>
      <c r="O134" s="93">
        <f t="shared" ca="1" si="70"/>
        <v>104.04426714142846</v>
      </c>
      <c r="P134" s="93">
        <f t="shared" ca="1" si="71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145965</v>
      </c>
      <c r="M135" s="498">
        <f t="shared" ca="1" si="73"/>
        <v>164365</v>
      </c>
      <c r="N135" s="498">
        <f t="shared" ca="1" si="73"/>
        <v>164365</v>
      </c>
      <c r="O135" s="498">
        <f t="shared" ca="1" si="70"/>
        <v>112.60576165519132</v>
      </c>
      <c r="P135" s="498">
        <f t="shared" ca="1" si="71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IFERROR(__xludf.DUMMYFUNCTION("IMPORTRANGE(""https://docs.google.com/spreadsheets/d/1MeEWN-I1oV_STSDYn1IFDPWt_1FKiwhDph83XaGc0o0/edit?usp=sharing"",""งบพรบ!BK39"")"),145965)</f>
        <v>145965</v>
      </c>
      <c r="M137" s="93">
        <f ca="1">IFERROR(__xludf.DUMMYFUNCTION("IMPORTRANGE(""https://docs.google.com/spreadsheets/d/1MeEWN-I1oV_STSDYn1IFDPWt_1FKiwhDph83XaGc0o0/edit?usp=sharing"",""งบพรบ!BP39"")"),164365)</f>
        <v>164365</v>
      </c>
      <c r="N137" s="93">
        <f ca="1">IFERROR(__xludf.DUMMYFUNCTION("IMPORTRANGE(""https://docs.google.com/spreadsheets/d/1MeEWN-I1oV_STSDYn1IFDPWt_1FKiwhDph83XaGc0o0/edit?usp=sharing"",""งบพรบ!BR39"")"),164365)</f>
        <v>164365</v>
      </c>
      <c r="O137" s="93">
        <f t="shared" ca="1" si="70"/>
        <v>112.60576165519132</v>
      </c>
      <c r="P137" s="93">
        <f t="shared" ca="1" si="71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309000</v>
      </c>
      <c r="M138" s="498">
        <f t="shared" ca="1" si="74"/>
        <v>309000</v>
      </c>
      <c r="N138" s="498">
        <f t="shared" ca="1" si="74"/>
        <v>309000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IFERROR(__xludf.DUMMYFUNCTION("IMPORTRANGE(""https://docs.google.com/spreadsheets/d/1MeEWN-I1oV_STSDYn1IFDPWt_1FKiwhDph83XaGc0o0/edit?usp=sharing"",""งบพรบ!BN39"")"),309000)</f>
        <v>309000</v>
      </c>
      <c r="M140" s="93">
        <f ca="1">IFERROR(__xludf.DUMMYFUNCTION("IMPORTRANGE(""https://docs.google.com/spreadsheets/d/1MeEWN-I1oV_STSDYn1IFDPWt_1FKiwhDph83XaGc0o0/edit?usp=sharing"",""งบพรบ!BQ39"")"),309000)</f>
        <v>309000</v>
      </c>
      <c r="N140" s="93">
        <f ca="1">IFERROR(__xludf.DUMMYFUNCTION("IMPORTRANGE(""https://docs.google.com/spreadsheets/d/1MeEWN-I1oV_STSDYn1IFDPWt_1FKiwhDph83XaGc0o0/edit?usp=sharing"",""งบพรบ!BS39"")"),309000)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30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IFERROR(__xludf.DUMMYFUNCTION("IMPORTRANGE(""https://docs.google.com/spreadsheets/d/1QqKyyYR6Q21VydFLVH3TRQUabQu_ym0Zz7PgGX0-kHA/edit?usp=sharing"",""แผน!U39"")"),15)</f>
        <v>15</v>
      </c>
      <c r="J144" s="215">
        <v>15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IFERROR(__xludf.DUMMYFUNCTION("IMPORTRANGE(""https://docs.google.com/spreadsheets/d/1QqKyyYR6Q21VydFLVH3TRQUabQu_ym0Zz7PgGX0-kHA/edit?usp=sharing"",""แผน!V39"")"),30)</f>
        <v>30</v>
      </c>
      <c r="J145" s="215">
        <v>30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IFERROR(__xludf.DUMMYFUNCTION("IMPORTRANGE(""https://docs.google.com/spreadsheets/d/1QqKyyYR6Q21VydFLVH3TRQUabQu_ym0Zz7PgGX0-kHA/edit?usp=sharing"",""แผน!W39"")"),3)</f>
        <v>3</v>
      </c>
      <c r="J146" s="215">
        <v>3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7"/>
      <c r="J150" s="617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7"/>
      <c r="J151" s="617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IFERROR(__xludf.DUMMYFUNCTION("IMPORTRANGE(""https://docs.google.com/spreadsheets/d/1MeEWN-I1oV_STSDYn1IFDPWt_1FKiwhDph83XaGc0o0/edit?usp=sharing"",""งบพรบ!BU39"")"),0)</f>
        <v>0</v>
      </c>
      <c r="M154" s="93">
        <f ca="1">IFERROR(__xludf.DUMMYFUNCTION("IMPORTRANGE(""https://docs.google.com/spreadsheets/d/1MeEWN-I1oV_STSDYn1IFDPWt_1FKiwhDph83XaGc0o0/edit?usp=sharing"",""งบพรบ!BZ39"")"),0)</f>
        <v>0</v>
      </c>
      <c r="N154" s="93">
        <f ca="1">IFERROR(__xludf.DUMMYFUNCTION("IMPORTRANGE(""https://docs.google.com/spreadsheets/d/1MeEWN-I1oV_STSDYn1IFDPWt_1FKiwhDph83XaGc0o0/edit?usp=sharing"",""งบพรบ!CB39"")"),0)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IFERROR(__xludf.DUMMYFUNCTION("IMPORTRANGE(""https://docs.google.com/spreadsheets/d/1MeEWN-I1oV_STSDYn1IFDPWt_1FKiwhDph83XaGc0o0/edit?usp=sharing"",""งบพรบ!BX39"")"),0)</f>
        <v>0</v>
      </c>
      <c r="M157" s="93">
        <f ca="1">IFERROR(__xludf.DUMMYFUNCTION("IMPORTRANGE(""https://docs.google.com/spreadsheets/d/1MeEWN-I1oV_STSDYn1IFDPWt_1FKiwhDph83XaGc0o0/edit?usp=sharing"",""งบพรบ!CA39"")"),0)</f>
        <v>0</v>
      </c>
      <c r="N157" s="93">
        <f ca="1">IFERROR(__xludf.DUMMYFUNCTION("IMPORTRANGE(""https://docs.google.com/spreadsheets/d/1MeEWN-I1oV_STSDYn1IFDPWt_1FKiwhDph83XaGc0o0/edit?usp=sharing"",""งบพรบ!CC39"")"),0)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IFERROR(__xludf.DUMMYFUNCTION("IMPORTRANGE(""https://docs.google.com/spreadsheets/d/1QqKyyYR6Q21VydFLVH3TRQUabQu_ym0Zz7PgGX0-kHA/edit?usp=sharing"",""แผน!X39"")"),0)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7"/>
      <c r="J160" s="617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36460</v>
      </c>
      <c r="N165" s="155">
        <f t="shared" ca="1" si="84"/>
        <v>36460</v>
      </c>
      <c r="O165" s="155">
        <f t="shared" ref="O165:O173" ca="1" si="85">IF(L165&gt;0,N165*100/L165,0)</f>
        <v>158.10928013876844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7"/>
      <c r="J166" s="617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7"/>
      <c r="J167" s="617"/>
      <c r="K167" s="93"/>
      <c r="L167" s="93">
        <f t="shared" ca="1" si="87"/>
        <v>23060</v>
      </c>
      <c r="M167" s="93">
        <f t="shared" ca="1" si="87"/>
        <v>36460</v>
      </c>
      <c r="N167" s="93">
        <f t="shared" ca="1" si="87"/>
        <v>36460</v>
      </c>
      <c r="O167" s="93">
        <f t="shared" ca="1" si="85"/>
        <v>158.10928013876844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23060</v>
      </c>
      <c r="M168" s="498">
        <f t="shared" ca="1" si="88"/>
        <v>36460</v>
      </c>
      <c r="N168" s="498">
        <f t="shared" ca="1" si="88"/>
        <v>36460</v>
      </c>
      <c r="O168" s="498">
        <f t="shared" ca="1" si="85"/>
        <v>158.10928013876844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IFERROR(__xludf.DUMMYFUNCTION("IMPORTRANGE(""https://docs.google.com/spreadsheets/d/1MeEWN-I1oV_STSDYn1IFDPWt_1FKiwhDph83XaGc0o0/edit?usp=sharing"",""งบพรบ!CE39"")"),23060)</f>
        <v>23060</v>
      </c>
      <c r="M170" s="93">
        <f ca="1">IFERROR(__xludf.DUMMYFUNCTION("IMPORTRANGE(""https://docs.google.com/spreadsheets/d/1MeEWN-I1oV_STSDYn1IFDPWt_1FKiwhDph83XaGc0o0/edit?usp=sharing"",""งบพรบ!CJ39"")"),36460)</f>
        <v>36460</v>
      </c>
      <c r="N170" s="93">
        <f ca="1">IFERROR(__xludf.DUMMYFUNCTION("IMPORTRANGE(""https://docs.google.com/spreadsheets/d/1MeEWN-I1oV_STSDYn1IFDPWt_1FKiwhDph83XaGc0o0/edit?usp=sharing"",""งบพรบ!CL39"")"),36460)</f>
        <v>36460</v>
      </c>
      <c r="O170" s="93">
        <f t="shared" ca="1" si="85"/>
        <v>158.10928013876844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IFERROR(__xludf.DUMMYFUNCTION("IMPORTRANGE(""https://docs.google.com/spreadsheets/d/1MeEWN-I1oV_STSDYn1IFDPWt_1FKiwhDph83XaGc0o0/edit?usp=sharing"",""งบพรบ!CH39"")"),0)</f>
        <v>0</v>
      </c>
      <c r="M173" s="93">
        <f ca="1">IFERROR(__xludf.DUMMYFUNCTION("IMPORTRANGE(""https://docs.google.com/spreadsheets/d/1MeEWN-I1oV_STSDYn1IFDPWt_1FKiwhDph83XaGc0o0/edit?usp=sharing"",""งบพรบ!CK39"")"),0)</f>
        <v>0</v>
      </c>
      <c r="N173" s="93">
        <f ca="1">IFERROR(__xludf.DUMMYFUNCTION("IMPORTRANGE(""https://docs.google.com/spreadsheets/d/1MeEWN-I1oV_STSDYn1IFDPWt_1FKiwhDph83XaGc0o0/edit?usp=sharing"",""งบพรบ!CM39"")"),0)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7" t="s">
        <v>38</v>
      </c>
      <c r="E175" s="173"/>
      <c r="F175" s="173"/>
      <c r="G175" s="174"/>
      <c r="H175" s="762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6" t="s">
        <v>85</v>
      </c>
      <c r="E176" s="178"/>
      <c r="F176" s="178"/>
      <c r="G176" s="179"/>
      <c r="H176" s="623" t="s">
        <v>35</v>
      </c>
      <c r="I176" s="270">
        <f ca="1">IFERROR(__xludf.DUMMYFUNCTION("IMPORTRANGE(""https://docs.google.com/spreadsheets/d/1QqKyyYR6Q21VydFLVH3TRQUabQu_ym0Zz7PgGX0-kHA/edit?usp=sharing"",""แผน!Y39"")"),12)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2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55500</v>
      </c>
      <c r="M181" s="155">
        <f t="shared" ca="1" si="92"/>
        <v>55500</v>
      </c>
      <c r="N181" s="155">
        <f t="shared" ca="1" si="92"/>
        <v>55500</v>
      </c>
      <c r="O181" s="155">
        <f t="shared" ref="O181:O189" ca="1" si="93">IF(L181&gt;0,N181*100/L181,0)</f>
        <v>100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7"/>
      <c r="J182" s="617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7"/>
      <c r="J183" s="617"/>
      <c r="K183" s="93"/>
      <c r="L183" s="93">
        <f t="shared" ca="1" si="95"/>
        <v>55500</v>
      </c>
      <c r="M183" s="93">
        <f t="shared" ca="1" si="95"/>
        <v>55500</v>
      </c>
      <c r="N183" s="93">
        <f t="shared" ca="1" si="95"/>
        <v>55500</v>
      </c>
      <c r="O183" s="93">
        <f t="shared" ca="1" si="93"/>
        <v>100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55500</v>
      </c>
      <c r="M184" s="498">
        <f t="shared" ca="1" si="96"/>
        <v>55500</v>
      </c>
      <c r="N184" s="498">
        <f t="shared" ca="1" si="96"/>
        <v>55500</v>
      </c>
      <c r="O184" s="498">
        <f t="shared" ca="1" si="93"/>
        <v>100</v>
      </c>
      <c r="P184" s="498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IFERROR(__xludf.DUMMYFUNCTION("IMPORTRANGE(""https://docs.google.com/spreadsheets/d/1MeEWN-I1oV_STSDYn1IFDPWt_1FKiwhDph83XaGc0o0/edit?usp=sharing"",""งบพรบ!CO39"")"),55500)</f>
        <v>55500</v>
      </c>
      <c r="M186" s="93">
        <f ca="1">IFERROR(__xludf.DUMMYFUNCTION("IMPORTRANGE(""https://docs.google.com/spreadsheets/d/1MeEWN-I1oV_STSDYn1IFDPWt_1FKiwhDph83XaGc0o0/edit?usp=sharing"",""งบพรบ!CT39"")"),55500)</f>
        <v>55500</v>
      </c>
      <c r="N186" s="93">
        <f ca="1">IFERROR(__xludf.DUMMYFUNCTION("IMPORTRANGE(""https://docs.google.com/spreadsheets/d/1MeEWN-I1oV_STSDYn1IFDPWt_1FKiwhDph83XaGc0o0/edit?usp=sharing"",""งบพรบ!CV39"")"),55500)</f>
        <v>55500</v>
      </c>
      <c r="O186" s="93">
        <f t="shared" ca="1" si="93"/>
        <v>100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IFERROR(__xludf.DUMMYFUNCTION("IMPORTRANGE(""https://docs.google.com/spreadsheets/d/1MeEWN-I1oV_STSDYn1IFDPWt_1FKiwhDph83XaGc0o0/edit?usp=sharing"",""งบพรบ!CR39"")"),0)</f>
        <v>0</v>
      </c>
      <c r="M189" s="93">
        <f ca="1">IFERROR(__xludf.DUMMYFUNCTION("IMPORTRANGE(""https://docs.google.com/spreadsheets/d/1MeEWN-I1oV_STSDYn1IFDPWt_1FKiwhDph83XaGc0o0/edit?usp=sharing"",""งบพรบ!CU39"")"),0)</f>
        <v>0</v>
      </c>
      <c r="N189" s="93">
        <f ca="1">IFERROR(__xludf.DUMMYFUNCTION("IMPORTRANGE(""https://docs.google.com/spreadsheets/d/1MeEWN-I1oV_STSDYn1IFDPWt_1FKiwhDph83XaGc0o0/edit?usp=sharing"",""งบพรบ!CW39"")"),0)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8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IFERROR(__xludf.DUMMYFUNCTION("IMPORTRANGE(""https://docs.google.com/spreadsheets/d/1QqKyyYR6Q21VydFLVH3TRQUabQu_ym0Zz7PgGX0-kHA/edit?usp=sharing"",""แผน!Z39"")"),6000)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7" t="s">
        <v>38</v>
      </c>
      <c r="E192" s="173"/>
      <c r="F192" s="173"/>
      <c r="G192" s="174"/>
      <c r="H192" s="762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4" t="s">
        <v>90</v>
      </c>
      <c r="I193" s="270">
        <f ca="1">IFERROR(__xludf.DUMMYFUNCTION("IMPORTRANGE(""https://docs.google.com/spreadsheets/d/1QqKyyYR6Q21VydFLVH3TRQUabQu_ym0Zz7PgGX0-kHA/edit?usp=sharing"",""แผน!AC39"")"),4)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104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104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8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31000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IFERROR(__xludf.DUMMYFUNCTION("IMPORTRANGE(""https://docs.google.com/spreadsheets/d/1QqKyyYR6Q21VydFLVH3TRQUabQu_ym0Zz7PgGX0-kHA/edit?usp=sharing"",""แผน!AE39"")"),2000)</f>
        <v>2000</v>
      </c>
      <c r="M199" s="498"/>
      <c r="N199" s="840">
        <v>2000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3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IFERROR(__xludf.DUMMYFUNCTION("IMPORTRANGE(""https://docs.google.com/spreadsheets/d/1QqKyyYR6Q21VydFLVH3TRQUabQu_ym0Zz7PgGX0-kHA/edit?usp=sharing"",""แผน!AF39"")"),16000)</f>
        <v>16000</v>
      </c>
      <c r="M200" s="498"/>
      <c r="N200" s="840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3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IFERROR(__xludf.DUMMYFUNCTION("IMPORTRANGE(""https://docs.google.com/spreadsheets/d/1QqKyyYR6Q21VydFLVH3TRQUabQu_ym0Zz7PgGX0-kHA/edit?usp=sharing"",""แผน!AG39"")"),8000)</f>
        <v>8000</v>
      </c>
      <c r="M201" s="498"/>
      <c r="N201" s="840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3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IFERROR(__xludf.DUMMYFUNCTION("IMPORTRANGE(""https://docs.google.com/spreadsheets/d/1QqKyyYR6Q21VydFLVH3TRQUabQu_ym0Zz7PgGX0-kHA/edit?usp=sharing"",""แผน!AH39"")"),5000)</f>
        <v>5000</v>
      </c>
      <c r="M202" s="498"/>
      <c r="N202" s="840">
        <v>5000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7" t="s">
        <v>38</v>
      </c>
      <c r="E203" s="173"/>
      <c r="F203" s="173"/>
      <c r="G203" s="174"/>
      <c r="H203" s="762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2" t="s">
        <v>96</v>
      </c>
      <c r="I204" s="270">
        <f ca="1">IFERROR(__xludf.DUMMYFUNCTION("IMPORTRANGE(""https://docs.google.com/spreadsheets/d/1QqKyyYR6Q21VydFLVH3TRQUabQu_ym0Zz7PgGX0-kHA/edit?usp=sharing"",""แผน!AI39"")"),2)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2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2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8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IFERROR(__xludf.DUMMYFUNCTION("IMPORTRANGE(""https://docs.google.com/spreadsheets/d/1QqKyyYR6Q21VydFLVH3TRQUabQu_ym0Zz7PgGX0-kHA/edit?usp=sharing"",""แผน!AK39"")"),0)</f>
        <v>0</v>
      </c>
      <c r="M210" s="498"/>
      <c r="N210" s="840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IFERROR(__xludf.DUMMYFUNCTION("IMPORTRANGE(""https://docs.google.com/spreadsheets/d/1QqKyyYR6Q21VydFLVH3TRQUabQu_ym0Zz7PgGX0-kHA/edit?usp=sharing"",""แผน!AL39"")"),0)</f>
        <v>0</v>
      </c>
      <c r="M211" s="498"/>
      <c r="N211" s="840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IFERROR(__xludf.DUMMYFUNCTION("IMPORTRANGE(""https://docs.google.com/spreadsheets/d/1QqKyyYR6Q21VydFLVH3TRQUabQu_ym0Zz7PgGX0-kHA/edit?usp=sharing"",""แผน!AM39"")"),0)</f>
        <v>0</v>
      </c>
      <c r="M212" s="498"/>
      <c r="N212" s="840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7" t="s">
        <v>38</v>
      </c>
      <c r="E213" s="173"/>
      <c r="F213" s="173"/>
      <c r="G213" s="174"/>
      <c r="H213" s="762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2" t="s">
        <v>96</v>
      </c>
      <c r="I214" s="270">
        <f ca="1">IFERROR(__xludf.DUMMYFUNCTION("IMPORTRANGE(""https://docs.google.com/spreadsheets/d/1QqKyyYR6Q21VydFLVH3TRQUabQu_ym0Zz7PgGX0-kHA/edit?usp=sharing"",""แผน!AN39"")"),0)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2" t="s">
        <v>96</v>
      </c>
      <c r="I215" s="270">
        <f ca="1">IFERROR(__xludf.DUMMYFUNCTION("IMPORTRANGE(""https://docs.google.com/spreadsheets/d/1QqKyyYR6Q21VydFLVH3TRQUabQu_ym0Zz7PgGX0-kHA/edit?usp=sharing"",""แผน!AN39"")"),0)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50000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8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18500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IFERROR(__xludf.DUMMYFUNCTION("IMPORTRANGE(""https://docs.google.com/spreadsheets/d/1QqKyyYR6Q21VydFLVH3TRQUabQu_ym0Zz7PgGX0-kHA/edit?usp=sharing"",""แผน!AP39"")"),5000)</f>
        <v>5000</v>
      </c>
      <c r="M218" s="498"/>
      <c r="N218" s="840">
        <v>5000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IFERROR(__xludf.DUMMYFUNCTION("IMPORTRANGE(""https://docs.google.com/spreadsheets/d/1QqKyyYR6Q21VydFLVH3TRQUabQu_ym0Zz7PgGX0-kHA/edit?usp=sharing"",""แผน!AQ39"")"),13500)</f>
        <v>13500</v>
      </c>
      <c r="M219" s="498"/>
      <c r="N219" s="840">
        <v>13500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IFERROR(__xludf.DUMMYFUNCTION("IMPORTRANGE(""https://docs.google.com/spreadsheets/d/1QqKyyYR6Q21VydFLVH3TRQUabQu_ym0Zz7PgGX0-kHA/edit?usp=sharing"",""แผน!AR39"")"),0)</f>
        <v>0</v>
      </c>
      <c r="M220" s="498"/>
      <c r="N220" s="840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7" t="s">
        <v>38</v>
      </c>
      <c r="E221" s="173"/>
      <c r="F221" s="173"/>
      <c r="G221" s="174"/>
      <c r="H221" s="762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2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4" t="s">
        <v>109</v>
      </c>
      <c r="I223" s="270">
        <f ca="1">IFERROR(__xludf.DUMMYFUNCTION("IMPORTRANGE(""https://docs.google.com/spreadsheets/d/1QqKyyYR6Q21VydFLVH3TRQUabQu_ym0Zz7PgGX0-kHA/edit?usp=sharing"",""แผน!AT39"")"),50000)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4" t="s">
        <v>109</v>
      </c>
      <c r="I224" s="270">
        <f ca="1">IFERROR(__xludf.DUMMYFUNCTION("IMPORTRANGE(""https://docs.google.com/spreadsheets/d/1QqKyyYR6Q21VydFLVH3TRQUabQu_ym0Zz7PgGX0-kHA/edit?usp=sharing"",""แผน!AT39"")"),50000)</f>
        <v>50000</v>
      </c>
      <c r="J224" s="215">
        <v>50000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4" t="s">
        <v>35</v>
      </c>
      <c r="I225" s="270">
        <f ca="1">IFERROR(__xludf.DUMMYFUNCTION("IMPORTRANGE(""https://docs.google.com/spreadsheets/d/1QqKyyYR6Q21VydFLVH3TRQUabQu_ym0Zz7PgGX0-kHA/edit?usp=sharing"",""แผน!AS39"")"),0)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8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2"/>
      <c r="P227" s="88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7"/>
      <c r="J229" s="617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7"/>
      <c r="J230" s="617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7"/>
      <c r="J231" s="617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7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7">
        <f t="shared" ref="I233:J233" ca="1" si="108">I244+I255</f>
        <v>0</v>
      </c>
      <c r="J233" s="617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7"/>
      <c r="J234" s="617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7">
        <f t="shared" ref="I235:J236" si="109">I246+I257</f>
        <v>0</v>
      </c>
      <c r="J235" s="617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7">
        <f t="shared" si="109"/>
        <v>0</v>
      </c>
      <c r="J236" s="617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IFERROR(__xludf.DUMMYFUNCTION("IMPORTRANGE(""https://docs.google.com/spreadsheets/d/1QqKyyYR6Q21VydFLVH3TRQUabQu_ym0Zz7PgGX0-kHA/edit?usp=sharing"",""แผน!AV39"")"),0)</f>
        <v>0</v>
      </c>
      <c r="M239" s="322"/>
      <c r="N239" s="88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IFERROR(__xludf.DUMMYFUNCTION("IMPORTRANGE(""https://docs.google.com/spreadsheets/d/1QqKyyYR6Q21VydFLVH3TRQUabQu_ym0Zz7PgGX0-kHA/edit?usp=sharing"",""แผน!AW39"")"),0)</f>
        <v>0</v>
      </c>
      <c r="M240" s="322"/>
      <c r="N240" s="88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IFERROR(__xludf.DUMMYFUNCTION("IMPORTRANGE(""https://docs.google.com/spreadsheets/d/1QqKyyYR6Q21VydFLVH3TRQUabQu_ym0Zz7PgGX0-kHA/edit?usp=sharing"",""แผน!AX39"")"),0)</f>
        <v>0</v>
      </c>
      <c r="M241" s="322"/>
      <c r="N241" s="88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IFERROR(__xludf.DUMMYFUNCTION("IMPORTRANGE(""https://docs.google.com/spreadsheets/d/1QqKyyYR6Q21VydFLVH3TRQUabQu_ym0Zz7PgGX0-kHA/edit?usp=sharing"",""แผน!AY39"")"),0)</f>
        <v>0</v>
      </c>
      <c r="M242" s="322"/>
      <c r="N242" s="88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7" t="s">
        <v>38</v>
      </c>
      <c r="E243" s="173"/>
      <c r="F243" s="173"/>
      <c r="G243" s="174"/>
      <c r="H243" s="762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4" t="s">
        <v>35</v>
      </c>
      <c r="I244" s="270">
        <f ca="1">IFERROR(__xludf.DUMMYFUNCTION("IMPORTRANGE(""https://docs.google.com/spreadsheets/d/1QqKyyYR6Q21VydFLVH3TRQUabQu_ym0Zz7PgGX0-kHA/edit?usp=sharing"",""แผน!BE39"")"),0)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4" t="s">
        <v>43</v>
      </c>
      <c r="E245" s="178"/>
      <c r="F245" s="178"/>
      <c r="G245" s="179"/>
      <c r="H245" s="764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4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4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8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IFERROR(__xludf.DUMMYFUNCTION("IMPORTRANGE(""https://docs.google.com/spreadsheets/d/1QqKyyYR6Q21VydFLVH3TRQUabQu_ym0Zz7PgGX0-kHA/edit?usp=sharing"",""แผน!AZ39"")"),0)</f>
        <v>0</v>
      </c>
      <c r="M250" s="322"/>
      <c r="N250" s="88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IFERROR(__xludf.DUMMYFUNCTION("IMPORTRANGE(""https://docs.google.com/spreadsheets/d/1QqKyyYR6Q21VydFLVH3TRQUabQu_ym0Zz7PgGX0-kHA/edit?usp=sharing"",""แผน!BA39"")"),0)</f>
        <v>0</v>
      </c>
      <c r="M251" s="322"/>
      <c r="N251" s="88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IFERROR(__xludf.DUMMYFUNCTION("IMPORTRANGE(""https://docs.google.com/spreadsheets/d/1QqKyyYR6Q21VydFLVH3TRQUabQu_ym0Zz7PgGX0-kHA/edit?usp=sharing"",""แผน!BB39"")"),0)</f>
        <v>0</v>
      </c>
      <c r="M252" s="322"/>
      <c r="N252" s="88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IFERROR(__xludf.DUMMYFUNCTION("IMPORTRANGE(""https://docs.google.com/spreadsheets/d/1QqKyyYR6Q21VydFLVH3TRQUabQu_ym0Zz7PgGX0-kHA/edit?usp=sharing"",""แผน!BC39"")"),0)</f>
        <v>0</v>
      </c>
      <c r="M253" s="322"/>
      <c r="N253" s="88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7" t="s">
        <v>38</v>
      </c>
      <c r="E254" s="173"/>
      <c r="F254" s="173"/>
      <c r="G254" s="174"/>
      <c r="H254" s="762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4" t="s">
        <v>35</v>
      </c>
      <c r="I255" s="270">
        <f ca="1">IFERROR(__xludf.DUMMYFUNCTION("IMPORTRANGE(""https://docs.google.com/spreadsheets/d/1QqKyyYR6Q21VydFLVH3TRQUabQu_ym0Zz7PgGX0-kHA/edit?usp=sharing"",""แผน!BF39"")"),0)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4" t="s">
        <v>43</v>
      </c>
      <c r="E256" s="178"/>
      <c r="F256" s="178"/>
      <c r="G256" s="179"/>
      <c r="H256" s="764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4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4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26900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7"/>
      <c r="J262" s="617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7"/>
      <c r="J263" s="617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26900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26900</v>
      </c>
      <c r="N264" s="498">
        <f t="shared" ca="1" si="120"/>
        <v>26900</v>
      </c>
      <c r="O264" s="498">
        <f t="shared" ca="1" si="117"/>
        <v>100</v>
      </c>
      <c r="P264" s="498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IFERROR(__xludf.DUMMYFUNCTION("IMPORTRANGE(""https://docs.google.com/spreadsheets/d/1MeEWN-I1oV_STSDYn1IFDPWt_1FKiwhDph83XaGc0o0/edit?usp=sharing"",""งบพรบ!CY39"")"),26900)</f>
        <v>26900</v>
      </c>
      <c r="M266" s="93">
        <f ca="1">IFERROR(__xludf.DUMMYFUNCTION("IMPORTRANGE(""https://docs.google.com/spreadsheets/d/1MeEWN-I1oV_STSDYn1IFDPWt_1FKiwhDph83XaGc0o0/edit?usp=sharing"",""งบพรบ!DD39"")"),26900)</f>
        <v>26900</v>
      </c>
      <c r="N266" s="93">
        <f ca="1">IFERROR(__xludf.DUMMYFUNCTION("IMPORTRANGE(""https://docs.google.com/spreadsheets/d/1MeEWN-I1oV_STSDYn1IFDPWt_1FKiwhDph83XaGc0o0/edit?usp=sharing"",""งบพรบ!DF39"")"),26900)</f>
        <v>26900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IFERROR(__xludf.DUMMYFUNCTION("IMPORTRANGE(""https://docs.google.com/spreadsheets/d/1MeEWN-I1oV_STSDYn1IFDPWt_1FKiwhDph83XaGc0o0/edit?usp=sharing"",""งบพรบ!DB39"")"),0)</f>
        <v>0</v>
      </c>
      <c r="M269" s="93">
        <f ca="1">IFERROR(__xludf.DUMMYFUNCTION("IMPORTRANGE(""https://docs.google.com/spreadsheets/d/1MeEWN-I1oV_STSDYn1IFDPWt_1FKiwhDph83XaGc0o0/edit?usp=sharing"",""งบพรบ!DE39"")"),0)</f>
        <v>0</v>
      </c>
      <c r="N269" s="93">
        <f ca="1">IFERROR(__xludf.DUMMYFUNCTION("IMPORTRANGE(""https://docs.google.com/spreadsheets/d/1MeEWN-I1oV_STSDYn1IFDPWt_1FKiwhDph83XaGc0o0/edit?usp=sharing"",""งบพรบ!DG39"")"),0)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7" t="s">
        <v>38</v>
      </c>
      <c r="E270" s="173"/>
      <c r="F270" s="173"/>
      <c r="G270" s="174"/>
      <c r="H270" s="762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6">
        <v>0</v>
      </c>
      <c r="J272" s="506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5">
        <f t="shared" ref="I276:J276" ca="1" si="124">I287</f>
        <v>0</v>
      </c>
      <c r="J276" s="885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7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7"/>
      <c r="J278" s="617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7"/>
      <c r="J279" s="617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IFERROR(__xludf.DUMMYFUNCTION("IMPORTRANGE(""https://docs.google.com/spreadsheets/d/1MeEWN-I1oV_STSDYn1IFDPWt_1FKiwhDph83XaGc0o0/edit?usp=sharing"",""งบพรบ!DI39"")"),0)</f>
        <v>0</v>
      </c>
      <c r="M282" s="93">
        <f ca="1">IFERROR(__xludf.DUMMYFUNCTION("IMPORTRANGE(""https://docs.google.com/spreadsheets/d/1MeEWN-I1oV_STSDYn1IFDPWt_1FKiwhDph83XaGc0o0/edit?usp=sharing"",""งบพรบ!DN39"")"),0)</f>
        <v>0</v>
      </c>
      <c r="N282" s="93">
        <f ca="1">IFERROR(__xludf.DUMMYFUNCTION("IMPORTRANGE(""https://docs.google.com/spreadsheets/d/1MeEWN-I1oV_STSDYn1IFDPWt_1FKiwhDph83XaGc0o0/edit?usp=sharing"",""งบพรบ!DP39"")"),0)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IFERROR(__xludf.DUMMYFUNCTION("IMPORTRANGE(""https://docs.google.com/spreadsheets/d/1MeEWN-I1oV_STSDYn1IFDPWt_1FKiwhDph83XaGc0o0/edit?usp=sharing"",""งบพรบ!DL39"")"),0)</f>
        <v>0</v>
      </c>
      <c r="M285" s="93">
        <f ca="1">IFERROR(__xludf.DUMMYFUNCTION("IMPORTRANGE(""https://docs.google.com/spreadsheets/d/1MeEWN-I1oV_STSDYn1IFDPWt_1FKiwhDph83XaGc0o0/edit?usp=sharing"",""งบพรบ!DO39"")"),0)</f>
        <v>0</v>
      </c>
      <c r="N285" s="93">
        <f ca="1">IFERROR(__xludf.DUMMYFUNCTION("IMPORTRANGE(""https://docs.google.com/spreadsheets/d/1MeEWN-I1oV_STSDYn1IFDPWt_1FKiwhDph83XaGc0o0/edit?usp=sharing"",""งบพรบ!DQ39"")"),0)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77" t="s">
        <v>38</v>
      </c>
      <c r="E286" s="173"/>
      <c r="F286" s="173"/>
      <c r="G286" s="174"/>
      <c r="H286" s="762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6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IFERROR(__xludf.DUMMYFUNCTION("IMPORTRANGE(""https://docs.google.com/spreadsheets/d/1QqKyyYR6Q21VydFLVH3TRQUabQu_ym0Zz7PgGX0-kHA/edit?usp=sharing"",""แผน!EC39"")"),0)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6" t="s">
        <v>130</v>
      </c>
      <c r="E288" s="171"/>
      <c r="F288" s="178"/>
      <c r="G288" s="179"/>
      <c r="H288" s="180" t="s">
        <v>35</v>
      </c>
      <c r="I288" s="681">
        <f ca="1">IFERROR(__xludf.DUMMYFUNCTION("IMPORTRANGE(""https://docs.google.com/spreadsheets/d/1QqKyyYR6Q21VydFLVH3TRQUabQu_ym0Zz7PgGX0-kHA/edit?usp=sharing"",""แผน!EB39"")"),0)</f>
        <v>0</v>
      </c>
      <c r="J288" s="681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4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6" t="s">
        <v>132</v>
      </c>
      <c r="F290" s="178"/>
      <c r="G290" s="179"/>
      <c r="H290" s="764" t="s">
        <v>35</v>
      </c>
      <c r="I290" s="184">
        <f ca="1">IFERROR(__xludf.DUMMYFUNCTION("IMPORTRANGE(""https://docs.google.com/spreadsheets/d/1QqKyyYR6Q21VydFLVH3TRQUabQu_ym0Zz7PgGX0-kHA/edit?usp=sharing"",""แผน!EB39"")"),0)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6" t="s">
        <v>347</v>
      </c>
      <c r="F291" s="178"/>
      <c r="G291" s="179"/>
      <c r="H291" s="764" t="s">
        <v>35</v>
      </c>
      <c r="I291" s="184">
        <f ca="1">IFERROR(__xludf.DUMMYFUNCTION("IMPORTRANGE(""https://docs.google.com/spreadsheets/d/1QqKyyYR6Q21VydFLVH3TRQUabQu_ym0Zz7PgGX0-kHA/edit?usp=sharing"",""แผน!EB39"")"),0)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6" t="s">
        <v>132</v>
      </c>
      <c r="F293" s="178"/>
      <c r="G293" s="179"/>
      <c r="H293" s="764" t="s">
        <v>35</v>
      </c>
      <c r="I293" s="184">
        <f ca="1">IFERROR(__xludf.DUMMYFUNCTION("IMPORTRANGE(""https://docs.google.com/spreadsheets/d/1QqKyyYR6Q21VydFLVH3TRQUabQu_ym0Zz7PgGX0-kHA/edit?usp=sharing"",""แผน!EB39"")"),0)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4" t="s">
        <v>347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IFERROR(__xludf.DUMMYFUNCTION("IMPORTRANGE(""https://docs.google.com/spreadsheets/d/1QqKyyYR6Q21VydFLVH3TRQUabQu_ym0Zz7PgGX0-kHA/edit?usp=sharing"",""แผน!EB39"")"),0)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7"/>
      <c r="J299" s="617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7"/>
      <c r="J300" s="617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IFERROR(__xludf.DUMMYFUNCTION("IMPORTRANGE(""https://docs.google.com/spreadsheets/d/1MeEWN-I1oV_STSDYn1IFDPWt_1FKiwhDph83XaGc0o0/edit?usp=sharing"",""งบพรบ!DS39"")"),0)</f>
        <v>0</v>
      </c>
      <c r="M303" s="93">
        <f ca="1">IFERROR(__xludf.DUMMYFUNCTION("IMPORTRANGE(""https://docs.google.com/spreadsheets/d/1MeEWN-I1oV_STSDYn1IFDPWt_1FKiwhDph83XaGc0o0/edit?usp=sharing"",""งบพรบ!DX39"")"),0)</f>
        <v>0</v>
      </c>
      <c r="N303" s="93">
        <f ca="1">IFERROR(__xludf.DUMMYFUNCTION("IMPORTRANGE(""https://docs.google.com/spreadsheets/d/1MeEWN-I1oV_STSDYn1IFDPWt_1FKiwhDph83XaGc0o0/edit?usp=sharing"",""งบพรบ!DZ39"")"),0)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IFERROR(__xludf.DUMMYFUNCTION("IMPORTRANGE(""https://docs.google.com/spreadsheets/d/1MeEWN-I1oV_STSDYn1IFDPWt_1FKiwhDph83XaGc0o0/edit?usp=sharing"",""งบพรบ!DV39"")"),0)</f>
        <v>0</v>
      </c>
      <c r="M306" s="93">
        <f ca="1">IFERROR(__xludf.DUMMYFUNCTION("IMPORTRANGE(""https://docs.google.com/spreadsheets/d/1MeEWN-I1oV_STSDYn1IFDPWt_1FKiwhDph83XaGc0o0/edit?usp=sharing"",""งบพรบ!DY39"")"),0)</f>
        <v>0</v>
      </c>
      <c r="N306" s="93">
        <f ca="1">IFERROR(__xludf.DUMMYFUNCTION("IMPORTRANGE(""https://docs.google.com/spreadsheets/d/1MeEWN-I1oV_STSDYn1IFDPWt_1FKiwhDph83XaGc0o0/edit?usp=sharing"",""งบพรบ!EA39"")"),0)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7" t="s">
        <v>38</v>
      </c>
      <c r="E307" s="173"/>
      <c r="F307" s="173"/>
      <c r="G307" s="174"/>
      <c r="H307" s="762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4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4" t="s">
        <v>35</v>
      </c>
      <c r="I309" s="270">
        <f ca="1">IFERROR(__xludf.DUMMYFUNCTION("IMPORTRANGE(""https://docs.google.com/spreadsheets/d/1QqKyyYR6Q21VydFLVH3TRQUabQu_ym0Zz7PgGX0-kHA/edit?usp=sharing"",""แผน!ED39"")"),0)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4" t="s">
        <v>35</v>
      </c>
      <c r="I310" s="270">
        <f ca="1">IFERROR(__xludf.DUMMYFUNCTION("IMPORTRANGE(""https://docs.google.com/spreadsheets/d/1QqKyyYR6Q21VydFLVH3TRQUabQu_ym0Zz7PgGX0-kHA/edit?usp=sharing"",""แผน!ED39"")"),0)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4" t="s">
        <v>35</v>
      </c>
      <c r="I311" s="270">
        <f ca="1">IFERROR(__xludf.DUMMYFUNCTION("IMPORTRANGE(""https://docs.google.com/spreadsheets/d/1QqKyyYR6Q21VydFLVH3TRQUabQu_ym0Zz7PgGX0-kHA/edit?usp=sharing"",""แผน!ED39"")"),0)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4" t="s">
        <v>35</v>
      </c>
      <c r="I312" s="270">
        <f ca="1">IFERROR(__xludf.DUMMYFUNCTION("IMPORTRANGE(""https://docs.google.com/spreadsheets/d/1QqKyyYR6Q21VydFLVH3TRQUabQu_ym0Zz7PgGX0-kHA/edit?usp=sharing"",""แผน!EE39"")"),0)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7"/>
      <c r="J316" s="617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7"/>
      <c r="J317" s="617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IFERROR(__xludf.DUMMYFUNCTION("IMPORTRANGE(""https://docs.google.com/spreadsheets/d/1MeEWN-I1oV_STSDYn1IFDPWt_1FKiwhDph83XaGc0o0/edit?usp=sharing"",""งบพรบ!EC39"")"),0)</f>
        <v>0</v>
      </c>
      <c r="M320" s="93">
        <f ca="1">IFERROR(__xludf.DUMMYFUNCTION("IMPORTRANGE(""https://docs.google.com/spreadsheets/d/1MeEWN-I1oV_STSDYn1IFDPWt_1FKiwhDph83XaGc0o0/edit?usp=sharing"",""งบพรบ!EH39"")"),0)</f>
        <v>0</v>
      </c>
      <c r="N320" s="93">
        <f ca="1">IFERROR(__xludf.DUMMYFUNCTION("IMPORTRANGE(""https://docs.google.com/spreadsheets/d/1MeEWN-I1oV_STSDYn1IFDPWt_1FKiwhDph83XaGc0o0/edit?usp=sharing"",""งบพรบ!EJ39"")"),0)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IFERROR(__xludf.DUMMYFUNCTION("IMPORTRANGE(""https://docs.google.com/spreadsheets/d/1MeEWN-I1oV_STSDYn1IFDPWt_1FKiwhDph83XaGc0o0/edit?usp=sharing"",""งบพรบ!EF39"")"),0)</f>
        <v>0</v>
      </c>
      <c r="M323" s="93">
        <f ca="1">IFERROR(__xludf.DUMMYFUNCTION("IMPORTRANGE(""https://docs.google.com/spreadsheets/d/1MeEWN-I1oV_STSDYn1IFDPWt_1FKiwhDph83XaGc0o0/edit?usp=sharing"",""งบพรบ!EI39"")"),0)</f>
        <v>0</v>
      </c>
      <c r="N323" s="93">
        <f ca="1">IFERROR(__xludf.DUMMYFUNCTION("IMPORTRANGE(""https://docs.google.com/spreadsheets/d/1MeEWN-I1oV_STSDYn1IFDPWt_1FKiwhDph83XaGc0o0/edit?usp=sharing"",""งบพรบ!EK39"")"),0)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7" t="s">
        <v>38</v>
      </c>
      <c r="E324" s="173"/>
      <c r="F324" s="173"/>
      <c r="G324" s="174"/>
      <c r="H324" s="762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3" t="s">
        <v>146</v>
      </c>
      <c r="I325" s="270">
        <f ca="1">IFERROR(__xludf.DUMMYFUNCTION("IMPORTRANGE(""https://docs.google.com/spreadsheets/d/1QqKyyYR6Q21VydFLVH3TRQUabQu_ym0Zz7PgGX0-kHA/edit?usp=sharing"",""แผน!EF39"")"),0)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IFERROR(__xludf.DUMMYFUNCTION("IMPORTRANGE(""https://docs.google.com/spreadsheets/d/1QqKyyYR6Q21VydFLVH3TRQUabQu_ym0Zz7PgGX0-kHA/edit?usp=sharing"",""แผน!EG39"")"),1000)</f>
        <v>1000</v>
      </c>
      <c r="J327" s="444">
        <f ca="1">J338+J341+J342+J343</f>
        <v>2828</v>
      </c>
      <c r="K327" s="445">
        <f ca="1">IF(I327&gt;0,J327*100/I327,0)</f>
        <v>282.8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161000</v>
      </c>
      <c r="M328" s="155">
        <f t="shared" ca="1" si="149"/>
        <v>163500</v>
      </c>
      <c r="N328" s="155">
        <f t="shared" ca="1" si="149"/>
        <v>163500</v>
      </c>
      <c r="O328" s="155">
        <f t="shared" ref="O328:O336" ca="1" si="150">IF(L328&gt;0,N328*100/L328,0)</f>
        <v>101.55279503105589</v>
      </c>
      <c r="P328" s="155">
        <f t="shared" ref="P328:P336" ca="1" si="151">IF(M328&gt;0,N328*100/M328,0)</f>
        <v>100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7"/>
      <c r="J329" s="617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7"/>
      <c r="J330" s="617"/>
      <c r="K330" s="93"/>
      <c r="L330" s="93">
        <f t="shared" ca="1" si="152"/>
        <v>161000</v>
      </c>
      <c r="M330" s="93">
        <f t="shared" ca="1" si="152"/>
        <v>163500</v>
      </c>
      <c r="N330" s="93">
        <f t="shared" ca="1" si="152"/>
        <v>163500</v>
      </c>
      <c r="O330" s="93">
        <f t="shared" ca="1" si="150"/>
        <v>101.55279503105589</v>
      </c>
      <c r="P330" s="93">
        <f t="shared" ca="1" si="151"/>
        <v>100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161000</v>
      </c>
      <c r="M331" s="498">
        <f t="shared" ca="1" si="153"/>
        <v>163500</v>
      </c>
      <c r="N331" s="498">
        <f t="shared" ca="1" si="153"/>
        <v>163500</v>
      </c>
      <c r="O331" s="498">
        <f t="shared" ca="1" si="150"/>
        <v>101.55279503105589</v>
      </c>
      <c r="P331" s="498">
        <f t="shared" ca="1" si="151"/>
        <v>100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IFERROR(__xludf.DUMMYFUNCTION("IMPORTRANGE(""https://docs.google.com/spreadsheets/d/1MeEWN-I1oV_STSDYn1IFDPWt_1FKiwhDph83XaGc0o0/edit?usp=sharing"",""งบพรบ!EM39"")"),161000)</f>
        <v>161000</v>
      </c>
      <c r="M333" s="93">
        <f ca="1">IFERROR(__xludf.DUMMYFUNCTION("IMPORTRANGE(""https://docs.google.com/spreadsheets/d/1MeEWN-I1oV_STSDYn1IFDPWt_1FKiwhDph83XaGc0o0/edit?usp=sharing"",""งบพรบ!ER39"")"),163500)</f>
        <v>163500</v>
      </c>
      <c r="N333" s="93">
        <f ca="1">IFERROR(__xludf.DUMMYFUNCTION("IMPORTRANGE(""https://docs.google.com/spreadsheets/d/1MeEWN-I1oV_STSDYn1IFDPWt_1FKiwhDph83XaGc0o0/edit?usp=sharing"",""งบพรบ!ET39"")"),163500)</f>
        <v>163500</v>
      </c>
      <c r="O333" s="93">
        <f t="shared" ca="1" si="150"/>
        <v>101.55279503105589</v>
      </c>
      <c r="P333" s="93">
        <f t="shared" ca="1" si="151"/>
        <v>100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IFERROR(__xludf.DUMMYFUNCTION("IMPORTRANGE(""https://docs.google.com/spreadsheets/d/1MeEWN-I1oV_STSDYn1IFDPWt_1FKiwhDph83XaGc0o0/edit?usp=sharing"",""งบพรบ!EP39"")"),0)</f>
        <v>0</v>
      </c>
      <c r="M336" s="93">
        <f ca="1">IFERROR(__xludf.DUMMYFUNCTION("IMPORTRANGE(""https://docs.google.com/spreadsheets/d/1MeEWN-I1oV_STSDYn1IFDPWt_1FKiwhDph83XaGc0o0/edit?usp=sharing"",""งบพรบ!ES39"")"),0)</f>
        <v>0</v>
      </c>
      <c r="N336" s="93">
        <f ca="1">IFERROR(__xludf.DUMMYFUNCTION("IMPORTRANGE(""https://docs.google.com/spreadsheets/d/1MeEWN-I1oV_STSDYn1IFDPWt_1FKiwhDph83XaGc0o0/edit?usp=sharing"",""งบพรบ!EU39"")"),0)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86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3"/>
      <c r="F337" s="173"/>
      <c r="G337" s="174"/>
      <c r="H337" s="762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IFERROR(__xludf.DUMMYFUNCTION("IMPORTRANGE(""https://docs.google.com/spreadsheets/d/1QqKyyYR6Q21VydFLVH3TRQUabQu_ym0Zz7PgGX0-kHA/edit?usp=sharing"",""แผน!EG39"")"),1000)</f>
        <v>1000</v>
      </c>
      <c r="J338" s="270">
        <f ca="1">IFERROR(__xludf.DUMMYFUNCTION("IMPORTRANGE(""https://docs.google.com/spreadsheets/d/1kVcqe37tkHyjCSG3S0O1AXqVkqjo8mSIZil3BcpIysc/edit?usp=sharing"",""ศูนย์!D39"")"),2672)</f>
        <v>2672</v>
      </c>
      <c r="K338" s="498">
        <f ca="1">IF(I338&gt;0,J338*100/I338,0)</f>
        <v>267.2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IFERROR(__xludf.DUMMYFUNCTION("IMPORTRANGE(""https://docs.google.com/spreadsheets/d/1QqKyyYR6Q21VydFLVH3TRQUabQu_ym0Zz7PgGX0-kHA/edit?usp=sharing"",""แผน!EH39"")"),4)</f>
        <v>4</v>
      </c>
      <c r="J340" s="270">
        <f ca="1">IFERROR(__xludf.DUMMYFUNCTION("IMPORTRANGE(""https://docs.google.com/spreadsheets/d/1kVcqe37tkHyjCSG3S0O1AXqVkqjo8mSIZil3BcpIysc/edit?usp=sharing"",""ศูนย์!E39"")"),7)</f>
        <v>7</v>
      </c>
      <c r="K340" s="498">
        <f ca="1">IF(I340&gt;0,J340*100/I340,0)</f>
        <v>175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IFERROR(__xludf.DUMMYFUNCTION("IMPORTRANGE(""https://docs.google.com/spreadsheets/d/1kVcqe37tkHyjCSG3S0O1AXqVkqjo8mSIZil3BcpIysc/edit?usp=sharing"",""ศูนย์!F39"")"),156)</f>
        <v>156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IFERROR(__xludf.DUMMYFUNCTION("IMPORTRANGE(""https://docs.google.com/spreadsheets/d/1kVcqe37tkHyjCSG3S0O1AXqVkqjo8mSIZil3BcpIysc/edit?usp=sharing"",""ศูนย์!G39"")"),0)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IFERROR(__xludf.DUMMYFUNCTION("IMPORTRANGE(""https://docs.google.com/spreadsheets/d/1kVcqe37tkHyjCSG3S0O1AXqVkqjo8mSIZil3BcpIysc/edit?usp=sharing"",""ศูนย์!H39"")"),0)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491410</v>
      </c>
      <c r="M345" s="155">
        <f t="shared" ca="1" si="155"/>
        <v>591490</v>
      </c>
      <c r="N345" s="155">
        <f t="shared" ca="1" si="155"/>
        <v>591490</v>
      </c>
      <c r="O345" s="155">
        <f t="shared" ref="O345:O353" ca="1" si="156">IF(L345&gt;0,N345*100/L345,0)</f>
        <v>120.36588592010744</v>
      </c>
      <c r="P345" s="155">
        <f t="shared" ref="P345:P353" ca="1" si="157">IF(M345&gt;0,N345*100/M345,0)</f>
        <v>100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7"/>
      <c r="J346" s="617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7"/>
      <c r="J347" s="617"/>
      <c r="K347" s="93"/>
      <c r="L347" s="93">
        <f t="shared" ca="1" si="158"/>
        <v>491410</v>
      </c>
      <c r="M347" s="93">
        <f t="shared" ca="1" si="158"/>
        <v>591490</v>
      </c>
      <c r="N347" s="93">
        <f t="shared" ca="1" si="158"/>
        <v>591490</v>
      </c>
      <c r="O347" s="93">
        <f t="shared" ca="1" si="156"/>
        <v>120.36588592010744</v>
      </c>
      <c r="P347" s="93">
        <f t="shared" ca="1" si="157"/>
        <v>100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431410</v>
      </c>
      <c r="M348" s="498">
        <f t="shared" ca="1" si="159"/>
        <v>531490</v>
      </c>
      <c r="N348" s="498">
        <f t="shared" ca="1" si="159"/>
        <v>531490</v>
      </c>
      <c r="O348" s="498">
        <f t="shared" ca="1" si="156"/>
        <v>123.19834959783037</v>
      </c>
      <c r="P348" s="498">
        <f t="shared" ca="1" si="157"/>
        <v>100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IFERROR(__xludf.DUMMYFUNCTION("IMPORTRANGE(""https://docs.google.com/spreadsheets/d/1MeEWN-I1oV_STSDYn1IFDPWt_1FKiwhDph83XaGc0o0/edit?usp=sharing"",""งบพรบ!EW39"")"),431410)</f>
        <v>431410</v>
      </c>
      <c r="M350" s="93">
        <f ca="1">IFERROR(__xludf.DUMMYFUNCTION("IMPORTRANGE(""https://docs.google.com/spreadsheets/d/1MeEWN-I1oV_STSDYn1IFDPWt_1FKiwhDph83XaGc0o0/edit?usp=sharing"",""งบพรบ!FB39"")"),531490)</f>
        <v>531490</v>
      </c>
      <c r="N350" s="93">
        <f ca="1">IFERROR(__xludf.DUMMYFUNCTION("IMPORTRANGE(""https://docs.google.com/spreadsheets/d/1MeEWN-I1oV_STSDYn1IFDPWt_1FKiwhDph83XaGc0o0/edit?usp=sharing"",""งบพรบ!FD39"")"),531490)</f>
        <v>531490</v>
      </c>
      <c r="O350" s="93">
        <f t="shared" ca="1" si="156"/>
        <v>123.19834959783037</v>
      </c>
      <c r="P350" s="93">
        <f t="shared" ca="1" si="157"/>
        <v>100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60000</v>
      </c>
      <c r="M351" s="498">
        <f t="shared" ca="1" si="160"/>
        <v>60000</v>
      </c>
      <c r="N351" s="498">
        <f t="shared" ca="1" si="160"/>
        <v>60000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IFERROR(__xludf.DUMMYFUNCTION("IMPORTRANGE(""https://docs.google.com/spreadsheets/d/1MeEWN-I1oV_STSDYn1IFDPWt_1FKiwhDph83XaGc0o0/edit?usp=sharing"",""งบพรบ!EZ39"")"),60000)</f>
        <v>60000</v>
      </c>
      <c r="M353" s="93">
        <f ca="1">IFERROR(__xludf.DUMMYFUNCTION("IMPORTRANGE(""https://docs.google.com/spreadsheets/d/1MeEWN-I1oV_STSDYn1IFDPWt_1FKiwhDph83XaGc0o0/edit?usp=sharing"",""งบพรบ!FC39"")"),60000)</f>
        <v>60000</v>
      </c>
      <c r="N353" s="93">
        <f ca="1">IFERROR(__xludf.DUMMYFUNCTION("IMPORTRANGE(""https://docs.google.com/spreadsheets/d/1MeEWN-I1oV_STSDYn1IFDPWt_1FKiwhDph83XaGc0o0/edit?usp=sharing"",""งบพรบ!FE39"")"),60000)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7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88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IFERROR(__xludf.DUMMYFUNCTION("IMPORTRANGE(""https://docs.google.com/spreadsheets/d/1QqKyyYR6Q21VydFLVH3TRQUabQu_ym0Zz7PgGX0-kHA/edit?usp=sharing"",""แผน!EP39"")"),115)</f>
        <v>115</v>
      </c>
      <c r="J355" s="465">
        <f ca="1">J362</f>
        <v>131</v>
      </c>
      <c r="K355" s="466">
        <f ca="1">IF(I355&gt;0,J355*100/I355,0)</f>
        <v>113.91304347826087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77" t="s">
        <v>38</v>
      </c>
      <c r="E357" s="173"/>
      <c r="F357" s="173"/>
      <c r="G357" s="174"/>
      <c r="H357" s="762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IFERROR(__xludf.DUMMYFUNCTION("IMPORTRANGE(""https://docs.google.com/spreadsheets/d/1XWAQStnk-4SwqDmLtmXYiTMKHgktTP8We1SCoS47DrQ/edit?usp=sharing"",""จัดที่ดิน!W39"")"),132)</f>
        <v>132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IFERROR(__xludf.DUMMYFUNCTION("IMPORTRANGE(""https://docs.google.com/spreadsheets/d/1QqKyyYR6Q21VydFLVH3TRQUabQu_ym0Zz7PgGX0-kHA/edit?usp=sharing"",""แผน!EO39"")"),1150)</f>
        <v>1150</v>
      </c>
      <c r="J359" s="270">
        <f ca="1">IFERROR(__xludf.DUMMYFUNCTION("IMPORTRANGE(""https://docs.google.com/spreadsheets/d/1XWAQStnk-4SwqDmLtmXYiTMKHgktTP8We1SCoS47DrQ/edit?usp=sharing"",""จัดที่ดิน!X39"")"),1111.71)</f>
        <v>1111.71</v>
      </c>
      <c r="K359" s="498">
        <f t="shared" ca="1" si="161"/>
        <v>96.670434782608694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4" t="s">
        <v>35</v>
      </c>
      <c r="I360" s="270">
        <f ca="1">IFERROR(__xludf.DUMMYFUNCTION("IMPORTRANGE(""https://docs.google.com/spreadsheets/d/1QqKyyYR6Q21VydFLVH3TRQUabQu_ym0Zz7PgGX0-kHA/edit?usp=sharing"",""แผน!EP39"")"),115)</f>
        <v>115</v>
      </c>
      <c r="J360" s="270">
        <f ca="1">IFERROR(__xludf.DUMMYFUNCTION("IMPORTRANGE(""https://docs.google.com/spreadsheets/d/1XWAQStnk-4SwqDmLtmXYiTMKHgktTP8We1SCoS47DrQ/edit?usp=sharing"",""จัดที่ดิน!Y39"")"),133)</f>
        <v>133</v>
      </c>
      <c r="K360" s="498">
        <f t="shared" ca="1" si="161"/>
        <v>115.65217391304348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4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IFERROR(__xludf.DUMMYFUNCTION("IMPORTRANGE(""https://docs.google.com/spreadsheets/d/1XWAQStnk-4SwqDmLtmXYiTMKHgktTP8We1SCoS47DrQ/edit?usp=sharing"",""จัดที่ดิน!Z39"")"),1115.49)</f>
        <v>1115.49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4" t="s">
        <v>35</v>
      </c>
      <c r="I362" s="270">
        <f ca="1">IFERROR(__xludf.DUMMYFUNCTION("IMPORTRANGE(""https://docs.google.com/spreadsheets/d/1QqKyyYR6Q21VydFLVH3TRQUabQu_ym0Zz7PgGX0-kHA/edit?usp=sharing"",""แผน!EP39"")"),115)</f>
        <v>115</v>
      </c>
      <c r="J362" s="270">
        <f ca="1">IFERROR(__xludf.DUMMYFUNCTION("IMPORTRANGE(""https://docs.google.com/spreadsheets/d/1XWAQStnk-4SwqDmLtmXYiTMKHgktTP8We1SCoS47DrQ/edit?usp=sharing"",""จัดที่ดิน!AA39"")"),131)</f>
        <v>131</v>
      </c>
      <c r="K362" s="498">
        <f t="shared" ca="1" si="161"/>
        <v>113.91304347826087</v>
      </c>
      <c r="L362" s="163"/>
      <c r="M362" s="163"/>
      <c r="N362" s="163"/>
      <c r="O362" s="163"/>
      <c r="P362" s="163"/>
    </row>
    <row r="363" spans="1:26" ht="18.75" hidden="1">
      <c r="A363" s="499" t="s">
        <v>169</v>
      </c>
      <c r="B363" s="178"/>
      <c r="C363" s="171"/>
      <c r="D363" s="178"/>
      <c r="E363" s="447"/>
      <c r="F363" s="178"/>
      <c r="G363" s="179"/>
      <c r="H363" s="764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IFERROR(__xludf.DUMMYFUNCTION("IMPORTRANGE(""https://docs.google.com/spreadsheets/d/1XWAQStnk-4SwqDmLtmXYiTMKHgktTP8We1SCoS47DrQ/edit?usp=sharing"",""จัดที่ดิน!AB39"")"),1100.15999999999)</f>
        <v>1100.1599999999901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t="shared" ref="I364:J364" ca="1" si="162">I365+I374</f>
        <v>315</v>
      </c>
      <c r="J364" s="479">
        <f t="shared" ca="1" si="162"/>
        <v>406</v>
      </c>
      <c r="K364" s="480">
        <f t="shared" ca="1" si="161"/>
        <v>128.88888888888889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IFERROR(__xludf.DUMMYFUNCTION("IMPORTRANGE(""https://docs.google.com/spreadsheets/d/1QqKyyYR6Q21VydFLVH3TRQUabQu_ym0Zz7PgGX0-kHA/edit?usp=sharing"",""แผน!EJ39"")"),15)</f>
        <v>15</v>
      </c>
      <c r="J365" s="491">
        <f ca="1">J372</f>
        <v>17</v>
      </c>
      <c r="K365" s="492">
        <f t="shared" ca="1" si="161"/>
        <v>113.33333333333333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77" t="s">
        <v>38</v>
      </c>
      <c r="E367" s="173"/>
      <c r="F367" s="173"/>
      <c r="G367" s="174"/>
      <c r="H367" s="762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IFERROR(__xludf.DUMMYFUNCTION("IMPORTRANGE(""https://docs.google.com/spreadsheets/d/1XWAQStnk-4SwqDmLtmXYiTMKHgktTP8We1SCoS47DrQ/edit?usp=sharing"",""จัดที่ดิน!E39"")"),16)</f>
        <v>16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IFERROR(__xludf.DUMMYFUNCTION("IMPORTRANGE(""https://docs.google.com/spreadsheets/d/1QqKyyYR6Q21VydFLVH3TRQUabQu_ym0Zz7PgGX0-kHA/edit?usp=sharing"",""แผน!EI39"")"),150)</f>
        <v>150</v>
      </c>
      <c r="J369" s="270">
        <f ca="1">IFERROR(__xludf.DUMMYFUNCTION("IMPORTRANGE(""https://docs.google.com/spreadsheets/d/1XWAQStnk-4SwqDmLtmXYiTMKHgktTP8We1SCoS47DrQ/edit?usp=sharing"",""จัดที่ดิน!F39"")"),47.05)</f>
        <v>47.05</v>
      </c>
      <c r="K369" s="498">
        <f t="shared" ca="1" si="163"/>
        <v>31.366666666666667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4" t="s">
        <v>35</v>
      </c>
      <c r="I370" s="270">
        <f ca="1">IFERROR(__xludf.DUMMYFUNCTION("IMPORTRANGE(""https://docs.google.com/spreadsheets/d/1QqKyyYR6Q21VydFLVH3TRQUabQu_ym0Zz7PgGX0-kHA/edit?usp=sharing"",""แผน!EJ39"")"),15)</f>
        <v>15</v>
      </c>
      <c r="J370" s="270">
        <f ca="1">IFERROR(__xludf.DUMMYFUNCTION("IMPORTRANGE(""https://docs.google.com/spreadsheets/d/1XWAQStnk-4SwqDmLtmXYiTMKHgktTP8We1SCoS47DrQ/edit?usp=sharing"",""จัดที่ดิน!G39"")"),17)</f>
        <v>17</v>
      </c>
      <c r="K370" s="498">
        <f t="shared" ca="1" si="163"/>
        <v>113.33333333333333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4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IFERROR(__xludf.DUMMYFUNCTION("IMPORTRANGE(""https://docs.google.com/spreadsheets/d/1XWAQStnk-4SwqDmLtmXYiTMKHgktTP8We1SCoS47DrQ/edit?usp=sharing"",""จัดที่ดิน!H39"")"),50.83)</f>
        <v>50.83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4" t="s">
        <v>35</v>
      </c>
      <c r="I372" s="270">
        <f ca="1">IFERROR(__xludf.DUMMYFUNCTION("IMPORTRANGE(""https://docs.google.com/spreadsheets/d/1QqKyyYR6Q21VydFLVH3TRQUabQu_ym0Zz7PgGX0-kHA/edit?usp=sharing"",""แผน!EJ39"")"),15)</f>
        <v>15</v>
      </c>
      <c r="J372" s="270">
        <f ca="1">IFERROR(__xludf.DUMMYFUNCTION("IMPORTRANGE(""https://docs.google.com/spreadsheets/d/1XWAQStnk-4SwqDmLtmXYiTMKHgktTP8We1SCoS47DrQ/edit?usp=sharing"",""จัดที่ดิน!I39"")"),17)</f>
        <v>17</v>
      </c>
      <c r="K372" s="498">
        <f t="shared" ca="1" si="163"/>
        <v>113.33333333333333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8"/>
      <c r="C373" s="171"/>
      <c r="D373" s="178"/>
      <c r="E373" s="447"/>
      <c r="F373" s="178"/>
      <c r="G373" s="179"/>
      <c r="H373" s="764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IFERROR(__xludf.DUMMYFUNCTION("IMPORTRANGE(""https://docs.google.com/spreadsheets/d/1XWAQStnk-4SwqDmLtmXYiTMKHgktTP8We1SCoS47DrQ/edit?usp=sharing"",""จัดที่ดิน!J39"")"),50.83)</f>
        <v>50.83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IFERROR(__xludf.DUMMYFUNCTION("IMPORTRANGE(""https://docs.google.com/spreadsheets/d/1QqKyyYR6Q21VydFLVH3TRQUabQu_ym0Zz7PgGX0-kHA/edit?usp=sharing"",""แผน!EU39"")"),300)</f>
        <v>300</v>
      </c>
      <c r="J374" s="491">
        <f ca="1">J381</f>
        <v>389</v>
      </c>
      <c r="K374" s="492">
        <f t="shared" ca="1" si="163"/>
        <v>129.66666666666666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77" t="s">
        <v>38</v>
      </c>
      <c r="E376" s="173"/>
      <c r="F376" s="173"/>
      <c r="G376" s="174"/>
      <c r="H376" s="762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IFERROR(__xludf.DUMMYFUNCTION("IMPORTRANGE(""https://docs.google.com/spreadsheets/d/1XWAQStnk-4SwqDmLtmXYiTMKHgktTP8We1SCoS47DrQ/edit?usp=sharing"",""จัดที่ดิน!AH39"")"),116)</f>
        <v>116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IFERROR(__xludf.DUMMYFUNCTION("IMPORTRANGE(""https://docs.google.com/spreadsheets/d/1QqKyyYR6Q21VydFLVH3TRQUabQu_ym0Zz7PgGX0-kHA/edit?usp=sharing"",""แผน!ET39"")"),1000)</f>
        <v>1000</v>
      </c>
      <c r="J378" s="270">
        <f ca="1">IFERROR(__xludf.DUMMYFUNCTION("IMPORTRANGE(""https://docs.google.com/spreadsheets/d/1XWAQStnk-4SwqDmLtmXYiTMKHgktTP8We1SCoS47DrQ/edit?usp=sharing"",""จัดที่ดิน!AI39"")"),1064.66)</f>
        <v>1064.6600000000001</v>
      </c>
      <c r="K378" s="498">
        <f t="shared" ca="1" si="164"/>
        <v>106.46600000000001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4" t="s">
        <v>35</v>
      </c>
      <c r="I379" s="270">
        <f ca="1">IFERROR(__xludf.DUMMYFUNCTION("IMPORTRANGE(""https://docs.google.com/spreadsheets/d/1QqKyyYR6Q21VydFLVH3TRQUabQu_ym0Zz7PgGX0-kHA/edit?usp=sharing"",""แผน!EU39"")"),300)</f>
        <v>300</v>
      </c>
      <c r="J379" s="270">
        <f ca="1">IFERROR(__xludf.DUMMYFUNCTION("IMPORTRANGE(""https://docs.google.com/spreadsheets/d/1XWAQStnk-4SwqDmLtmXYiTMKHgktTP8We1SCoS47DrQ/edit?usp=sharing"",""จัดที่ดิน!AJ39"")"),391)</f>
        <v>391</v>
      </c>
      <c r="K379" s="498">
        <f t="shared" ca="1" si="164"/>
        <v>130.33333333333334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4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IFERROR(__xludf.DUMMYFUNCTION("IMPORTRANGE(""https://docs.google.com/spreadsheets/d/1XWAQStnk-4SwqDmLtmXYiTMKHgktTP8We1SCoS47DrQ/edit?usp=sharing"",""จัดที่ดิน!AK39"")"),3912.38)</f>
        <v>3912.38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4" t="s">
        <v>35</v>
      </c>
      <c r="I381" s="270">
        <f ca="1">IFERROR(__xludf.DUMMYFUNCTION("IMPORTRANGE(""https://docs.google.com/spreadsheets/d/1QqKyyYR6Q21VydFLVH3TRQUabQu_ym0Zz7PgGX0-kHA/edit?usp=sharing"",""แผน!EU39"")"),300)</f>
        <v>300</v>
      </c>
      <c r="J381" s="270">
        <f ca="1">IFERROR(__xludf.DUMMYFUNCTION("IMPORTRANGE(""https://docs.google.com/spreadsheets/d/1XWAQStnk-4SwqDmLtmXYiTMKHgktTP8We1SCoS47DrQ/edit?usp=sharing"",""จัดที่ดิน!AL39"")"),389)</f>
        <v>389</v>
      </c>
      <c r="K381" s="498">
        <f t="shared" ca="1" si="164"/>
        <v>129.66666666666666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8"/>
      <c r="C382" s="171"/>
      <c r="D382" s="178"/>
      <c r="E382" s="447"/>
      <c r="F382" s="178"/>
      <c r="G382" s="179"/>
      <c r="H382" s="764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IFERROR(__xludf.DUMMYFUNCTION("IMPORTRANGE(""https://docs.google.com/spreadsheets/d/1XWAQStnk-4SwqDmLtmXYiTMKHgktTP8We1SCoS47DrQ/edit?usp=sharing"",""จัดที่ดิน!AM39"")"),3897.04999999999)</f>
        <v>3897.0499999999902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500"/>
      <c r="B383" s="501"/>
      <c r="C383" s="291"/>
      <c r="D383" s="889" t="s">
        <v>170</v>
      </c>
      <c r="E383" s="291"/>
      <c r="F383" s="291"/>
      <c r="G383" s="503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86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3"/>
      <c r="F384" s="173"/>
      <c r="G384" s="174"/>
      <c r="H384" s="762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4" t="s">
        <v>171</v>
      </c>
      <c r="F385" s="381"/>
      <c r="G385" s="382"/>
      <c r="H385" s="505" t="s">
        <v>35</v>
      </c>
      <c r="I385" s="506">
        <f ca="1">IFERROR(__xludf.DUMMYFUNCTION("IMPORTRANGE(""https://docs.google.com/spreadsheets/d/1QqKyyYR6Q21VydFLVH3TRQUabQu_ym0Zz7PgGX0-kHA/edit?usp=sharing"",""แผน!EW39"")"),20)</f>
        <v>20</v>
      </c>
      <c r="J385" s="506">
        <f ca="1">IFERROR(__xludf.DUMMYFUNCTION("IMPORTRANGE(""https://docs.google.com/spreadsheets/d/1XWAQStnk-4SwqDmLtmXYiTMKHgktTP8We1SCoS47DrQ/edit?usp=sharing"",""จัดที่ดิน!AP39"")"),25)</f>
        <v>25</v>
      </c>
      <c r="K385" s="507">
        <f ca="1">IF(I385&gt;0,J385*100/I385,0)</f>
        <v>125</v>
      </c>
      <c r="L385" s="385"/>
      <c r="M385" s="385"/>
      <c r="N385" s="385"/>
      <c r="O385" s="385"/>
      <c r="P385" s="385"/>
    </row>
    <row r="386" spans="1:26" ht="19.5" hidden="1">
      <c r="A386" s="508" t="s">
        <v>172</v>
      </c>
      <c r="B386" s="509"/>
      <c r="C386" s="509"/>
      <c r="D386" s="509"/>
      <c r="E386" s="510"/>
      <c r="F386" s="510"/>
      <c r="G386" s="511"/>
      <c r="H386" s="512"/>
      <c r="I386" s="513"/>
      <c r="J386" s="513"/>
      <c r="K386" s="514"/>
      <c r="L386" s="514"/>
      <c r="M386" s="514"/>
      <c r="N386" s="514"/>
      <c r="O386" s="514"/>
      <c r="P386" s="514"/>
    </row>
    <row r="387" spans="1:26" ht="19.5" hidden="1">
      <c r="A387" s="515" t="s">
        <v>173</v>
      </c>
      <c r="B387" s="516"/>
      <c r="C387" s="516"/>
      <c r="D387" s="517"/>
      <c r="E387" s="516"/>
      <c r="F387" s="516"/>
      <c r="G387" s="516"/>
      <c r="H387" s="518"/>
      <c r="I387" s="519"/>
      <c r="J387" s="519"/>
      <c r="K387" s="520"/>
      <c r="L387" s="520"/>
      <c r="M387" s="520"/>
      <c r="N387" s="520"/>
      <c r="O387" s="520"/>
      <c r="P387" s="520"/>
    </row>
    <row r="388" spans="1:26" ht="19.5" hidden="1">
      <c r="A388" s="521"/>
      <c r="B388" s="522" t="s">
        <v>174</v>
      </c>
      <c r="C388" s="523"/>
      <c r="D388" s="524"/>
      <c r="E388" s="524"/>
      <c r="F388" s="524"/>
      <c r="G388" s="525"/>
      <c r="H388" s="526" t="s">
        <v>66</v>
      </c>
      <c r="I388" s="527">
        <f t="shared" ref="I388:J388" si="165">I400</f>
        <v>0</v>
      </c>
      <c r="J388" s="527">
        <f t="shared" si="165"/>
        <v>0</v>
      </c>
      <c r="K388" s="528">
        <f>IF(I388&gt;0,J388*100/I388,0)</f>
        <v>0</v>
      </c>
      <c r="L388" s="529"/>
      <c r="M388" s="529"/>
      <c r="N388" s="529"/>
      <c r="O388" s="529"/>
      <c r="P388" s="529"/>
    </row>
    <row r="389" spans="1:26" ht="19.5" hidden="1">
      <c r="A389" s="147"/>
      <c r="B389" s="148"/>
      <c r="C389" s="149" t="s">
        <v>16</v>
      </c>
      <c r="D389" s="87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7"/>
      <c r="J390" s="617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7"/>
      <c r="J391" s="617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IFERROR(__xludf.DUMMYFUNCTION("IMPORTRANGE(""https://docs.google.com/spreadsheets/d/1MeEWN-I1oV_STSDYn1IFDPWt_1FKiwhDph83XaGc0o0/edit?usp=sharing"",""งบพรบ!FG39"")"),0)</f>
        <v>0</v>
      </c>
      <c r="M394" s="93">
        <f ca="1">IFERROR(__xludf.DUMMYFUNCTION("IMPORTRANGE(""https://docs.google.com/spreadsheets/d/1MeEWN-I1oV_STSDYn1IFDPWt_1FKiwhDph83XaGc0o0/edit?usp=sharing"",""งบพรบ!FL39"")"),0)</f>
        <v>0</v>
      </c>
      <c r="N394" s="93">
        <f ca="1">IFERROR(__xludf.DUMMYFUNCTION("IMPORTRANGE(""https://docs.google.com/spreadsheets/d/1MeEWN-I1oV_STSDYn1IFDPWt_1FKiwhDph83XaGc0o0/edit?usp=sharing"",""งบพรบ!FN39"")"),0)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IFERROR(__xludf.DUMMYFUNCTION("IMPORTRANGE(""https://docs.google.com/spreadsheets/d/1MeEWN-I1oV_STSDYn1IFDPWt_1FKiwhDph83XaGc0o0/edit?usp=sharing"",""งบพรบ!FJ39"")"),0)</f>
        <v>0</v>
      </c>
      <c r="M397" s="93">
        <f ca="1">IFERROR(__xludf.DUMMYFUNCTION("IMPORTRANGE(""https://docs.google.com/spreadsheets/d/1MeEWN-I1oV_STSDYn1IFDPWt_1FKiwhDph83XaGc0o0/edit?usp=sharing"",""งบพรบ!FM39"")"),0)</f>
        <v>0</v>
      </c>
      <c r="N397" s="93">
        <f ca="1">IFERROR(__xludf.DUMMYFUNCTION("IMPORTRANGE(""https://docs.google.com/spreadsheets/d/1MeEWN-I1oV_STSDYn1IFDPWt_1FKiwhDph83XaGc0o0/edit?usp=sharing"",""งบพรบ!FO39"")"),0)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7" t="s">
        <v>38</v>
      </c>
      <c r="E398" s="173"/>
      <c r="F398" s="173"/>
      <c r="G398" s="174"/>
      <c r="H398" s="762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30"/>
      <c r="B399" s="148"/>
      <c r="C399" s="531"/>
      <c r="D399" s="532" t="s">
        <v>175</v>
      </c>
      <c r="E399" s="415"/>
      <c r="F399" s="148"/>
      <c r="G399" s="151"/>
      <c r="H399" s="533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4"/>
      <c r="M399" s="534"/>
      <c r="N399" s="534"/>
      <c r="O399" s="534"/>
      <c r="P399" s="534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1"/>
      <c r="B401" s="522" t="s">
        <v>177</v>
      </c>
      <c r="C401" s="523"/>
      <c r="D401" s="524"/>
      <c r="E401" s="524"/>
      <c r="F401" s="524"/>
      <c r="G401" s="525"/>
      <c r="H401" s="526" t="s">
        <v>66</v>
      </c>
      <c r="I401" s="527">
        <f t="shared" ref="I401:J401" si="173">I412</f>
        <v>0</v>
      </c>
      <c r="J401" s="527">
        <f t="shared" si="173"/>
        <v>0</v>
      </c>
      <c r="K401" s="528">
        <f t="shared" si="172"/>
        <v>0</v>
      </c>
      <c r="L401" s="529"/>
      <c r="M401" s="529"/>
      <c r="N401" s="529"/>
      <c r="O401" s="529"/>
      <c r="P401" s="529"/>
    </row>
    <row r="402" spans="1:26" ht="19.5" hidden="1">
      <c r="A402" s="147"/>
      <c r="B402" s="148"/>
      <c r="C402" s="149" t="s">
        <v>16</v>
      </c>
      <c r="D402" s="87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7"/>
      <c r="J403" s="617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7"/>
      <c r="J404" s="617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IFERROR(__xludf.DUMMYFUNCTION("IMPORTRANGE(""https://docs.google.com/spreadsheets/d/1MeEWN-I1oV_STSDYn1IFDPWt_1FKiwhDph83XaGc0o0/edit?usp=sharing"",""งบพรบ!FQ39"")"),0)</f>
        <v>0</v>
      </c>
      <c r="M407" s="93">
        <f ca="1">IFERROR(__xludf.DUMMYFUNCTION("IMPORTRANGE(""https://docs.google.com/spreadsheets/d/1MeEWN-I1oV_STSDYn1IFDPWt_1FKiwhDph83XaGc0o0/edit?usp=sharing"",""งบพรบ!FV39"")"),0)</f>
        <v>0</v>
      </c>
      <c r="N407" s="93">
        <f ca="1">IFERROR(__xludf.DUMMYFUNCTION("IMPORTRANGE(""https://docs.google.com/spreadsheets/d/1MeEWN-I1oV_STSDYn1IFDPWt_1FKiwhDph83XaGc0o0/edit?usp=sharing"",""งบพรบ!FX39"")"),0)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IFERROR(__xludf.DUMMYFUNCTION("IMPORTRANGE(""https://docs.google.com/spreadsheets/d/1MeEWN-I1oV_STSDYn1IFDPWt_1FKiwhDph83XaGc0o0/edit?usp=sharing"",""งบพรบ!FT39"")"),0)</f>
        <v>0</v>
      </c>
      <c r="M410" s="93">
        <f ca="1">IFERROR(__xludf.DUMMYFUNCTION("IMPORTRANGE(""https://docs.google.com/spreadsheets/d/1MeEWN-I1oV_STSDYn1IFDPWt_1FKiwhDph83XaGc0o0/edit?usp=sharing"",""งบพรบ!FW39"")"),0)</f>
        <v>0</v>
      </c>
      <c r="N410" s="93">
        <f ca="1">IFERROR(__xludf.DUMMYFUNCTION("IMPORTRANGE(""https://docs.google.com/spreadsheets/d/1MeEWN-I1oV_STSDYn1IFDPWt_1FKiwhDph83XaGc0o0/edit?usp=sharing"",""งบพรบ!FY39"")"),0)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90" t="s">
        <v>38</v>
      </c>
      <c r="E411" s="536"/>
      <c r="F411" s="536"/>
      <c r="G411" s="537"/>
      <c r="H411" s="762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8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9"/>
      <c r="B413" s="540"/>
      <c r="C413" s="540"/>
      <c r="D413" s="541" t="s">
        <v>179</v>
      </c>
      <c r="E413" s="540"/>
      <c r="F413" s="540"/>
      <c r="G413" s="542"/>
      <c r="H413" s="543" t="s">
        <v>180</v>
      </c>
      <c r="I413" s="544">
        <v>0</v>
      </c>
      <c r="J413" s="545">
        <v>0</v>
      </c>
      <c r="K413" s="546">
        <f t="shared" si="180"/>
        <v>0</v>
      </c>
      <c r="L413" s="547"/>
      <c r="M413" s="547"/>
      <c r="N413" s="547"/>
      <c r="O413" s="547"/>
      <c r="P413" s="547"/>
    </row>
    <row r="414" spans="1:26" ht="19.5">
      <c r="A414" s="548" t="s">
        <v>181</v>
      </c>
      <c r="B414" s="549"/>
      <c r="C414" s="549"/>
      <c r="D414" s="549"/>
      <c r="E414" s="549"/>
      <c r="F414" s="549"/>
      <c r="G414" s="550"/>
      <c r="H414" s="551"/>
      <c r="I414" s="552"/>
      <c r="J414" s="552"/>
      <c r="K414" s="553"/>
      <c r="L414" s="554">
        <f t="shared" ref="L414:N414" ca="1" si="181">L419+L444+L467+L502+L523+L544+L629+L655+L685+L737+L754+L770+L786+L805</f>
        <v>2362252</v>
      </c>
      <c r="M414" s="554">
        <f t="shared" ca="1" si="181"/>
        <v>1861676</v>
      </c>
      <c r="N414" s="554">
        <f t="shared" si="181"/>
        <v>1861676</v>
      </c>
      <c r="O414" s="554">
        <f ca="1">IF(L414&gt;0,N414*100/L414,0)</f>
        <v>78.80937342840646</v>
      </c>
      <c r="P414" s="554">
        <f ca="1">IF(M414&gt;0,N414*100/M414,0)</f>
        <v>100</v>
      </c>
    </row>
    <row r="415" spans="1:26" ht="19.5">
      <c r="A415" s="555" t="s">
        <v>182</v>
      </c>
      <c r="B415" s="556"/>
      <c r="C415" s="556"/>
      <c r="D415" s="556"/>
      <c r="E415" s="556"/>
      <c r="F415" s="556"/>
      <c r="G415" s="556"/>
      <c r="H415" s="557"/>
      <c r="I415" s="558"/>
      <c r="J415" s="558"/>
      <c r="K415" s="559"/>
      <c r="L415" s="560"/>
      <c r="M415" s="560"/>
      <c r="N415" s="560"/>
      <c r="O415" s="560"/>
      <c r="P415" s="560"/>
    </row>
    <row r="416" spans="1:26" ht="19.5">
      <c r="A416" s="555" t="s">
        <v>183</v>
      </c>
      <c r="B416" s="556"/>
      <c r="C416" s="556"/>
      <c r="D416" s="556"/>
      <c r="E416" s="556"/>
      <c r="F416" s="556"/>
      <c r="G416" s="561"/>
      <c r="H416" s="562"/>
      <c r="I416" s="563"/>
      <c r="J416" s="563"/>
      <c r="K416" s="560"/>
      <c r="L416" s="560"/>
      <c r="M416" s="560"/>
      <c r="N416" s="560"/>
      <c r="O416" s="560"/>
      <c r="P416" s="560"/>
    </row>
    <row r="417" spans="1:26" ht="39">
      <c r="A417" s="564">
        <v>1</v>
      </c>
      <c r="B417" s="566" t="s">
        <v>184</v>
      </c>
      <c r="C417" s="566"/>
      <c r="D417" s="567"/>
      <c r="E417" s="567"/>
      <c r="F417" s="567"/>
      <c r="G417" s="568"/>
      <c r="H417" s="569" t="s">
        <v>35</v>
      </c>
      <c r="I417" s="570">
        <f t="shared" ref="I417:J418" ca="1" si="182">I433</f>
        <v>20</v>
      </c>
      <c r="J417" s="570">
        <f t="shared" ca="1" si="182"/>
        <v>20</v>
      </c>
      <c r="K417" s="571">
        <f t="shared" ref="K417:K418" ca="1" si="183">IF(I417&gt;0,J417*100/I417,0)</f>
        <v>100</v>
      </c>
      <c r="L417" s="572"/>
      <c r="M417" s="572"/>
      <c r="N417" s="572"/>
      <c r="O417" s="572"/>
      <c r="P417" s="572"/>
    </row>
    <row r="418" spans="1:26" ht="19.5">
      <c r="A418" s="573"/>
      <c r="B418" s="564"/>
      <c r="C418" s="566"/>
      <c r="D418" s="567"/>
      <c r="E418" s="567"/>
      <c r="F418" s="567"/>
      <c r="G418" s="568"/>
      <c r="H418" s="569" t="s">
        <v>49</v>
      </c>
      <c r="I418" s="570">
        <f t="shared" ca="1" si="182"/>
        <v>1</v>
      </c>
      <c r="J418" s="570">
        <f t="shared" si="182"/>
        <v>1</v>
      </c>
      <c r="K418" s="571">
        <f t="shared" ca="1" si="183"/>
        <v>100</v>
      </c>
      <c r="L418" s="572"/>
      <c r="M418" s="572"/>
      <c r="N418" s="572"/>
      <c r="O418" s="572"/>
      <c r="P418" s="572"/>
    </row>
    <row r="419" spans="1:26" ht="19.5">
      <c r="A419" s="147"/>
      <c r="B419" s="148"/>
      <c r="C419" s="148" t="s">
        <v>16</v>
      </c>
      <c r="D419" s="891" t="s">
        <v>17</v>
      </c>
      <c r="E419" s="862"/>
      <c r="F419" s="86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98560</v>
      </c>
      <c r="N419" s="155">
        <f t="shared" si="184"/>
        <v>98560</v>
      </c>
      <c r="O419" s="155">
        <f t="shared" ref="O419:O424" ca="1" si="185">IF(L419&gt;0,N419*100/L419,0)</f>
        <v>125.29875413170608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7"/>
      <c r="J420" s="617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7"/>
      <c r="J421" s="617"/>
      <c r="K421" s="93"/>
      <c r="L421" s="93">
        <f t="shared" ca="1" si="187"/>
        <v>78660</v>
      </c>
      <c r="M421" s="93">
        <f t="shared" ca="1" si="187"/>
        <v>98560</v>
      </c>
      <c r="N421" s="93">
        <f t="shared" si="187"/>
        <v>98560</v>
      </c>
      <c r="O421" s="93">
        <f t="shared" ca="1" si="185"/>
        <v>125.29875413170608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98560</v>
      </c>
      <c r="N422" s="498">
        <f t="shared" si="188"/>
        <v>98560</v>
      </c>
      <c r="O422" s="498">
        <f t="shared" ca="1" si="185"/>
        <v>125.29875413170608</v>
      </c>
      <c r="P422" s="498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7"/>
      <c r="J423" s="617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7"/>
      <c r="J424" s="617"/>
      <c r="K424" s="93"/>
      <c r="L424" s="93">
        <f ca="1">IFERROR(__xludf.DUMMYFUNCTION("IMPORTRANGE(""https://docs.google.com/spreadsheets/d/1QqKyyYR6Q21VydFLVH3TRQUabQu_ym0Zz7PgGX0-kHA/edit?usp=sharing"",""แผน!EY39"")"),78660)</f>
        <v>78660</v>
      </c>
      <c r="M424" s="93">
        <f ca="1">L424+19900</f>
        <v>98560</v>
      </c>
      <c r="N424" s="93">
        <f>N425+N426+N427+N428</f>
        <v>98560</v>
      </c>
      <c r="O424" s="93">
        <f t="shared" ca="1" si="185"/>
        <v>125.29875413170608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4"/>
      <c r="B425" s="575"/>
      <c r="C425" s="763"/>
      <c r="D425" s="763"/>
      <c r="E425" s="763"/>
      <c r="F425" s="763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40">
        <v>75196</v>
      </c>
      <c r="O425" s="498"/>
      <c r="P425" s="49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</row>
    <row r="426" spans="1:26" ht="18.75">
      <c r="A426" s="574"/>
      <c r="B426" s="575"/>
      <c r="C426" s="763"/>
      <c r="D426" s="763"/>
      <c r="E426" s="763"/>
      <c r="F426" s="763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40">
        <v>0</v>
      </c>
      <c r="O426" s="498"/>
      <c r="P426" s="49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</row>
    <row r="427" spans="1:26" ht="18.75">
      <c r="A427" s="574"/>
      <c r="B427" s="575"/>
      <c r="C427" s="763"/>
      <c r="D427" s="763"/>
      <c r="E427" s="763"/>
      <c r="F427" s="763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40">
        <v>0</v>
      </c>
      <c r="O427" s="498"/>
      <c r="P427" s="49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40">
        <v>23364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92" t="s">
        <v>38</v>
      </c>
      <c r="E432" s="580"/>
      <c r="F432" s="580"/>
      <c r="G432" s="581"/>
      <c r="H432" s="582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1">
        <f ca="1">I435</f>
        <v>20</v>
      </c>
      <c r="J433" s="681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1">
        <f t="shared" ref="I434:J434" ca="1" si="193">I438+I440</f>
        <v>1</v>
      </c>
      <c r="J434" s="681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3" t="s">
        <v>35</v>
      </c>
      <c r="I435" s="583">
        <f ca="1">IFERROR(__xludf.DUMMYFUNCTION("IMPORTRANGE(""https://docs.google.com/spreadsheets/d/1QqKyyYR6Q21VydFLVH3TRQUabQu_ym0Zz7PgGX0-kHA/edit?usp=sharing"",""แผน!FC39"")"),20)</f>
        <v>20</v>
      </c>
      <c r="J435" s="584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3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3" t="s">
        <v>35</v>
      </c>
      <c r="I437" s="583">
        <f ca="1">IFERROR(__xludf.DUMMYFUNCTION("IMPORTRANGE(""https://docs.google.com/spreadsheets/d/1QqKyyYR6Q21VydFLVH3TRQUabQu_ym0Zz7PgGX0-kHA/edit?usp=sharing"",""แผน!FD39"")"),0)</f>
        <v>0</v>
      </c>
      <c r="J437" s="584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3" t="s">
        <v>49</v>
      </c>
      <c r="I438" s="270">
        <f ca="1">IFERROR(__xludf.DUMMYFUNCTION("IMPORTRANGE(""https://docs.google.com/spreadsheets/d/1QqKyyYR6Q21VydFLVH3TRQUabQu_ym0Zz7PgGX0-kHA/edit?usp=sharing"",""แผน!FE39"")"),0)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3" t="s">
        <v>35</v>
      </c>
      <c r="I439" s="583">
        <f ca="1">IFERROR(__xludf.DUMMYFUNCTION("IMPORTRANGE(""https://docs.google.com/spreadsheets/d/1QqKyyYR6Q21VydFLVH3TRQUabQu_ym0Zz7PgGX0-kHA/edit?usp=sharing"",""แผน!FF39"")"),20)</f>
        <v>20</v>
      </c>
      <c r="J439" s="584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3" t="s">
        <v>49</v>
      </c>
      <c r="I440" s="270">
        <f ca="1">IFERROR(__xludf.DUMMYFUNCTION("IMPORTRANGE(""https://docs.google.com/spreadsheets/d/1QqKyyYR6Q21VydFLVH3TRQUabQu_ym0Zz7PgGX0-kHA/edit?usp=sharing"",""แผน!FG39"")"),1)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3" t="s">
        <v>35</v>
      </c>
      <c r="I441" s="270">
        <f ca="1">IFERROR(__xludf.DUMMYFUNCTION("IMPORTRANGE(""https://docs.google.com/spreadsheets/d/1QqKyyYR6Q21VydFLVH3TRQUabQu_ym0Zz7PgGX0-kHA/edit?usp=sharing"",""แผน!FH39"")"),0)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5">
        <v>2</v>
      </c>
      <c r="B442" s="586" t="s">
        <v>200</v>
      </c>
      <c r="C442" s="587"/>
      <c r="D442" s="587"/>
      <c r="E442" s="587"/>
      <c r="F442" s="587"/>
      <c r="G442" s="588"/>
      <c r="H442" s="589" t="s">
        <v>35</v>
      </c>
      <c r="I442" s="590">
        <f t="shared" ref="I442:J442" ca="1" si="195">I460</f>
        <v>100</v>
      </c>
      <c r="J442" s="590">
        <f t="shared" si="195"/>
        <v>100</v>
      </c>
      <c r="K442" s="591">
        <f t="shared" ca="1" si="194"/>
        <v>100</v>
      </c>
      <c r="L442" s="592"/>
      <c r="M442" s="592"/>
      <c r="N442" s="592"/>
      <c r="O442" s="592"/>
      <c r="P442" s="592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</row>
    <row r="443" spans="1:26" ht="19.5">
      <c r="A443" s="593"/>
      <c r="B443" s="594"/>
      <c r="C443" s="595"/>
      <c r="D443" s="595"/>
      <c r="E443" s="595"/>
      <c r="F443" s="595"/>
      <c r="G443" s="596"/>
      <c r="H443" s="569" t="s">
        <v>46</v>
      </c>
      <c r="I443" s="570">
        <f t="shared" ref="I443:J443" ca="1" si="196">I462</f>
        <v>240</v>
      </c>
      <c r="J443" s="570">
        <f t="shared" si="196"/>
        <v>240</v>
      </c>
      <c r="K443" s="571">
        <f t="shared" ca="1" si="194"/>
        <v>100</v>
      </c>
      <c r="L443" s="572"/>
      <c r="M443" s="572"/>
      <c r="N443" s="572"/>
      <c r="O443" s="572"/>
      <c r="P443" s="572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</row>
    <row r="444" spans="1:26" ht="19.5">
      <c r="A444" s="597"/>
      <c r="B444" s="763"/>
      <c r="C444" s="763" t="s">
        <v>16</v>
      </c>
      <c r="D444" s="863" t="s">
        <v>17</v>
      </c>
      <c r="E444" s="857"/>
      <c r="F444" s="857"/>
      <c r="G444" s="189"/>
      <c r="H444" s="598" t="s">
        <v>12</v>
      </c>
      <c r="I444" s="270"/>
      <c r="J444" s="270"/>
      <c r="K444" s="498"/>
      <c r="L444" s="195">
        <f t="shared" ref="L444:N444" ca="1" si="197">L445+L446</f>
        <v>572280</v>
      </c>
      <c r="M444" s="195">
        <f t="shared" ca="1" si="197"/>
        <v>623371</v>
      </c>
      <c r="N444" s="195">
        <f t="shared" si="197"/>
        <v>623371</v>
      </c>
      <c r="O444" s="195">
        <f t="shared" ref="O444:O449" ca="1" si="198">IF(L444&gt;0,N444*100/L444,0)</f>
        <v>108.92762284196547</v>
      </c>
      <c r="P444" s="195">
        <f t="shared" ref="P444:P449" ca="1" si="199">IF(M444&gt;0,N444*100/M444,0)</f>
        <v>100</v>
      </c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</row>
    <row r="445" spans="1:26" ht="18.75" hidden="1">
      <c r="A445" s="599"/>
      <c r="B445" s="759"/>
      <c r="C445" s="759"/>
      <c r="D445" s="720"/>
      <c r="E445" s="759" t="s">
        <v>185</v>
      </c>
      <c r="F445" s="759"/>
      <c r="G445" s="603"/>
      <c r="H445" s="165" t="s">
        <v>12</v>
      </c>
      <c r="I445" s="617"/>
      <c r="J445" s="617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4"/>
      <c r="R445" s="604"/>
      <c r="S445" s="604"/>
      <c r="T445" s="604"/>
      <c r="U445" s="604"/>
      <c r="V445" s="604"/>
      <c r="W445" s="604"/>
      <c r="X445" s="604"/>
      <c r="Y445" s="604"/>
      <c r="Z445" s="604"/>
    </row>
    <row r="446" spans="1:26" ht="18.75" hidden="1">
      <c r="A446" s="599"/>
      <c r="B446" s="607"/>
      <c r="C446" s="759"/>
      <c r="D446" s="720"/>
      <c r="E446" s="759" t="s">
        <v>186</v>
      </c>
      <c r="F446" s="759"/>
      <c r="G446" s="603"/>
      <c r="H446" s="165" t="s">
        <v>12</v>
      </c>
      <c r="I446" s="617"/>
      <c r="J446" s="617"/>
      <c r="K446" s="93"/>
      <c r="L446" s="93">
        <f t="shared" ca="1" si="200"/>
        <v>572280</v>
      </c>
      <c r="M446" s="93">
        <f t="shared" ca="1" si="200"/>
        <v>623371</v>
      </c>
      <c r="N446" s="93">
        <f t="shared" si="200"/>
        <v>623371</v>
      </c>
      <c r="O446" s="93">
        <f t="shared" ca="1" si="198"/>
        <v>108.92762284196547</v>
      </c>
      <c r="P446" s="93">
        <f t="shared" ca="1" si="199"/>
        <v>100</v>
      </c>
      <c r="Q446" s="604"/>
      <c r="R446" s="604"/>
      <c r="S446" s="604"/>
      <c r="T446" s="604"/>
      <c r="U446" s="604"/>
      <c r="V446" s="604"/>
      <c r="W446" s="604"/>
      <c r="X446" s="604"/>
      <c r="Y446" s="604"/>
      <c r="Z446" s="604"/>
    </row>
    <row r="447" spans="1:26" ht="18.75">
      <c r="A447" s="597"/>
      <c r="B447" s="575"/>
      <c r="C447" s="763"/>
      <c r="D447" s="606" t="s">
        <v>20</v>
      </c>
      <c r="E447" s="763"/>
      <c r="F447" s="763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572280</v>
      </c>
      <c r="M447" s="498">
        <f t="shared" ca="1" si="201"/>
        <v>623371</v>
      </c>
      <c r="N447" s="498">
        <f t="shared" si="201"/>
        <v>623371</v>
      </c>
      <c r="O447" s="498">
        <f t="shared" ca="1" si="198"/>
        <v>108.92762284196547</v>
      </c>
      <c r="P447" s="498">
        <f t="shared" ca="1" si="199"/>
        <v>100</v>
      </c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</row>
    <row r="448" spans="1:26" ht="18.75" hidden="1">
      <c r="A448" s="599"/>
      <c r="B448" s="607"/>
      <c r="C448" s="759"/>
      <c r="D448" s="720"/>
      <c r="E448" s="759" t="s">
        <v>185</v>
      </c>
      <c r="F448" s="759"/>
      <c r="G448" s="603"/>
      <c r="H448" s="165" t="s">
        <v>12</v>
      </c>
      <c r="I448" s="617"/>
      <c r="J448" s="617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</row>
    <row r="449" spans="1:26" ht="18.75" hidden="1">
      <c r="A449" s="599"/>
      <c r="B449" s="607"/>
      <c r="C449" s="759"/>
      <c r="D449" s="720"/>
      <c r="E449" s="759" t="s">
        <v>186</v>
      </c>
      <c r="F449" s="759"/>
      <c r="G449" s="603"/>
      <c r="H449" s="165" t="s">
        <v>12</v>
      </c>
      <c r="I449" s="617"/>
      <c r="J449" s="617"/>
      <c r="K449" s="93"/>
      <c r="L449" s="93">
        <f ca="1">IFERROR(__xludf.DUMMYFUNCTION("IMPORTRANGE(""https://docs.google.com/spreadsheets/d/1QqKyyYR6Q21VydFLVH3TRQUabQu_ym0Zz7PgGX0-kHA/edit?usp=sharing"",""แผน!FJ39"")"),572280)</f>
        <v>572280</v>
      </c>
      <c r="M449" s="93">
        <f ca="1">L449+91078-6178-1300-32509</f>
        <v>623371</v>
      </c>
      <c r="N449" s="93">
        <f>N450+N451+N452+N453</f>
        <v>623371</v>
      </c>
      <c r="O449" s="93">
        <f t="shared" ca="1" si="198"/>
        <v>108.92762284196547</v>
      </c>
      <c r="P449" s="93">
        <f t="shared" ca="1" si="199"/>
        <v>100</v>
      </c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</row>
    <row r="450" spans="1:26" ht="18.75">
      <c r="A450" s="574"/>
      <c r="B450" s="575"/>
      <c r="C450" s="763"/>
      <c r="D450" s="763"/>
      <c r="E450" s="763"/>
      <c r="F450" s="763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40">
        <v>170816</v>
      </c>
      <c r="O450" s="498"/>
      <c r="P450" s="49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</row>
    <row r="451" spans="1:26" ht="18.75">
      <c r="A451" s="574"/>
      <c r="B451" s="575"/>
      <c r="C451" s="763"/>
      <c r="D451" s="763"/>
      <c r="E451" s="763"/>
      <c r="F451" s="763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40">
        <v>234000</v>
      </c>
      <c r="O451" s="498"/>
      <c r="P451" s="49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</row>
    <row r="452" spans="1:26" ht="18.75">
      <c r="A452" s="574"/>
      <c r="B452" s="575"/>
      <c r="C452" s="575"/>
      <c r="D452" s="575"/>
      <c r="E452" s="575"/>
      <c r="F452" s="763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40">
        <v>130000</v>
      </c>
      <c r="O452" s="498"/>
      <c r="P452" s="49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</row>
    <row r="453" spans="1:26" ht="18.75">
      <c r="A453" s="574"/>
      <c r="B453" s="575"/>
      <c r="C453" s="575"/>
      <c r="D453" s="575"/>
      <c r="E453" s="575"/>
      <c r="F453" s="763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40">
        <v>88555</v>
      </c>
      <c r="O453" s="498"/>
      <c r="P453" s="49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</row>
    <row r="454" spans="1:26" ht="18.75">
      <c r="A454" s="597"/>
      <c r="B454" s="575"/>
      <c r="C454" s="575"/>
      <c r="D454" s="606" t="s">
        <v>21</v>
      </c>
      <c r="E454" s="575"/>
      <c r="F454" s="763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</row>
    <row r="455" spans="1:26" ht="18.75" hidden="1">
      <c r="A455" s="599"/>
      <c r="B455" s="607"/>
      <c r="C455" s="607"/>
      <c r="D455" s="607"/>
      <c r="E455" s="607" t="s">
        <v>18</v>
      </c>
      <c r="F455" s="759"/>
      <c r="G455" s="603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4"/>
      <c r="R455" s="604"/>
      <c r="S455" s="604"/>
      <c r="T455" s="604"/>
      <c r="U455" s="604"/>
      <c r="V455" s="604"/>
      <c r="W455" s="604"/>
      <c r="X455" s="604"/>
      <c r="Y455" s="604"/>
      <c r="Z455" s="604"/>
    </row>
    <row r="456" spans="1:26" ht="18.75" hidden="1">
      <c r="A456" s="599"/>
      <c r="B456" s="607"/>
      <c r="C456" s="607"/>
      <c r="D456" s="607"/>
      <c r="E456" s="607" t="s">
        <v>19</v>
      </c>
      <c r="F456" s="759"/>
      <c r="G456" s="603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4"/>
      <c r="R456" s="604"/>
      <c r="S456" s="604"/>
      <c r="T456" s="604"/>
      <c r="U456" s="604"/>
      <c r="V456" s="604"/>
      <c r="W456" s="604"/>
      <c r="X456" s="604"/>
      <c r="Y456" s="604"/>
      <c r="Z456" s="604"/>
    </row>
    <row r="457" spans="1:26" ht="19.5">
      <c r="A457" s="608"/>
      <c r="B457" s="618"/>
      <c r="C457" s="575" t="s">
        <v>16</v>
      </c>
      <c r="D457" s="893" t="s">
        <v>38</v>
      </c>
      <c r="E457" s="611"/>
      <c r="F457" s="761"/>
      <c r="G457" s="613"/>
      <c r="H457" s="762"/>
      <c r="I457" s="270"/>
      <c r="J457" s="270"/>
      <c r="K457" s="498"/>
      <c r="L457" s="498"/>
      <c r="M457" s="498"/>
      <c r="N457" s="498"/>
      <c r="O457" s="498"/>
      <c r="P457" s="49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</row>
    <row r="458" spans="1:26" ht="18.75" hidden="1">
      <c r="A458" s="614"/>
      <c r="B458" s="616"/>
      <c r="C458" s="616"/>
      <c r="D458" s="616" t="s">
        <v>201</v>
      </c>
      <c r="E458" s="616"/>
      <c r="F458" s="720"/>
      <c r="G458" s="366"/>
      <c r="H458" s="370" t="s">
        <v>35</v>
      </c>
      <c r="I458" s="617">
        <v>0</v>
      </c>
      <c r="J458" s="617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4"/>
      <c r="R458" s="604"/>
      <c r="S458" s="604"/>
      <c r="T458" s="604"/>
      <c r="U458" s="604"/>
      <c r="V458" s="604"/>
      <c r="W458" s="604"/>
      <c r="X458" s="604"/>
      <c r="Y458" s="604"/>
      <c r="Z458" s="604"/>
    </row>
    <row r="459" spans="1:26" ht="18.75" hidden="1">
      <c r="A459" s="614"/>
      <c r="B459" s="616"/>
      <c r="C459" s="616"/>
      <c r="D459" s="616" t="s">
        <v>202</v>
      </c>
      <c r="E459" s="616"/>
      <c r="F459" s="720"/>
      <c r="G459" s="366"/>
      <c r="H459" s="370"/>
      <c r="I459" s="617"/>
      <c r="J459" s="617"/>
      <c r="K459" s="93"/>
      <c r="L459" s="93"/>
      <c r="M459" s="93"/>
      <c r="N459" s="93"/>
      <c r="O459" s="93"/>
      <c r="P459" s="93"/>
      <c r="Q459" s="604"/>
      <c r="R459" s="604"/>
      <c r="S459" s="604"/>
      <c r="T459" s="604"/>
      <c r="U459" s="604"/>
      <c r="V459" s="604"/>
      <c r="W459" s="604"/>
      <c r="X459" s="604"/>
      <c r="Y459" s="604"/>
      <c r="Z459" s="604"/>
    </row>
    <row r="460" spans="1:26" ht="18.75">
      <c r="A460" s="608"/>
      <c r="B460" s="618"/>
      <c r="C460" s="618"/>
      <c r="D460" s="618" t="s">
        <v>203</v>
      </c>
      <c r="E460" s="618"/>
      <c r="F460" s="626"/>
      <c r="G460" s="762"/>
      <c r="H460" s="764" t="s">
        <v>35</v>
      </c>
      <c r="I460" s="270">
        <f ca="1">IFERROR(__xludf.DUMMYFUNCTION("IMPORTRANGE(""https://docs.google.com/spreadsheets/d/1QqKyyYR6Q21VydFLVH3TRQUabQu_ym0Zz7PgGX0-kHA/edit?usp=sharing"",""แผน!FN39"")"),100)</f>
        <v>100</v>
      </c>
      <c r="J460" s="215">
        <v>100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</row>
    <row r="461" spans="1:26" ht="18.75">
      <c r="A461" s="608"/>
      <c r="B461" s="618"/>
      <c r="C461" s="618"/>
      <c r="D461" s="618" t="s">
        <v>204</v>
      </c>
      <c r="E461" s="626"/>
      <c r="F461" s="626"/>
      <c r="G461" s="762"/>
      <c r="H461" s="764"/>
      <c r="I461" s="270"/>
      <c r="J461" s="270"/>
      <c r="K461" s="498"/>
      <c r="L461" s="498"/>
      <c r="M461" s="498"/>
      <c r="N461" s="498"/>
      <c r="O461" s="498"/>
      <c r="P461" s="49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</row>
    <row r="462" spans="1:26" ht="18.75">
      <c r="A462" s="608"/>
      <c r="B462" s="618"/>
      <c r="C462" s="618"/>
      <c r="D462" s="618" t="s">
        <v>205</v>
      </c>
      <c r="E462" s="626"/>
      <c r="F462" s="626"/>
      <c r="G462" s="762"/>
      <c r="H462" s="764" t="s">
        <v>46</v>
      </c>
      <c r="I462" s="270">
        <f ca="1">IFERROR(__xludf.DUMMYFUNCTION("IMPORTRANGE(""https://docs.google.com/spreadsheets/d/1QqKyyYR6Q21VydFLVH3TRQUabQu_ym0Zz7PgGX0-kHA/edit?usp=sharing"",""แผน!FO39"")"),240)</f>
        <v>240</v>
      </c>
      <c r="J462" s="215">
        <v>240</v>
      </c>
      <c r="K462" s="498">
        <f t="shared" ref="K462:K466" ca="1" si="205">IF(I462&gt;0,J462*100/I462,0)</f>
        <v>100</v>
      </c>
      <c r="L462" s="498"/>
      <c r="M462" s="498"/>
      <c r="N462" s="498"/>
      <c r="O462" s="498"/>
      <c r="P462" s="49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</row>
    <row r="463" spans="1:26" ht="18.75">
      <c r="A463" s="608"/>
      <c r="B463" s="618"/>
      <c r="C463" s="618"/>
      <c r="D463" s="618" t="s">
        <v>59</v>
      </c>
      <c r="E463" s="626"/>
      <c r="F463" s="763"/>
      <c r="G463" s="189"/>
      <c r="H463" s="764" t="s">
        <v>46</v>
      </c>
      <c r="I463" s="270">
        <f ca="1">IFERROR(__xludf.DUMMYFUNCTION("IMPORTRANGE(""https://docs.google.com/spreadsheets/d/1QqKyyYR6Q21VydFLVH3TRQUabQu_ym0Zz7PgGX0-kHA/edit?usp=sharing"",""แผน!FO39"")"),240)</f>
        <v>240</v>
      </c>
      <c r="J463" s="215">
        <v>240</v>
      </c>
      <c r="K463" s="498">
        <f t="shared" ca="1" si="205"/>
        <v>100</v>
      </c>
      <c r="L463" s="498"/>
      <c r="M463" s="498"/>
      <c r="N463" s="498"/>
      <c r="O463" s="498"/>
      <c r="P463" s="49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</row>
    <row r="464" spans="1:26" ht="19.5">
      <c r="A464" s="608"/>
      <c r="B464" s="618"/>
      <c r="C464" s="618"/>
      <c r="D464" s="618"/>
      <c r="E464" s="626"/>
      <c r="F464" s="626"/>
      <c r="G464" s="620"/>
      <c r="H464" s="764" t="s">
        <v>35</v>
      </c>
      <c r="I464" s="270">
        <f ca="1">IFERROR(__xludf.DUMMYFUNCTION("IMPORTRANGE(""https://docs.google.com/spreadsheets/d/1QqKyyYR6Q21VydFLVH3TRQUabQu_ym0Zz7PgGX0-kHA/edit?usp=sharing"",""แผน!FN39"")"),100)</f>
        <v>100</v>
      </c>
      <c r="J464" s="215">
        <v>100</v>
      </c>
      <c r="K464" s="498">
        <f t="shared" ca="1" si="205"/>
        <v>100</v>
      </c>
      <c r="L464" s="498"/>
      <c r="M464" s="498"/>
      <c r="N464" s="498"/>
      <c r="O464" s="498"/>
      <c r="P464" s="49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</row>
    <row r="465" spans="1:26" ht="19.5">
      <c r="A465" s="585">
        <v>3</v>
      </c>
      <c r="B465" s="586" t="s">
        <v>206</v>
      </c>
      <c r="C465" s="587"/>
      <c r="D465" s="587"/>
      <c r="E465" s="587"/>
      <c r="F465" s="587"/>
      <c r="G465" s="588"/>
      <c r="H465" s="589" t="s">
        <v>35</v>
      </c>
      <c r="I465" s="590">
        <f ca="1">IFERROR(__xludf.DUMMYFUNCTION("IMPORTRANGE(""https://docs.google.com/spreadsheets/d/1QqKyyYR6Q21VydFLVH3TRQUabQu_ym0Zz7PgGX0-kHA/edit?usp=sharing"",""แผน!FX39"")"),131)</f>
        <v>131</v>
      </c>
      <c r="J465" s="590">
        <f>J485+J489+J492</f>
        <v>131</v>
      </c>
      <c r="K465" s="591">
        <f t="shared" ca="1" si="205"/>
        <v>100</v>
      </c>
      <c r="L465" s="592"/>
      <c r="M465" s="592"/>
      <c r="N465" s="592"/>
      <c r="O465" s="592"/>
      <c r="P465" s="592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</row>
    <row r="466" spans="1:26" ht="19.5">
      <c r="A466" s="593"/>
      <c r="B466" s="594"/>
      <c r="C466" s="595"/>
      <c r="D466" s="595"/>
      <c r="E466" s="595"/>
      <c r="F466" s="595"/>
      <c r="G466" s="596"/>
      <c r="H466" s="569" t="s">
        <v>46</v>
      </c>
      <c r="I466" s="570">
        <f ca="1">IFERROR(__xludf.DUMMYFUNCTION("IMPORTRANGE(""https://docs.google.com/spreadsheets/d/1QqKyyYR6Q21VydFLVH3TRQUabQu_ym0Zz7PgGX0-kHA/edit?usp=sharing"",""แผน!FW39"")"),1300)</f>
        <v>1300</v>
      </c>
      <c r="J466" s="570">
        <f>J495+J498</f>
        <v>1300</v>
      </c>
      <c r="K466" s="571">
        <f t="shared" ca="1" si="205"/>
        <v>100</v>
      </c>
      <c r="L466" s="572"/>
      <c r="M466" s="572"/>
      <c r="N466" s="572"/>
      <c r="O466" s="572"/>
      <c r="P466" s="572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</row>
    <row r="467" spans="1:26" ht="19.5">
      <c r="A467" s="597"/>
      <c r="B467" s="763"/>
      <c r="C467" s="763" t="s">
        <v>16</v>
      </c>
      <c r="D467" s="863" t="s">
        <v>17</v>
      </c>
      <c r="E467" s="857"/>
      <c r="F467" s="857"/>
      <c r="G467" s="189"/>
      <c r="H467" s="598" t="s">
        <v>12</v>
      </c>
      <c r="I467" s="270"/>
      <c r="J467" s="270"/>
      <c r="K467" s="498"/>
      <c r="L467" s="195">
        <f t="shared" ref="L467:N467" ca="1" si="206">L468+L469</f>
        <v>1161548</v>
      </c>
      <c r="M467" s="195">
        <f t="shared" ca="1" si="206"/>
        <v>669006</v>
      </c>
      <c r="N467" s="195">
        <f t="shared" si="206"/>
        <v>669006</v>
      </c>
      <c r="O467" s="195">
        <f t="shared" ref="O467:O472" ca="1" si="207">IF(L467&gt;0,N467*100/L467,0)</f>
        <v>57.596070072007358</v>
      </c>
      <c r="P467" s="195">
        <f t="shared" ref="P467:P472" ca="1" si="208">IF(M467&gt;0,N467*100/M467,0)</f>
        <v>100</v>
      </c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</row>
    <row r="468" spans="1:26" ht="18.75" hidden="1">
      <c r="A468" s="599"/>
      <c r="B468" s="759"/>
      <c r="C468" s="759"/>
      <c r="D468" s="720"/>
      <c r="E468" s="759" t="s">
        <v>185</v>
      </c>
      <c r="F468" s="759"/>
      <c r="G468" s="603"/>
      <c r="H468" s="165" t="s">
        <v>12</v>
      </c>
      <c r="I468" s="617"/>
      <c r="J468" s="617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4"/>
      <c r="R468" s="604"/>
      <c r="S468" s="604"/>
      <c r="T468" s="604"/>
      <c r="U468" s="604"/>
      <c r="V468" s="604"/>
      <c r="W468" s="604"/>
      <c r="X468" s="604"/>
      <c r="Y468" s="604"/>
      <c r="Z468" s="604"/>
    </row>
    <row r="469" spans="1:26" ht="18.75" hidden="1">
      <c r="A469" s="599"/>
      <c r="B469" s="607"/>
      <c r="C469" s="759"/>
      <c r="D469" s="720"/>
      <c r="E469" s="759" t="s">
        <v>186</v>
      </c>
      <c r="F469" s="759"/>
      <c r="G469" s="603"/>
      <c r="H469" s="165" t="s">
        <v>12</v>
      </c>
      <c r="I469" s="617"/>
      <c r="J469" s="617"/>
      <c r="K469" s="93"/>
      <c r="L469" s="93">
        <f t="shared" ca="1" si="209"/>
        <v>1161548</v>
      </c>
      <c r="M469" s="93">
        <f t="shared" ca="1" si="209"/>
        <v>669006</v>
      </c>
      <c r="N469" s="93">
        <f t="shared" si="209"/>
        <v>669006</v>
      </c>
      <c r="O469" s="93">
        <f t="shared" ca="1" si="207"/>
        <v>57.596070072007358</v>
      </c>
      <c r="P469" s="93">
        <f t="shared" ca="1" si="208"/>
        <v>100</v>
      </c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</row>
    <row r="470" spans="1:26" ht="18.75">
      <c r="A470" s="597"/>
      <c r="B470" s="575"/>
      <c r="C470" s="763"/>
      <c r="D470" s="606" t="s">
        <v>20</v>
      </c>
      <c r="E470" s="763"/>
      <c r="F470" s="763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1161548</v>
      </c>
      <c r="M470" s="498">
        <f t="shared" ca="1" si="210"/>
        <v>669006</v>
      </c>
      <c r="N470" s="498">
        <f t="shared" si="210"/>
        <v>669006</v>
      </c>
      <c r="O470" s="498">
        <f t="shared" ca="1" si="207"/>
        <v>57.596070072007358</v>
      </c>
      <c r="P470" s="498">
        <f t="shared" ca="1" si="208"/>
        <v>100</v>
      </c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</row>
    <row r="471" spans="1:26" ht="18.75" hidden="1">
      <c r="A471" s="599"/>
      <c r="B471" s="607"/>
      <c r="C471" s="759"/>
      <c r="D471" s="720"/>
      <c r="E471" s="759" t="s">
        <v>185</v>
      </c>
      <c r="F471" s="759"/>
      <c r="G471" s="603"/>
      <c r="H471" s="165" t="s">
        <v>12</v>
      </c>
      <c r="I471" s="617"/>
      <c r="J471" s="617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4"/>
      <c r="R471" s="604"/>
      <c r="S471" s="604"/>
      <c r="T471" s="604"/>
      <c r="U471" s="604"/>
      <c r="V471" s="604"/>
      <c r="W471" s="604"/>
      <c r="X471" s="604"/>
      <c r="Y471" s="604"/>
      <c r="Z471" s="604"/>
    </row>
    <row r="472" spans="1:26" ht="18.75" hidden="1">
      <c r="A472" s="599"/>
      <c r="B472" s="607"/>
      <c r="C472" s="759"/>
      <c r="D472" s="720"/>
      <c r="E472" s="759" t="s">
        <v>186</v>
      </c>
      <c r="F472" s="759"/>
      <c r="G472" s="603"/>
      <c r="H472" s="165" t="s">
        <v>12</v>
      </c>
      <c r="I472" s="617"/>
      <c r="J472" s="617"/>
      <c r="K472" s="93"/>
      <c r="L472" s="93">
        <f ca="1">IFERROR(__xludf.DUMMYFUNCTION("IMPORTRANGE(""https://docs.google.com/spreadsheets/d/1QqKyyYR6Q21VydFLVH3TRQUabQu_ym0Zz7PgGX0-kHA/edit?usp=sharing"",""แผน!FS39"")"),1161548)</f>
        <v>1161548</v>
      </c>
      <c r="M472" s="93">
        <f ca="1">L472+8570-501112</f>
        <v>669006</v>
      </c>
      <c r="N472" s="93">
        <f>N473+N474+N475+N476</f>
        <v>669006</v>
      </c>
      <c r="O472" s="93">
        <f t="shared" ca="1" si="207"/>
        <v>57.596070072007358</v>
      </c>
      <c r="P472" s="93">
        <f t="shared" ca="1" si="208"/>
        <v>100</v>
      </c>
      <c r="Q472" s="604"/>
      <c r="R472" s="604"/>
      <c r="S472" s="604"/>
      <c r="T472" s="604"/>
      <c r="U472" s="604"/>
      <c r="V472" s="604"/>
      <c r="W472" s="604"/>
      <c r="X472" s="604"/>
      <c r="Y472" s="604"/>
      <c r="Z472" s="604"/>
    </row>
    <row r="473" spans="1:26" ht="18.75">
      <c r="A473" s="574"/>
      <c r="B473" s="575"/>
      <c r="C473" s="763"/>
      <c r="D473" s="763"/>
      <c r="E473" s="763"/>
      <c r="F473" s="763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40">
        <v>161369</v>
      </c>
      <c r="O473" s="498"/>
      <c r="P473" s="49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</row>
    <row r="474" spans="1:26" ht="18.75">
      <c r="A474" s="574"/>
      <c r="B474" s="575"/>
      <c r="C474" s="763"/>
      <c r="D474" s="763"/>
      <c r="E474" s="763"/>
      <c r="F474" s="763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40">
        <v>308888</v>
      </c>
      <c r="O474" s="498"/>
      <c r="P474" s="49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</row>
    <row r="475" spans="1:26" ht="18.75">
      <c r="A475" s="574"/>
      <c r="B475" s="575"/>
      <c r="C475" s="575"/>
      <c r="D475" s="575"/>
      <c r="E475" s="575"/>
      <c r="F475" s="763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40">
        <v>130000</v>
      </c>
      <c r="O475" s="498"/>
      <c r="P475" s="49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</row>
    <row r="476" spans="1:26" ht="18.75">
      <c r="A476" s="574"/>
      <c r="B476" s="575"/>
      <c r="C476" s="575"/>
      <c r="D476" s="575"/>
      <c r="E476" s="575"/>
      <c r="F476" s="763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40">
        <v>68749</v>
      </c>
      <c r="O476" s="498"/>
      <c r="P476" s="49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</row>
    <row r="477" spans="1:26" ht="18.75">
      <c r="A477" s="597"/>
      <c r="B477" s="575"/>
      <c r="C477" s="575"/>
      <c r="D477" s="606" t="s">
        <v>21</v>
      </c>
      <c r="E477" s="575"/>
      <c r="F477" s="575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</row>
    <row r="478" spans="1:26" ht="18.75" hidden="1">
      <c r="A478" s="599"/>
      <c r="B478" s="607"/>
      <c r="C478" s="607"/>
      <c r="D478" s="607"/>
      <c r="E478" s="607" t="s">
        <v>18</v>
      </c>
      <c r="F478" s="607"/>
      <c r="G478" s="603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4"/>
      <c r="R478" s="604"/>
      <c r="S478" s="604"/>
      <c r="T478" s="604"/>
      <c r="U478" s="604"/>
      <c r="V478" s="604"/>
      <c r="W478" s="604"/>
      <c r="X478" s="604"/>
      <c r="Y478" s="604"/>
      <c r="Z478" s="604"/>
    </row>
    <row r="479" spans="1:26" ht="18.75" hidden="1">
      <c r="A479" s="599"/>
      <c r="B479" s="607"/>
      <c r="C479" s="607"/>
      <c r="D479" s="607"/>
      <c r="E479" s="607" t="s">
        <v>19</v>
      </c>
      <c r="F479" s="607"/>
      <c r="G479" s="603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4"/>
      <c r="R479" s="604"/>
      <c r="S479" s="604"/>
      <c r="T479" s="604"/>
      <c r="U479" s="604"/>
      <c r="V479" s="604"/>
      <c r="W479" s="604"/>
      <c r="X479" s="604"/>
      <c r="Y479" s="604"/>
      <c r="Z479" s="604"/>
    </row>
    <row r="480" spans="1:26" ht="19.5">
      <c r="A480" s="608"/>
      <c r="B480" s="618"/>
      <c r="C480" s="575" t="s">
        <v>16</v>
      </c>
      <c r="D480" s="894" t="s">
        <v>38</v>
      </c>
      <c r="E480" s="611"/>
      <c r="F480" s="761"/>
      <c r="G480" s="613"/>
      <c r="H480" s="762"/>
      <c r="I480" s="270"/>
      <c r="J480" s="270"/>
      <c r="K480" s="498"/>
      <c r="L480" s="498"/>
      <c r="M480" s="498"/>
      <c r="N480" s="498"/>
      <c r="O480" s="498"/>
      <c r="P480" s="49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</row>
    <row r="481" spans="1:26" ht="19.5">
      <c r="A481" s="608"/>
      <c r="B481" s="618"/>
      <c r="C481" s="618"/>
      <c r="D481" s="625" t="s">
        <v>207</v>
      </c>
      <c r="E481" s="618"/>
      <c r="F481" s="618"/>
      <c r="G481" s="762"/>
      <c r="H481" s="189"/>
      <c r="I481" s="270"/>
      <c r="J481" s="270"/>
      <c r="K481" s="498"/>
      <c r="L481" s="498"/>
      <c r="M481" s="498"/>
      <c r="N481" s="498"/>
      <c r="O481" s="498"/>
      <c r="P481" s="49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</row>
    <row r="482" spans="1:26" ht="18.75">
      <c r="A482" s="608"/>
      <c r="B482" s="618"/>
      <c r="C482" s="618"/>
      <c r="D482" s="618"/>
      <c r="E482" s="618" t="s">
        <v>208</v>
      </c>
      <c r="F482" s="618"/>
      <c r="G482" s="762"/>
      <c r="H482" s="189"/>
      <c r="I482" s="270"/>
      <c r="J482" s="270"/>
      <c r="K482" s="498"/>
      <c r="L482" s="498"/>
      <c r="M482" s="498"/>
      <c r="N482" s="498"/>
      <c r="O482" s="498"/>
      <c r="P482" s="49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</row>
    <row r="483" spans="1:26" ht="18.75">
      <c r="A483" s="608"/>
      <c r="B483" s="618"/>
      <c r="C483" s="618"/>
      <c r="D483" s="618"/>
      <c r="E483" s="618"/>
      <c r="F483" s="618" t="s">
        <v>209</v>
      </c>
      <c r="G483" s="762"/>
      <c r="H483" s="623" t="s">
        <v>46</v>
      </c>
      <c r="I483" s="270">
        <f ca="1">IFERROR(__xludf.DUMMYFUNCTION("IMPORTRANGE(""https://docs.google.com/spreadsheets/d/1QqKyyYR6Q21VydFLVH3TRQUabQu_ym0Zz7PgGX0-kHA/edit?usp=sharing"",""แผน!FY39"")"),1170)</f>
        <v>1170</v>
      </c>
      <c r="J483" s="215">
        <v>1170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</row>
    <row r="484" spans="1:26" ht="18.75">
      <c r="A484" s="608"/>
      <c r="B484" s="618"/>
      <c r="C484" s="618"/>
      <c r="D484" s="618"/>
      <c r="E484" s="618"/>
      <c r="F484" s="618" t="s">
        <v>210</v>
      </c>
      <c r="G484" s="762"/>
      <c r="H484" s="623" t="s">
        <v>35</v>
      </c>
      <c r="I484" s="270"/>
      <c r="J484" s="215">
        <v>256</v>
      </c>
      <c r="K484" s="498"/>
      <c r="L484" s="498"/>
      <c r="M484" s="498"/>
      <c r="N484" s="498"/>
      <c r="O484" s="498"/>
      <c r="P484" s="49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</row>
    <row r="485" spans="1:26" ht="18.75">
      <c r="A485" s="608"/>
      <c r="B485" s="618"/>
      <c r="C485" s="618"/>
      <c r="D485" s="618"/>
      <c r="E485" s="618"/>
      <c r="F485" s="618" t="s">
        <v>211</v>
      </c>
      <c r="G485" s="762"/>
      <c r="H485" s="623" t="s">
        <v>35</v>
      </c>
      <c r="I485" s="270">
        <f ca="1">IFERROR(__xludf.DUMMYFUNCTION("IMPORTRANGE(""https://docs.google.com/spreadsheets/d/1QqKyyYR6Q21VydFLVH3TRQUabQu_ym0Zz7PgGX0-kHA/edit?usp=sharing"",""แผน!FZ39"")"),117)</f>
        <v>117</v>
      </c>
      <c r="J485" s="215">
        <v>117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</row>
    <row r="486" spans="1:26" ht="18.75">
      <c r="A486" s="608"/>
      <c r="B486" s="618"/>
      <c r="C486" s="618"/>
      <c r="D486" s="618"/>
      <c r="E486" s="618" t="s">
        <v>62</v>
      </c>
      <c r="F486" s="618"/>
      <c r="G486" s="762"/>
      <c r="H486" s="623"/>
      <c r="I486" s="270"/>
      <c r="J486" s="270"/>
      <c r="K486" s="498"/>
      <c r="L486" s="498"/>
      <c r="M486" s="498"/>
      <c r="N486" s="498"/>
      <c r="O486" s="498"/>
      <c r="P486" s="49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</row>
    <row r="487" spans="1:26" ht="18.75">
      <c r="A487" s="608"/>
      <c r="B487" s="618"/>
      <c r="C487" s="618"/>
      <c r="D487" s="618"/>
      <c r="E487" s="618"/>
      <c r="F487" s="618" t="s">
        <v>209</v>
      </c>
      <c r="G487" s="762"/>
      <c r="H487" s="623" t="s">
        <v>46</v>
      </c>
      <c r="I487" s="270">
        <f ca="1">IFERROR(__xludf.DUMMYFUNCTION("IMPORTRANGE(""https://docs.google.com/spreadsheets/d/1QqKyyYR6Q21VydFLVH3TRQUabQu_ym0Zz7PgGX0-kHA/edit?usp=sharing"",""แผน!GA39"")"),130)</f>
        <v>130</v>
      </c>
      <c r="J487" s="215">
        <v>130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</row>
    <row r="488" spans="1:26" ht="18.75">
      <c r="A488" s="608"/>
      <c r="B488" s="618"/>
      <c r="C488" s="618"/>
      <c r="D488" s="618"/>
      <c r="E488" s="618"/>
      <c r="F488" s="618" t="s">
        <v>212</v>
      </c>
      <c r="G488" s="762"/>
      <c r="H488" s="623" t="s">
        <v>35</v>
      </c>
      <c r="I488" s="270"/>
      <c r="J488" s="215">
        <v>14</v>
      </c>
      <c r="K488" s="498"/>
      <c r="L488" s="498"/>
      <c r="M488" s="498"/>
      <c r="N488" s="498"/>
      <c r="O488" s="498"/>
      <c r="P488" s="49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</row>
    <row r="489" spans="1:26" ht="18.75">
      <c r="A489" s="608"/>
      <c r="B489" s="618"/>
      <c r="C489" s="618"/>
      <c r="D489" s="618"/>
      <c r="E489" s="618"/>
      <c r="F489" s="618" t="s">
        <v>213</v>
      </c>
      <c r="G489" s="762"/>
      <c r="H489" s="623" t="s">
        <v>35</v>
      </c>
      <c r="I489" s="270">
        <f ca="1">IFERROR(__xludf.DUMMYFUNCTION("IMPORTRANGE(""https://docs.google.com/spreadsheets/d/1QqKyyYR6Q21VydFLVH3TRQUabQu_ym0Zz7PgGX0-kHA/edit?usp=sharing"",""แผน!GB39"")"),13)</f>
        <v>13</v>
      </c>
      <c r="J489" s="215">
        <v>13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</row>
    <row r="490" spans="1:26" ht="18.75">
      <c r="A490" s="608"/>
      <c r="B490" s="618"/>
      <c r="C490" s="618"/>
      <c r="D490" s="618"/>
      <c r="E490" s="618" t="s">
        <v>63</v>
      </c>
      <c r="F490" s="626"/>
      <c r="G490" s="762"/>
      <c r="H490" s="623"/>
      <c r="I490" s="270"/>
      <c r="J490" s="270"/>
      <c r="K490" s="498"/>
      <c r="L490" s="498"/>
      <c r="M490" s="498"/>
      <c r="N490" s="498"/>
      <c r="O490" s="498"/>
      <c r="P490" s="49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</row>
    <row r="491" spans="1:26" ht="18.75">
      <c r="A491" s="608"/>
      <c r="B491" s="618"/>
      <c r="C491" s="618"/>
      <c r="D491" s="618"/>
      <c r="E491" s="618"/>
      <c r="F491" s="618" t="s">
        <v>214</v>
      </c>
      <c r="G491" s="762"/>
      <c r="H491" s="623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</row>
    <row r="492" spans="1:26" ht="18.75">
      <c r="A492" s="608"/>
      <c r="B492" s="618"/>
      <c r="C492" s="618"/>
      <c r="D492" s="618"/>
      <c r="E492" s="618"/>
      <c r="F492" s="618" t="s">
        <v>215</v>
      </c>
      <c r="G492" s="762"/>
      <c r="H492" s="623" t="s">
        <v>35</v>
      </c>
      <c r="I492" s="270">
        <f ca="1">IFERROR(__xludf.DUMMYFUNCTION("IMPORTRANGE(""https://docs.google.com/spreadsheets/d/1QqKyyYR6Q21VydFLVH3TRQUabQu_ym0Zz7PgGX0-kHA/edit?usp=sharing"",""แผน!GC39"")"),1)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</row>
    <row r="493" spans="1:26" ht="19.5">
      <c r="A493" s="608"/>
      <c r="B493" s="618"/>
      <c r="C493" s="618"/>
      <c r="D493" s="625" t="s">
        <v>59</v>
      </c>
      <c r="E493" s="618"/>
      <c r="F493" s="626"/>
      <c r="G493" s="762"/>
      <c r="H493" s="189"/>
      <c r="I493" s="270"/>
      <c r="J493" s="270"/>
      <c r="K493" s="498"/>
      <c r="L493" s="498"/>
      <c r="M493" s="498"/>
      <c r="N493" s="498"/>
      <c r="O493" s="498"/>
      <c r="P493" s="49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</row>
    <row r="494" spans="1:26" ht="18.75">
      <c r="A494" s="608"/>
      <c r="B494" s="618"/>
      <c r="C494" s="618"/>
      <c r="D494" s="618"/>
      <c r="E494" s="618" t="s">
        <v>208</v>
      </c>
      <c r="F494" s="626"/>
      <c r="G494" s="762"/>
      <c r="H494" s="189"/>
      <c r="I494" s="270"/>
      <c r="J494" s="270"/>
      <c r="K494" s="498"/>
      <c r="L494" s="498"/>
      <c r="M494" s="498"/>
      <c r="N494" s="498"/>
      <c r="O494" s="498"/>
      <c r="P494" s="49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</row>
    <row r="495" spans="1:26" ht="18.75">
      <c r="A495" s="608"/>
      <c r="B495" s="618"/>
      <c r="C495" s="618"/>
      <c r="D495" s="618"/>
      <c r="E495" s="618"/>
      <c r="F495" s="626" t="s">
        <v>216</v>
      </c>
      <c r="G495" s="762"/>
      <c r="H495" s="623" t="s">
        <v>46</v>
      </c>
      <c r="I495" s="270">
        <f ca="1">IFERROR(__xludf.DUMMYFUNCTION("IMPORTRANGE(""https://docs.google.com/spreadsheets/d/1QqKyyYR6Q21VydFLVH3TRQUabQu_ym0Zz7PgGX0-kHA/edit?usp=sharing"",""แผน!FY39"")"),1170)</f>
        <v>1170</v>
      </c>
      <c r="J495" s="215">
        <v>1170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</row>
    <row r="496" spans="1:26" ht="18.75">
      <c r="A496" s="608"/>
      <c r="B496" s="618"/>
      <c r="C496" s="618"/>
      <c r="D496" s="618"/>
      <c r="E496" s="618"/>
      <c r="F496" s="626" t="s">
        <v>217</v>
      </c>
      <c r="G496" s="762"/>
      <c r="H496" s="623" t="s">
        <v>46</v>
      </c>
      <c r="I496" s="270"/>
      <c r="J496" s="215">
        <v>681</v>
      </c>
      <c r="K496" s="498"/>
      <c r="L496" s="498"/>
      <c r="M496" s="498"/>
      <c r="N496" s="498"/>
      <c r="O496" s="498"/>
      <c r="P496" s="49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</row>
    <row r="497" spans="1:26" ht="18.75">
      <c r="A497" s="608"/>
      <c r="B497" s="618"/>
      <c r="C497" s="618"/>
      <c r="D497" s="618"/>
      <c r="E497" s="618" t="s">
        <v>62</v>
      </c>
      <c r="F497" s="626"/>
      <c r="G497" s="762"/>
      <c r="H497" s="189"/>
      <c r="I497" s="270"/>
      <c r="J497" s="270"/>
      <c r="K497" s="498"/>
      <c r="L497" s="498"/>
      <c r="M497" s="498"/>
      <c r="N497" s="498"/>
      <c r="O497" s="498"/>
      <c r="P497" s="49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</row>
    <row r="498" spans="1:26" ht="18.75">
      <c r="A498" s="608"/>
      <c r="B498" s="618"/>
      <c r="C498" s="618"/>
      <c r="D498" s="618"/>
      <c r="E498" s="626"/>
      <c r="F498" s="626" t="s">
        <v>218</v>
      </c>
      <c r="G498" s="762"/>
      <c r="H498" s="623" t="s">
        <v>46</v>
      </c>
      <c r="I498" s="270">
        <f ca="1">IFERROR(__xludf.DUMMYFUNCTION("IMPORTRANGE(""https://docs.google.com/spreadsheets/d/1QqKyyYR6Q21VydFLVH3TRQUabQu_ym0Zz7PgGX0-kHA/edit?usp=sharing"",""แผน!GA39"")"),130)</f>
        <v>130</v>
      </c>
      <c r="J498" s="215">
        <v>130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</row>
    <row r="499" spans="1:26" ht="18.75">
      <c r="A499" s="608"/>
      <c r="B499" s="618"/>
      <c r="C499" s="618"/>
      <c r="D499" s="618"/>
      <c r="E499" s="626"/>
      <c r="F499" s="626" t="s">
        <v>219</v>
      </c>
      <c r="G499" s="762"/>
      <c r="H499" s="623" t="s">
        <v>46</v>
      </c>
      <c r="I499" s="270"/>
      <c r="J499" s="215">
        <v>84</v>
      </c>
      <c r="K499" s="498"/>
      <c r="L499" s="498"/>
      <c r="M499" s="498"/>
      <c r="N499" s="498"/>
      <c r="O499" s="498"/>
      <c r="P499" s="49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</row>
    <row r="500" spans="1:26" ht="19.5" hidden="1">
      <c r="A500" s="627">
        <v>4</v>
      </c>
      <c r="B500" s="628" t="s">
        <v>220</v>
      </c>
      <c r="C500" s="629"/>
      <c r="D500" s="630"/>
      <c r="E500" s="630"/>
      <c r="F500" s="630"/>
      <c r="G500" s="631"/>
      <c r="H500" s="632" t="s">
        <v>109</v>
      </c>
      <c r="I500" s="633"/>
      <c r="J500" s="633">
        <f t="shared" ref="J500:J501" si="214">J516</f>
        <v>0</v>
      </c>
      <c r="K500" s="634">
        <f t="shared" ref="K500:K501" si="215">IF(I500&gt;0,J500*100/I500,0)</f>
        <v>0</v>
      </c>
      <c r="L500" s="635"/>
      <c r="M500" s="635"/>
      <c r="N500" s="635"/>
      <c r="O500" s="635"/>
      <c r="P500" s="635"/>
      <c r="Q500" s="604"/>
      <c r="R500" s="604"/>
      <c r="S500" s="604"/>
      <c r="T500" s="604"/>
      <c r="U500" s="604"/>
      <c r="V500" s="604"/>
      <c r="W500" s="604"/>
      <c r="X500" s="604"/>
      <c r="Y500" s="604"/>
      <c r="Z500" s="604"/>
    </row>
    <row r="501" spans="1:26" ht="19.5" hidden="1">
      <c r="A501" s="636"/>
      <c r="B501" s="638" t="s">
        <v>221</v>
      </c>
      <c r="C501" s="638"/>
      <c r="D501" s="639"/>
      <c r="E501" s="639"/>
      <c r="F501" s="639"/>
      <c r="G501" s="640"/>
      <c r="H501" s="641" t="s">
        <v>35</v>
      </c>
      <c r="I501" s="642"/>
      <c r="J501" s="642">
        <f t="shared" si="214"/>
        <v>0</v>
      </c>
      <c r="K501" s="643">
        <f t="shared" si="215"/>
        <v>0</v>
      </c>
      <c r="L501" s="644"/>
      <c r="M501" s="644"/>
      <c r="N501" s="644"/>
      <c r="O501" s="644"/>
      <c r="P501" s="64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</row>
    <row r="502" spans="1:26" ht="19.5" hidden="1">
      <c r="A502" s="599"/>
      <c r="B502" s="759"/>
      <c r="C502" s="759" t="s">
        <v>16</v>
      </c>
      <c r="D502" s="864" t="s">
        <v>17</v>
      </c>
      <c r="E502" s="857"/>
      <c r="F502" s="857"/>
      <c r="G502" s="603"/>
      <c r="H502" s="646" t="s">
        <v>12</v>
      </c>
      <c r="I502" s="617"/>
      <c r="J502" s="617"/>
      <c r="K502" s="93"/>
      <c r="L502" s="647">
        <f t="shared" ref="L502:N502" si="216">L503+L504</f>
        <v>0</v>
      </c>
      <c r="M502" s="647">
        <f t="shared" si="216"/>
        <v>0</v>
      </c>
      <c r="N502" s="647">
        <f t="shared" si="216"/>
        <v>0</v>
      </c>
      <c r="O502" s="647">
        <f t="shared" ref="O502:O507" si="217">IF(L502&gt;0,N502*100/L502,0)</f>
        <v>0</v>
      </c>
      <c r="P502" s="647">
        <f t="shared" ref="P502:P507" si="218">IF(M502&gt;0,N502*100/M502,0)</f>
        <v>0</v>
      </c>
      <c r="Q502" s="604"/>
      <c r="R502" s="604"/>
      <c r="S502" s="604"/>
      <c r="T502" s="604"/>
      <c r="U502" s="604"/>
      <c r="V502" s="604"/>
      <c r="W502" s="604"/>
      <c r="X502" s="604"/>
      <c r="Y502" s="604"/>
      <c r="Z502" s="604"/>
    </row>
    <row r="503" spans="1:26" ht="18.75" hidden="1">
      <c r="A503" s="599"/>
      <c r="B503" s="759"/>
      <c r="C503" s="759"/>
      <c r="D503" s="720"/>
      <c r="E503" s="759" t="s">
        <v>185</v>
      </c>
      <c r="F503" s="759"/>
      <c r="G503" s="603"/>
      <c r="H503" s="165" t="s">
        <v>12</v>
      </c>
      <c r="I503" s="617"/>
      <c r="J503" s="617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4"/>
      <c r="R503" s="604"/>
      <c r="S503" s="604"/>
      <c r="T503" s="604"/>
      <c r="U503" s="604"/>
      <c r="V503" s="604"/>
      <c r="W503" s="604"/>
      <c r="X503" s="604"/>
      <c r="Y503" s="604"/>
      <c r="Z503" s="604"/>
    </row>
    <row r="504" spans="1:26" ht="18.75" hidden="1">
      <c r="A504" s="599"/>
      <c r="B504" s="607"/>
      <c r="C504" s="759"/>
      <c r="D504" s="720"/>
      <c r="E504" s="759" t="s">
        <v>186</v>
      </c>
      <c r="F504" s="759"/>
      <c r="G504" s="603"/>
      <c r="H504" s="165" t="s">
        <v>12</v>
      </c>
      <c r="I504" s="617"/>
      <c r="J504" s="617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4"/>
      <c r="R504" s="604"/>
      <c r="S504" s="604"/>
      <c r="T504" s="604"/>
      <c r="U504" s="604"/>
      <c r="V504" s="604"/>
      <c r="W504" s="604"/>
      <c r="X504" s="604"/>
      <c r="Y504" s="604"/>
      <c r="Z504" s="604"/>
    </row>
    <row r="505" spans="1:26" ht="18.75" hidden="1">
      <c r="A505" s="599"/>
      <c r="B505" s="607"/>
      <c r="C505" s="759"/>
      <c r="D505" s="648" t="s">
        <v>20</v>
      </c>
      <c r="E505" s="759"/>
      <c r="F505" s="759"/>
      <c r="G505" s="603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4"/>
      <c r="R505" s="604"/>
      <c r="S505" s="604"/>
      <c r="T505" s="604"/>
      <c r="U505" s="604"/>
      <c r="V505" s="604"/>
      <c r="W505" s="604"/>
      <c r="X505" s="604"/>
      <c r="Y505" s="604"/>
      <c r="Z505" s="604"/>
    </row>
    <row r="506" spans="1:26" ht="18.75" hidden="1">
      <c r="A506" s="599"/>
      <c r="B506" s="607"/>
      <c r="C506" s="759"/>
      <c r="D506" s="720"/>
      <c r="E506" s="759" t="s">
        <v>185</v>
      </c>
      <c r="F506" s="759"/>
      <c r="G506" s="603"/>
      <c r="H506" s="165" t="s">
        <v>12</v>
      </c>
      <c r="I506" s="617"/>
      <c r="J506" s="617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4"/>
      <c r="R506" s="604"/>
      <c r="S506" s="604"/>
      <c r="T506" s="604"/>
      <c r="U506" s="604"/>
      <c r="V506" s="604"/>
      <c r="W506" s="604"/>
      <c r="X506" s="604"/>
      <c r="Y506" s="604"/>
      <c r="Z506" s="604"/>
    </row>
    <row r="507" spans="1:26" ht="18.75" hidden="1">
      <c r="A507" s="599"/>
      <c r="B507" s="607"/>
      <c r="C507" s="759"/>
      <c r="D507" s="720"/>
      <c r="E507" s="759" t="s">
        <v>186</v>
      </c>
      <c r="F507" s="759"/>
      <c r="G507" s="603"/>
      <c r="H507" s="165" t="s">
        <v>12</v>
      </c>
      <c r="I507" s="617"/>
      <c r="J507" s="617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4"/>
      <c r="R507" s="604"/>
      <c r="S507" s="604"/>
      <c r="T507" s="604"/>
      <c r="U507" s="604"/>
      <c r="V507" s="604"/>
      <c r="W507" s="604"/>
      <c r="X507" s="604"/>
      <c r="Y507" s="604"/>
      <c r="Z507" s="604"/>
    </row>
    <row r="508" spans="1:26" ht="18.75" hidden="1">
      <c r="A508" s="649"/>
      <c r="B508" s="607"/>
      <c r="C508" s="759"/>
      <c r="D508" s="759"/>
      <c r="E508" s="759"/>
      <c r="F508" s="759" t="s">
        <v>187</v>
      </c>
      <c r="G508" s="603"/>
      <c r="H508" s="165" t="s">
        <v>12</v>
      </c>
      <c r="I508" s="617"/>
      <c r="J508" s="617"/>
      <c r="K508" s="93"/>
      <c r="L508" s="93"/>
      <c r="M508" s="93"/>
      <c r="N508" s="93">
        <v>0</v>
      </c>
      <c r="O508" s="93"/>
      <c r="P508" s="93"/>
      <c r="Q508" s="604"/>
      <c r="R508" s="604"/>
      <c r="S508" s="604"/>
      <c r="T508" s="604"/>
      <c r="U508" s="604"/>
      <c r="V508" s="604"/>
      <c r="W508" s="604"/>
      <c r="X508" s="604"/>
      <c r="Y508" s="604"/>
      <c r="Z508" s="604"/>
    </row>
    <row r="509" spans="1:26" ht="18.75" hidden="1">
      <c r="A509" s="649"/>
      <c r="B509" s="607"/>
      <c r="C509" s="759"/>
      <c r="D509" s="759"/>
      <c r="E509" s="759"/>
      <c r="F509" s="759" t="s">
        <v>188</v>
      </c>
      <c r="G509" s="603"/>
      <c r="H509" s="165" t="s">
        <v>12</v>
      </c>
      <c r="I509" s="617"/>
      <c r="J509" s="617"/>
      <c r="K509" s="93"/>
      <c r="L509" s="93"/>
      <c r="M509" s="93"/>
      <c r="N509" s="93">
        <v>0</v>
      </c>
      <c r="O509" s="93"/>
      <c r="P509" s="93"/>
      <c r="Q509" s="604"/>
      <c r="R509" s="604"/>
      <c r="S509" s="604"/>
      <c r="T509" s="604"/>
      <c r="U509" s="604"/>
      <c r="V509" s="604"/>
      <c r="W509" s="604"/>
      <c r="X509" s="604"/>
      <c r="Y509" s="604"/>
      <c r="Z509" s="604"/>
    </row>
    <row r="510" spans="1:26" ht="18.75" hidden="1">
      <c r="A510" s="649"/>
      <c r="B510" s="607"/>
      <c r="C510" s="607"/>
      <c r="D510" s="607"/>
      <c r="E510" s="759"/>
      <c r="F510" s="759" t="s">
        <v>189</v>
      </c>
      <c r="G510" s="603"/>
      <c r="H510" s="165" t="s">
        <v>12</v>
      </c>
      <c r="I510" s="617"/>
      <c r="J510" s="617"/>
      <c r="K510" s="93"/>
      <c r="L510" s="93"/>
      <c r="M510" s="93"/>
      <c r="N510" s="93">
        <v>0</v>
      </c>
      <c r="O510" s="93"/>
      <c r="P510" s="93"/>
      <c r="Q510" s="604"/>
      <c r="R510" s="604"/>
      <c r="S510" s="604"/>
      <c r="T510" s="604"/>
      <c r="U510" s="604"/>
      <c r="V510" s="604"/>
      <c r="W510" s="604"/>
      <c r="X510" s="604"/>
      <c r="Y510" s="604"/>
      <c r="Z510" s="604"/>
    </row>
    <row r="511" spans="1:26" ht="18.75" hidden="1">
      <c r="A511" s="649"/>
      <c r="B511" s="607"/>
      <c r="C511" s="607"/>
      <c r="D511" s="607"/>
      <c r="E511" s="759"/>
      <c r="F511" s="759" t="s">
        <v>190</v>
      </c>
      <c r="G511" s="603"/>
      <c r="H511" s="165" t="s">
        <v>12</v>
      </c>
      <c r="I511" s="617"/>
      <c r="J511" s="617"/>
      <c r="K511" s="93"/>
      <c r="L511" s="93"/>
      <c r="M511" s="93"/>
      <c r="N511" s="93">
        <v>0</v>
      </c>
      <c r="O511" s="93"/>
      <c r="P511" s="93"/>
      <c r="Q511" s="604"/>
      <c r="R511" s="604"/>
      <c r="S511" s="604"/>
      <c r="T511" s="604"/>
      <c r="U511" s="604"/>
      <c r="V511" s="604"/>
      <c r="W511" s="604"/>
      <c r="X511" s="604"/>
      <c r="Y511" s="604"/>
      <c r="Z511" s="604"/>
    </row>
    <row r="512" spans="1:26" ht="18.75" hidden="1">
      <c r="A512" s="599"/>
      <c r="B512" s="607"/>
      <c r="C512" s="607"/>
      <c r="D512" s="648" t="s">
        <v>21</v>
      </c>
      <c r="E512" s="607"/>
      <c r="F512" s="759"/>
      <c r="G512" s="603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4"/>
      <c r="R512" s="604"/>
      <c r="S512" s="604"/>
      <c r="T512" s="604"/>
      <c r="U512" s="604"/>
      <c r="V512" s="604"/>
      <c r="W512" s="604"/>
      <c r="X512" s="604"/>
      <c r="Y512" s="604"/>
      <c r="Z512" s="604"/>
    </row>
    <row r="513" spans="1:26" ht="18.75" hidden="1">
      <c r="A513" s="599"/>
      <c r="B513" s="607"/>
      <c r="C513" s="607"/>
      <c r="D513" s="607"/>
      <c r="E513" s="607" t="s">
        <v>18</v>
      </c>
      <c r="F513" s="759"/>
      <c r="G513" s="603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4"/>
      <c r="R513" s="604"/>
      <c r="S513" s="604"/>
      <c r="T513" s="604"/>
      <c r="U513" s="604"/>
      <c r="V513" s="604"/>
      <c r="W513" s="604"/>
      <c r="X513" s="604"/>
      <c r="Y513" s="604"/>
      <c r="Z513" s="604"/>
    </row>
    <row r="514" spans="1:26" ht="18.75" hidden="1">
      <c r="A514" s="599"/>
      <c r="B514" s="607"/>
      <c r="C514" s="607"/>
      <c r="D514" s="759"/>
      <c r="E514" s="607" t="s">
        <v>19</v>
      </c>
      <c r="F514" s="759"/>
      <c r="G514" s="603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4"/>
      <c r="R514" s="604"/>
      <c r="S514" s="604"/>
      <c r="T514" s="604"/>
      <c r="U514" s="604"/>
      <c r="V514" s="604"/>
      <c r="W514" s="604"/>
      <c r="X514" s="604"/>
      <c r="Y514" s="604"/>
      <c r="Z514" s="604"/>
    </row>
    <row r="515" spans="1:26" ht="19.5" hidden="1">
      <c r="A515" s="614"/>
      <c r="B515" s="616"/>
      <c r="C515" s="607" t="s">
        <v>16</v>
      </c>
      <c r="D515" s="895" t="s">
        <v>38</v>
      </c>
      <c r="E515" s="651"/>
      <c r="F515" s="651"/>
      <c r="G515" s="652"/>
      <c r="H515" s="366"/>
      <c r="I515" s="166"/>
      <c r="J515" s="166"/>
      <c r="K515" s="167"/>
      <c r="L515" s="167"/>
      <c r="M515" s="167"/>
      <c r="N515" s="167"/>
      <c r="O515" s="167"/>
      <c r="P515" s="167"/>
      <c r="Q515" s="604"/>
      <c r="R515" s="604"/>
      <c r="S515" s="604"/>
      <c r="T515" s="604"/>
      <c r="U515" s="604"/>
      <c r="V515" s="604"/>
      <c r="W515" s="604"/>
      <c r="X515" s="604"/>
      <c r="Y515" s="604"/>
      <c r="Z515" s="604"/>
    </row>
    <row r="516" spans="1:26" ht="18.75" hidden="1">
      <c r="A516" s="614"/>
      <c r="B516" s="616"/>
      <c r="C516" s="616"/>
      <c r="D516" s="616" t="s">
        <v>222</v>
      </c>
      <c r="E516" s="720"/>
      <c r="F516" s="720"/>
      <c r="G516" s="366"/>
      <c r="H516" s="653" t="s">
        <v>109</v>
      </c>
      <c r="I516" s="617"/>
      <c r="J516" s="617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4"/>
      <c r="R516" s="604"/>
      <c r="S516" s="604"/>
      <c r="T516" s="604"/>
      <c r="U516" s="604"/>
      <c r="V516" s="604"/>
      <c r="W516" s="604"/>
      <c r="X516" s="604"/>
      <c r="Y516" s="604"/>
      <c r="Z516" s="604"/>
    </row>
    <row r="517" spans="1:26" ht="19.5" hidden="1">
      <c r="A517" s="614"/>
      <c r="B517" s="616"/>
      <c r="C517" s="616"/>
      <c r="D517" s="616" t="s">
        <v>223</v>
      </c>
      <c r="E517" s="720"/>
      <c r="F517" s="720"/>
      <c r="G517" s="366"/>
      <c r="H517" s="654" t="s">
        <v>35</v>
      </c>
      <c r="I517" s="655"/>
      <c r="J517" s="655">
        <f>J518+J519</f>
        <v>0</v>
      </c>
      <c r="K517" s="656">
        <f t="shared" si="224"/>
        <v>0</v>
      </c>
      <c r="L517" s="167"/>
      <c r="M517" s="167"/>
      <c r="N517" s="167"/>
      <c r="O517" s="167"/>
      <c r="P517" s="167"/>
      <c r="Q517" s="604"/>
      <c r="R517" s="604"/>
      <c r="S517" s="604"/>
      <c r="T517" s="604"/>
      <c r="U517" s="604"/>
      <c r="V517" s="604"/>
      <c r="W517" s="604"/>
      <c r="X517" s="604"/>
      <c r="Y517" s="604"/>
      <c r="Z517" s="604"/>
    </row>
    <row r="518" spans="1:26" ht="18.75" hidden="1">
      <c r="A518" s="614"/>
      <c r="B518" s="616"/>
      <c r="C518" s="616"/>
      <c r="D518" s="616"/>
      <c r="E518" s="616" t="s">
        <v>224</v>
      </c>
      <c r="F518" s="720"/>
      <c r="G518" s="366"/>
      <c r="H518" s="370" t="s">
        <v>35</v>
      </c>
      <c r="I518" s="617"/>
      <c r="J518" s="617"/>
      <c r="K518" s="167"/>
      <c r="L518" s="167"/>
      <c r="M518" s="167"/>
      <c r="N518" s="167"/>
      <c r="O518" s="167"/>
      <c r="P518" s="167"/>
      <c r="Q518" s="604"/>
      <c r="R518" s="604"/>
      <c r="S518" s="604"/>
      <c r="T518" s="604"/>
      <c r="U518" s="604"/>
      <c r="V518" s="604"/>
      <c r="W518" s="604"/>
      <c r="X518" s="604"/>
      <c r="Y518" s="604"/>
      <c r="Z518" s="604"/>
    </row>
    <row r="519" spans="1:26" ht="18.75" hidden="1">
      <c r="A519" s="614"/>
      <c r="B519" s="616"/>
      <c r="C519" s="616"/>
      <c r="D519" s="616"/>
      <c r="E519" s="616" t="s">
        <v>225</v>
      </c>
      <c r="F519" s="720"/>
      <c r="G519" s="366"/>
      <c r="H519" s="653" t="s">
        <v>35</v>
      </c>
      <c r="I519" s="617"/>
      <c r="J519" s="617"/>
      <c r="K519" s="167"/>
      <c r="L519" s="167"/>
      <c r="M519" s="167"/>
      <c r="N519" s="167"/>
      <c r="O519" s="167"/>
      <c r="P519" s="167"/>
      <c r="Q519" s="604"/>
      <c r="R519" s="604"/>
      <c r="S519" s="604"/>
      <c r="T519" s="604"/>
      <c r="U519" s="604"/>
      <c r="V519" s="604"/>
      <c r="W519" s="604"/>
      <c r="X519" s="604"/>
      <c r="Y519" s="604"/>
      <c r="Z519" s="604"/>
    </row>
    <row r="520" spans="1:26" ht="19.5">
      <c r="A520" s="657" t="s">
        <v>137</v>
      </c>
      <c r="B520" s="658"/>
      <c r="C520" s="658"/>
      <c r="D520" s="659"/>
      <c r="E520" s="659"/>
      <c r="F520" s="659"/>
      <c r="G520" s="660"/>
      <c r="H520" s="661"/>
      <c r="I520" s="662"/>
      <c r="J520" s="662"/>
      <c r="K520" s="663"/>
      <c r="L520" s="663"/>
      <c r="M520" s="663"/>
      <c r="N520" s="663"/>
      <c r="O520" s="663"/>
      <c r="P520" s="663"/>
    </row>
    <row r="521" spans="1:26" ht="19.5" hidden="1">
      <c r="A521" s="664">
        <v>5</v>
      </c>
      <c r="B521" s="665" t="s">
        <v>226</v>
      </c>
      <c r="C521" s="666"/>
      <c r="D521" s="667"/>
      <c r="E521" s="667"/>
      <c r="F521" s="667"/>
      <c r="G521" s="667"/>
      <c r="H521" s="668"/>
      <c r="I521" s="669"/>
      <c r="J521" s="669"/>
      <c r="K521" s="670"/>
      <c r="L521" s="670"/>
      <c r="M521" s="670"/>
      <c r="N521" s="670"/>
      <c r="O521" s="670"/>
      <c r="P521" s="670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</row>
    <row r="522" spans="1:26" ht="19.5" hidden="1">
      <c r="A522" s="671"/>
      <c r="B522" s="672" t="s">
        <v>227</v>
      </c>
      <c r="C522" s="673"/>
      <c r="D522" s="673"/>
      <c r="E522" s="673"/>
      <c r="F522" s="673"/>
      <c r="G522" s="674"/>
      <c r="H522" s="675" t="s">
        <v>35</v>
      </c>
      <c r="I522" s="708">
        <f t="shared" ref="I522:J522" ca="1" si="225">I537</f>
        <v>0</v>
      </c>
      <c r="J522" s="708">
        <f t="shared" ca="1" si="225"/>
        <v>0</v>
      </c>
      <c r="K522" s="677">
        <f ca="1">IF(I522&gt;0,J522*100/I522,0)</f>
        <v>0</v>
      </c>
      <c r="L522" s="678"/>
      <c r="M522" s="678"/>
      <c r="N522" s="678"/>
      <c r="O522" s="678"/>
      <c r="P522" s="6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</row>
    <row r="523" spans="1:26" ht="19.5" hidden="1">
      <c r="A523" s="597"/>
      <c r="B523" s="763"/>
      <c r="C523" s="763" t="s">
        <v>16</v>
      </c>
      <c r="D523" s="863" t="s">
        <v>17</v>
      </c>
      <c r="E523" s="857"/>
      <c r="F523" s="857"/>
      <c r="G523" s="189"/>
      <c r="H523" s="598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</row>
    <row r="524" spans="1:26" ht="18.75" hidden="1">
      <c r="A524" s="599"/>
      <c r="B524" s="759"/>
      <c r="C524" s="759"/>
      <c r="D524" s="720"/>
      <c r="E524" s="759" t="s">
        <v>185</v>
      </c>
      <c r="F524" s="759"/>
      <c r="G524" s="603"/>
      <c r="H524" s="165" t="s">
        <v>12</v>
      </c>
      <c r="I524" s="617"/>
      <c r="J524" s="617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4"/>
      <c r="R524" s="604"/>
      <c r="S524" s="604"/>
      <c r="T524" s="604"/>
      <c r="U524" s="604"/>
      <c r="V524" s="604"/>
      <c r="W524" s="604"/>
      <c r="X524" s="604"/>
      <c r="Y524" s="604"/>
      <c r="Z524" s="604"/>
    </row>
    <row r="525" spans="1:26" ht="18.75" hidden="1">
      <c r="A525" s="599"/>
      <c r="B525" s="607"/>
      <c r="C525" s="759"/>
      <c r="D525" s="720"/>
      <c r="E525" s="759" t="s">
        <v>186</v>
      </c>
      <c r="F525" s="759"/>
      <c r="G525" s="603"/>
      <c r="H525" s="165" t="s">
        <v>12</v>
      </c>
      <c r="I525" s="617"/>
      <c r="J525" s="617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4"/>
      <c r="R525" s="604"/>
      <c r="S525" s="604"/>
      <c r="T525" s="604"/>
      <c r="U525" s="604"/>
      <c r="V525" s="604"/>
      <c r="W525" s="604"/>
      <c r="X525" s="604"/>
      <c r="Y525" s="604"/>
      <c r="Z525" s="604"/>
    </row>
    <row r="526" spans="1:26" ht="18.75" hidden="1">
      <c r="A526" s="597"/>
      <c r="B526" s="575"/>
      <c r="C526" s="763"/>
      <c r="D526" s="606" t="s">
        <v>20</v>
      </c>
      <c r="E526" s="763"/>
      <c r="F526" s="763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</row>
    <row r="527" spans="1:26" ht="18.75" hidden="1">
      <c r="A527" s="599"/>
      <c r="B527" s="607"/>
      <c r="C527" s="759"/>
      <c r="D527" s="720"/>
      <c r="E527" s="759" t="s">
        <v>185</v>
      </c>
      <c r="F527" s="759"/>
      <c r="G527" s="603"/>
      <c r="H527" s="165" t="s">
        <v>12</v>
      </c>
      <c r="I527" s="617"/>
      <c r="J527" s="617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4"/>
      <c r="R527" s="604"/>
      <c r="S527" s="604"/>
      <c r="T527" s="604"/>
      <c r="U527" s="604"/>
      <c r="V527" s="604"/>
      <c r="W527" s="604"/>
      <c r="X527" s="604"/>
      <c r="Y527" s="604"/>
      <c r="Z527" s="604"/>
    </row>
    <row r="528" spans="1:26" ht="18.75" hidden="1">
      <c r="A528" s="599"/>
      <c r="B528" s="607"/>
      <c r="C528" s="759"/>
      <c r="D528" s="720"/>
      <c r="E528" s="759" t="s">
        <v>186</v>
      </c>
      <c r="F528" s="759"/>
      <c r="G528" s="603"/>
      <c r="H528" s="165" t="s">
        <v>12</v>
      </c>
      <c r="I528" s="617"/>
      <c r="J528" s="617"/>
      <c r="K528" s="93"/>
      <c r="L528" s="93">
        <f ca="1">IFERROR(__xludf.DUMMYFUNCTION("IMPORTRANGE(""https://docs.google.com/spreadsheets/d/1QqKyyYR6Q21VydFLVH3TRQUabQu_ym0Zz7PgGX0-kHA/edit?usp=sharing"",""แผน!GQ39"")"),0)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4"/>
      <c r="R528" s="604"/>
      <c r="S528" s="604"/>
      <c r="T528" s="604"/>
      <c r="U528" s="604"/>
      <c r="V528" s="604"/>
      <c r="W528" s="604"/>
      <c r="X528" s="604"/>
      <c r="Y528" s="604"/>
      <c r="Z528" s="604"/>
    </row>
    <row r="529" spans="1:26" ht="18.75" hidden="1">
      <c r="A529" s="574"/>
      <c r="B529" s="575"/>
      <c r="C529" s="763"/>
      <c r="D529" s="763"/>
      <c r="E529" s="763"/>
      <c r="F529" s="763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40">
        <v>0</v>
      </c>
      <c r="O529" s="498"/>
      <c r="P529" s="49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</row>
    <row r="530" spans="1:26" ht="18.75" hidden="1">
      <c r="A530" s="574"/>
      <c r="B530" s="575"/>
      <c r="C530" s="763"/>
      <c r="D530" s="763"/>
      <c r="E530" s="763"/>
      <c r="F530" s="763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40">
        <v>0</v>
      </c>
      <c r="O530" s="498"/>
      <c r="P530" s="49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</row>
    <row r="531" spans="1:26" ht="18.75" hidden="1">
      <c r="A531" s="574"/>
      <c r="B531" s="575"/>
      <c r="C531" s="763"/>
      <c r="D531" s="763"/>
      <c r="E531" s="763"/>
      <c r="F531" s="763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40">
        <v>0</v>
      </c>
      <c r="O531" s="498"/>
      <c r="P531" s="49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</row>
    <row r="532" spans="1:26" ht="18.75" hidden="1">
      <c r="A532" s="574"/>
      <c r="B532" s="575"/>
      <c r="C532" s="763"/>
      <c r="D532" s="763"/>
      <c r="E532" s="763"/>
      <c r="F532" s="763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40">
        <v>0</v>
      </c>
      <c r="O532" s="498"/>
      <c r="P532" s="49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</row>
    <row r="533" spans="1:26" ht="18.75" hidden="1">
      <c r="A533" s="597"/>
      <c r="B533" s="575"/>
      <c r="C533" s="763"/>
      <c r="D533" s="606" t="s">
        <v>21</v>
      </c>
      <c r="E533" s="763"/>
      <c r="F533" s="763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</row>
    <row r="534" spans="1:26" ht="18.75" hidden="1">
      <c r="A534" s="599"/>
      <c r="B534" s="607"/>
      <c r="C534" s="759"/>
      <c r="D534" s="759"/>
      <c r="E534" s="759" t="s">
        <v>18</v>
      </c>
      <c r="F534" s="759"/>
      <c r="G534" s="603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4"/>
      <c r="R534" s="604"/>
      <c r="S534" s="604"/>
      <c r="T534" s="604"/>
      <c r="U534" s="604"/>
      <c r="V534" s="604"/>
      <c r="W534" s="604"/>
      <c r="X534" s="604"/>
      <c r="Y534" s="604"/>
      <c r="Z534" s="604"/>
    </row>
    <row r="535" spans="1:26" ht="18.75" hidden="1">
      <c r="A535" s="599"/>
      <c r="B535" s="607"/>
      <c r="C535" s="759"/>
      <c r="D535" s="759"/>
      <c r="E535" s="759" t="s">
        <v>19</v>
      </c>
      <c r="F535" s="759"/>
      <c r="G535" s="603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4"/>
      <c r="R535" s="604"/>
      <c r="S535" s="604"/>
      <c r="T535" s="604"/>
      <c r="U535" s="604"/>
      <c r="V535" s="604"/>
      <c r="W535" s="604"/>
      <c r="X535" s="604"/>
      <c r="Y535" s="604"/>
      <c r="Z535" s="604"/>
    </row>
    <row r="536" spans="1:26" ht="19.5" hidden="1">
      <c r="A536" s="608"/>
      <c r="B536" s="618"/>
      <c r="C536" s="763" t="s">
        <v>16</v>
      </c>
      <c r="D536" s="896" t="s">
        <v>38</v>
      </c>
      <c r="E536" s="761"/>
      <c r="F536" s="761"/>
      <c r="G536" s="613"/>
      <c r="H536" s="762"/>
      <c r="I536" s="184"/>
      <c r="J536" s="184"/>
      <c r="K536" s="163"/>
      <c r="L536" s="163"/>
      <c r="M536" s="163"/>
      <c r="N536" s="163"/>
      <c r="O536" s="163"/>
      <c r="P536" s="163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</row>
    <row r="537" spans="1:26" ht="19.5" hidden="1">
      <c r="A537" s="574"/>
      <c r="B537" s="575"/>
      <c r="C537" s="763"/>
      <c r="D537" s="763" t="s">
        <v>228</v>
      </c>
      <c r="E537" s="763"/>
      <c r="F537" s="763"/>
      <c r="G537" s="189"/>
      <c r="H537" s="623" t="s">
        <v>35</v>
      </c>
      <c r="I537" s="681">
        <f ca="1">IFERROR(__xludf.DUMMYFUNCTION("IMPORTRANGE(""https://docs.google.com/spreadsheets/d/1QqKyyYR6Q21VydFLVH3TRQUabQu_ym0Zz7PgGX0-kHA/edit?usp=sharing"",""แผน!GU39"")"),0)</f>
        <v>0</v>
      </c>
      <c r="J537" s="681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2"/>
      <c r="R537" s="682"/>
      <c r="S537" s="682"/>
      <c r="T537" s="682"/>
      <c r="U537" s="682"/>
      <c r="V537" s="682"/>
      <c r="W537" s="682"/>
      <c r="X537" s="682"/>
      <c r="Y537" s="682"/>
      <c r="Z537" s="682"/>
    </row>
    <row r="538" spans="1:26" ht="18.75" hidden="1">
      <c r="A538" s="574"/>
      <c r="B538" s="575"/>
      <c r="C538" s="763"/>
      <c r="D538" s="763"/>
      <c r="E538" s="763" t="s">
        <v>229</v>
      </c>
      <c r="F538" s="763"/>
      <c r="G538" s="189"/>
      <c r="H538" s="623" t="s">
        <v>35</v>
      </c>
      <c r="I538" s="270">
        <f ca="1">IFERROR(__xludf.DUMMYFUNCTION("IMPORTRANGE(""https://docs.google.com/spreadsheets/d/1QqKyyYR6Q21VydFLVH3TRQUabQu_ym0Zz7PgGX0-kHA/edit?usp=sharing"",""แผน!GV39"")"),0)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2"/>
      <c r="R538" s="682"/>
      <c r="S538" s="682"/>
      <c r="T538" s="682"/>
      <c r="U538" s="682"/>
      <c r="V538" s="682"/>
      <c r="W538" s="682"/>
      <c r="X538" s="682"/>
      <c r="Y538" s="682"/>
      <c r="Z538" s="682"/>
    </row>
    <row r="539" spans="1:26" ht="18.75" hidden="1">
      <c r="A539" s="574"/>
      <c r="B539" s="575"/>
      <c r="C539" s="763"/>
      <c r="D539" s="763"/>
      <c r="E539" s="763" t="s">
        <v>230</v>
      </c>
      <c r="F539" s="763"/>
      <c r="G539" s="189"/>
      <c r="H539" s="623" t="s">
        <v>35</v>
      </c>
      <c r="I539" s="270">
        <f ca="1">IFERROR(__xludf.DUMMYFUNCTION("IMPORTRANGE(""https://docs.google.com/spreadsheets/d/1QqKyyYR6Q21VydFLVH3TRQUabQu_ym0Zz7PgGX0-kHA/edit?usp=sharing"",""แผน!GW39"")"),0)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2"/>
      <c r="R539" s="682"/>
      <c r="S539" s="682"/>
      <c r="T539" s="682"/>
      <c r="U539" s="682"/>
      <c r="V539" s="682"/>
      <c r="W539" s="682"/>
      <c r="X539" s="682"/>
      <c r="Y539" s="682"/>
      <c r="Z539" s="682"/>
    </row>
    <row r="540" spans="1:26" ht="18.75" hidden="1">
      <c r="A540" s="574"/>
      <c r="B540" s="575"/>
      <c r="C540" s="763"/>
      <c r="D540" s="763"/>
      <c r="E540" s="763" t="s">
        <v>231</v>
      </c>
      <c r="F540" s="763"/>
      <c r="G540" s="189"/>
      <c r="H540" s="623" t="s">
        <v>35</v>
      </c>
      <c r="I540" s="270">
        <f ca="1">IFERROR(__xludf.DUMMYFUNCTION("IMPORTRANGE(""https://docs.google.com/spreadsheets/d/1QqKyyYR6Q21VydFLVH3TRQUabQu_ym0Zz7PgGX0-kHA/edit?usp=sharing"",""แผน!GX39"")"),0)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2"/>
      <c r="R540" s="682"/>
      <c r="S540" s="682"/>
      <c r="T540" s="682"/>
      <c r="U540" s="682"/>
      <c r="V540" s="682"/>
      <c r="W540" s="682"/>
      <c r="X540" s="682"/>
      <c r="Y540" s="682"/>
      <c r="Z540" s="682"/>
    </row>
    <row r="541" spans="1:26" ht="18.75" hidden="1">
      <c r="A541" s="574"/>
      <c r="B541" s="575"/>
      <c r="C541" s="763"/>
      <c r="D541" s="763"/>
      <c r="E541" s="769" t="s">
        <v>232</v>
      </c>
      <c r="F541" s="763"/>
      <c r="G541" s="189"/>
      <c r="H541" s="623" t="s">
        <v>35</v>
      </c>
      <c r="I541" s="270">
        <f ca="1">IFERROR(__xludf.DUMMYFUNCTION("IMPORTRANGE(""https://docs.google.com/spreadsheets/d/1QqKyyYR6Q21VydFLVH3TRQUabQu_ym0Zz7PgGX0-kHA/edit?usp=sharing"",""แผน!GY39"")"),0)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2"/>
      <c r="R541" s="682"/>
      <c r="S541" s="682"/>
      <c r="T541" s="682"/>
      <c r="U541" s="682"/>
      <c r="V541" s="682"/>
      <c r="W541" s="682"/>
      <c r="X541" s="682"/>
      <c r="Y541" s="682"/>
      <c r="Z541" s="682"/>
    </row>
    <row r="542" spans="1:26" ht="18.75" hidden="1">
      <c r="A542" s="574"/>
      <c r="B542" s="575"/>
      <c r="C542" s="763"/>
      <c r="D542" s="763" t="s">
        <v>59</v>
      </c>
      <c r="E542" s="763"/>
      <c r="F542" s="763"/>
      <c r="G542" s="189"/>
      <c r="H542" s="623" t="s">
        <v>35</v>
      </c>
      <c r="I542" s="270">
        <f ca="1">IFERROR(__xludf.DUMMYFUNCTION("IMPORTRANGE(""https://docs.google.com/spreadsheets/d/1QqKyyYR6Q21VydFLVH3TRQUabQu_ym0Zz7PgGX0-kHA/edit?usp=sharing"",""แผน!GZ39"")"),0)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2"/>
      <c r="R542" s="682"/>
      <c r="S542" s="682"/>
      <c r="T542" s="682"/>
      <c r="U542" s="682"/>
      <c r="V542" s="682"/>
      <c r="W542" s="682"/>
      <c r="X542" s="682"/>
      <c r="Y542" s="682"/>
      <c r="Z542" s="682"/>
    </row>
    <row r="543" spans="1:26" ht="19.5">
      <c r="A543" s="664">
        <v>6</v>
      </c>
      <c r="B543" s="685" t="s">
        <v>233</v>
      </c>
      <c r="C543" s="667"/>
      <c r="D543" s="667"/>
      <c r="E543" s="667"/>
      <c r="F543" s="667"/>
      <c r="G543" s="668"/>
      <c r="H543" s="686" t="s">
        <v>46</v>
      </c>
      <c r="I543" s="687">
        <f t="shared" ref="I543:J543" ca="1" si="235">I559</f>
        <v>36261.485000000001</v>
      </c>
      <c r="J543" s="687">
        <f t="shared" si="235"/>
        <v>36261.485000000008</v>
      </c>
      <c r="K543" s="688">
        <f t="shared" ca="1" si="234"/>
        <v>100.00000000000003</v>
      </c>
      <c r="L543" s="670"/>
      <c r="M543" s="670"/>
      <c r="N543" s="670"/>
      <c r="O543" s="670"/>
      <c r="P543" s="670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</row>
    <row r="544" spans="1:26" ht="19.5">
      <c r="A544" s="689"/>
      <c r="B544" s="690"/>
      <c r="C544" s="690" t="s">
        <v>16</v>
      </c>
      <c r="D544" s="897" t="s">
        <v>17</v>
      </c>
      <c r="E544" s="862"/>
      <c r="F544" s="862"/>
      <c r="G544" s="691"/>
      <c r="H544" s="275" t="s">
        <v>12</v>
      </c>
      <c r="I544" s="420"/>
      <c r="J544" s="420"/>
      <c r="K544" s="154"/>
      <c r="L544" s="155">
        <f t="shared" ref="L544:N544" ca="1" si="236">L545+L546</f>
        <v>372469</v>
      </c>
      <c r="M544" s="155">
        <f t="shared" ca="1" si="236"/>
        <v>372469</v>
      </c>
      <c r="N544" s="155">
        <f t="shared" si="236"/>
        <v>372469</v>
      </c>
      <c r="O544" s="155">
        <f t="shared" ref="O544:O549" ca="1" si="237">IF(L544&gt;0,N544*100/L544,0)</f>
        <v>100</v>
      </c>
      <c r="P544" s="155">
        <f t="shared" ref="P544:P549" ca="1" si="238">IF(M544&gt;0,N544*100/M544,0)</f>
        <v>100</v>
      </c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</row>
    <row r="545" spans="1:26" ht="18.75" hidden="1">
      <c r="A545" s="599"/>
      <c r="B545" s="759"/>
      <c r="C545" s="759"/>
      <c r="D545" s="759"/>
      <c r="E545" s="759" t="s">
        <v>185</v>
      </c>
      <c r="F545" s="759"/>
      <c r="G545" s="603"/>
      <c r="H545" s="165" t="s">
        <v>12</v>
      </c>
      <c r="I545" s="617"/>
      <c r="J545" s="617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4"/>
      <c r="R545" s="604"/>
      <c r="S545" s="604"/>
      <c r="T545" s="604"/>
      <c r="U545" s="604"/>
      <c r="V545" s="604"/>
      <c r="W545" s="604"/>
      <c r="X545" s="604"/>
      <c r="Y545" s="604"/>
      <c r="Z545" s="604"/>
    </row>
    <row r="546" spans="1:26" ht="18.75" hidden="1">
      <c r="A546" s="599"/>
      <c r="B546" s="607"/>
      <c r="C546" s="759"/>
      <c r="D546" s="759"/>
      <c r="E546" s="759" t="s">
        <v>186</v>
      </c>
      <c r="F546" s="759"/>
      <c r="G546" s="603"/>
      <c r="H546" s="165" t="s">
        <v>12</v>
      </c>
      <c r="I546" s="617"/>
      <c r="J546" s="617"/>
      <c r="K546" s="93"/>
      <c r="L546" s="93">
        <f t="shared" ca="1" si="239"/>
        <v>372469</v>
      </c>
      <c r="M546" s="93">
        <f t="shared" ca="1" si="240"/>
        <v>372469</v>
      </c>
      <c r="N546" s="93">
        <f t="shared" si="240"/>
        <v>372469</v>
      </c>
      <c r="O546" s="93">
        <f t="shared" ca="1" si="237"/>
        <v>100</v>
      </c>
      <c r="P546" s="93">
        <f t="shared" ca="1" si="238"/>
        <v>100</v>
      </c>
      <c r="Q546" s="604"/>
      <c r="R546" s="604"/>
      <c r="S546" s="604"/>
      <c r="T546" s="604"/>
      <c r="U546" s="604"/>
      <c r="V546" s="604"/>
      <c r="W546" s="604"/>
      <c r="X546" s="604"/>
      <c r="Y546" s="604"/>
      <c r="Z546" s="604"/>
    </row>
    <row r="547" spans="1:26" ht="18.75">
      <c r="A547" s="597"/>
      <c r="B547" s="575"/>
      <c r="C547" s="763"/>
      <c r="D547" s="606" t="s">
        <v>20</v>
      </c>
      <c r="E547" s="763"/>
      <c r="F547" s="763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372469</v>
      </c>
      <c r="M547" s="498">
        <f t="shared" ca="1" si="241"/>
        <v>372469</v>
      </c>
      <c r="N547" s="498">
        <f t="shared" si="241"/>
        <v>372469</v>
      </c>
      <c r="O547" s="498">
        <f t="shared" ca="1" si="237"/>
        <v>100</v>
      </c>
      <c r="P547" s="498">
        <f t="shared" ca="1" si="238"/>
        <v>100</v>
      </c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</row>
    <row r="548" spans="1:26" ht="18.75" hidden="1">
      <c r="A548" s="599"/>
      <c r="B548" s="607"/>
      <c r="C548" s="759"/>
      <c r="D548" s="720"/>
      <c r="E548" s="759" t="s">
        <v>185</v>
      </c>
      <c r="F548" s="759"/>
      <c r="G548" s="603"/>
      <c r="H548" s="165" t="s">
        <v>12</v>
      </c>
      <c r="I548" s="617"/>
      <c r="J548" s="617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4"/>
      <c r="R548" s="604"/>
      <c r="S548" s="604"/>
      <c r="T548" s="604"/>
      <c r="U548" s="604"/>
      <c r="V548" s="604"/>
      <c r="W548" s="604"/>
      <c r="X548" s="604"/>
      <c r="Y548" s="604"/>
      <c r="Z548" s="604"/>
    </row>
    <row r="549" spans="1:26" ht="18.75" hidden="1">
      <c r="A549" s="599"/>
      <c r="B549" s="607"/>
      <c r="C549" s="759"/>
      <c r="D549" s="720"/>
      <c r="E549" s="759" t="s">
        <v>186</v>
      </c>
      <c r="F549" s="759"/>
      <c r="G549" s="603"/>
      <c r="H549" s="165" t="s">
        <v>12</v>
      </c>
      <c r="I549" s="617"/>
      <c r="J549" s="617"/>
      <c r="K549" s="93"/>
      <c r="L549" s="93">
        <f ca="1">IFERROR(__xludf.DUMMYFUNCTION("IMPORTRANGE(""https://docs.google.com/spreadsheets/d/1QqKyyYR6Q21VydFLVH3TRQUabQu_ym0Zz7PgGX0-kHA/edit?usp=sharing"",""แผน!HB39"")"),372469)</f>
        <v>372469</v>
      </c>
      <c r="M549" s="93">
        <f ca="1">L549</f>
        <v>372469</v>
      </c>
      <c r="N549" s="93">
        <f>N550+N551+N552+N553+N554</f>
        <v>372469</v>
      </c>
      <c r="O549" s="93">
        <f t="shared" ca="1" si="237"/>
        <v>100</v>
      </c>
      <c r="P549" s="93">
        <f t="shared" ca="1" si="238"/>
        <v>100</v>
      </c>
      <c r="Q549" s="604"/>
      <c r="R549" s="604"/>
      <c r="S549" s="604"/>
      <c r="T549" s="604"/>
      <c r="U549" s="604"/>
      <c r="V549" s="604"/>
      <c r="W549" s="604"/>
      <c r="X549" s="604"/>
      <c r="Y549" s="604"/>
      <c r="Z549" s="604"/>
    </row>
    <row r="550" spans="1:26" ht="18.75">
      <c r="A550" s="574"/>
      <c r="B550" s="575"/>
      <c r="C550" s="763"/>
      <c r="D550" s="763"/>
      <c r="E550" s="763"/>
      <c r="F550" s="763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40">
        <v>0</v>
      </c>
      <c r="O550" s="498"/>
      <c r="P550" s="49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</row>
    <row r="551" spans="1:26" ht="18.75">
      <c r="A551" s="574"/>
      <c r="B551" s="575"/>
      <c r="C551" s="575"/>
      <c r="D551" s="575"/>
      <c r="E551" s="763"/>
      <c r="F551" s="763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40">
        <v>0</v>
      </c>
      <c r="O551" s="498"/>
      <c r="P551" s="49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</row>
    <row r="552" spans="1:26" ht="18.75">
      <c r="A552" s="574"/>
      <c r="B552" s="575"/>
      <c r="C552" s="763"/>
      <c r="D552" s="763"/>
      <c r="E552" s="763"/>
      <c r="F552" s="763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40">
        <v>143000</v>
      </c>
      <c r="O552" s="498"/>
      <c r="P552" s="498"/>
      <c r="Q552" s="578"/>
      <c r="R552" s="578"/>
      <c r="S552" s="578"/>
      <c r="T552" s="578"/>
      <c r="U552" s="578"/>
      <c r="V552" s="578"/>
      <c r="W552" s="578"/>
      <c r="X552" s="578"/>
      <c r="Y552" s="578"/>
      <c r="Z552" s="578"/>
    </row>
    <row r="553" spans="1:26" ht="18.75">
      <c r="A553" s="574"/>
      <c r="B553" s="575"/>
      <c r="C553" s="575"/>
      <c r="D553" s="575"/>
      <c r="E553" s="763"/>
      <c r="F553" s="763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40">
        <v>229469</v>
      </c>
      <c r="O553" s="498"/>
      <c r="P553" s="49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</row>
    <row r="554" spans="1:26" ht="18.75">
      <c r="A554" s="574"/>
      <c r="B554" s="575"/>
      <c r="C554" s="575"/>
      <c r="D554" s="575"/>
      <c r="E554" s="763"/>
      <c r="F554" s="763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40">
        <v>0</v>
      </c>
      <c r="O554" s="498"/>
      <c r="P554" s="49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</row>
    <row r="555" spans="1:26" ht="18.75">
      <c r="A555" s="597"/>
      <c r="B555" s="575"/>
      <c r="C555" s="575"/>
      <c r="D555" s="606" t="s">
        <v>21</v>
      </c>
      <c r="E555" s="763"/>
      <c r="F555" s="763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</row>
    <row r="556" spans="1:26" ht="18.75" hidden="1">
      <c r="A556" s="599"/>
      <c r="B556" s="607"/>
      <c r="C556" s="607"/>
      <c r="D556" s="759"/>
      <c r="E556" s="759" t="s">
        <v>18</v>
      </c>
      <c r="F556" s="759"/>
      <c r="G556" s="603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4"/>
      <c r="R556" s="604"/>
      <c r="S556" s="604"/>
      <c r="T556" s="604"/>
      <c r="U556" s="604"/>
      <c r="V556" s="604"/>
      <c r="W556" s="604"/>
      <c r="X556" s="604"/>
      <c r="Y556" s="604"/>
      <c r="Z556" s="604"/>
    </row>
    <row r="557" spans="1:26" ht="18.75" hidden="1">
      <c r="A557" s="599"/>
      <c r="B557" s="607"/>
      <c r="C557" s="607"/>
      <c r="D557" s="759"/>
      <c r="E557" s="759" t="s">
        <v>19</v>
      </c>
      <c r="F557" s="759"/>
      <c r="G557" s="603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4"/>
      <c r="R557" s="604"/>
      <c r="S557" s="604"/>
      <c r="T557" s="604"/>
      <c r="U557" s="604"/>
      <c r="V557" s="604"/>
      <c r="W557" s="604"/>
      <c r="X557" s="604"/>
      <c r="Y557" s="604"/>
      <c r="Z557" s="604"/>
    </row>
    <row r="558" spans="1:26" ht="19.5">
      <c r="A558" s="608"/>
      <c r="B558" s="618"/>
      <c r="C558" s="575" t="s">
        <v>16</v>
      </c>
      <c r="D558" s="896" t="s">
        <v>38</v>
      </c>
      <c r="E558" s="761"/>
      <c r="F558" s="761"/>
      <c r="G558" s="613"/>
      <c r="H558" s="762"/>
      <c r="I558" s="184"/>
      <c r="J558" s="184"/>
      <c r="K558" s="163"/>
      <c r="L558" s="163"/>
      <c r="M558" s="163"/>
      <c r="N558" s="163"/>
      <c r="O558" s="163"/>
      <c r="P558" s="163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</row>
    <row r="559" spans="1:26" ht="19.5">
      <c r="A559" s="692"/>
      <c r="B559" s="693" t="s">
        <v>235</v>
      </c>
      <c r="C559" s="694"/>
      <c r="D559" s="694"/>
      <c r="E559" s="673"/>
      <c r="F559" s="673"/>
      <c r="G559" s="674"/>
      <c r="H559" s="695" t="s">
        <v>46</v>
      </c>
      <c r="I559" s="708">
        <f t="shared" ref="I559:J559" ca="1" si="245">I576</f>
        <v>36261.485000000001</v>
      </c>
      <c r="J559" s="708">
        <f t="shared" si="245"/>
        <v>36261.485000000008</v>
      </c>
      <c r="K559" s="677">
        <f t="shared" ref="K559:K561" ca="1" si="246">IF(I559&gt;0,J559*100/I559,0)</f>
        <v>100.00000000000003</v>
      </c>
      <c r="L559" s="678"/>
      <c r="M559" s="678"/>
      <c r="N559" s="678"/>
      <c r="O559" s="678"/>
      <c r="P559" s="6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</row>
    <row r="560" spans="1:26" ht="19.5">
      <c r="A560" s="608"/>
      <c r="B560" s="618"/>
      <c r="C560" s="625" t="s">
        <v>236</v>
      </c>
      <c r="D560" s="618"/>
      <c r="E560" s="626"/>
      <c r="F560" s="626"/>
      <c r="G560" s="762"/>
      <c r="H560" s="767" t="s">
        <v>46</v>
      </c>
      <c r="I560" s="193">
        <f ca="1">IFERROR(__xludf.DUMMYFUNCTION("IMPORTRANGE(""https://docs.google.com/spreadsheets/d/1QqKyyYR6Q21VydFLVH3TRQUabQu_ym0Zz7PgGX0-kHA/edit?usp=sharing"",""แผน!HH39"")"),36261.485)</f>
        <v>36261.485000000001</v>
      </c>
      <c r="J560" s="193">
        <f t="shared" ref="J560:J561" si="247">J562+J564+J566</f>
        <v>36261</v>
      </c>
      <c r="K560" s="411">
        <f t="shared" ca="1" si="246"/>
        <v>99.998662492724719</v>
      </c>
      <c r="L560" s="163"/>
      <c r="M560" s="163"/>
      <c r="N560" s="163"/>
      <c r="O560" s="163"/>
      <c r="P560" s="163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</row>
    <row r="561" spans="1:26" ht="19.5">
      <c r="A561" s="608"/>
      <c r="B561" s="618"/>
      <c r="C561" s="618"/>
      <c r="D561" s="626"/>
      <c r="E561" s="626"/>
      <c r="F561" s="626"/>
      <c r="G561" s="762"/>
      <c r="H561" s="767" t="s">
        <v>34</v>
      </c>
      <c r="I561" s="193">
        <f ca="1">IFERROR(__xludf.DUMMYFUNCTION("IMPORTRANGE(""https://docs.google.com/spreadsheets/d/1QqKyyYR6Q21VydFLVH3TRQUabQu_ym0Zz7PgGX0-kHA/edit?usp=sharing"",""แผน!HG39"")"),3669)</f>
        <v>3669</v>
      </c>
      <c r="J561" s="193">
        <f t="shared" si="247"/>
        <v>3669</v>
      </c>
      <c r="K561" s="411">
        <f t="shared" ca="1" si="246"/>
        <v>100</v>
      </c>
      <c r="L561" s="163"/>
      <c r="M561" s="163"/>
      <c r="N561" s="163"/>
      <c r="O561" s="163"/>
      <c r="P561" s="163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</row>
    <row r="562" spans="1:26" ht="18.75">
      <c r="A562" s="608"/>
      <c r="B562" s="618"/>
      <c r="C562" s="618"/>
      <c r="D562" s="626" t="s">
        <v>237</v>
      </c>
      <c r="E562" s="626"/>
      <c r="F562" s="626"/>
      <c r="G562" s="762"/>
      <c r="H562" s="764" t="s">
        <v>46</v>
      </c>
      <c r="I562" s="184"/>
      <c r="J562" s="215">
        <v>26600</v>
      </c>
      <c r="K562" s="163"/>
      <c r="L562" s="163"/>
      <c r="M562" s="163"/>
      <c r="N562" s="163"/>
      <c r="O562" s="163"/>
      <c r="P562" s="163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</row>
    <row r="563" spans="1:26" ht="18.75">
      <c r="A563" s="608"/>
      <c r="B563" s="618"/>
      <c r="C563" s="618"/>
      <c r="D563" s="618"/>
      <c r="E563" s="626"/>
      <c r="F563" s="626"/>
      <c r="G563" s="762"/>
      <c r="H563" s="764" t="s">
        <v>34</v>
      </c>
      <c r="I563" s="184"/>
      <c r="J563" s="215">
        <v>2755</v>
      </c>
      <c r="K563" s="163"/>
      <c r="L563" s="163"/>
      <c r="M563" s="163"/>
      <c r="N563" s="163"/>
      <c r="O563" s="163"/>
      <c r="P563" s="163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</row>
    <row r="564" spans="1:26" ht="18.75">
      <c r="A564" s="608"/>
      <c r="B564" s="618"/>
      <c r="C564" s="618"/>
      <c r="D564" s="626" t="s">
        <v>238</v>
      </c>
      <c r="E564" s="626"/>
      <c r="F564" s="626"/>
      <c r="G564" s="762"/>
      <c r="H564" s="764" t="s">
        <v>46</v>
      </c>
      <c r="I564" s="184"/>
      <c r="J564" s="215">
        <v>8322</v>
      </c>
      <c r="K564" s="163"/>
      <c r="L564" s="163"/>
      <c r="M564" s="163"/>
      <c r="N564" s="163"/>
      <c r="O564" s="163"/>
      <c r="P564" s="163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</row>
    <row r="565" spans="1:26" ht="18.75">
      <c r="A565" s="608"/>
      <c r="B565" s="618"/>
      <c r="C565" s="618"/>
      <c r="D565" s="626"/>
      <c r="E565" s="626"/>
      <c r="F565" s="626"/>
      <c r="G565" s="762"/>
      <c r="H565" s="764" t="s">
        <v>34</v>
      </c>
      <c r="I565" s="184"/>
      <c r="J565" s="215">
        <v>796</v>
      </c>
      <c r="K565" s="163"/>
      <c r="L565" s="163"/>
      <c r="M565" s="163"/>
      <c r="N565" s="163"/>
      <c r="O565" s="163"/>
      <c r="P565" s="163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</row>
    <row r="566" spans="1:26" ht="18.75">
      <c r="A566" s="608"/>
      <c r="B566" s="618"/>
      <c r="C566" s="618"/>
      <c r="D566" s="626" t="s">
        <v>239</v>
      </c>
      <c r="E566" s="626"/>
      <c r="F566" s="626"/>
      <c r="G566" s="762"/>
      <c r="H566" s="764" t="s">
        <v>46</v>
      </c>
      <c r="I566" s="184"/>
      <c r="J566" s="215">
        <v>1339</v>
      </c>
      <c r="K566" s="163"/>
      <c r="L566" s="163"/>
      <c r="M566" s="163"/>
      <c r="N566" s="163"/>
      <c r="O566" s="163"/>
      <c r="P566" s="163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</row>
    <row r="567" spans="1:26" ht="18.75">
      <c r="A567" s="608"/>
      <c r="B567" s="618"/>
      <c r="C567" s="618"/>
      <c r="D567" s="626"/>
      <c r="E567" s="626"/>
      <c r="F567" s="626"/>
      <c r="G567" s="762"/>
      <c r="H567" s="764" t="s">
        <v>34</v>
      </c>
      <c r="I567" s="184"/>
      <c r="J567" s="215">
        <v>118</v>
      </c>
      <c r="K567" s="163"/>
      <c r="L567" s="163"/>
      <c r="M567" s="163"/>
      <c r="N567" s="163"/>
      <c r="O567" s="163"/>
      <c r="P567" s="163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</row>
    <row r="568" spans="1:26" ht="19.5">
      <c r="A568" s="608"/>
      <c r="B568" s="618"/>
      <c r="C568" s="625" t="s">
        <v>240</v>
      </c>
      <c r="D568" s="626"/>
      <c r="E568" s="626"/>
      <c r="F568" s="626"/>
      <c r="G568" s="762"/>
      <c r="H568" s="767" t="s">
        <v>46</v>
      </c>
      <c r="I568" s="193">
        <f ca="1">IFERROR(__xludf.DUMMYFUNCTION("IMPORTRANGE(""https://docs.google.com/spreadsheets/d/1QqKyyYR6Q21VydFLVH3TRQUabQu_ym0Zz7PgGX0-kHA/edit?usp=sharing"",""แผน!HH39"")"),36261.485)</f>
        <v>36261.485000000001</v>
      </c>
      <c r="J568" s="681">
        <f t="shared" ref="J568:J569" si="248">J570+J572+J574</f>
        <v>36261</v>
      </c>
      <c r="K568" s="411">
        <f t="shared" ref="K568:K569" ca="1" si="249">IF(I568&gt;0,J568*100/I568,0)</f>
        <v>99.998662492724719</v>
      </c>
      <c r="L568" s="163"/>
      <c r="M568" s="163"/>
      <c r="N568" s="163"/>
      <c r="O568" s="163"/>
      <c r="P568" s="163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</row>
    <row r="569" spans="1:26" ht="19.5">
      <c r="A569" s="608"/>
      <c r="B569" s="618"/>
      <c r="C569" s="618"/>
      <c r="D569" s="618"/>
      <c r="E569" s="626"/>
      <c r="F569" s="626"/>
      <c r="G569" s="762"/>
      <c r="H569" s="767" t="s">
        <v>34</v>
      </c>
      <c r="I569" s="193">
        <f ca="1">IFERROR(__xludf.DUMMYFUNCTION("IMPORTRANGE(""https://docs.google.com/spreadsheets/d/1QqKyyYR6Q21VydFLVH3TRQUabQu_ym0Zz7PgGX0-kHA/edit?usp=sharing"",""แผน!HG39"")"),3669)</f>
        <v>3669</v>
      </c>
      <c r="J569" s="681">
        <f t="shared" si="248"/>
        <v>3669</v>
      </c>
      <c r="K569" s="411">
        <f t="shared" ca="1" si="249"/>
        <v>100</v>
      </c>
      <c r="L569" s="163"/>
      <c r="M569" s="163"/>
      <c r="N569" s="163"/>
      <c r="O569" s="163"/>
      <c r="P569" s="163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</row>
    <row r="570" spans="1:26" ht="18.75">
      <c r="A570" s="608"/>
      <c r="B570" s="618"/>
      <c r="C570" s="618"/>
      <c r="D570" s="626" t="s">
        <v>241</v>
      </c>
      <c r="E570" s="618"/>
      <c r="F570" s="626"/>
      <c r="G570" s="762"/>
      <c r="H570" s="764" t="s">
        <v>46</v>
      </c>
      <c r="I570" s="184"/>
      <c r="J570" s="215">
        <v>30867</v>
      </c>
      <c r="K570" s="163"/>
      <c r="L570" s="163"/>
      <c r="M570" s="163"/>
      <c r="N570" s="163"/>
      <c r="O570" s="163"/>
      <c r="P570" s="163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</row>
    <row r="571" spans="1:26" ht="18.75">
      <c r="A571" s="608"/>
      <c r="B571" s="618"/>
      <c r="C571" s="618"/>
      <c r="D571" s="618"/>
      <c r="E571" s="626"/>
      <c r="F571" s="626"/>
      <c r="G571" s="762"/>
      <c r="H571" s="764" t="s">
        <v>34</v>
      </c>
      <c r="I571" s="184"/>
      <c r="J571" s="215">
        <v>3190</v>
      </c>
      <c r="K571" s="163"/>
      <c r="L571" s="163"/>
      <c r="M571" s="163"/>
      <c r="N571" s="163"/>
      <c r="O571" s="163"/>
      <c r="P571" s="163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</row>
    <row r="572" spans="1:26" ht="18.75">
      <c r="A572" s="608"/>
      <c r="B572" s="618"/>
      <c r="C572" s="618"/>
      <c r="D572" s="626" t="s">
        <v>242</v>
      </c>
      <c r="E572" s="626"/>
      <c r="F572" s="626"/>
      <c r="G572" s="762"/>
      <c r="H572" s="764" t="s">
        <v>46</v>
      </c>
      <c r="I572" s="184"/>
      <c r="J572" s="215">
        <v>3859</v>
      </c>
      <c r="K572" s="163"/>
      <c r="L572" s="163"/>
      <c r="M572" s="163"/>
      <c r="N572" s="163"/>
      <c r="O572" s="163"/>
      <c r="P572" s="163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</row>
    <row r="573" spans="1:26" ht="18.75">
      <c r="A573" s="608"/>
      <c r="B573" s="618"/>
      <c r="C573" s="618"/>
      <c r="D573" s="626"/>
      <c r="E573" s="626"/>
      <c r="F573" s="626"/>
      <c r="G573" s="762"/>
      <c r="H573" s="764" t="s">
        <v>34</v>
      </c>
      <c r="I573" s="184"/>
      <c r="J573" s="215">
        <v>342</v>
      </c>
      <c r="K573" s="163"/>
      <c r="L573" s="163"/>
      <c r="M573" s="163"/>
      <c r="N573" s="163"/>
      <c r="O573" s="163"/>
      <c r="P573" s="163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</row>
    <row r="574" spans="1:26" ht="18.75">
      <c r="A574" s="608"/>
      <c r="B574" s="618"/>
      <c r="C574" s="618"/>
      <c r="D574" s="626" t="s">
        <v>243</v>
      </c>
      <c r="E574" s="626"/>
      <c r="F574" s="626"/>
      <c r="G574" s="762"/>
      <c r="H574" s="764" t="s">
        <v>46</v>
      </c>
      <c r="I574" s="184"/>
      <c r="J574" s="215">
        <v>1535</v>
      </c>
      <c r="K574" s="163"/>
      <c r="L574" s="163"/>
      <c r="M574" s="163"/>
      <c r="N574" s="163"/>
      <c r="O574" s="163"/>
      <c r="P574" s="163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</row>
    <row r="575" spans="1:26" ht="18.75">
      <c r="A575" s="608"/>
      <c r="B575" s="618"/>
      <c r="C575" s="618"/>
      <c r="D575" s="618"/>
      <c r="E575" s="626"/>
      <c r="F575" s="626"/>
      <c r="G575" s="762"/>
      <c r="H575" s="764" t="s">
        <v>34</v>
      </c>
      <c r="I575" s="184"/>
      <c r="J575" s="215">
        <v>137</v>
      </c>
      <c r="K575" s="163"/>
      <c r="L575" s="163"/>
      <c r="M575" s="163"/>
      <c r="N575" s="163"/>
      <c r="O575" s="163"/>
      <c r="P575" s="163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</row>
    <row r="576" spans="1:26" ht="19.5">
      <c r="A576" s="608"/>
      <c r="B576" s="618"/>
      <c r="C576" s="625" t="s">
        <v>244</v>
      </c>
      <c r="D576" s="618"/>
      <c r="E576" s="618"/>
      <c r="F576" s="626"/>
      <c r="G576" s="762"/>
      <c r="H576" s="767" t="s">
        <v>46</v>
      </c>
      <c r="I576" s="193">
        <f ca="1">IFERROR(__xludf.DUMMYFUNCTION("IMPORTRANGE(""https://docs.google.com/spreadsheets/d/1QqKyyYR6Q21VydFLVH3TRQUabQu_ym0Zz7PgGX0-kHA/edit?usp=sharing"",""แผน!HH39"")"),36261.485)</f>
        <v>36261.485000000001</v>
      </c>
      <c r="J576" s="681">
        <f t="shared" ref="J576:J577" si="250">J578+J580+J582+J588+J590</f>
        <v>36261.485000000008</v>
      </c>
      <c r="K576" s="411">
        <f t="shared" ref="K576:K577" ca="1" si="251">IF(I576&gt;0,J576*100/I576,0)</f>
        <v>100.00000000000003</v>
      </c>
      <c r="L576" s="163"/>
      <c r="M576" s="163"/>
      <c r="N576" s="163"/>
      <c r="O576" s="163"/>
      <c r="P576" s="163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</row>
    <row r="577" spans="1:26" ht="19.5">
      <c r="A577" s="608"/>
      <c r="B577" s="618"/>
      <c r="C577" s="618"/>
      <c r="D577" s="618"/>
      <c r="E577" s="626"/>
      <c r="F577" s="626"/>
      <c r="G577" s="762"/>
      <c r="H577" s="767" t="s">
        <v>34</v>
      </c>
      <c r="I577" s="193">
        <f ca="1">IFERROR(__xludf.DUMMYFUNCTION("IMPORTRANGE(""https://docs.google.com/spreadsheets/d/1QqKyyYR6Q21VydFLVH3TRQUabQu_ym0Zz7PgGX0-kHA/edit?usp=sharing"",""แผน!HG39"")"),3669)</f>
        <v>3669</v>
      </c>
      <c r="J577" s="681">
        <f t="shared" si="250"/>
        <v>3669</v>
      </c>
      <c r="K577" s="411">
        <f t="shared" ca="1" si="251"/>
        <v>100</v>
      </c>
      <c r="L577" s="163"/>
      <c r="M577" s="163"/>
      <c r="N577" s="163"/>
      <c r="O577" s="163"/>
      <c r="P577" s="163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</row>
    <row r="578" spans="1:26" ht="18.75">
      <c r="A578" s="608"/>
      <c r="B578" s="618"/>
      <c r="C578" s="618"/>
      <c r="D578" s="626" t="s">
        <v>245</v>
      </c>
      <c r="E578" s="626"/>
      <c r="F578" s="626"/>
      <c r="G578" s="762"/>
      <c r="H578" s="764" t="s">
        <v>46</v>
      </c>
      <c r="I578" s="184"/>
      <c r="J578" s="215">
        <v>33400.212500000001</v>
      </c>
      <c r="K578" s="163"/>
      <c r="L578" s="163"/>
      <c r="M578" s="163"/>
      <c r="N578" s="163"/>
      <c r="O578" s="163"/>
      <c r="P578" s="163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</row>
    <row r="579" spans="1:26" ht="18.75">
      <c r="A579" s="608"/>
      <c r="B579" s="618"/>
      <c r="C579" s="618"/>
      <c r="D579" s="618"/>
      <c r="E579" s="626"/>
      <c r="F579" s="626"/>
      <c r="G579" s="762"/>
      <c r="H579" s="764" t="s">
        <v>34</v>
      </c>
      <c r="I579" s="184"/>
      <c r="J579" s="215">
        <v>3412</v>
      </c>
      <c r="K579" s="163"/>
      <c r="L579" s="163"/>
      <c r="M579" s="163"/>
      <c r="N579" s="163"/>
      <c r="O579" s="163"/>
      <c r="P579" s="163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</row>
    <row r="580" spans="1:26" ht="18.75">
      <c r="A580" s="608"/>
      <c r="B580" s="618"/>
      <c r="C580" s="618"/>
      <c r="D580" s="626" t="s">
        <v>246</v>
      </c>
      <c r="E580" s="626"/>
      <c r="F580" s="626"/>
      <c r="G580" s="762"/>
      <c r="H580" s="764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</row>
    <row r="581" spans="1:26" ht="18.75">
      <c r="A581" s="608"/>
      <c r="B581" s="618"/>
      <c r="C581" s="618"/>
      <c r="D581" s="618"/>
      <c r="E581" s="626"/>
      <c r="F581" s="626"/>
      <c r="G581" s="762"/>
      <c r="H581" s="764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</row>
    <row r="582" spans="1:26" ht="19.5">
      <c r="A582" s="608"/>
      <c r="B582" s="618"/>
      <c r="C582" s="618"/>
      <c r="D582" s="626" t="s">
        <v>247</v>
      </c>
      <c r="E582" s="626"/>
      <c r="F582" s="626"/>
      <c r="G582" s="762"/>
      <c r="H582" s="764" t="s">
        <v>46</v>
      </c>
      <c r="I582" s="184"/>
      <c r="J582" s="681">
        <f t="shared" ref="J582:J583" si="252">J584+J586</f>
        <v>1515.1675</v>
      </c>
      <c r="K582" s="411"/>
      <c r="L582" s="163"/>
      <c r="M582" s="163"/>
      <c r="N582" s="163"/>
      <c r="O582" s="163"/>
      <c r="P582" s="163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</row>
    <row r="583" spans="1:26" ht="19.5">
      <c r="A583" s="608"/>
      <c r="B583" s="618"/>
      <c r="C583" s="618"/>
      <c r="D583" s="618"/>
      <c r="E583" s="626"/>
      <c r="F583" s="626"/>
      <c r="G583" s="762"/>
      <c r="H583" s="764" t="s">
        <v>34</v>
      </c>
      <c r="I583" s="184"/>
      <c r="J583" s="681">
        <f t="shared" si="252"/>
        <v>135</v>
      </c>
      <c r="K583" s="411"/>
      <c r="L583" s="163"/>
      <c r="M583" s="163"/>
      <c r="N583" s="163"/>
      <c r="O583" s="163"/>
      <c r="P583" s="163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</row>
    <row r="584" spans="1:26" ht="18.75">
      <c r="A584" s="608"/>
      <c r="B584" s="618"/>
      <c r="C584" s="618"/>
      <c r="D584" s="618"/>
      <c r="E584" s="626" t="s">
        <v>248</v>
      </c>
      <c r="F584" s="626"/>
      <c r="G584" s="762"/>
      <c r="H584" s="764" t="s">
        <v>46</v>
      </c>
      <c r="I584" s="184"/>
      <c r="J584" s="215">
        <v>1515.1675</v>
      </c>
      <c r="K584" s="163"/>
      <c r="L584" s="163"/>
      <c r="M584" s="163"/>
      <c r="N584" s="163"/>
      <c r="O584" s="163"/>
      <c r="P584" s="163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</row>
    <row r="585" spans="1:26" ht="18.75">
      <c r="A585" s="608"/>
      <c r="B585" s="618"/>
      <c r="C585" s="618"/>
      <c r="D585" s="618"/>
      <c r="E585" s="626"/>
      <c r="F585" s="626"/>
      <c r="G585" s="762"/>
      <c r="H585" s="764" t="s">
        <v>34</v>
      </c>
      <c r="I585" s="184"/>
      <c r="J585" s="215">
        <v>135</v>
      </c>
      <c r="K585" s="163"/>
      <c r="L585" s="163"/>
      <c r="M585" s="163"/>
      <c r="N585" s="163"/>
      <c r="O585" s="163"/>
      <c r="P585" s="163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</row>
    <row r="586" spans="1:26" ht="18.75">
      <c r="A586" s="608"/>
      <c r="B586" s="618"/>
      <c r="C586" s="618"/>
      <c r="D586" s="618"/>
      <c r="E586" s="626" t="s">
        <v>249</v>
      </c>
      <c r="F586" s="626"/>
      <c r="G586" s="762"/>
      <c r="H586" s="764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</row>
    <row r="587" spans="1:26" ht="18.75">
      <c r="A587" s="608"/>
      <c r="B587" s="618"/>
      <c r="C587" s="618"/>
      <c r="D587" s="618"/>
      <c r="E587" s="618"/>
      <c r="F587" s="626"/>
      <c r="G587" s="762"/>
      <c r="H587" s="764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</row>
    <row r="588" spans="1:26" ht="18.75">
      <c r="A588" s="608"/>
      <c r="B588" s="618"/>
      <c r="C588" s="618"/>
      <c r="D588" s="626" t="s">
        <v>250</v>
      </c>
      <c r="E588" s="626"/>
      <c r="F588" s="626"/>
      <c r="G588" s="762"/>
      <c r="H588" s="764" t="s">
        <v>46</v>
      </c>
      <c r="I588" s="184"/>
      <c r="J588" s="215">
        <v>1346.105</v>
      </c>
      <c r="K588" s="163"/>
      <c r="L588" s="163"/>
      <c r="M588" s="163"/>
      <c r="N588" s="163"/>
      <c r="O588" s="163"/>
      <c r="P588" s="163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</row>
    <row r="589" spans="1:26" ht="18.75">
      <c r="A589" s="608"/>
      <c r="B589" s="618"/>
      <c r="C589" s="618"/>
      <c r="D589" s="618"/>
      <c r="E589" s="618"/>
      <c r="F589" s="626"/>
      <c r="G589" s="762"/>
      <c r="H589" s="764" t="s">
        <v>34</v>
      </c>
      <c r="I589" s="184"/>
      <c r="J589" s="215">
        <v>122</v>
      </c>
      <c r="K589" s="163"/>
      <c r="L589" s="163"/>
      <c r="M589" s="163"/>
      <c r="N589" s="163"/>
      <c r="O589" s="163"/>
      <c r="P589" s="163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</row>
    <row r="590" spans="1:26" ht="18.75">
      <c r="A590" s="608"/>
      <c r="B590" s="618"/>
      <c r="C590" s="618"/>
      <c r="D590" s="626" t="s">
        <v>251</v>
      </c>
      <c r="E590" s="626"/>
      <c r="F590" s="626"/>
      <c r="G590" s="762"/>
      <c r="H590" s="764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</row>
    <row r="591" spans="1:26" ht="18.75">
      <c r="A591" s="696"/>
      <c r="B591" s="697"/>
      <c r="C591" s="697"/>
      <c r="D591" s="697"/>
      <c r="E591" s="578"/>
      <c r="F591" s="578"/>
      <c r="G591" s="698"/>
      <c r="H591" s="699" t="s">
        <v>34</v>
      </c>
      <c r="I591" s="700"/>
      <c r="J591" s="701">
        <v>0</v>
      </c>
      <c r="K591" s="702"/>
      <c r="L591" s="702"/>
      <c r="M591" s="702"/>
      <c r="N591" s="702"/>
      <c r="O591" s="702"/>
      <c r="P591" s="702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</row>
    <row r="592" spans="1:26" ht="19.5">
      <c r="A592" s="692"/>
      <c r="B592" s="693" t="s">
        <v>252</v>
      </c>
      <c r="C592" s="694"/>
      <c r="D592" s="694"/>
      <c r="E592" s="673"/>
      <c r="F592" s="673"/>
      <c r="G592" s="674"/>
      <c r="H592" s="695" t="s">
        <v>46</v>
      </c>
      <c r="I592" s="703">
        <f t="shared" ref="I592:J592" ca="1" si="253">I593</f>
        <v>598.48</v>
      </c>
      <c r="J592" s="708">
        <f t="shared" si="253"/>
        <v>598.48</v>
      </c>
      <c r="K592" s="677">
        <f t="shared" ref="K592:K594" ca="1" si="254">IF(I592&gt;0,J592*100/I592,0)</f>
        <v>100</v>
      </c>
      <c r="L592" s="678"/>
      <c r="M592" s="678"/>
      <c r="N592" s="678"/>
      <c r="O592" s="678"/>
      <c r="P592" s="6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</row>
    <row r="593" spans="1:26" ht="19.5">
      <c r="A593" s="608"/>
      <c r="B593" s="618"/>
      <c r="C593" s="625" t="s">
        <v>253</v>
      </c>
      <c r="D593" s="618"/>
      <c r="E593" s="618"/>
      <c r="F593" s="626"/>
      <c r="G593" s="762"/>
      <c r="H593" s="767" t="s">
        <v>46</v>
      </c>
      <c r="I593" s="704">
        <f ca="1">IFERROR(__xludf.DUMMYFUNCTION("IMPORTRANGE(""https://docs.google.com/spreadsheets/d/1QqKyyYR6Q21VydFLVH3TRQUabQu_ym0Zz7PgGX0-kHA/edit?usp=sharing"",""แผน!HJ39"")"),598.48)</f>
        <v>598.48</v>
      </c>
      <c r="J593" s="193">
        <f t="shared" ref="J593:J594" si="255">J595+J603+J609</f>
        <v>598.48</v>
      </c>
      <c r="K593" s="411">
        <f t="shared" ca="1" si="254"/>
        <v>100</v>
      </c>
      <c r="L593" s="163"/>
      <c r="M593" s="163"/>
      <c r="N593" s="163"/>
      <c r="O593" s="163"/>
      <c r="P593" s="163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</row>
    <row r="594" spans="1:26" ht="19.5">
      <c r="A594" s="608"/>
      <c r="B594" s="618"/>
      <c r="C594" s="618"/>
      <c r="D594" s="618"/>
      <c r="E594" s="626"/>
      <c r="F594" s="626"/>
      <c r="G594" s="762"/>
      <c r="H594" s="767" t="s">
        <v>34</v>
      </c>
      <c r="I594" s="193">
        <f ca="1">IFERROR(__xludf.DUMMYFUNCTION("IMPORTRANGE(""https://docs.google.com/spreadsheets/d/1QqKyyYR6Q21VydFLVH3TRQUabQu_ym0Zz7PgGX0-kHA/edit?usp=sharing"",""แผน!HI39"")"),75)</f>
        <v>75</v>
      </c>
      <c r="J594" s="193">
        <f t="shared" si="255"/>
        <v>75</v>
      </c>
      <c r="K594" s="411">
        <f t="shared" ca="1" si="254"/>
        <v>100</v>
      </c>
      <c r="L594" s="163"/>
      <c r="M594" s="163"/>
      <c r="N594" s="163"/>
      <c r="O594" s="163"/>
      <c r="P594" s="163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</row>
    <row r="595" spans="1:26" ht="18.75">
      <c r="A595" s="608"/>
      <c r="B595" s="618"/>
      <c r="C595" s="618" t="s">
        <v>254</v>
      </c>
      <c r="D595" s="618"/>
      <c r="E595" s="618"/>
      <c r="F595" s="626"/>
      <c r="G595" s="762"/>
      <c r="H595" s="764" t="s">
        <v>46</v>
      </c>
      <c r="I595" s="184"/>
      <c r="J595" s="184">
        <f t="shared" ref="J595:J596" si="256">J597+J599</f>
        <v>518.90750000000003</v>
      </c>
      <c r="K595" s="163"/>
      <c r="L595" s="163"/>
      <c r="M595" s="163"/>
      <c r="N595" s="163"/>
      <c r="O595" s="163"/>
      <c r="P595" s="163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</row>
    <row r="596" spans="1:26" ht="18.75">
      <c r="A596" s="608"/>
      <c r="B596" s="618"/>
      <c r="C596" s="618"/>
      <c r="D596" s="618"/>
      <c r="E596" s="626"/>
      <c r="F596" s="626"/>
      <c r="G596" s="762"/>
      <c r="H596" s="764" t="s">
        <v>34</v>
      </c>
      <c r="I596" s="184"/>
      <c r="J596" s="184">
        <f t="shared" si="256"/>
        <v>63</v>
      </c>
      <c r="K596" s="163"/>
      <c r="L596" s="163"/>
      <c r="M596" s="163"/>
      <c r="N596" s="163"/>
      <c r="O596" s="163"/>
      <c r="P596" s="163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</row>
    <row r="597" spans="1:26" ht="18.75">
      <c r="A597" s="608"/>
      <c r="B597" s="618"/>
      <c r="C597" s="618"/>
      <c r="D597" s="746" t="s">
        <v>255</v>
      </c>
      <c r="E597" s="626"/>
      <c r="F597" s="626"/>
      <c r="G597" s="762"/>
      <c r="H597" s="764" t="s">
        <v>46</v>
      </c>
      <c r="I597" s="184"/>
      <c r="J597" s="215">
        <v>518.90750000000003</v>
      </c>
      <c r="K597" s="163"/>
      <c r="L597" s="163"/>
      <c r="M597" s="163"/>
      <c r="N597" s="163"/>
      <c r="O597" s="163"/>
      <c r="P597" s="163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</row>
    <row r="598" spans="1:26" ht="18.75">
      <c r="A598" s="608"/>
      <c r="B598" s="618"/>
      <c r="C598" s="618"/>
      <c r="D598" s="618"/>
      <c r="E598" s="626"/>
      <c r="F598" s="626"/>
      <c r="G598" s="762"/>
      <c r="H598" s="764" t="s">
        <v>34</v>
      </c>
      <c r="I598" s="270"/>
      <c r="J598" s="215">
        <v>63</v>
      </c>
      <c r="K598" s="163"/>
      <c r="L598" s="163"/>
      <c r="M598" s="163"/>
      <c r="N598" s="163"/>
      <c r="O598" s="163"/>
      <c r="P598" s="163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</row>
    <row r="599" spans="1:26" ht="18.75">
      <c r="A599" s="608"/>
      <c r="B599" s="618"/>
      <c r="C599" s="618"/>
      <c r="D599" s="746" t="s">
        <v>256</v>
      </c>
      <c r="E599" s="626"/>
      <c r="F599" s="626"/>
      <c r="G599" s="762"/>
      <c r="H599" s="764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</row>
    <row r="600" spans="1:26" ht="18.75">
      <c r="A600" s="608"/>
      <c r="B600" s="618"/>
      <c r="C600" s="618"/>
      <c r="D600" s="618"/>
      <c r="E600" s="626"/>
      <c r="F600" s="626"/>
      <c r="G600" s="762"/>
      <c r="H600" s="764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</row>
    <row r="601" spans="1:26" ht="18.75">
      <c r="A601" s="608"/>
      <c r="B601" s="618"/>
      <c r="C601" s="618"/>
      <c r="D601" s="746" t="s">
        <v>257</v>
      </c>
      <c r="E601" s="626"/>
      <c r="F601" s="626"/>
      <c r="G601" s="762"/>
      <c r="H601" s="764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</row>
    <row r="602" spans="1:26" ht="18.75">
      <c r="A602" s="608"/>
      <c r="B602" s="618"/>
      <c r="C602" s="618"/>
      <c r="D602" s="618"/>
      <c r="E602" s="626"/>
      <c r="F602" s="626"/>
      <c r="G602" s="762"/>
      <c r="H602" s="764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</row>
    <row r="603" spans="1:26" ht="18.75">
      <c r="A603" s="608"/>
      <c r="B603" s="618"/>
      <c r="C603" s="705" t="s">
        <v>258</v>
      </c>
      <c r="D603" s="618"/>
      <c r="E603" s="618"/>
      <c r="F603" s="626"/>
      <c r="G603" s="762"/>
      <c r="H603" s="764" t="s">
        <v>46</v>
      </c>
      <c r="I603" s="270"/>
      <c r="J603" s="270">
        <f t="shared" ref="J603:J604" si="257">J605+J607</f>
        <v>44.984999999999999</v>
      </c>
      <c r="K603" s="163"/>
      <c r="L603" s="163"/>
      <c r="M603" s="163"/>
      <c r="N603" s="163"/>
      <c r="O603" s="163"/>
      <c r="P603" s="163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</row>
    <row r="604" spans="1:26" ht="18.75">
      <c r="A604" s="608"/>
      <c r="B604" s="618"/>
      <c r="C604" s="618"/>
      <c r="D604" s="618"/>
      <c r="E604" s="626"/>
      <c r="F604" s="626"/>
      <c r="G604" s="762"/>
      <c r="H604" s="764" t="s">
        <v>34</v>
      </c>
      <c r="I604" s="270"/>
      <c r="J604" s="270">
        <f t="shared" si="257"/>
        <v>4</v>
      </c>
      <c r="K604" s="163"/>
      <c r="L604" s="163"/>
      <c r="M604" s="163"/>
      <c r="N604" s="163"/>
      <c r="O604" s="163"/>
      <c r="P604" s="163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</row>
    <row r="605" spans="1:26" ht="18.75">
      <c r="A605" s="608"/>
      <c r="B605" s="618"/>
      <c r="C605" s="618"/>
      <c r="D605" s="705" t="s">
        <v>259</v>
      </c>
      <c r="E605" s="626"/>
      <c r="F605" s="626"/>
      <c r="G605" s="762"/>
      <c r="H605" s="764" t="s">
        <v>46</v>
      </c>
      <c r="I605" s="270"/>
      <c r="J605" s="215">
        <v>44.984999999999999</v>
      </c>
      <c r="K605" s="163"/>
      <c r="L605" s="163"/>
      <c r="M605" s="163"/>
      <c r="N605" s="163"/>
      <c r="O605" s="163"/>
      <c r="P605" s="163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</row>
    <row r="606" spans="1:26" ht="18.75">
      <c r="A606" s="608"/>
      <c r="B606" s="618"/>
      <c r="C606" s="618"/>
      <c r="D606" s="618"/>
      <c r="E606" s="618"/>
      <c r="F606" s="626"/>
      <c r="G606" s="762"/>
      <c r="H606" s="764" t="s">
        <v>34</v>
      </c>
      <c r="I606" s="270"/>
      <c r="J606" s="215">
        <v>4</v>
      </c>
      <c r="K606" s="163"/>
      <c r="L606" s="163"/>
      <c r="M606" s="163"/>
      <c r="N606" s="163"/>
      <c r="O606" s="163"/>
      <c r="P606" s="163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</row>
    <row r="607" spans="1:26" ht="18.75">
      <c r="A607" s="608"/>
      <c r="B607" s="618"/>
      <c r="C607" s="618"/>
      <c r="D607" s="705" t="s">
        <v>260</v>
      </c>
      <c r="E607" s="618"/>
      <c r="F607" s="626"/>
      <c r="G607" s="762"/>
      <c r="H607" s="764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</row>
    <row r="608" spans="1:26" ht="18.75">
      <c r="A608" s="608"/>
      <c r="B608" s="618"/>
      <c r="C608" s="618"/>
      <c r="D608" s="618"/>
      <c r="E608" s="626"/>
      <c r="F608" s="626"/>
      <c r="G608" s="762"/>
      <c r="H608" s="764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</row>
    <row r="609" spans="1:26" ht="18.75">
      <c r="A609" s="608"/>
      <c r="B609" s="618"/>
      <c r="C609" s="618" t="s">
        <v>261</v>
      </c>
      <c r="D609" s="618"/>
      <c r="E609" s="618"/>
      <c r="F609" s="626"/>
      <c r="G609" s="762"/>
      <c r="H609" s="764" t="s">
        <v>46</v>
      </c>
      <c r="I609" s="270"/>
      <c r="J609" s="215">
        <v>34.587499999999999</v>
      </c>
      <c r="K609" s="163"/>
      <c r="L609" s="163"/>
      <c r="M609" s="163"/>
      <c r="N609" s="163"/>
      <c r="O609" s="163"/>
      <c r="P609" s="163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</row>
    <row r="610" spans="1:26" ht="18.75">
      <c r="A610" s="608"/>
      <c r="B610" s="618"/>
      <c r="C610" s="618"/>
      <c r="D610" s="618"/>
      <c r="E610" s="626"/>
      <c r="F610" s="626"/>
      <c r="G610" s="762"/>
      <c r="H610" s="764" t="s">
        <v>34</v>
      </c>
      <c r="I610" s="270"/>
      <c r="J610" s="215">
        <v>8</v>
      </c>
      <c r="K610" s="163"/>
      <c r="L610" s="163"/>
      <c r="M610" s="163"/>
      <c r="N610" s="163"/>
      <c r="O610" s="163"/>
      <c r="P610" s="163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</row>
    <row r="611" spans="1:26" ht="19.5" hidden="1">
      <c r="A611" s="692"/>
      <c r="B611" s="706" t="s">
        <v>262</v>
      </c>
      <c r="C611" s="694"/>
      <c r="D611" s="694"/>
      <c r="E611" s="673"/>
      <c r="F611" s="673"/>
      <c r="G611" s="674"/>
      <c r="H611" s="707" t="s">
        <v>46</v>
      </c>
      <c r="I611" s="708">
        <v>0</v>
      </c>
      <c r="J611" s="708">
        <f>J614+J616</f>
        <v>0</v>
      </c>
      <c r="K611" s="677">
        <f t="shared" ref="K611:K613" si="258">IF(I611&gt;0,J611*100/I611,0)</f>
        <v>0</v>
      </c>
      <c r="L611" s="678"/>
      <c r="M611" s="678"/>
      <c r="N611" s="678"/>
      <c r="O611" s="678"/>
      <c r="P611" s="6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</row>
    <row r="612" spans="1:26" ht="19.5" hidden="1">
      <c r="A612" s="709"/>
      <c r="B612" s="719"/>
      <c r="C612" s="711" t="s">
        <v>263</v>
      </c>
      <c r="D612" s="719"/>
      <c r="E612" s="719"/>
      <c r="F612" s="712"/>
      <c r="G612" s="713"/>
      <c r="H612" s="714" t="s">
        <v>46</v>
      </c>
      <c r="I612" s="716">
        <v>0</v>
      </c>
      <c r="J612" s="716">
        <f t="shared" ref="J612:J613" si="259">J614+J616</f>
        <v>0</v>
      </c>
      <c r="K612" s="717">
        <f t="shared" si="258"/>
        <v>0</v>
      </c>
      <c r="L612" s="718"/>
      <c r="M612" s="718"/>
      <c r="N612" s="718"/>
      <c r="O612" s="718"/>
      <c r="P612" s="718"/>
      <c r="Q612" s="604"/>
      <c r="R612" s="604"/>
      <c r="S612" s="604"/>
      <c r="T612" s="604"/>
      <c r="U612" s="604"/>
      <c r="V612" s="604"/>
      <c r="W612" s="604"/>
      <c r="X612" s="604"/>
      <c r="Y612" s="604"/>
      <c r="Z612" s="604"/>
    </row>
    <row r="613" spans="1:26" ht="19.5" hidden="1">
      <c r="A613" s="709"/>
      <c r="B613" s="719"/>
      <c r="C613" s="719" t="s">
        <v>264</v>
      </c>
      <c r="D613" s="719"/>
      <c r="E613" s="719"/>
      <c r="F613" s="712"/>
      <c r="G613" s="713"/>
      <c r="H613" s="714" t="s">
        <v>34</v>
      </c>
      <c r="I613" s="716">
        <v>0</v>
      </c>
      <c r="J613" s="716">
        <f t="shared" si="259"/>
        <v>0</v>
      </c>
      <c r="K613" s="717">
        <f t="shared" si="258"/>
        <v>0</v>
      </c>
      <c r="L613" s="718"/>
      <c r="M613" s="718"/>
      <c r="N613" s="718"/>
      <c r="O613" s="718"/>
      <c r="P613" s="718"/>
      <c r="Q613" s="604"/>
      <c r="R613" s="604"/>
      <c r="S613" s="604"/>
      <c r="T613" s="604"/>
      <c r="U613" s="604"/>
      <c r="V613" s="604"/>
      <c r="W613" s="604"/>
      <c r="X613" s="604"/>
      <c r="Y613" s="604"/>
      <c r="Z613" s="604"/>
    </row>
    <row r="614" spans="1:26" ht="18.75" hidden="1">
      <c r="A614" s="614"/>
      <c r="B614" s="616"/>
      <c r="C614" s="616"/>
      <c r="D614" s="720" t="s">
        <v>265</v>
      </c>
      <c r="E614" s="616"/>
      <c r="F614" s="720"/>
      <c r="G614" s="366"/>
      <c r="H614" s="370" t="s">
        <v>46</v>
      </c>
      <c r="I614" s="617"/>
      <c r="J614" s="617">
        <v>0</v>
      </c>
      <c r="K614" s="167"/>
      <c r="L614" s="167"/>
      <c r="M614" s="167"/>
      <c r="N614" s="167"/>
      <c r="O614" s="167"/>
      <c r="P614" s="167"/>
      <c r="Q614" s="604"/>
      <c r="R614" s="604"/>
      <c r="S614" s="604"/>
      <c r="T614" s="604"/>
      <c r="U614" s="604"/>
      <c r="V614" s="604"/>
      <c r="W614" s="604"/>
      <c r="X614" s="604"/>
      <c r="Y614" s="604"/>
      <c r="Z614" s="604"/>
    </row>
    <row r="615" spans="1:26" ht="18.75" hidden="1">
      <c r="A615" s="614"/>
      <c r="B615" s="616"/>
      <c r="C615" s="616"/>
      <c r="D615" s="616"/>
      <c r="E615" s="616"/>
      <c r="F615" s="720"/>
      <c r="G615" s="366"/>
      <c r="H615" s="370" t="s">
        <v>34</v>
      </c>
      <c r="I615" s="617"/>
      <c r="J615" s="617">
        <v>0</v>
      </c>
      <c r="K615" s="167"/>
      <c r="L615" s="167"/>
      <c r="M615" s="167"/>
      <c r="N615" s="167"/>
      <c r="O615" s="167"/>
      <c r="P615" s="167"/>
      <c r="Q615" s="604"/>
      <c r="R615" s="604"/>
      <c r="S615" s="604"/>
      <c r="T615" s="604"/>
      <c r="U615" s="604"/>
      <c r="V615" s="604"/>
      <c r="W615" s="604"/>
      <c r="X615" s="604"/>
      <c r="Y615" s="604"/>
      <c r="Z615" s="604"/>
    </row>
    <row r="616" spans="1:26" ht="18.75" hidden="1">
      <c r="A616" s="614"/>
      <c r="B616" s="616"/>
      <c r="C616" s="616"/>
      <c r="D616" s="721" t="s">
        <v>265</v>
      </c>
      <c r="E616" s="720"/>
      <c r="F616" s="720"/>
      <c r="G616" s="366"/>
      <c r="H616" s="370" t="s">
        <v>46</v>
      </c>
      <c r="I616" s="617"/>
      <c r="J616" s="617">
        <v>0</v>
      </c>
      <c r="K616" s="167"/>
      <c r="L616" s="167"/>
      <c r="M616" s="167"/>
      <c r="N616" s="167"/>
      <c r="O616" s="167"/>
      <c r="P616" s="167"/>
      <c r="Q616" s="604"/>
      <c r="R616" s="604"/>
      <c r="S616" s="604"/>
      <c r="T616" s="604"/>
      <c r="U616" s="604"/>
      <c r="V616" s="604"/>
      <c r="W616" s="604"/>
      <c r="X616" s="604"/>
      <c r="Y616" s="604"/>
      <c r="Z616" s="604"/>
    </row>
    <row r="617" spans="1:26" ht="18.75" hidden="1">
      <c r="A617" s="614"/>
      <c r="B617" s="616"/>
      <c r="C617" s="616"/>
      <c r="D617" s="616"/>
      <c r="E617" s="720"/>
      <c r="F617" s="720"/>
      <c r="G617" s="366"/>
      <c r="H617" s="370" t="s">
        <v>34</v>
      </c>
      <c r="I617" s="617"/>
      <c r="J617" s="617">
        <v>0</v>
      </c>
      <c r="K617" s="167"/>
      <c r="L617" s="167"/>
      <c r="M617" s="167"/>
      <c r="N617" s="167"/>
      <c r="O617" s="167"/>
      <c r="P617" s="167"/>
      <c r="Q617" s="604"/>
      <c r="R617" s="604"/>
      <c r="S617" s="604"/>
      <c r="T617" s="604"/>
      <c r="U617" s="604"/>
      <c r="V617" s="604"/>
      <c r="W617" s="604"/>
      <c r="X617" s="604"/>
      <c r="Y617" s="604"/>
      <c r="Z617" s="604"/>
    </row>
    <row r="618" spans="1:26" ht="18.75" hidden="1">
      <c r="A618" s="614"/>
      <c r="B618" s="616"/>
      <c r="C618" s="616"/>
      <c r="D618" s="721" t="s">
        <v>266</v>
      </c>
      <c r="E618" s="720"/>
      <c r="F618" s="720"/>
      <c r="G618" s="366"/>
      <c r="H618" s="370" t="s">
        <v>46</v>
      </c>
      <c r="I618" s="617"/>
      <c r="J618" s="617">
        <v>0</v>
      </c>
      <c r="K618" s="167"/>
      <c r="L618" s="167"/>
      <c r="M618" s="167"/>
      <c r="N618" s="167"/>
      <c r="O618" s="167"/>
      <c r="P618" s="167"/>
      <c r="Q618" s="604"/>
      <c r="R618" s="604"/>
      <c r="S618" s="604"/>
      <c r="T618" s="604"/>
      <c r="U618" s="604"/>
      <c r="V618" s="604"/>
      <c r="W618" s="604"/>
      <c r="X618" s="604"/>
      <c r="Y618" s="604"/>
      <c r="Z618" s="604"/>
    </row>
    <row r="619" spans="1:26" ht="18.75" hidden="1">
      <c r="A619" s="614"/>
      <c r="B619" s="616"/>
      <c r="C619" s="616"/>
      <c r="D619" s="616"/>
      <c r="E619" s="720"/>
      <c r="F619" s="720"/>
      <c r="G619" s="366"/>
      <c r="H619" s="370" t="s">
        <v>34</v>
      </c>
      <c r="I619" s="617"/>
      <c r="J619" s="617">
        <v>0</v>
      </c>
      <c r="K619" s="167"/>
      <c r="L619" s="167"/>
      <c r="M619" s="167"/>
      <c r="N619" s="167"/>
      <c r="O619" s="167"/>
      <c r="P619" s="167"/>
      <c r="Q619" s="604"/>
      <c r="R619" s="604"/>
      <c r="S619" s="604"/>
      <c r="T619" s="604"/>
      <c r="U619" s="604"/>
      <c r="V619" s="604"/>
      <c r="W619" s="604"/>
      <c r="X619" s="604"/>
      <c r="Y619" s="604"/>
      <c r="Z619" s="604"/>
    </row>
    <row r="620" spans="1:26" ht="19.5" hidden="1">
      <c r="A620" s="722"/>
      <c r="B620" s="731"/>
      <c r="C620" s="724" t="s">
        <v>267</v>
      </c>
      <c r="D620" s="731"/>
      <c r="E620" s="731"/>
      <c r="F620" s="725"/>
      <c r="G620" s="726"/>
      <c r="H620" s="727" t="s">
        <v>46</v>
      </c>
      <c r="I620" s="728">
        <f ca="1">IFERROR(__xludf.DUMMYFUNCTION("IMPORTRANGE(""https://docs.google.com/spreadsheets/d/1QqKyyYR6Q21VydFLVH3TRQUabQu_ym0Zz7PgGX0-kHA/edit?usp=sharing"",""แผน!HL39"")"),0)</f>
        <v>0</v>
      </c>
      <c r="J620" s="728">
        <f t="shared" ref="J620:J621" si="260">J622+J624+J626</f>
        <v>0</v>
      </c>
      <c r="K620" s="729">
        <f t="shared" ref="K620:K621" ca="1" si="261">IF(I620&gt;0,J620*100/I620,0)</f>
        <v>0</v>
      </c>
      <c r="L620" s="730"/>
      <c r="M620" s="730"/>
      <c r="N620" s="730"/>
      <c r="O620" s="730"/>
      <c r="P620" s="730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</row>
    <row r="621" spans="1:26" ht="19.5" hidden="1">
      <c r="A621" s="722"/>
      <c r="B621" s="731"/>
      <c r="C621" s="731" t="s">
        <v>268</v>
      </c>
      <c r="D621" s="731"/>
      <c r="E621" s="731"/>
      <c r="F621" s="725"/>
      <c r="G621" s="726"/>
      <c r="H621" s="727" t="s">
        <v>34</v>
      </c>
      <c r="I621" s="728">
        <f ca="1">IFERROR(__xludf.DUMMYFUNCTION("IMPORTRANGE(""https://docs.google.com/spreadsheets/d/1QqKyyYR6Q21VydFLVH3TRQUabQu_ym0Zz7PgGX0-kHA/edit?usp=sharing"",""แผน!HK39"")"),0)</f>
        <v>0</v>
      </c>
      <c r="J621" s="728">
        <f t="shared" si="260"/>
        <v>0</v>
      </c>
      <c r="K621" s="729">
        <f t="shared" ca="1" si="261"/>
        <v>0</v>
      </c>
      <c r="L621" s="730"/>
      <c r="M621" s="730"/>
      <c r="N621" s="730"/>
      <c r="O621" s="730"/>
      <c r="P621" s="730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</row>
    <row r="622" spans="1:26" ht="18.75" hidden="1">
      <c r="A622" s="608"/>
      <c r="B622" s="618"/>
      <c r="C622" s="618"/>
      <c r="D622" s="746" t="s">
        <v>269</v>
      </c>
      <c r="E622" s="626"/>
      <c r="F622" s="626"/>
      <c r="G622" s="762"/>
      <c r="H622" s="764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</row>
    <row r="623" spans="1:26" ht="18.75" hidden="1">
      <c r="A623" s="608"/>
      <c r="B623" s="618"/>
      <c r="C623" s="618"/>
      <c r="D623" s="618"/>
      <c r="E623" s="626"/>
      <c r="F623" s="626"/>
      <c r="G623" s="762"/>
      <c r="H623" s="764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</row>
    <row r="624" spans="1:26" ht="18.75" hidden="1">
      <c r="A624" s="608"/>
      <c r="B624" s="618"/>
      <c r="C624" s="618"/>
      <c r="D624" s="746" t="s">
        <v>265</v>
      </c>
      <c r="E624" s="626"/>
      <c r="F624" s="626"/>
      <c r="G624" s="762"/>
      <c r="H624" s="764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</row>
    <row r="625" spans="1:26" ht="18.75" hidden="1">
      <c r="A625" s="608"/>
      <c r="B625" s="618"/>
      <c r="C625" s="618"/>
      <c r="D625" s="618"/>
      <c r="E625" s="626"/>
      <c r="F625" s="626"/>
      <c r="G625" s="762"/>
      <c r="H625" s="764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</row>
    <row r="626" spans="1:26" ht="18.75" hidden="1">
      <c r="A626" s="608"/>
      <c r="B626" s="618"/>
      <c r="C626" s="618"/>
      <c r="D626" s="746" t="s">
        <v>270</v>
      </c>
      <c r="E626" s="626"/>
      <c r="F626" s="626"/>
      <c r="G626" s="762"/>
      <c r="H626" s="764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</row>
    <row r="627" spans="1:26" ht="18.75" hidden="1">
      <c r="A627" s="732"/>
      <c r="B627" s="733"/>
      <c r="C627" s="733"/>
      <c r="D627" s="733"/>
      <c r="E627" s="734"/>
      <c r="F627" s="734"/>
      <c r="G627" s="735"/>
      <c r="H627" s="422" t="s">
        <v>34</v>
      </c>
      <c r="I627" s="506"/>
      <c r="J627" s="424">
        <v>0</v>
      </c>
      <c r="K627" s="385"/>
      <c r="L627" s="385"/>
      <c r="M627" s="385"/>
      <c r="N627" s="385"/>
      <c r="O627" s="385"/>
      <c r="P627" s="385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</row>
    <row r="628" spans="1:26" ht="19.5">
      <c r="A628" s="736">
        <v>7</v>
      </c>
      <c r="B628" s="737" t="s">
        <v>271</v>
      </c>
      <c r="C628" s="738"/>
      <c r="D628" s="738"/>
      <c r="E628" s="738"/>
      <c r="F628" s="738"/>
      <c r="G628" s="739"/>
      <c r="H628" s="740" t="s">
        <v>35</v>
      </c>
      <c r="I628" s="741">
        <f t="shared" ref="I628:J628" ca="1" si="262">I651</f>
        <v>13</v>
      </c>
      <c r="J628" s="741">
        <f t="shared" ca="1" si="262"/>
        <v>13</v>
      </c>
      <c r="K628" s="742">
        <f ca="1">IF(I628&gt;0,J628*100/I628,0)</f>
        <v>100</v>
      </c>
      <c r="L628" s="743"/>
      <c r="M628" s="743"/>
      <c r="N628" s="743"/>
      <c r="O628" s="743"/>
      <c r="P628" s="743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</row>
    <row r="629" spans="1:26" ht="19.5">
      <c r="A629" s="597"/>
      <c r="B629" s="763"/>
      <c r="C629" s="763" t="s">
        <v>16</v>
      </c>
      <c r="D629" s="863" t="s">
        <v>17</v>
      </c>
      <c r="E629" s="857"/>
      <c r="F629" s="857"/>
      <c r="G629" s="189"/>
      <c r="H629" s="598" t="s">
        <v>12</v>
      </c>
      <c r="I629" s="270"/>
      <c r="J629" s="270"/>
      <c r="K629" s="498"/>
      <c r="L629" s="195">
        <f t="shared" ref="L629:N629" ca="1" si="263">L630+L631</f>
        <v>177295</v>
      </c>
      <c r="M629" s="195">
        <f t="shared" ca="1" si="263"/>
        <v>98270</v>
      </c>
      <c r="N629" s="195">
        <f t="shared" si="263"/>
        <v>98270</v>
      </c>
      <c r="O629" s="195">
        <f t="shared" ref="O629:O634" ca="1" si="264">IF(L629&gt;0,N629*100/L629,0)</f>
        <v>55.427395019600098</v>
      </c>
      <c r="P629" s="195">
        <f t="shared" ref="P629:P634" ca="1" si="265">IF(M629&gt;0,N629*100/M629,0)</f>
        <v>100</v>
      </c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</row>
    <row r="630" spans="1:26" ht="18.75" hidden="1">
      <c r="A630" s="599"/>
      <c r="B630" s="759"/>
      <c r="C630" s="759"/>
      <c r="D630" s="720"/>
      <c r="E630" s="759" t="s">
        <v>185</v>
      </c>
      <c r="F630" s="759"/>
      <c r="G630" s="603"/>
      <c r="H630" s="165" t="s">
        <v>12</v>
      </c>
      <c r="I630" s="617"/>
      <c r="J630" s="617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4"/>
      <c r="R630" s="604"/>
      <c r="S630" s="604"/>
      <c r="T630" s="604"/>
      <c r="U630" s="604"/>
      <c r="V630" s="604"/>
      <c r="W630" s="604"/>
      <c r="X630" s="604"/>
      <c r="Y630" s="604"/>
      <c r="Z630" s="604"/>
    </row>
    <row r="631" spans="1:26" ht="18.75" hidden="1">
      <c r="A631" s="599"/>
      <c r="B631" s="607"/>
      <c r="C631" s="759"/>
      <c r="D631" s="720"/>
      <c r="E631" s="759" t="s">
        <v>186</v>
      </c>
      <c r="F631" s="759"/>
      <c r="G631" s="603"/>
      <c r="H631" s="165" t="s">
        <v>12</v>
      </c>
      <c r="I631" s="617"/>
      <c r="J631" s="617"/>
      <c r="K631" s="93"/>
      <c r="L631" s="93">
        <f t="shared" ca="1" si="266"/>
        <v>177295</v>
      </c>
      <c r="M631" s="93">
        <f t="shared" ca="1" si="266"/>
        <v>98270</v>
      </c>
      <c r="N631" s="93">
        <f t="shared" si="266"/>
        <v>98270</v>
      </c>
      <c r="O631" s="93">
        <f t="shared" ca="1" si="264"/>
        <v>55.427395019600098</v>
      </c>
      <c r="P631" s="93">
        <f t="shared" ca="1" si="265"/>
        <v>100</v>
      </c>
      <c r="Q631" s="604"/>
      <c r="R631" s="604"/>
      <c r="S631" s="604"/>
      <c r="T631" s="604"/>
      <c r="U631" s="604"/>
      <c r="V631" s="604"/>
      <c r="W631" s="604"/>
      <c r="X631" s="604"/>
      <c r="Y631" s="604"/>
      <c r="Z631" s="604"/>
    </row>
    <row r="632" spans="1:26" ht="18.75">
      <c r="A632" s="597"/>
      <c r="B632" s="575"/>
      <c r="C632" s="763"/>
      <c r="D632" s="606" t="s">
        <v>20</v>
      </c>
      <c r="E632" s="763"/>
      <c r="F632" s="763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177295</v>
      </c>
      <c r="M632" s="498">
        <f t="shared" ca="1" si="267"/>
        <v>98270</v>
      </c>
      <c r="N632" s="498">
        <f t="shared" si="267"/>
        <v>98270</v>
      </c>
      <c r="O632" s="498">
        <f t="shared" ca="1" si="264"/>
        <v>55.427395019600098</v>
      </c>
      <c r="P632" s="498">
        <f t="shared" ca="1" si="265"/>
        <v>100</v>
      </c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</row>
    <row r="633" spans="1:26" ht="18.75" hidden="1">
      <c r="A633" s="599"/>
      <c r="B633" s="607"/>
      <c r="C633" s="759"/>
      <c r="D633" s="720"/>
      <c r="E633" s="759" t="s">
        <v>185</v>
      </c>
      <c r="F633" s="759"/>
      <c r="G633" s="603"/>
      <c r="H633" s="165" t="s">
        <v>12</v>
      </c>
      <c r="I633" s="617"/>
      <c r="J633" s="617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4"/>
      <c r="R633" s="604"/>
      <c r="S633" s="604"/>
      <c r="T633" s="604"/>
      <c r="U633" s="604"/>
      <c r="V633" s="604"/>
      <c r="W633" s="604"/>
      <c r="X633" s="604"/>
      <c r="Y633" s="604"/>
      <c r="Z633" s="604"/>
    </row>
    <row r="634" spans="1:26" ht="18.75" hidden="1">
      <c r="A634" s="599"/>
      <c r="B634" s="607"/>
      <c r="C634" s="759"/>
      <c r="D634" s="720"/>
      <c r="E634" s="759" t="s">
        <v>186</v>
      </c>
      <c r="F634" s="759"/>
      <c r="G634" s="603"/>
      <c r="H634" s="165" t="s">
        <v>12</v>
      </c>
      <c r="I634" s="617"/>
      <c r="J634" s="617"/>
      <c r="K634" s="93"/>
      <c r="L634" s="93">
        <f ca="1">IFERROR(__xludf.DUMMYFUNCTION("IMPORTRANGE(""https://docs.google.com/spreadsheets/d/1QqKyyYR6Q21VydFLVH3TRQUabQu_ym0Zz7PgGX0-kHA/edit?usp=sharing"",""แผน!HN39"")"),177295)</f>
        <v>177295</v>
      </c>
      <c r="M634" s="93">
        <f ca="1">L634-79025</f>
        <v>98270</v>
      </c>
      <c r="N634" s="93">
        <f>N635+N636+N637+N638</f>
        <v>98270</v>
      </c>
      <c r="O634" s="93">
        <f t="shared" ca="1" si="264"/>
        <v>55.427395019600098</v>
      </c>
      <c r="P634" s="93">
        <f t="shared" ca="1" si="265"/>
        <v>100</v>
      </c>
      <c r="Q634" s="604"/>
      <c r="R634" s="604"/>
      <c r="S634" s="604"/>
      <c r="T634" s="604"/>
      <c r="U634" s="604"/>
      <c r="V634" s="604"/>
      <c r="W634" s="604"/>
      <c r="X634" s="604"/>
      <c r="Y634" s="604"/>
      <c r="Z634" s="604"/>
    </row>
    <row r="635" spans="1:26" ht="18.75">
      <c r="A635" s="574"/>
      <c r="B635" s="575"/>
      <c r="C635" s="763"/>
      <c r="D635" s="763"/>
      <c r="E635" s="763"/>
      <c r="F635" s="763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40">
        <v>0</v>
      </c>
      <c r="O635" s="498"/>
      <c r="P635" s="49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</row>
    <row r="636" spans="1:26" ht="18.75">
      <c r="A636" s="574"/>
      <c r="B636" s="575"/>
      <c r="C636" s="763"/>
      <c r="D636" s="763"/>
      <c r="E636" s="763"/>
      <c r="F636" s="763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40">
        <v>0</v>
      </c>
      <c r="O636" s="498"/>
      <c r="P636" s="49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</row>
    <row r="637" spans="1:26" ht="18.75">
      <c r="A637" s="574"/>
      <c r="B637" s="575"/>
      <c r="C637" s="763"/>
      <c r="D637" s="763"/>
      <c r="E637" s="763"/>
      <c r="F637" s="763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40">
        <v>0</v>
      </c>
      <c r="O637" s="498"/>
      <c r="P637" s="498"/>
      <c r="Q637" s="578"/>
      <c r="R637" s="578"/>
      <c r="S637" s="578"/>
      <c r="T637" s="578"/>
      <c r="U637" s="578"/>
      <c r="V637" s="578"/>
      <c r="W637" s="578"/>
      <c r="X637" s="578"/>
      <c r="Y637" s="578"/>
      <c r="Z637" s="578"/>
    </row>
    <row r="638" spans="1:26" ht="18.75">
      <c r="A638" s="574"/>
      <c r="B638" s="575"/>
      <c r="C638" s="763"/>
      <c r="D638" s="763"/>
      <c r="E638" s="763"/>
      <c r="F638" s="763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40">
        <v>98270</v>
      </c>
      <c r="O638" s="498"/>
      <c r="P638" s="49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</row>
    <row r="639" spans="1:26" ht="18.75">
      <c r="A639" s="597"/>
      <c r="B639" s="575"/>
      <c r="C639" s="763"/>
      <c r="D639" s="606" t="s">
        <v>21</v>
      </c>
      <c r="E639" s="763"/>
      <c r="F639" s="763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</row>
    <row r="640" spans="1:26" ht="18.75" hidden="1">
      <c r="A640" s="599"/>
      <c r="B640" s="607"/>
      <c r="C640" s="759"/>
      <c r="D640" s="759"/>
      <c r="E640" s="759" t="s">
        <v>18</v>
      </c>
      <c r="F640" s="759"/>
      <c r="G640" s="603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4"/>
      <c r="R640" s="604"/>
      <c r="S640" s="604"/>
      <c r="T640" s="604"/>
      <c r="U640" s="604"/>
      <c r="V640" s="604"/>
      <c r="W640" s="604"/>
      <c r="X640" s="604"/>
      <c r="Y640" s="604"/>
      <c r="Z640" s="604"/>
    </row>
    <row r="641" spans="1:26" ht="18.75" hidden="1">
      <c r="A641" s="599"/>
      <c r="B641" s="607"/>
      <c r="C641" s="759"/>
      <c r="D641" s="759"/>
      <c r="E641" s="759" t="s">
        <v>19</v>
      </c>
      <c r="F641" s="759"/>
      <c r="G641" s="603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4"/>
      <c r="R641" s="604"/>
      <c r="S641" s="604"/>
      <c r="T641" s="604"/>
      <c r="U641" s="604"/>
      <c r="V641" s="604"/>
      <c r="W641" s="604"/>
      <c r="X641" s="604"/>
      <c r="Y641" s="604"/>
      <c r="Z641" s="604"/>
    </row>
    <row r="642" spans="1:26" ht="19.5">
      <c r="A642" s="608"/>
      <c r="B642" s="618"/>
      <c r="C642" s="763" t="s">
        <v>16</v>
      </c>
      <c r="D642" s="896" t="s">
        <v>38</v>
      </c>
      <c r="E642" s="761"/>
      <c r="F642" s="761"/>
      <c r="G642" s="613"/>
      <c r="H642" s="762"/>
      <c r="I642" s="184"/>
      <c r="J642" s="184"/>
      <c r="K642" s="163"/>
      <c r="L642" s="163"/>
      <c r="M642" s="163"/>
      <c r="N642" s="163"/>
      <c r="O642" s="163"/>
      <c r="P642" s="163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</row>
    <row r="643" spans="1:26" ht="18.75">
      <c r="A643" s="744"/>
      <c r="B643" s="575"/>
      <c r="C643" s="763"/>
      <c r="D643" s="626"/>
      <c r="E643" s="746" t="s">
        <v>272</v>
      </c>
      <c r="F643" s="626"/>
      <c r="G643" s="762"/>
      <c r="H643" s="764" t="s">
        <v>273</v>
      </c>
      <c r="I643" s="270">
        <f ca="1">IFERROR(__xludf.DUMMYFUNCTION("IMPORTRANGE(""https://docs.google.com/spreadsheets/d/1QqKyyYR6Q21VydFLVH3TRQUabQu_ym0Zz7PgGX0-kHA/edit?usp=sharing"",""แผน!HR39"")"),0)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</row>
    <row r="644" spans="1:26" ht="18.75">
      <c r="A644" s="744"/>
      <c r="B644" s="575"/>
      <c r="C644" s="763"/>
      <c r="D644" s="626"/>
      <c r="E644" s="746" t="s">
        <v>274</v>
      </c>
      <c r="F644" s="626"/>
      <c r="G644" s="762"/>
      <c r="H644" s="764" t="s">
        <v>275</v>
      </c>
      <c r="I644" s="270">
        <f ca="1">IFERROR(__xludf.DUMMYFUNCTION("IMPORTRANGE(""https://docs.google.com/spreadsheets/d/1QqKyyYR6Q21VydFLVH3TRQUabQu_ym0Zz7PgGX0-kHA/edit?usp=sharing"",""แผน!HR39"")"),0)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</row>
    <row r="645" spans="1:26" ht="18.75">
      <c r="A645" s="744"/>
      <c r="B645" s="575"/>
      <c r="C645" s="763"/>
      <c r="D645" s="626"/>
      <c r="E645" s="746" t="s">
        <v>276</v>
      </c>
      <c r="F645" s="626"/>
      <c r="G645" s="762"/>
      <c r="H645" s="764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IFERROR(__xludf.DUMMYFUNCTION("IMPORTRANGE(""https://docs.google.com/spreadsheets/d/1XWAQStnk-4SwqDmLtmXYiTMKHgktTP8We1SCoS47DrQ/edit?usp=sharing"",""จัดที่ดิน!AS39"")"),13)</f>
        <v>13</v>
      </c>
      <c r="K645" s="163">
        <f t="shared" si="271"/>
        <v>0</v>
      </c>
      <c r="L645" s="163"/>
      <c r="M645" s="163"/>
      <c r="N645" s="498"/>
      <c r="O645" s="163"/>
      <c r="P645" s="163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</row>
    <row r="646" spans="1:26" ht="18.75">
      <c r="A646" s="744"/>
      <c r="B646" s="575"/>
      <c r="C646" s="763"/>
      <c r="D646" s="626"/>
      <c r="E646" s="626"/>
      <c r="F646" s="626"/>
      <c r="G646" s="762"/>
      <c r="H646" s="764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IFERROR(__xludf.DUMMYFUNCTION("IMPORTRANGE(""https://docs.google.com/spreadsheets/d/1XWAQStnk-4SwqDmLtmXYiTMKHgktTP8We1SCoS47DrQ/edit?usp=sharing"",""จัดที่ดิน!AT39"")"),6.87)</f>
        <v>6.87</v>
      </c>
      <c r="K646" s="498">
        <f t="shared" si="271"/>
        <v>0</v>
      </c>
      <c r="L646" s="163"/>
      <c r="M646" s="163"/>
      <c r="N646" s="498"/>
      <c r="O646" s="163"/>
      <c r="P646" s="163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</row>
    <row r="647" spans="1:26" ht="18.75">
      <c r="A647" s="744"/>
      <c r="B647" s="575"/>
      <c r="C647" s="763"/>
      <c r="D647" s="626"/>
      <c r="E647" s="746" t="s">
        <v>162</v>
      </c>
      <c r="F647" s="626"/>
      <c r="G647" s="762"/>
      <c r="H647" s="764" t="s">
        <v>35</v>
      </c>
      <c r="I647" s="270">
        <f ca="1">IFERROR(__xludf.DUMMYFUNCTION("IMPORTRANGE(""https://docs.google.com/spreadsheets/d/1QqKyyYR6Q21VydFLVH3TRQUabQu_ym0Zz7PgGX0-kHA/edit?usp=sharing"",""แผน!HS39"")"),13)</f>
        <v>13</v>
      </c>
      <c r="J647" s="270">
        <f ca="1">IFERROR(__xludf.DUMMYFUNCTION("IMPORTRANGE(""https://docs.google.com/spreadsheets/d/1XWAQStnk-4SwqDmLtmXYiTMKHgktTP8We1SCoS47DrQ/edit?usp=sharing"",""จัดที่ดิน!AU39"")"),13)</f>
        <v>13</v>
      </c>
      <c r="K647" s="163">
        <f t="shared" ca="1" si="271"/>
        <v>100</v>
      </c>
      <c r="L647" s="163"/>
      <c r="M647" s="163"/>
      <c r="N647" s="163"/>
      <c r="O647" s="163"/>
      <c r="P647" s="163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</row>
    <row r="648" spans="1:26" ht="18.75">
      <c r="A648" s="744"/>
      <c r="B648" s="575"/>
      <c r="C648" s="763"/>
      <c r="D648" s="626"/>
      <c r="E648" s="626"/>
      <c r="F648" s="626"/>
      <c r="G648" s="762"/>
      <c r="H648" s="764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IFERROR(__xludf.DUMMYFUNCTION("IMPORTRANGE(""https://docs.google.com/spreadsheets/d/1XWAQStnk-4SwqDmLtmXYiTMKHgktTP8We1SCoS47DrQ/edit?usp=sharing"",""จัดที่ดิน!AV39"")"),6.87)</f>
        <v>6.87</v>
      </c>
      <c r="K648" s="498">
        <f t="shared" si="271"/>
        <v>0</v>
      </c>
      <c r="L648" s="163"/>
      <c r="M648" s="163"/>
      <c r="N648" s="163"/>
      <c r="O648" s="163"/>
      <c r="P648" s="163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</row>
    <row r="649" spans="1:26" ht="18.75">
      <c r="A649" s="744"/>
      <c r="B649" s="575"/>
      <c r="C649" s="763"/>
      <c r="D649" s="626"/>
      <c r="E649" s="746" t="s">
        <v>277</v>
      </c>
      <c r="F649" s="626"/>
      <c r="G649" s="762"/>
      <c r="H649" s="764" t="s">
        <v>35</v>
      </c>
      <c r="I649" s="270">
        <f ca="1">IFERROR(__xludf.DUMMYFUNCTION("IMPORTRANGE(""https://docs.google.com/spreadsheets/d/1QqKyyYR6Q21VydFLVH3TRQUabQu_ym0Zz7PgGX0-kHA/edit?usp=sharing"",""แผน!HS39"")"),13)</f>
        <v>13</v>
      </c>
      <c r="J649" s="270">
        <f ca="1">IFERROR(__xludf.DUMMYFUNCTION("IMPORTRANGE(""https://docs.google.com/spreadsheets/d/1XWAQStnk-4SwqDmLtmXYiTMKHgktTP8We1SCoS47DrQ/edit?usp=sharing"",""จัดที่ดิน!AW39"")"),13)</f>
        <v>13</v>
      </c>
      <c r="K649" s="163">
        <f t="shared" ca="1" si="271"/>
        <v>100</v>
      </c>
      <c r="L649" s="163"/>
      <c r="M649" s="163"/>
      <c r="N649" s="163"/>
      <c r="O649" s="163"/>
      <c r="P649" s="163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</row>
    <row r="650" spans="1:26" ht="18.75">
      <c r="A650" s="744"/>
      <c r="B650" s="575"/>
      <c r="C650" s="763"/>
      <c r="D650" s="626"/>
      <c r="E650" s="626"/>
      <c r="F650" s="626"/>
      <c r="G650" s="762"/>
      <c r="H650" s="764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IFERROR(__xludf.DUMMYFUNCTION("IMPORTRANGE(""https://docs.google.com/spreadsheets/d/1XWAQStnk-4SwqDmLtmXYiTMKHgktTP8We1SCoS47DrQ/edit?usp=sharing"",""จัดที่ดิน!AX39"")"),6.87)</f>
        <v>6.87</v>
      </c>
      <c r="K650" s="498">
        <f t="shared" si="271"/>
        <v>0</v>
      </c>
      <c r="L650" s="163"/>
      <c r="M650" s="163"/>
      <c r="N650" s="163"/>
      <c r="O650" s="163"/>
      <c r="P650" s="163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</row>
    <row r="651" spans="1:26" ht="18.75">
      <c r="A651" s="744"/>
      <c r="B651" s="575"/>
      <c r="C651" s="763"/>
      <c r="D651" s="626"/>
      <c r="E651" s="746" t="s">
        <v>278</v>
      </c>
      <c r="F651" s="626"/>
      <c r="G651" s="762"/>
      <c r="H651" s="764" t="s">
        <v>35</v>
      </c>
      <c r="I651" s="270">
        <f ca="1">IFERROR(__xludf.DUMMYFUNCTION("IMPORTRANGE(""https://docs.google.com/spreadsheets/d/1QqKyyYR6Q21VydFLVH3TRQUabQu_ym0Zz7PgGX0-kHA/edit?usp=sharing"",""แผน!HS39"")"),13)</f>
        <v>13</v>
      </c>
      <c r="J651" s="270">
        <f ca="1">IFERROR(__xludf.DUMMYFUNCTION("IMPORTRANGE(""https://docs.google.com/spreadsheets/d/1XWAQStnk-4SwqDmLtmXYiTMKHgktTP8We1SCoS47DrQ/edit?usp=sharing"",""จัดที่ดิน!AY39"")"),13)</f>
        <v>13</v>
      </c>
      <c r="K651" s="163">
        <f t="shared" ca="1" si="271"/>
        <v>100</v>
      </c>
      <c r="L651" s="163"/>
      <c r="M651" s="163"/>
      <c r="N651" s="163"/>
      <c r="O651" s="163"/>
      <c r="P651" s="163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</row>
    <row r="652" spans="1:26" ht="18.75">
      <c r="A652" s="747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8"/>
      <c r="C652" s="749"/>
      <c r="D652" s="734"/>
      <c r="E652" s="734"/>
      <c r="F652" s="734"/>
      <c r="G652" s="735"/>
      <c r="H652" s="505" t="s">
        <v>46</v>
      </c>
      <c r="I652" s="506">
        <v>0</v>
      </c>
      <c r="J652" s="506">
        <f ca="1">IFERROR(__xludf.DUMMYFUNCTION("IMPORTRANGE(""https://docs.google.com/spreadsheets/d/1XWAQStnk-4SwqDmLtmXYiTMKHgktTP8We1SCoS47DrQ/edit?usp=sharing"",""จัดที่ดิน!AZ39"")"),6.8675)</f>
        <v>6.8674999999999997</v>
      </c>
      <c r="K652" s="507">
        <f t="shared" si="271"/>
        <v>0</v>
      </c>
      <c r="L652" s="385"/>
      <c r="M652" s="385"/>
      <c r="N652" s="385"/>
      <c r="O652" s="385"/>
      <c r="P652" s="385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</row>
    <row r="653" spans="1:26" ht="19.5" hidden="1">
      <c r="A653" s="750">
        <v>8</v>
      </c>
      <c r="B653" s="737" t="s">
        <v>279</v>
      </c>
      <c r="C653" s="738"/>
      <c r="D653" s="738"/>
      <c r="E653" s="738"/>
      <c r="F653" s="738"/>
      <c r="G653" s="739"/>
      <c r="H653" s="739"/>
      <c r="I653" s="751"/>
      <c r="J653" s="751"/>
      <c r="K653" s="743"/>
      <c r="L653" s="743"/>
      <c r="M653" s="743"/>
      <c r="N653" s="743"/>
      <c r="O653" s="743"/>
      <c r="P653" s="743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</row>
    <row r="654" spans="1:26" ht="19.5" hidden="1">
      <c r="A654" s="673"/>
      <c r="B654" s="672" t="s">
        <v>280</v>
      </c>
      <c r="C654" s="673"/>
      <c r="D654" s="673"/>
      <c r="E654" s="673"/>
      <c r="F654" s="673"/>
      <c r="G654" s="674"/>
      <c r="H654" s="707" t="s">
        <v>46</v>
      </c>
      <c r="I654" s="708">
        <f t="shared" ref="I654:J654" ca="1" si="272">I669</f>
        <v>0</v>
      </c>
      <c r="J654" s="708">
        <f t="shared" si="272"/>
        <v>0</v>
      </c>
      <c r="K654" s="677">
        <f ca="1">IF(I654&gt;0,J654*100/I654,0)</f>
        <v>0</v>
      </c>
      <c r="L654" s="678"/>
      <c r="M654" s="678"/>
      <c r="N654" s="678"/>
      <c r="O654" s="678"/>
      <c r="P654" s="6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</row>
    <row r="655" spans="1:26" ht="19.5" hidden="1">
      <c r="A655" s="597"/>
      <c r="B655" s="763"/>
      <c r="C655" s="763" t="s">
        <v>16</v>
      </c>
      <c r="D655" s="863" t="s">
        <v>17</v>
      </c>
      <c r="E655" s="857"/>
      <c r="F655" s="857"/>
      <c r="G655" s="189"/>
      <c r="H655" s="598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</row>
    <row r="656" spans="1:26" ht="18.75" hidden="1">
      <c r="A656" s="599"/>
      <c r="B656" s="759"/>
      <c r="C656" s="759"/>
      <c r="D656" s="720"/>
      <c r="E656" s="759" t="s">
        <v>185</v>
      </c>
      <c r="F656" s="759"/>
      <c r="G656" s="603"/>
      <c r="H656" s="165" t="s">
        <v>12</v>
      </c>
      <c r="I656" s="617"/>
      <c r="J656" s="617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4"/>
      <c r="R656" s="604"/>
      <c r="S656" s="604"/>
      <c r="T656" s="604"/>
      <c r="U656" s="604"/>
      <c r="V656" s="604"/>
      <c r="W656" s="604"/>
      <c r="X656" s="604"/>
      <c r="Y656" s="604"/>
      <c r="Z656" s="604"/>
    </row>
    <row r="657" spans="1:26" ht="18.75" hidden="1">
      <c r="A657" s="599"/>
      <c r="B657" s="607"/>
      <c r="C657" s="759"/>
      <c r="D657" s="720"/>
      <c r="E657" s="759" t="s">
        <v>186</v>
      </c>
      <c r="F657" s="759"/>
      <c r="G657" s="603"/>
      <c r="H657" s="165" t="s">
        <v>12</v>
      </c>
      <c r="I657" s="617"/>
      <c r="J657" s="617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4"/>
      <c r="R657" s="604"/>
      <c r="S657" s="604"/>
      <c r="T657" s="604"/>
      <c r="U657" s="604"/>
      <c r="V657" s="604"/>
      <c r="W657" s="604"/>
      <c r="X657" s="604"/>
      <c r="Y657" s="604"/>
      <c r="Z657" s="604"/>
    </row>
    <row r="658" spans="1:26" ht="18.75" hidden="1">
      <c r="A658" s="597"/>
      <c r="B658" s="575"/>
      <c r="C658" s="763"/>
      <c r="D658" s="606" t="s">
        <v>20</v>
      </c>
      <c r="E658" s="763"/>
      <c r="F658" s="763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</row>
    <row r="659" spans="1:26" ht="18.75" hidden="1">
      <c r="A659" s="599"/>
      <c r="B659" s="607"/>
      <c r="C659" s="759"/>
      <c r="D659" s="720"/>
      <c r="E659" s="759" t="s">
        <v>185</v>
      </c>
      <c r="F659" s="759"/>
      <c r="G659" s="603"/>
      <c r="H659" s="165" t="s">
        <v>12</v>
      </c>
      <c r="I659" s="617"/>
      <c r="J659" s="617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4"/>
      <c r="R659" s="604"/>
      <c r="S659" s="604"/>
      <c r="T659" s="604"/>
      <c r="U659" s="604"/>
      <c r="V659" s="604"/>
      <c r="W659" s="604"/>
      <c r="X659" s="604"/>
      <c r="Y659" s="604"/>
      <c r="Z659" s="604"/>
    </row>
    <row r="660" spans="1:26" ht="18.75" hidden="1">
      <c r="A660" s="599"/>
      <c r="B660" s="607"/>
      <c r="C660" s="759"/>
      <c r="D660" s="720"/>
      <c r="E660" s="759" t="s">
        <v>186</v>
      </c>
      <c r="F660" s="759"/>
      <c r="G660" s="603"/>
      <c r="H660" s="165" t="s">
        <v>12</v>
      </c>
      <c r="I660" s="617"/>
      <c r="J660" s="617"/>
      <c r="K660" s="93"/>
      <c r="L660" s="93">
        <f ca="1">IFERROR(__xludf.DUMMYFUNCTION("IMPORTRANGE(""https://docs.google.com/spreadsheets/d/1QqKyyYR6Q21VydFLVH3TRQUabQu_ym0Zz7PgGX0-kHA/edit?usp=sharing"",""แผน!HV39"")"),0)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4"/>
      <c r="R660" s="604"/>
      <c r="S660" s="604"/>
      <c r="T660" s="604"/>
      <c r="U660" s="604"/>
      <c r="V660" s="604"/>
      <c r="W660" s="604"/>
      <c r="X660" s="604"/>
      <c r="Y660" s="604"/>
      <c r="Z660" s="604"/>
    </row>
    <row r="661" spans="1:26" ht="18.75" hidden="1">
      <c r="A661" s="574"/>
      <c r="B661" s="575"/>
      <c r="C661" s="763"/>
      <c r="D661" s="763"/>
      <c r="E661" s="763"/>
      <c r="F661" s="763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40">
        <v>0</v>
      </c>
      <c r="O661" s="498"/>
      <c r="P661" s="49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</row>
    <row r="662" spans="1:26" ht="18.75" hidden="1">
      <c r="A662" s="574"/>
      <c r="B662" s="575"/>
      <c r="C662" s="763"/>
      <c r="D662" s="763"/>
      <c r="E662" s="763"/>
      <c r="F662" s="763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40">
        <v>0</v>
      </c>
      <c r="O662" s="498"/>
      <c r="P662" s="49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</row>
    <row r="663" spans="1:26" ht="18.75" hidden="1">
      <c r="A663" s="574"/>
      <c r="B663" s="575"/>
      <c r="C663" s="575"/>
      <c r="D663" s="763"/>
      <c r="E663" s="763"/>
      <c r="F663" s="763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40">
        <v>0</v>
      </c>
      <c r="O663" s="498"/>
      <c r="P663" s="49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</row>
    <row r="664" spans="1:26" ht="18.75" hidden="1">
      <c r="A664" s="574"/>
      <c r="B664" s="575"/>
      <c r="C664" s="575"/>
      <c r="D664" s="575"/>
      <c r="E664" s="763"/>
      <c r="F664" s="763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40">
        <v>0</v>
      </c>
      <c r="O664" s="498"/>
      <c r="P664" s="49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</row>
    <row r="665" spans="1:26" ht="18.75" hidden="1">
      <c r="A665" s="597"/>
      <c r="B665" s="575"/>
      <c r="C665" s="575"/>
      <c r="D665" s="606" t="s">
        <v>21</v>
      </c>
      <c r="E665" s="763"/>
      <c r="F665" s="763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</row>
    <row r="666" spans="1:26" ht="18.75" hidden="1">
      <c r="A666" s="599"/>
      <c r="B666" s="607"/>
      <c r="C666" s="607"/>
      <c r="D666" s="607"/>
      <c r="E666" s="759" t="s">
        <v>18</v>
      </c>
      <c r="F666" s="759"/>
      <c r="G666" s="603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4"/>
      <c r="R666" s="604"/>
      <c r="S666" s="604"/>
      <c r="T666" s="604"/>
      <c r="U666" s="604"/>
      <c r="V666" s="604"/>
      <c r="W666" s="604"/>
      <c r="X666" s="604"/>
      <c r="Y666" s="604"/>
      <c r="Z666" s="604"/>
    </row>
    <row r="667" spans="1:26" ht="18.75" hidden="1">
      <c r="A667" s="599"/>
      <c r="B667" s="607"/>
      <c r="C667" s="607"/>
      <c r="D667" s="607"/>
      <c r="E667" s="759" t="s">
        <v>19</v>
      </c>
      <c r="F667" s="759"/>
      <c r="G667" s="603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4"/>
      <c r="R667" s="604"/>
      <c r="S667" s="604"/>
      <c r="T667" s="604"/>
      <c r="U667" s="604"/>
      <c r="V667" s="604"/>
      <c r="W667" s="604"/>
      <c r="X667" s="604"/>
      <c r="Y667" s="604"/>
      <c r="Z667" s="604"/>
    </row>
    <row r="668" spans="1:26" ht="19.5" hidden="1">
      <c r="A668" s="608"/>
      <c r="B668" s="618"/>
      <c r="C668" s="575" t="s">
        <v>16</v>
      </c>
      <c r="D668" s="893" t="s">
        <v>38</v>
      </c>
      <c r="E668" s="761"/>
      <c r="F668" s="761"/>
      <c r="G668" s="613"/>
      <c r="H668" s="762"/>
      <c r="I668" s="184"/>
      <c r="J668" s="184"/>
      <c r="K668" s="163"/>
      <c r="L668" s="163"/>
      <c r="M668" s="163"/>
      <c r="N668" s="163"/>
      <c r="O668" s="163"/>
      <c r="P668" s="163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</row>
    <row r="669" spans="1:26" ht="19.5" hidden="1">
      <c r="A669" s="608"/>
      <c r="B669" s="618"/>
      <c r="C669" s="618"/>
      <c r="D669" s="618" t="s">
        <v>281</v>
      </c>
      <c r="E669" s="626"/>
      <c r="F669" s="626"/>
      <c r="G669" s="762"/>
      <c r="H669" s="767" t="s">
        <v>46</v>
      </c>
      <c r="I669" s="681">
        <f ca="1">IFERROR(__xludf.DUMMYFUNCTION("IMPORTRANGE(""https://docs.google.com/spreadsheets/d/1QqKyyYR6Q21VydFLVH3TRQUabQu_ym0Zz7PgGX0-kHA/edit?usp=sharing"",""แผน!IA39"")"),0)</f>
        <v>0</v>
      </c>
      <c r="J669" s="681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</row>
    <row r="670" spans="1:26" ht="18.75" hidden="1">
      <c r="A670" s="608"/>
      <c r="B670" s="618"/>
      <c r="C670" s="618"/>
      <c r="D670" s="618"/>
      <c r="E670" s="626" t="s">
        <v>282</v>
      </c>
      <c r="F670" s="626"/>
      <c r="G670" s="762"/>
      <c r="H670" s="764" t="s">
        <v>66</v>
      </c>
      <c r="I670" s="270">
        <f ca="1">IFERROR(__xludf.DUMMYFUNCTION("IMPORTRANGE(""https://docs.google.com/spreadsheets/d/1QqKyyYR6Q21VydFLVH3TRQUabQu_ym0Zz7PgGX0-kHA/edit?usp=sharing"",""แผน!HZ39"")"),0)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</row>
    <row r="671" spans="1:26" ht="18.75" hidden="1">
      <c r="A671" s="608"/>
      <c r="B671" s="618"/>
      <c r="C671" s="618"/>
      <c r="D671" s="618"/>
      <c r="E671" s="626" t="s">
        <v>283</v>
      </c>
      <c r="F671" s="626"/>
      <c r="G671" s="762"/>
      <c r="H671" s="764" t="s">
        <v>66</v>
      </c>
      <c r="I671" s="270">
        <f ca="1">IFERROR(__xludf.DUMMYFUNCTION("IMPORTRANGE(""https://docs.google.com/spreadsheets/d/1QqKyyYR6Q21VydFLVH3TRQUabQu_ym0Zz7PgGX0-kHA/edit?usp=sharing"",""แผน!HZ39"")"),0)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</row>
    <row r="672" spans="1:26" ht="18.75" hidden="1">
      <c r="A672" s="608"/>
      <c r="B672" s="618"/>
      <c r="C672" s="618"/>
      <c r="D672" s="618"/>
      <c r="E672" s="626" t="s">
        <v>284</v>
      </c>
      <c r="F672" s="626"/>
      <c r="G672" s="762"/>
      <c r="H672" s="764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</row>
    <row r="673" spans="1:26" ht="18.75" hidden="1">
      <c r="A673" s="608"/>
      <c r="B673" s="618"/>
      <c r="C673" s="618"/>
      <c r="D673" s="618"/>
      <c r="E673" s="626" t="s">
        <v>285</v>
      </c>
      <c r="F673" s="626"/>
      <c r="G673" s="762"/>
      <c r="H673" s="764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</row>
    <row r="674" spans="1:26" ht="18.75" hidden="1">
      <c r="A674" s="608"/>
      <c r="B674" s="618"/>
      <c r="C674" s="618"/>
      <c r="D674" s="618"/>
      <c r="E674" s="626" t="s">
        <v>286</v>
      </c>
      <c r="F674" s="626"/>
      <c r="G674" s="762"/>
      <c r="H674" s="764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</row>
    <row r="675" spans="1:26" ht="19.5" hidden="1">
      <c r="A675" s="608"/>
      <c r="B675" s="618"/>
      <c r="C675" s="618"/>
      <c r="D675" s="618"/>
      <c r="E675" s="626" t="s">
        <v>287</v>
      </c>
      <c r="F675" s="626"/>
      <c r="G675" s="762"/>
      <c r="H675" s="764" t="s">
        <v>46</v>
      </c>
      <c r="I675" s="270"/>
      <c r="J675" s="681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</row>
    <row r="676" spans="1:26" ht="18.75" hidden="1">
      <c r="A676" s="608"/>
      <c r="B676" s="618"/>
      <c r="C676" s="618"/>
      <c r="D676" s="618"/>
      <c r="E676" s="626"/>
      <c r="F676" s="626" t="s">
        <v>288</v>
      </c>
      <c r="G676" s="762"/>
      <c r="H676" s="764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</row>
    <row r="677" spans="1:26" ht="18.75" hidden="1">
      <c r="A677" s="608"/>
      <c r="B677" s="618"/>
      <c r="C677" s="618"/>
      <c r="D677" s="618"/>
      <c r="E677" s="626"/>
      <c r="F677" s="626" t="s">
        <v>289</v>
      </c>
      <c r="G677" s="762"/>
      <c r="H677" s="764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</row>
    <row r="678" spans="1:26" ht="19.5" hidden="1">
      <c r="A678" s="608"/>
      <c r="B678" s="618"/>
      <c r="C678" s="618"/>
      <c r="D678" s="618" t="s">
        <v>290</v>
      </c>
      <c r="E678" s="626"/>
      <c r="F678" s="626"/>
      <c r="G678" s="762"/>
      <c r="H678" s="764" t="s">
        <v>46</v>
      </c>
      <c r="I678" s="681">
        <f ca="1">IFERROR(__xludf.DUMMYFUNCTION("IMPORTRANGE(""https://docs.google.com/spreadsheets/d/1QqKyyYR6Q21VydFLVH3TRQUabQu_ym0Zz7PgGX0-kHA/edit?usp=sharing"",""แผน!IB39"")"),0)</f>
        <v>0</v>
      </c>
      <c r="J678" s="681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</row>
    <row r="679" spans="1:26" ht="18.75" hidden="1">
      <c r="A679" s="608"/>
      <c r="B679" s="618"/>
      <c r="C679" s="618"/>
      <c r="D679" s="618"/>
      <c r="E679" s="626" t="s">
        <v>291</v>
      </c>
      <c r="F679" s="626"/>
      <c r="G679" s="762"/>
      <c r="H679" s="764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</row>
    <row r="680" spans="1:26" ht="18.75" hidden="1">
      <c r="A680" s="608"/>
      <c r="B680" s="618"/>
      <c r="C680" s="618"/>
      <c r="D680" s="618"/>
      <c r="E680" s="626"/>
      <c r="F680" s="626" t="s">
        <v>288</v>
      </c>
      <c r="G680" s="762"/>
      <c r="H680" s="764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</row>
    <row r="681" spans="1:26" ht="18.75" hidden="1">
      <c r="A681" s="608"/>
      <c r="B681" s="618"/>
      <c r="C681" s="618"/>
      <c r="D681" s="618"/>
      <c r="E681" s="626"/>
      <c r="F681" s="626" t="s">
        <v>289</v>
      </c>
      <c r="G681" s="762"/>
      <c r="H681" s="764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</row>
    <row r="682" spans="1:26" ht="18.75" hidden="1">
      <c r="A682" s="608"/>
      <c r="B682" s="618"/>
      <c r="C682" s="618"/>
      <c r="D682" s="618"/>
      <c r="E682" s="626" t="s">
        <v>292</v>
      </c>
      <c r="F682" s="626"/>
      <c r="G682" s="762"/>
      <c r="H682" s="764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</row>
    <row r="683" spans="1:26" ht="18.75" hidden="1">
      <c r="A683" s="608"/>
      <c r="B683" s="618"/>
      <c r="C683" s="618"/>
      <c r="D683" s="618"/>
      <c r="E683" s="626"/>
      <c r="F683" s="626" t="s">
        <v>293</v>
      </c>
      <c r="G683" s="762"/>
      <c r="H683" s="764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</row>
    <row r="684" spans="1:26" ht="19.5" hidden="1">
      <c r="A684" s="753"/>
      <c r="B684" s="754" t="s">
        <v>294</v>
      </c>
      <c r="C684" s="753"/>
      <c r="D684" s="753"/>
      <c r="E684" s="753"/>
      <c r="F684" s="753"/>
      <c r="G684" s="755"/>
      <c r="H684" s="755"/>
      <c r="I684" s="756"/>
      <c r="J684" s="756"/>
      <c r="K684" s="757"/>
      <c r="L684" s="757"/>
      <c r="M684" s="757"/>
      <c r="N684" s="757"/>
      <c r="O684" s="757"/>
      <c r="P684" s="757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</row>
    <row r="685" spans="1:26" ht="19.5" hidden="1">
      <c r="A685" s="597"/>
      <c r="B685" s="763"/>
      <c r="C685" s="763" t="s">
        <v>16</v>
      </c>
      <c r="D685" s="863" t="s">
        <v>17</v>
      </c>
      <c r="E685" s="857"/>
      <c r="F685" s="857"/>
      <c r="G685" s="189"/>
      <c r="H685" s="598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</row>
    <row r="686" spans="1:26" ht="18.75" hidden="1">
      <c r="A686" s="599"/>
      <c r="B686" s="759"/>
      <c r="C686" s="759"/>
      <c r="D686" s="720"/>
      <c r="E686" s="759" t="s">
        <v>185</v>
      </c>
      <c r="F686" s="759"/>
      <c r="G686" s="603"/>
      <c r="H686" s="165" t="s">
        <v>12</v>
      </c>
      <c r="I686" s="617"/>
      <c r="J686" s="617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4"/>
      <c r="R686" s="604"/>
      <c r="S686" s="604"/>
      <c r="T686" s="604"/>
      <c r="U686" s="604"/>
      <c r="V686" s="604"/>
      <c r="W686" s="604"/>
      <c r="X686" s="604"/>
      <c r="Y686" s="604"/>
      <c r="Z686" s="604"/>
    </row>
    <row r="687" spans="1:26" ht="18.75" hidden="1">
      <c r="A687" s="599"/>
      <c r="B687" s="607"/>
      <c r="C687" s="759"/>
      <c r="D687" s="720"/>
      <c r="E687" s="759" t="s">
        <v>186</v>
      </c>
      <c r="F687" s="759"/>
      <c r="G687" s="603"/>
      <c r="H687" s="165" t="s">
        <v>12</v>
      </c>
      <c r="I687" s="617"/>
      <c r="J687" s="617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4"/>
      <c r="R687" s="604"/>
      <c r="S687" s="604"/>
      <c r="T687" s="604"/>
      <c r="U687" s="604"/>
      <c r="V687" s="604"/>
      <c r="W687" s="604"/>
      <c r="X687" s="604"/>
      <c r="Y687" s="604"/>
      <c r="Z687" s="604"/>
    </row>
    <row r="688" spans="1:26" ht="18.75" hidden="1">
      <c r="A688" s="597"/>
      <c r="B688" s="575"/>
      <c r="C688" s="763"/>
      <c r="D688" s="606" t="s">
        <v>20</v>
      </c>
      <c r="E688" s="763"/>
      <c r="F688" s="763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8"/>
      <c r="R688" s="578"/>
      <c r="S688" s="578"/>
      <c r="T688" s="578"/>
      <c r="U688" s="578"/>
      <c r="V688" s="578"/>
      <c r="W688" s="578"/>
      <c r="X688" s="578"/>
      <c r="Y688" s="578"/>
      <c r="Z688" s="578"/>
    </row>
    <row r="689" spans="1:26" ht="18.75" hidden="1">
      <c r="A689" s="599"/>
      <c r="B689" s="607"/>
      <c r="C689" s="759"/>
      <c r="D689" s="720"/>
      <c r="E689" s="759" t="s">
        <v>185</v>
      </c>
      <c r="F689" s="759"/>
      <c r="G689" s="603"/>
      <c r="H689" s="165" t="s">
        <v>12</v>
      </c>
      <c r="I689" s="617"/>
      <c r="J689" s="617"/>
      <c r="K689" s="93"/>
      <c r="L689" s="93">
        <v>0</v>
      </c>
      <c r="M689" s="93">
        <v>0</v>
      </c>
      <c r="N689" s="93">
        <v>0</v>
      </c>
      <c r="O689" s="93"/>
      <c r="P689" s="93"/>
      <c r="Q689" s="604"/>
      <c r="R689" s="604"/>
      <c r="S689" s="604"/>
      <c r="T689" s="604"/>
      <c r="U689" s="604"/>
      <c r="V689" s="604"/>
      <c r="W689" s="604"/>
      <c r="X689" s="604"/>
      <c r="Y689" s="604"/>
      <c r="Z689" s="604"/>
    </row>
    <row r="690" spans="1:26" ht="18.75" hidden="1">
      <c r="A690" s="599"/>
      <c r="B690" s="607"/>
      <c r="C690" s="759"/>
      <c r="D690" s="720"/>
      <c r="E690" s="759" t="s">
        <v>186</v>
      </c>
      <c r="F690" s="759"/>
      <c r="G690" s="603"/>
      <c r="H690" s="165" t="s">
        <v>12</v>
      </c>
      <c r="I690" s="617"/>
      <c r="J690" s="617"/>
      <c r="K690" s="93"/>
      <c r="L690" s="93">
        <f ca="1">IFERROR(__xludf.DUMMYFUNCTION("IMPORTRANGE(""https://docs.google.com/spreadsheets/d/1QqKyyYR6Q21VydFLVH3TRQUabQu_ym0Zz7PgGX0-kHA/edit?usp=sharing"",""แผน!HW39"")"),0)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4"/>
      <c r="R690" s="604"/>
      <c r="S690" s="604"/>
      <c r="T690" s="604"/>
      <c r="U690" s="604"/>
      <c r="V690" s="604"/>
      <c r="W690" s="604"/>
      <c r="X690" s="604"/>
      <c r="Y690" s="604"/>
      <c r="Z690" s="604"/>
    </row>
    <row r="691" spans="1:26" ht="18.75" hidden="1">
      <c r="A691" s="574"/>
      <c r="B691" s="575"/>
      <c r="C691" s="763"/>
      <c r="D691" s="763"/>
      <c r="E691" s="763"/>
      <c r="F691" s="763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40">
        <v>0</v>
      </c>
      <c r="O691" s="498"/>
      <c r="P691" s="49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</row>
    <row r="692" spans="1:26" ht="18.75" hidden="1">
      <c r="A692" s="574"/>
      <c r="B692" s="575"/>
      <c r="C692" s="763"/>
      <c r="D692" s="763"/>
      <c r="E692" s="763"/>
      <c r="F692" s="763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40">
        <v>0</v>
      </c>
      <c r="O692" s="498"/>
      <c r="P692" s="49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</row>
    <row r="693" spans="1:26" ht="18.75" hidden="1">
      <c r="A693" s="574"/>
      <c r="B693" s="575"/>
      <c r="C693" s="763"/>
      <c r="D693" s="763"/>
      <c r="E693" s="763"/>
      <c r="F693" s="763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40">
        <v>0</v>
      </c>
      <c r="O693" s="498"/>
      <c r="P693" s="49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</row>
    <row r="694" spans="1:26" ht="18.75" hidden="1">
      <c r="A694" s="574"/>
      <c r="B694" s="575"/>
      <c r="C694" s="763"/>
      <c r="D694" s="763"/>
      <c r="E694" s="763"/>
      <c r="F694" s="763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40">
        <v>0</v>
      </c>
      <c r="O694" s="498"/>
      <c r="P694" s="49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</row>
    <row r="695" spans="1:26" ht="18.75" hidden="1">
      <c r="A695" s="597"/>
      <c r="B695" s="575"/>
      <c r="C695" s="763"/>
      <c r="D695" s="606" t="s">
        <v>21</v>
      </c>
      <c r="E695" s="763"/>
      <c r="F695" s="763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</row>
    <row r="696" spans="1:26" ht="18.75" hidden="1">
      <c r="A696" s="599"/>
      <c r="B696" s="607"/>
      <c r="C696" s="759"/>
      <c r="D696" s="759"/>
      <c r="E696" s="759" t="s">
        <v>18</v>
      </c>
      <c r="F696" s="759"/>
      <c r="G696" s="603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4"/>
      <c r="R696" s="604"/>
      <c r="S696" s="604"/>
      <c r="T696" s="604"/>
      <c r="U696" s="604"/>
      <c r="V696" s="604"/>
      <c r="W696" s="604"/>
      <c r="X696" s="604"/>
      <c r="Y696" s="604"/>
      <c r="Z696" s="604"/>
    </row>
    <row r="697" spans="1:26" ht="18.75" hidden="1">
      <c r="A697" s="599"/>
      <c r="B697" s="607"/>
      <c r="C697" s="759"/>
      <c r="D697" s="759"/>
      <c r="E697" s="759" t="s">
        <v>19</v>
      </c>
      <c r="F697" s="759"/>
      <c r="G697" s="603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4"/>
      <c r="R697" s="604"/>
      <c r="S697" s="604"/>
      <c r="T697" s="604"/>
      <c r="U697" s="604"/>
      <c r="V697" s="604"/>
      <c r="W697" s="604"/>
      <c r="X697" s="604"/>
      <c r="Y697" s="604"/>
      <c r="Z697" s="604"/>
    </row>
    <row r="698" spans="1:26" ht="19.5" hidden="1">
      <c r="A698" s="608"/>
      <c r="B698" s="618"/>
      <c r="C698" s="763" t="s">
        <v>16</v>
      </c>
      <c r="D698" s="898" t="s">
        <v>38</v>
      </c>
      <c r="E698" s="761"/>
      <c r="F698" s="761"/>
      <c r="G698" s="613"/>
      <c r="H698" s="762"/>
      <c r="I698" s="184"/>
      <c r="J698" s="184"/>
      <c r="K698" s="163"/>
      <c r="L698" s="163"/>
      <c r="M698" s="163"/>
      <c r="N698" s="163"/>
      <c r="O698" s="163"/>
      <c r="P698" s="163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</row>
    <row r="699" spans="1:26" ht="18.75" hidden="1">
      <c r="A699" s="744"/>
      <c r="B699" s="763"/>
      <c r="C699" s="763"/>
      <c r="D699" s="763" t="s">
        <v>295</v>
      </c>
      <c r="E699" s="763"/>
      <c r="F699" s="763"/>
      <c r="G699" s="189"/>
      <c r="H699" s="764" t="s">
        <v>46</v>
      </c>
      <c r="I699" s="765">
        <f ca="1">IFERROR(__xludf.DUMMYFUNCTION("IMPORTRANGE(""https://docs.google.com/spreadsheets/d/1QqKyyYR6Q21VydFLVH3TRQUabQu_ym0Zz7PgGX0-kHA/edit?usp=sharing"",""แผน!IC39"")"),0)</f>
        <v>0</v>
      </c>
      <c r="J699" s="270">
        <f ca="1">IFERROR(__xludf.DUMMYFUNCTION("IMPORTRANGE(""https://docs.google.com/spreadsheets/d/1XWAQStnk-4SwqDmLtmXYiTMKHgktTP8We1SCoS47DrQ/edit?usp=sharing"",""จัดที่ดิน!BB39"")"),0)</f>
        <v>0</v>
      </c>
      <c r="K699" s="498">
        <f t="shared" ref="K699:K701" ca="1" si="290">IF(I699&gt;0,J699*100/I699,0)</f>
        <v>0</v>
      </c>
      <c r="L699" s="498"/>
      <c r="M699" s="189"/>
      <c r="N699" s="766"/>
      <c r="O699" s="498"/>
      <c r="P699" s="49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</row>
    <row r="700" spans="1:26" ht="18.75" hidden="1">
      <c r="A700" s="744"/>
      <c r="B700" s="763"/>
      <c r="C700" s="763"/>
      <c r="D700" s="763" t="s">
        <v>296</v>
      </c>
      <c r="E700" s="763"/>
      <c r="F700" s="763"/>
      <c r="G700" s="189"/>
      <c r="H700" s="764" t="s">
        <v>35</v>
      </c>
      <c r="I700" s="765">
        <f ca="1">IFERROR(__xludf.DUMMYFUNCTION("IMPORTRANGE(""https://docs.google.com/spreadsheets/d/1QqKyyYR6Q21VydFLVH3TRQUabQu_ym0Zz7PgGX0-kHA/edit?usp=sharing"",""แผน!ID39"")"),0)</f>
        <v>0</v>
      </c>
      <c r="J700" s="270">
        <f ca="1">IFERROR(__xludf.DUMMYFUNCTION("IMPORTRANGE(""https://docs.google.com/spreadsheets/d/1XWAQStnk-4SwqDmLtmXYiTMKHgktTP8We1SCoS47DrQ/edit?usp=sharing"",""จัดที่ดิน!BD39"")"),0)</f>
        <v>0</v>
      </c>
      <c r="K700" s="498">
        <f t="shared" ca="1" si="290"/>
        <v>0</v>
      </c>
      <c r="L700" s="498"/>
      <c r="M700" s="189"/>
      <c r="N700" s="766"/>
      <c r="O700" s="498"/>
      <c r="P700" s="49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</row>
    <row r="701" spans="1:26" ht="19.5" hidden="1">
      <c r="A701" s="744"/>
      <c r="B701" s="763"/>
      <c r="C701" s="763"/>
      <c r="D701" s="763" t="s">
        <v>297</v>
      </c>
      <c r="E701" s="763"/>
      <c r="F701" s="763"/>
      <c r="G701" s="189"/>
      <c r="H701" s="767" t="s">
        <v>46</v>
      </c>
      <c r="I701" s="768">
        <f ca="1">IFERROR(__xludf.DUMMYFUNCTION("IMPORTRANGE(""https://docs.google.com/spreadsheets/d/1QqKyyYR6Q21VydFLVH3TRQUabQu_ym0Zz7PgGX0-kHA/edit?usp=sharing"",""แผน!IE39"")"),0)</f>
        <v>0</v>
      </c>
      <c r="J701" s="681">
        <f>J704+J707</f>
        <v>0</v>
      </c>
      <c r="K701" s="195">
        <f t="shared" ca="1" si="290"/>
        <v>0</v>
      </c>
      <c r="L701" s="498"/>
      <c r="M701" s="189"/>
      <c r="N701" s="766"/>
      <c r="O701" s="498"/>
      <c r="P701" s="49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</row>
    <row r="702" spans="1:26" ht="18.75" hidden="1">
      <c r="A702" s="744"/>
      <c r="B702" s="763"/>
      <c r="C702" s="763"/>
      <c r="D702" s="763"/>
      <c r="E702" s="763" t="s">
        <v>298</v>
      </c>
      <c r="F702" s="763"/>
      <c r="G702" s="189"/>
      <c r="H702" s="764" t="s">
        <v>35</v>
      </c>
      <c r="I702" s="765"/>
      <c r="J702" s="215">
        <v>0</v>
      </c>
      <c r="K702" s="498"/>
      <c r="L702" s="498"/>
      <c r="M702" s="189"/>
      <c r="N702" s="766"/>
      <c r="O702" s="498"/>
      <c r="P702" s="49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</row>
    <row r="703" spans="1:26" ht="18.75" hidden="1">
      <c r="A703" s="744"/>
      <c r="B703" s="763"/>
      <c r="C703" s="763"/>
      <c r="D703" s="763"/>
      <c r="E703" s="763"/>
      <c r="F703" s="763"/>
      <c r="G703" s="189"/>
      <c r="H703" s="764" t="s">
        <v>34</v>
      </c>
      <c r="I703" s="765"/>
      <c r="J703" s="215">
        <v>0</v>
      </c>
      <c r="K703" s="498"/>
      <c r="L703" s="498"/>
      <c r="M703" s="189"/>
      <c r="N703" s="766"/>
      <c r="O703" s="498"/>
      <c r="P703" s="49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</row>
    <row r="704" spans="1:26" ht="18.75" hidden="1">
      <c r="A704" s="744"/>
      <c r="B704" s="763"/>
      <c r="C704" s="763"/>
      <c r="D704" s="763"/>
      <c r="E704" s="763"/>
      <c r="F704" s="763"/>
      <c r="G704" s="189"/>
      <c r="H704" s="764" t="s">
        <v>46</v>
      </c>
      <c r="I704" s="765">
        <f ca="1">IFERROR(__xludf.DUMMYFUNCTION("IMPORTRANGE(""https://docs.google.com/spreadsheets/d/1QqKyyYR6Q21VydFLVH3TRQUabQu_ym0Zz7PgGX0-kHA/edit?usp=sharing"",""แผน!IF39"")"),0)</f>
        <v>0</v>
      </c>
      <c r="J704" s="215">
        <v>0</v>
      </c>
      <c r="K704" s="498"/>
      <c r="L704" s="498"/>
      <c r="M704" s="189"/>
      <c r="N704" s="766"/>
      <c r="O704" s="498"/>
      <c r="P704" s="49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</row>
    <row r="705" spans="1:26" ht="18.75" hidden="1">
      <c r="A705" s="744"/>
      <c r="B705" s="763"/>
      <c r="C705" s="763"/>
      <c r="D705" s="763"/>
      <c r="E705" s="763" t="s">
        <v>299</v>
      </c>
      <c r="F705" s="763"/>
      <c r="G705" s="189"/>
      <c r="H705" s="764" t="s">
        <v>35</v>
      </c>
      <c r="I705" s="765"/>
      <c r="J705" s="215">
        <v>0</v>
      </c>
      <c r="K705" s="498"/>
      <c r="L705" s="498"/>
      <c r="M705" s="189"/>
      <c r="N705" s="766"/>
      <c r="O705" s="498"/>
      <c r="P705" s="49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</row>
    <row r="706" spans="1:26" ht="18.75" hidden="1">
      <c r="A706" s="744"/>
      <c r="B706" s="763"/>
      <c r="C706" s="763"/>
      <c r="D706" s="763"/>
      <c r="E706" s="763"/>
      <c r="F706" s="763"/>
      <c r="G706" s="189"/>
      <c r="H706" s="764" t="s">
        <v>34</v>
      </c>
      <c r="I706" s="765"/>
      <c r="J706" s="215">
        <v>0</v>
      </c>
      <c r="K706" s="498"/>
      <c r="L706" s="498"/>
      <c r="M706" s="189"/>
      <c r="N706" s="766"/>
      <c r="O706" s="498"/>
      <c r="P706" s="49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</row>
    <row r="707" spans="1:26" ht="18.75" hidden="1">
      <c r="A707" s="744"/>
      <c r="B707" s="763"/>
      <c r="C707" s="763"/>
      <c r="D707" s="763"/>
      <c r="E707" s="763"/>
      <c r="F707" s="763"/>
      <c r="G707" s="189"/>
      <c r="H707" s="764" t="s">
        <v>46</v>
      </c>
      <c r="I707" s="765">
        <f ca="1">IFERROR(__xludf.DUMMYFUNCTION("IMPORTRANGE(""https://docs.google.com/spreadsheets/d/1QqKyyYR6Q21VydFLVH3TRQUabQu_ym0Zz7PgGX0-kHA/edit?usp=sharing"",""แผน!IG39"")"),0)</f>
        <v>0</v>
      </c>
      <c r="J707" s="215">
        <v>0</v>
      </c>
      <c r="K707" s="498"/>
      <c r="L707" s="498"/>
      <c r="M707" s="189"/>
      <c r="N707" s="766"/>
      <c r="O707" s="498"/>
      <c r="P707" s="49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</row>
    <row r="708" spans="1:26" ht="19.5" hidden="1">
      <c r="A708" s="744"/>
      <c r="B708" s="763"/>
      <c r="C708" s="763"/>
      <c r="D708" s="769" t="s">
        <v>300</v>
      </c>
      <c r="E708" s="763"/>
      <c r="F708" s="763"/>
      <c r="G708" s="189"/>
      <c r="H708" s="767" t="s">
        <v>46</v>
      </c>
      <c r="I708" s="768">
        <f ca="1">IFERROR(__xludf.DUMMYFUNCTION("IMPORTRANGE(""https://docs.google.com/spreadsheets/d/1QqKyyYR6Q21VydFLVH3TRQUabQu_ym0Zz7PgGX0-kHA/edit?usp=sharing"",""แผน!IH39"")"),0)</f>
        <v>0</v>
      </c>
      <c r="J708" s="681">
        <f>J714+J717</f>
        <v>0</v>
      </c>
      <c r="K708" s="195">
        <f ca="1">IF(I708&gt;0,J708*100/I708,0)</f>
        <v>0</v>
      </c>
      <c r="L708" s="498"/>
      <c r="M708" s="189"/>
      <c r="N708" s="766"/>
      <c r="O708" s="498"/>
      <c r="P708" s="49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</row>
    <row r="709" spans="1:26" ht="18.75" hidden="1">
      <c r="A709" s="744"/>
      <c r="B709" s="763"/>
      <c r="C709" s="763"/>
      <c r="D709" s="763"/>
      <c r="E709" s="763" t="s">
        <v>301</v>
      </c>
      <c r="F709" s="763"/>
      <c r="G709" s="189"/>
      <c r="H709" s="764" t="s">
        <v>34</v>
      </c>
      <c r="I709" s="765"/>
      <c r="J709" s="215">
        <v>0</v>
      </c>
      <c r="K709" s="498"/>
      <c r="L709" s="766"/>
      <c r="M709" s="189"/>
      <c r="N709" s="766"/>
      <c r="O709" s="498"/>
      <c r="P709" s="49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</row>
    <row r="710" spans="1:26" ht="18.75" hidden="1">
      <c r="A710" s="744"/>
      <c r="B710" s="763"/>
      <c r="C710" s="763"/>
      <c r="D710" s="763"/>
      <c r="E710" s="763"/>
      <c r="F710" s="763"/>
      <c r="G710" s="189"/>
      <c r="H710" s="764" t="s">
        <v>46</v>
      </c>
      <c r="I710" s="765"/>
      <c r="J710" s="215">
        <v>0</v>
      </c>
      <c r="K710" s="498"/>
      <c r="L710" s="766"/>
      <c r="M710" s="189"/>
      <c r="N710" s="766"/>
      <c r="O710" s="498"/>
      <c r="P710" s="49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</row>
    <row r="711" spans="1:26" ht="18.75" hidden="1">
      <c r="A711" s="744"/>
      <c r="B711" s="763"/>
      <c r="C711" s="763"/>
      <c r="D711" s="763"/>
      <c r="E711" s="763" t="s">
        <v>302</v>
      </c>
      <c r="F711" s="763"/>
      <c r="G711" s="189"/>
      <c r="H711" s="762"/>
      <c r="I711" s="765"/>
      <c r="J711" s="270"/>
      <c r="K711" s="498"/>
      <c r="L711" s="766"/>
      <c r="M711" s="189"/>
      <c r="N711" s="766"/>
      <c r="O711" s="498"/>
      <c r="P711" s="49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</row>
    <row r="712" spans="1:26" ht="18.75" hidden="1">
      <c r="A712" s="744"/>
      <c r="B712" s="763"/>
      <c r="C712" s="763"/>
      <c r="D712" s="763"/>
      <c r="E712" s="763"/>
      <c r="F712" s="763" t="s">
        <v>303</v>
      </c>
      <c r="G712" s="189"/>
      <c r="H712" s="764" t="s">
        <v>35</v>
      </c>
      <c r="I712" s="765"/>
      <c r="J712" s="215">
        <v>0</v>
      </c>
      <c r="K712" s="498"/>
      <c r="L712" s="766"/>
      <c r="M712" s="189"/>
      <c r="N712" s="766"/>
      <c r="O712" s="498"/>
      <c r="P712" s="49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</row>
    <row r="713" spans="1:26" ht="18.75" hidden="1">
      <c r="A713" s="744"/>
      <c r="B713" s="763"/>
      <c r="C713" s="763"/>
      <c r="D713" s="763"/>
      <c r="E713" s="763"/>
      <c r="F713" s="763"/>
      <c r="G713" s="189"/>
      <c r="H713" s="764" t="s">
        <v>34</v>
      </c>
      <c r="I713" s="765"/>
      <c r="J713" s="215">
        <v>0</v>
      </c>
      <c r="K713" s="498"/>
      <c r="L713" s="766"/>
      <c r="M713" s="189"/>
      <c r="N713" s="766"/>
      <c r="O713" s="498"/>
      <c r="P713" s="49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</row>
    <row r="714" spans="1:26" ht="18.75" hidden="1">
      <c r="A714" s="744"/>
      <c r="B714" s="763"/>
      <c r="C714" s="763"/>
      <c r="D714" s="763"/>
      <c r="E714" s="763"/>
      <c r="F714" s="763"/>
      <c r="G714" s="189"/>
      <c r="H714" s="764" t="s">
        <v>46</v>
      </c>
      <c r="I714" s="765"/>
      <c r="J714" s="215">
        <v>0</v>
      </c>
      <c r="K714" s="498"/>
      <c r="L714" s="766"/>
      <c r="M714" s="189"/>
      <c r="N714" s="766"/>
      <c r="O714" s="498"/>
      <c r="P714" s="49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</row>
    <row r="715" spans="1:26" ht="18.75" hidden="1">
      <c r="A715" s="744"/>
      <c r="B715" s="763"/>
      <c r="C715" s="763"/>
      <c r="D715" s="763"/>
      <c r="E715" s="763"/>
      <c r="F715" s="763" t="s">
        <v>304</v>
      </c>
      <c r="G715" s="189"/>
      <c r="H715" s="764" t="s">
        <v>35</v>
      </c>
      <c r="I715" s="765"/>
      <c r="J715" s="215">
        <v>0</v>
      </c>
      <c r="K715" s="498"/>
      <c r="L715" s="766"/>
      <c r="M715" s="189"/>
      <c r="N715" s="766"/>
      <c r="O715" s="498"/>
      <c r="P715" s="49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</row>
    <row r="716" spans="1:26" ht="18.75" hidden="1">
      <c r="A716" s="744"/>
      <c r="B716" s="763"/>
      <c r="C716" s="763"/>
      <c r="D716" s="763"/>
      <c r="E716" s="763"/>
      <c r="F716" s="763"/>
      <c r="G716" s="189"/>
      <c r="H716" s="764" t="s">
        <v>34</v>
      </c>
      <c r="I716" s="765"/>
      <c r="J716" s="215">
        <v>0</v>
      </c>
      <c r="K716" s="498"/>
      <c r="L716" s="766"/>
      <c r="M716" s="189"/>
      <c r="N716" s="766"/>
      <c r="O716" s="498"/>
      <c r="P716" s="49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</row>
    <row r="717" spans="1:26" ht="18.75" hidden="1">
      <c r="A717" s="744"/>
      <c r="B717" s="763"/>
      <c r="C717" s="763"/>
      <c r="D717" s="763"/>
      <c r="E717" s="763"/>
      <c r="F717" s="763"/>
      <c r="G717" s="189"/>
      <c r="H717" s="764" t="s">
        <v>46</v>
      </c>
      <c r="I717" s="765"/>
      <c r="J717" s="215">
        <v>0</v>
      </c>
      <c r="K717" s="498"/>
      <c r="L717" s="766"/>
      <c r="M717" s="189"/>
      <c r="N717" s="766"/>
      <c r="O717" s="498"/>
      <c r="P717" s="49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</row>
    <row r="718" spans="1:26" ht="18.75" hidden="1">
      <c r="A718" s="744"/>
      <c r="B718" s="763"/>
      <c r="C718" s="763"/>
      <c r="D718" s="763" t="s">
        <v>305</v>
      </c>
      <c r="E718" s="763"/>
      <c r="F718" s="763"/>
      <c r="G718" s="189"/>
      <c r="H718" s="764" t="s">
        <v>35</v>
      </c>
      <c r="I718" s="765"/>
      <c r="J718" s="270">
        <f ca="1">IFERROR(__xludf.DUMMYFUNCTION("IMPORTRANGE(""https://docs.google.com/spreadsheets/d/1XWAQStnk-4SwqDmLtmXYiTMKHgktTP8We1SCoS47DrQ/edit?usp=sharing"",""จัดที่ดิน!BF39"")"),0)</f>
        <v>0</v>
      </c>
      <c r="K718" s="498"/>
      <c r="L718" s="498"/>
      <c r="M718" s="189"/>
      <c r="N718" s="766"/>
      <c r="O718" s="498"/>
      <c r="P718" s="49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</row>
    <row r="719" spans="1:26" ht="18.75" hidden="1">
      <c r="A719" s="744"/>
      <c r="B719" s="763"/>
      <c r="C719" s="763"/>
      <c r="D719" s="763"/>
      <c r="E719" s="763"/>
      <c r="F719" s="763"/>
      <c r="G719" s="189"/>
      <c r="H719" s="764" t="s">
        <v>34</v>
      </c>
      <c r="I719" s="765"/>
      <c r="J719" s="270">
        <f ca="1">IFERROR(__xludf.DUMMYFUNCTION("IMPORTRANGE(""https://docs.google.com/spreadsheets/d/1XWAQStnk-4SwqDmLtmXYiTMKHgktTP8We1SCoS47DrQ/edit?usp=sharing"",""จัดที่ดิน!BG39"")"),0)</f>
        <v>0</v>
      </c>
      <c r="K719" s="498"/>
      <c r="L719" s="766"/>
      <c r="M719" s="189"/>
      <c r="N719" s="766"/>
      <c r="O719" s="498"/>
      <c r="P719" s="49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</row>
    <row r="720" spans="1:26" ht="18.75" hidden="1">
      <c r="A720" s="744"/>
      <c r="B720" s="763"/>
      <c r="C720" s="763"/>
      <c r="D720" s="763"/>
      <c r="E720" s="763"/>
      <c r="F720" s="763"/>
      <c r="G720" s="189"/>
      <c r="H720" s="764" t="s">
        <v>46</v>
      </c>
      <c r="I720" s="765">
        <f ca="1">IFERROR(__xludf.DUMMYFUNCTION("IMPORTRANGE(""https://docs.google.com/spreadsheets/d/1QqKyyYR6Q21VydFLVH3TRQUabQu_ym0Zz7PgGX0-kHA/edit?usp=sharing"",""แผน!II39"")"),0)</f>
        <v>0</v>
      </c>
      <c r="J720" s="270">
        <f ca="1">IFERROR(__xludf.DUMMYFUNCTION("IMPORTRANGE(""https://docs.google.com/spreadsheets/d/1XWAQStnk-4SwqDmLtmXYiTMKHgktTP8We1SCoS47DrQ/edit?usp=sharing"",""จัดที่ดิน!BH39"")"),0)</f>
        <v>0</v>
      </c>
      <c r="K720" s="498">
        <f t="shared" ref="K720:K723" ca="1" si="291">IF(I720&gt;0,J720*100/I720,0)</f>
        <v>0</v>
      </c>
      <c r="L720" s="766"/>
      <c r="M720" s="189"/>
      <c r="N720" s="766"/>
      <c r="O720" s="498"/>
      <c r="P720" s="49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</row>
    <row r="721" spans="1:26" ht="19.5" hidden="1">
      <c r="A721" s="744"/>
      <c r="B721" s="763"/>
      <c r="C721" s="763"/>
      <c r="D721" s="763" t="s">
        <v>306</v>
      </c>
      <c r="E721" s="763"/>
      <c r="F721" s="763"/>
      <c r="G721" s="189"/>
      <c r="H721" s="767" t="s">
        <v>35</v>
      </c>
      <c r="I721" s="768">
        <f ca="1">IFERROR(__xludf.DUMMYFUNCTION("IMPORTRANGE(""https://docs.google.com/spreadsheets/d/1QqKyyYR6Q21VydFLVH3TRQUabQu_ym0Zz7PgGX0-kHA/edit?usp=sharing"",""แผน!IJ39"")"),0)</f>
        <v>0</v>
      </c>
      <c r="J721" s="681">
        <f ca="1">J723+J726</f>
        <v>0</v>
      </c>
      <c r="K721" s="195">
        <f t="shared" ca="1" si="291"/>
        <v>0</v>
      </c>
      <c r="L721" s="766"/>
      <c r="M721" s="189"/>
      <c r="N721" s="766"/>
      <c r="O721" s="498"/>
      <c r="P721" s="49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</row>
    <row r="722" spans="1:26" ht="19.5" hidden="1">
      <c r="A722" s="744"/>
      <c r="B722" s="763"/>
      <c r="C722" s="763"/>
      <c r="D722" s="763"/>
      <c r="E722" s="763"/>
      <c r="F722" s="763"/>
      <c r="G722" s="189"/>
      <c r="H722" s="767" t="s">
        <v>46</v>
      </c>
      <c r="I722" s="768">
        <f ca="1">IFERROR(__xludf.DUMMYFUNCTION("IMPORTRANGE(""https://docs.google.com/spreadsheets/d/1QqKyyYR6Q21VydFLVH3TRQUabQu_ym0Zz7PgGX0-kHA/edit?usp=sharing"",""แผน!IK39"")"),0)</f>
        <v>0</v>
      </c>
      <c r="J722" s="681">
        <f ca="1">J725+J728</f>
        <v>0</v>
      </c>
      <c r="K722" s="195">
        <f t="shared" ca="1" si="291"/>
        <v>0</v>
      </c>
      <c r="L722" s="498"/>
      <c r="M722" s="189"/>
      <c r="N722" s="766"/>
      <c r="O722" s="498"/>
      <c r="P722" s="49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</row>
    <row r="723" spans="1:26" ht="18.75" hidden="1">
      <c r="A723" s="744"/>
      <c r="B723" s="763"/>
      <c r="C723" s="763"/>
      <c r="D723" s="763"/>
      <c r="E723" s="763" t="s">
        <v>307</v>
      </c>
      <c r="F723" s="763"/>
      <c r="G723" s="189"/>
      <c r="H723" s="764" t="s">
        <v>35</v>
      </c>
      <c r="I723" s="765">
        <f ca="1">IFERROR(__xludf.DUMMYFUNCTION("IMPORTRANGE(""https://docs.google.com/spreadsheets/d/1QqKyyYR6Q21VydFLVH3TRQUabQu_ym0Zz7PgGX0-kHA/edit?usp=sharing"",""แผน!IL39"")"),0)</f>
        <v>0</v>
      </c>
      <c r="J723" s="270">
        <f ca="1">IFERROR(__xludf.DUMMYFUNCTION("IMPORTRANGE(""https://docs.google.com/spreadsheets/d/1XWAQStnk-4SwqDmLtmXYiTMKHgktTP8We1SCoS47DrQ/edit?usp=sharing"",""จัดที่ดิน!BM39"")"),0)</f>
        <v>0</v>
      </c>
      <c r="K723" s="498">
        <f t="shared" ca="1" si="291"/>
        <v>0</v>
      </c>
      <c r="L723" s="498"/>
      <c r="M723" s="189"/>
      <c r="N723" s="766"/>
      <c r="O723" s="498"/>
      <c r="P723" s="49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</row>
    <row r="724" spans="1:26" ht="18.75" hidden="1">
      <c r="A724" s="744"/>
      <c r="B724" s="763"/>
      <c r="C724" s="763"/>
      <c r="D724" s="763"/>
      <c r="E724" s="763"/>
      <c r="F724" s="763"/>
      <c r="G724" s="189"/>
      <c r="H724" s="764" t="s">
        <v>34</v>
      </c>
      <c r="I724" s="765"/>
      <c r="J724" s="270">
        <f ca="1">IFERROR(__xludf.DUMMYFUNCTION("IMPORTRANGE(""https://docs.google.com/spreadsheets/d/1XWAQStnk-4SwqDmLtmXYiTMKHgktTP8We1SCoS47DrQ/edit?usp=sharing"",""จัดที่ดิน!BN39"")"),0)</f>
        <v>0</v>
      </c>
      <c r="K724" s="498"/>
      <c r="L724" s="766"/>
      <c r="M724" s="189"/>
      <c r="N724" s="766"/>
      <c r="O724" s="498"/>
      <c r="P724" s="49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</row>
    <row r="725" spans="1:26" ht="18.75" hidden="1">
      <c r="A725" s="744"/>
      <c r="B725" s="763"/>
      <c r="C725" s="763"/>
      <c r="D725" s="763"/>
      <c r="E725" s="763"/>
      <c r="F725" s="763"/>
      <c r="G725" s="189"/>
      <c r="H725" s="764" t="s">
        <v>46</v>
      </c>
      <c r="I725" s="765">
        <f ca="1">IFERROR(__xludf.DUMMYFUNCTION("IMPORTRANGE(""https://docs.google.com/spreadsheets/d/1QqKyyYR6Q21VydFLVH3TRQUabQu_ym0Zz7PgGX0-kHA/edit?usp=sharing"",""แผน!IM39"")"),0)</f>
        <v>0</v>
      </c>
      <c r="J725" s="270">
        <f ca="1">IFERROR(__xludf.DUMMYFUNCTION("IMPORTRANGE(""https://docs.google.com/spreadsheets/d/1XWAQStnk-4SwqDmLtmXYiTMKHgktTP8We1SCoS47DrQ/edit?usp=sharing"",""จัดที่ดิน!BO39"")"),0)</f>
        <v>0</v>
      </c>
      <c r="K725" s="498">
        <f t="shared" ref="K725:K726" ca="1" si="292">IF(I725&gt;0,J725*100/I725,0)</f>
        <v>0</v>
      </c>
      <c r="L725" s="766"/>
      <c r="M725" s="189"/>
      <c r="N725" s="766"/>
      <c r="O725" s="498"/>
      <c r="P725" s="49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</row>
    <row r="726" spans="1:26" ht="18.75" hidden="1">
      <c r="A726" s="744"/>
      <c r="B726" s="763"/>
      <c r="C726" s="763"/>
      <c r="D726" s="763"/>
      <c r="E726" s="763" t="s">
        <v>308</v>
      </c>
      <c r="F726" s="763"/>
      <c r="G726" s="189"/>
      <c r="H726" s="764" t="s">
        <v>35</v>
      </c>
      <c r="I726" s="765">
        <f ca="1">IFERROR(__xludf.DUMMYFUNCTION("IMPORTRANGE(""https://docs.google.com/spreadsheets/d/1QqKyyYR6Q21VydFLVH3TRQUabQu_ym0Zz7PgGX0-kHA/edit?usp=sharing"",""แผน!IN39"")"),0)</f>
        <v>0</v>
      </c>
      <c r="J726" s="270">
        <f ca="1">IFERROR(__xludf.DUMMYFUNCTION("IMPORTRANGE(""https://docs.google.com/spreadsheets/d/1XWAQStnk-4SwqDmLtmXYiTMKHgktTP8We1SCoS47DrQ/edit?usp=sharing"",""จัดที่ดิน!BR39"")"),0)</f>
        <v>0</v>
      </c>
      <c r="K726" s="498">
        <f t="shared" ca="1" si="292"/>
        <v>0</v>
      </c>
      <c r="L726" s="498"/>
      <c r="M726" s="189"/>
      <c r="N726" s="766"/>
      <c r="O726" s="498"/>
      <c r="P726" s="49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</row>
    <row r="727" spans="1:26" ht="18.75" hidden="1">
      <c r="A727" s="744"/>
      <c r="B727" s="763"/>
      <c r="C727" s="763"/>
      <c r="D727" s="763"/>
      <c r="E727" s="763"/>
      <c r="F727" s="763"/>
      <c r="G727" s="189"/>
      <c r="H727" s="764" t="s">
        <v>34</v>
      </c>
      <c r="I727" s="765"/>
      <c r="J727" s="270">
        <f ca="1">IFERROR(__xludf.DUMMYFUNCTION("IMPORTRANGE(""https://docs.google.com/spreadsheets/d/1XWAQStnk-4SwqDmLtmXYiTMKHgktTP8We1SCoS47DrQ/edit?usp=sharing"",""จัดที่ดิน!BS39"")"),0)</f>
        <v>0</v>
      </c>
      <c r="K727" s="498"/>
      <c r="L727" s="766"/>
      <c r="M727" s="189"/>
      <c r="N727" s="766"/>
      <c r="O727" s="498"/>
      <c r="P727" s="49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</row>
    <row r="728" spans="1:26" ht="18.75" hidden="1">
      <c r="A728" s="744"/>
      <c r="B728" s="763"/>
      <c r="C728" s="763"/>
      <c r="D728" s="763"/>
      <c r="E728" s="763"/>
      <c r="F728" s="763"/>
      <c r="G728" s="189"/>
      <c r="H728" s="764" t="s">
        <v>46</v>
      </c>
      <c r="I728" s="765">
        <f ca="1">IFERROR(__xludf.DUMMYFUNCTION("IMPORTRANGE(""https://docs.google.com/spreadsheets/d/1QqKyyYR6Q21VydFLVH3TRQUabQu_ym0Zz7PgGX0-kHA/edit?usp=sharing"",""แผน!IO39"")"),0)</f>
        <v>0</v>
      </c>
      <c r="J728" s="270">
        <f ca="1">IFERROR(__xludf.DUMMYFUNCTION("IMPORTRANGE(""https://docs.google.com/spreadsheets/d/1XWAQStnk-4SwqDmLtmXYiTMKHgktTP8We1SCoS47DrQ/edit?usp=sharing"",""จัดที่ดิน!BT39"")"),0)</f>
        <v>0</v>
      </c>
      <c r="K728" s="498">
        <f t="shared" ref="K728:K729" ca="1" si="293">IF(I728&gt;0,J728*100/I728,0)</f>
        <v>0</v>
      </c>
      <c r="L728" s="766"/>
      <c r="M728" s="189"/>
      <c r="N728" s="766"/>
      <c r="O728" s="498"/>
      <c r="P728" s="49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</row>
    <row r="729" spans="1:26" ht="19.5" hidden="1">
      <c r="A729" s="744"/>
      <c r="B729" s="763"/>
      <c r="C729" s="763"/>
      <c r="D729" s="763" t="s">
        <v>309</v>
      </c>
      <c r="E729" s="763"/>
      <c r="F729" s="763"/>
      <c r="G729" s="189"/>
      <c r="H729" s="767" t="s">
        <v>46</v>
      </c>
      <c r="I729" s="768">
        <f ca="1">IFERROR(__xludf.DUMMYFUNCTION("IMPORTRANGE(""https://docs.google.com/spreadsheets/d/1QqKyyYR6Q21VydFLVH3TRQUabQu_ym0Zz7PgGX0-kHA/edit?usp=sharing"",""แผน!IP39"")"),0)</f>
        <v>0</v>
      </c>
      <c r="J729" s="681">
        <f>J732+J735</f>
        <v>0</v>
      </c>
      <c r="K729" s="195">
        <f t="shared" ca="1" si="293"/>
        <v>0</v>
      </c>
      <c r="L729" s="498"/>
      <c r="M729" s="189"/>
      <c r="N729" s="766"/>
      <c r="O729" s="498"/>
      <c r="P729" s="49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</row>
    <row r="730" spans="1:26" ht="18.75" hidden="1">
      <c r="A730" s="744"/>
      <c r="B730" s="763"/>
      <c r="C730" s="763"/>
      <c r="D730" s="763"/>
      <c r="E730" s="763" t="s">
        <v>310</v>
      </c>
      <c r="F730" s="763"/>
      <c r="G730" s="189"/>
      <c r="H730" s="764" t="s">
        <v>35</v>
      </c>
      <c r="I730" s="765"/>
      <c r="J730" s="215">
        <v>0</v>
      </c>
      <c r="K730" s="498"/>
      <c r="L730" s="766"/>
      <c r="M730" s="498"/>
      <c r="N730" s="766"/>
      <c r="O730" s="498"/>
      <c r="P730" s="49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</row>
    <row r="731" spans="1:26" ht="18.75" hidden="1">
      <c r="A731" s="744"/>
      <c r="B731" s="763"/>
      <c r="C731" s="763"/>
      <c r="D731" s="763"/>
      <c r="E731" s="763"/>
      <c r="F731" s="763"/>
      <c r="G731" s="189"/>
      <c r="H731" s="764" t="s">
        <v>34</v>
      </c>
      <c r="I731" s="765"/>
      <c r="J731" s="215">
        <v>0</v>
      </c>
      <c r="K731" s="498"/>
      <c r="L731" s="766"/>
      <c r="M731" s="498"/>
      <c r="N731" s="766"/>
      <c r="O731" s="498"/>
      <c r="P731" s="49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</row>
    <row r="732" spans="1:26" ht="18.75" hidden="1">
      <c r="A732" s="744"/>
      <c r="B732" s="763"/>
      <c r="C732" s="763"/>
      <c r="D732" s="763"/>
      <c r="E732" s="763"/>
      <c r="F732" s="763"/>
      <c r="G732" s="189"/>
      <c r="H732" s="764" t="s">
        <v>46</v>
      </c>
      <c r="I732" s="765"/>
      <c r="J732" s="215">
        <v>0</v>
      </c>
      <c r="K732" s="498"/>
      <c r="L732" s="766"/>
      <c r="M732" s="498"/>
      <c r="N732" s="766"/>
      <c r="O732" s="498"/>
      <c r="P732" s="49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</row>
    <row r="733" spans="1:26" ht="18.75" hidden="1">
      <c r="A733" s="744"/>
      <c r="B733" s="763"/>
      <c r="C733" s="763"/>
      <c r="D733" s="763"/>
      <c r="E733" s="763" t="s">
        <v>311</v>
      </c>
      <c r="F733" s="763"/>
      <c r="G733" s="189"/>
      <c r="H733" s="764" t="s">
        <v>35</v>
      </c>
      <c r="I733" s="765"/>
      <c r="J733" s="215">
        <v>0</v>
      </c>
      <c r="K733" s="498"/>
      <c r="L733" s="766"/>
      <c r="M733" s="498"/>
      <c r="N733" s="766"/>
      <c r="O733" s="498"/>
      <c r="P733" s="49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</row>
    <row r="734" spans="1:26" ht="18.75" hidden="1">
      <c r="A734" s="744"/>
      <c r="B734" s="763"/>
      <c r="C734" s="763"/>
      <c r="D734" s="763"/>
      <c r="E734" s="763"/>
      <c r="F734" s="763"/>
      <c r="G734" s="189"/>
      <c r="H734" s="764" t="s">
        <v>34</v>
      </c>
      <c r="I734" s="765"/>
      <c r="J734" s="215">
        <v>0</v>
      </c>
      <c r="K734" s="498"/>
      <c r="L734" s="766"/>
      <c r="M734" s="498"/>
      <c r="N734" s="766"/>
      <c r="O734" s="498"/>
      <c r="P734" s="49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</row>
    <row r="735" spans="1:26" ht="19.5" hidden="1">
      <c r="A735" s="770"/>
      <c r="B735" s="771" t="s">
        <v>312</v>
      </c>
      <c r="C735" s="734"/>
      <c r="D735" s="734"/>
      <c r="E735" s="734"/>
      <c r="F735" s="734"/>
      <c r="G735" s="735"/>
      <c r="H735" s="422" t="s">
        <v>46</v>
      </c>
      <c r="I735" s="772"/>
      <c r="J735" s="424">
        <v>0</v>
      </c>
      <c r="K735" s="507"/>
      <c r="L735" s="773"/>
      <c r="M735" s="507"/>
      <c r="N735" s="773"/>
      <c r="O735" s="507"/>
      <c r="P735" s="507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</row>
    <row r="736" spans="1:26" ht="19.5" hidden="1">
      <c r="A736" s="774">
        <v>9</v>
      </c>
      <c r="B736" s="775" t="s">
        <v>313</v>
      </c>
      <c r="C736" s="776"/>
      <c r="D736" s="776"/>
      <c r="E736" s="776"/>
      <c r="F736" s="776"/>
      <c r="G736" s="777"/>
      <c r="H736" s="778" t="s">
        <v>46</v>
      </c>
      <c r="I736" s="779"/>
      <c r="J736" s="779">
        <f>J751</f>
        <v>0</v>
      </c>
      <c r="K736" s="780">
        <f>IF(I736&gt;0,J736*100/I736,0)</f>
        <v>0</v>
      </c>
      <c r="L736" s="781"/>
      <c r="M736" s="781"/>
      <c r="N736" s="781"/>
      <c r="O736" s="781"/>
      <c r="P736" s="781"/>
      <c r="Q736" s="604"/>
      <c r="R736" s="604"/>
      <c r="S736" s="604"/>
      <c r="T736" s="604"/>
      <c r="U736" s="604"/>
      <c r="V736" s="604"/>
      <c r="W736" s="604"/>
      <c r="X736" s="604"/>
      <c r="Y736" s="604"/>
      <c r="Z736" s="604"/>
    </row>
    <row r="737" spans="1:26" ht="19.5" hidden="1">
      <c r="A737" s="599"/>
      <c r="B737" s="759"/>
      <c r="C737" s="759" t="s">
        <v>16</v>
      </c>
      <c r="D737" s="864" t="s">
        <v>17</v>
      </c>
      <c r="E737" s="857"/>
      <c r="F737" s="857"/>
      <c r="G737" s="603"/>
      <c r="H737" s="646" t="s">
        <v>12</v>
      </c>
      <c r="I737" s="617"/>
      <c r="J737" s="617"/>
      <c r="K737" s="93"/>
      <c r="L737" s="647">
        <f t="shared" ref="L737:N737" si="294">L738+L739</f>
        <v>0</v>
      </c>
      <c r="M737" s="647">
        <f t="shared" si="294"/>
        <v>0</v>
      </c>
      <c r="N737" s="647">
        <f t="shared" si="294"/>
        <v>0</v>
      </c>
      <c r="O737" s="647">
        <f t="shared" ref="O737:O742" si="295">IF(L737&gt;0,N737*100/L737,0)</f>
        <v>0</v>
      </c>
      <c r="P737" s="647">
        <f t="shared" ref="P737:P742" si="296">IF(M737&gt;0,N737*100/M737,0)</f>
        <v>0</v>
      </c>
      <c r="Q737" s="604"/>
      <c r="R737" s="604"/>
      <c r="S737" s="604"/>
      <c r="T737" s="604"/>
      <c r="U737" s="604"/>
      <c r="V737" s="604"/>
      <c r="W737" s="604"/>
      <c r="X737" s="604"/>
      <c r="Y737" s="604"/>
      <c r="Z737" s="604"/>
    </row>
    <row r="738" spans="1:26" ht="18.75" hidden="1">
      <c r="A738" s="599"/>
      <c r="B738" s="759"/>
      <c r="C738" s="759"/>
      <c r="D738" s="720"/>
      <c r="E738" s="759" t="s">
        <v>185</v>
      </c>
      <c r="F738" s="759"/>
      <c r="G738" s="603"/>
      <c r="H738" s="165" t="s">
        <v>12</v>
      </c>
      <c r="I738" s="617"/>
      <c r="J738" s="617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4"/>
      <c r="R738" s="604"/>
      <c r="S738" s="604"/>
      <c r="T738" s="604"/>
      <c r="U738" s="604"/>
      <c r="V738" s="604"/>
      <c r="W738" s="604"/>
      <c r="X738" s="604"/>
      <c r="Y738" s="604"/>
      <c r="Z738" s="604"/>
    </row>
    <row r="739" spans="1:26" ht="18.75" hidden="1">
      <c r="A739" s="599"/>
      <c r="B739" s="607"/>
      <c r="C739" s="759"/>
      <c r="D739" s="720"/>
      <c r="E739" s="759" t="s">
        <v>186</v>
      </c>
      <c r="F739" s="759"/>
      <c r="G739" s="603"/>
      <c r="H739" s="165" t="s">
        <v>12</v>
      </c>
      <c r="I739" s="617"/>
      <c r="J739" s="617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4"/>
      <c r="R739" s="604"/>
      <c r="S739" s="604"/>
      <c r="T739" s="604"/>
      <c r="U739" s="604"/>
      <c r="V739" s="604"/>
      <c r="W739" s="604"/>
      <c r="X739" s="604"/>
      <c r="Y739" s="604"/>
      <c r="Z739" s="604"/>
    </row>
    <row r="740" spans="1:26" ht="19.5" hidden="1">
      <c r="A740" s="599"/>
      <c r="B740" s="607"/>
      <c r="C740" s="759"/>
      <c r="D740" s="645" t="s">
        <v>20</v>
      </c>
      <c r="E740" s="759"/>
      <c r="F740" s="759"/>
      <c r="G740" s="603"/>
      <c r="H740" s="646" t="s">
        <v>12</v>
      </c>
      <c r="I740" s="166"/>
      <c r="J740" s="166"/>
      <c r="K740" s="167"/>
      <c r="L740" s="647">
        <f t="shared" ref="L740:N740" si="298">L741+L742</f>
        <v>0</v>
      </c>
      <c r="M740" s="647">
        <f t="shared" si="298"/>
        <v>0</v>
      </c>
      <c r="N740" s="647">
        <f t="shared" si="298"/>
        <v>0</v>
      </c>
      <c r="O740" s="647">
        <f t="shared" si="295"/>
        <v>0</v>
      </c>
      <c r="P740" s="647">
        <f t="shared" si="296"/>
        <v>0</v>
      </c>
      <c r="Q740" s="604"/>
      <c r="R740" s="604"/>
      <c r="S740" s="604"/>
      <c r="T740" s="604"/>
      <c r="U740" s="604"/>
      <c r="V740" s="604"/>
      <c r="W740" s="604"/>
      <c r="X740" s="604"/>
      <c r="Y740" s="604"/>
      <c r="Z740" s="604"/>
    </row>
    <row r="741" spans="1:26" ht="18.75" hidden="1">
      <c r="A741" s="599"/>
      <c r="B741" s="607"/>
      <c r="C741" s="759"/>
      <c r="D741" s="720"/>
      <c r="E741" s="759" t="s">
        <v>185</v>
      </c>
      <c r="F741" s="759"/>
      <c r="G741" s="603"/>
      <c r="H741" s="165" t="s">
        <v>12</v>
      </c>
      <c r="I741" s="617"/>
      <c r="J741" s="617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4"/>
      <c r="R741" s="604"/>
      <c r="S741" s="604"/>
      <c r="T741" s="604"/>
      <c r="U741" s="604"/>
      <c r="V741" s="604"/>
      <c r="W741" s="604"/>
      <c r="X741" s="604"/>
      <c r="Y741" s="604"/>
      <c r="Z741" s="604"/>
    </row>
    <row r="742" spans="1:26" ht="18.75" hidden="1">
      <c r="A742" s="599"/>
      <c r="B742" s="607"/>
      <c r="C742" s="759"/>
      <c r="D742" s="720"/>
      <c r="E742" s="759" t="s">
        <v>186</v>
      </c>
      <c r="F742" s="759"/>
      <c r="G742" s="603"/>
      <c r="H742" s="165" t="s">
        <v>12</v>
      </c>
      <c r="I742" s="617"/>
      <c r="J742" s="617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4"/>
      <c r="R742" s="604"/>
      <c r="S742" s="604"/>
      <c r="T742" s="604"/>
      <c r="U742" s="604"/>
      <c r="V742" s="604"/>
      <c r="W742" s="604"/>
      <c r="X742" s="604"/>
      <c r="Y742" s="604"/>
      <c r="Z742" s="604"/>
    </row>
    <row r="743" spans="1:26" ht="18.75" hidden="1">
      <c r="A743" s="649"/>
      <c r="B743" s="607"/>
      <c r="C743" s="759"/>
      <c r="D743" s="759"/>
      <c r="E743" s="759"/>
      <c r="F743" s="759" t="s">
        <v>187</v>
      </c>
      <c r="G743" s="603"/>
      <c r="H743" s="165" t="s">
        <v>12</v>
      </c>
      <c r="I743" s="617"/>
      <c r="J743" s="617"/>
      <c r="K743" s="93"/>
      <c r="L743" s="93"/>
      <c r="M743" s="93"/>
      <c r="N743" s="93"/>
      <c r="O743" s="93"/>
      <c r="P743" s="93"/>
      <c r="Q743" s="604"/>
      <c r="R743" s="604"/>
      <c r="S743" s="604"/>
      <c r="T743" s="604"/>
      <c r="U743" s="604"/>
      <c r="V743" s="604"/>
      <c r="W743" s="604"/>
      <c r="X743" s="604"/>
      <c r="Y743" s="604"/>
      <c r="Z743" s="604"/>
    </row>
    <row r="744" spans="1:26" ht="18.75" hidden="1">
      <c r="A744" s="649"/>
      <c r="B744" s="607"/>
      <c r="C744" s="759"/>
      <c r="D744" s="759"/>
      <c r="E744" s="759"/>
      <c r="F744" s="759" t="s">
        <v>188</v>
      </c>
      <c r="G744" s="603"/>
      <c r="H744" s="165" t="s">
        <v>12</v>
      </c>
      <c r="I744" s="617"/>
      <c r="J744" s="617"/>
      <c r="K744" s="93"/>
      <c r="L744" s="93"/>
      <c r="M744" s="93"/>
      <c r="N744" s="93"/>
      <c r="O744" s="93"/>
      <c r="P744" s="93"/>
      <c r="Q744" s="604"/>
      <c r="R744" s="604"/>
      <c r="S744" s="604"/>
      <c r="T744" s="604"/>
      <c r="U744" s="604"/>
      <c r="V744" s="604"/>
      <c r="W744" s="604"/>
      <c r="X744" s="604"/>
      <c r="Y744" s="604"/>
      <c r="Z744" s="604"/>
    </row>
    <row r="745" spans="1:26" ht="18.75" hidden="1">
      <c r="A745" s="649"/>
      <c r="B745" s="607"/>
      <c r="C745" s="759"/>
      <c r="D745" s="759"/>
      <c r="E745" s="759"/>
      <c r="F745" s="759" t="s">
        <v>189</v>
      </c>
      <c r="G745" s="603"/>
      <c r="H745" s="165" t="s">
        <v>12</v>
      </c>
      <c r="I745" s="617"/>
      <c r="J745" s="617"/>
      <c r="K745" s="93"/>
      <c r="L745" s="93"/>
      <c r="M745" s="93"/>
      <c r="N745" s="93"/>
      <c r="O745" s="93"/>
      <c r="P745" s="93"/>
      <c r="Q745" s="604"/>
      <c r="R745" s="604"/>
      <c r="S745" s="604"/>
      <c r="T745" s="604"/>
      <c r="U745" s="604"/>
      <c r="V745" s="604"/>
      <c r="W745" s="604"/>
      <c r="X745" s="604"/>
      <c r="Y745" s="604"/>
      <c r="Z745" s="604"/>
    </row>
    <row r="746" spans="1:26" ht="18.75" hidden="1">
      <c r="A746" s="649"/>
      <c r="B746" s="607"/>
      <c r="C746" s="759"/>
      <c r="D746" s="759"/>
      <c r="E746" s="759"/>
      <c r="F746" s="759" t="s">
        <v>190</v>
      </c>
      <c r="G746" s="603"/>
      <c r="H746" s="165" t="s">
        <v>12</v>
      </c>
      <c r="I746" s="617"/>
      <c r="J746" s="617"/>
      <c r="K746" s="93"/>
      <c r="L746" s="93"/>
      <c r="M746" s="93"/>
      <c r="N746" s="93"/>
      <c r="O746" s="93"/>
      <c r="P746" s="93"/>
      <c r="Q746" s="604"/>
      <c r="R746" s="604"/>
      <c r="S746" s="604"/>
      <c r="T746" s="604"/>
      <c r="U746" s="604"/>
      <c r="V746" s="604"/>
      <c r="W746" s="604"/>
      <c r="X746" s="604"/>
      <c r="Y746" s="604"/>
      <c r="Z746" s="604"/>
    </row>
    <row r="747" spans="1:26" ht="19.5" hidden="1">
      <c r="A747" s="599"/>
      <c r="B747" s="607"/>
      <c r="C747" s="759"/>
      <c r="D747" s="645" t="s">
        <v>21</v>
      </c>
      <c r="E747" s="759"/>
      <c r="F747" s="759"/>
      <c r="G747" s="603"/>
      <c r="H747" s="783" t="s">
        <v>12</v>
      </c>
      <c r="I747" s="166"/>
      <c r="J747" s="166"/>
      <c r="K747" s="167"/>
      <c r="L747" s="647">
        <f t="shared" ref="L747:N747" si="299">L748+L749</f>
        <v>0</v>
      </c>
      <c r="M747" s="647">
        <f t="shared" si="299"/>
        <v>0</v>
      </c>
      <c r="N747" s="647">
        <f t="shared" si="299"/>
        <v>0</v>
      </c>
      <c r="O747" s="647">
        <f t="shared" ref="O747:O749" si="300">IF(L747&gt;0,N747*100/L747,0)</f>
        <v>0</v>
      </c>
      <c r="P747" s="647">
        <f t="shared" ref="P747:P749" si="301">IF(M747&gt;0,N747*100/M747,0)</f>
        <v>0</v>
      </c>
      <c r="Q747" s="604"/>
      <c r="R747" s="604"/>
      <c r="S747" s="604"/>
      <c r="T747" s="604"/>
      <c r="U747" s="604"/>
      <c r="V747" s="604"/>
      <c r="W747" s="604"/>
      <c r="X747" s="604"/>
      <c r="Y747" s="604"/>
      <c r="Z747" s="604"/>
    </row>
    <row r="748" spans="1:26" ht="18.75" hidden="1">
      <c r="A748" s="599"/>
      <c r="B748" s="607"/>
      <c r="C748" s="759"/>
      <c r="D748" s="759"/>
      <c r="E748" s="759" t="s">
        <v>18</v>
      </c>
      <c r="F748" s="759"/>
      <c r="G748" s="603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4"/>
      <c r="R748" s="604"/>
      <c r="S748" s="604"/>
      <c r="T748" s="604"/>
      <c r="U748" s="604"/>
      <c r="V748" s="604"/>
      <c r="W748" s="604"/>
      <c r="X748" s="604"/>
      <c r="Y748" s="604"/>
      <c r="Z748" s="604"/>
    </row>
    <row r="749" spans="1:26" ht="18.75" hidden="1">
      <c r="A749" s="599"/>
      <c r="B749" s="607"/>
      <c r="C749" s="759"/>
      <c r="D749" s="759"/>
      <c r="E749" s="759" t="s">
        <v>19</v>
      </c>
      <c r="F749" s="759"/>
      <c r="G749" s="603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4"/>
      <c r="R749" s="604"/>
      <c r="S749" s="604"/>
      <c r="T749" s="604"/>
      <c r="U749" s="604"/>
      <c r="V749" s="604"/>
      <c r="W749" s="604"/>
      <c r="X749" s="604"/>
      <c r="Y749" s="604"/>
      <c r="Z749" s="604"/>
    </row>
    <row r="750" spans="1:26" ht="19.5" hidden="1">
      <c r="A750" s="614"/>
      <c r="B750" s="616"/>
      <c r="C750" s="759" t="s">
        <v>16</v>
      </c>
      <c r="D750" s="899" t="s">
        <v>38</v>
      </c>
      <c r="E750" s="651"/>
      <c r="F750" s="651"/>
      <c r="G750" s="652"/>
      <c r="H750" s="366"/>
      <c r="I750" s="166"/>
      <c r="J750" s="166"/>
      <c r="K750" s="167"/>
      <c r="L750" s="167"/>
      <c r="M750" s="167"/>
      <c r="N750" s="167"/>
      <c r="O750" s="167"/>
      <c r="P750" s="167"/>
      <c r="Q750" s="604"/>
      <c r="R750" s="604"/>
      <c r="S750" s="604"/>
      <c r="T750" s="604"/>
      <c r="U750" s="604"/>
      <c r="V750" s="604"/>
      <c r="W750" s="604"/>
      <c r="X750" s="604"/>
      <c r="Y750" s="604"/>
      <c r="Z750" s="604"/>
    </row>
    <row r="751" spans="1:26" ht="18.75" hidden="1">
      <c r="A751" s="649"/>
      <c r="B751" s="607"/>
      <c r="C751" s="759"/>
      <c r="D751" s="759"/>
      <c r="E751" s="759" t="s">
        <v>314</v>
      </c>
      <c r="F751" s="759"/>
      <c r="G751" s="603"/>
      <c r="H751" s="165" t="s">
        <v>46</v>
      </c>
      <c r="I751" s="617"/>
      <c r="J751" s="617"/>
      <c r="K751" s="93"/>
      <c r="L751" s="93"/>
      <c r="M751" s="93"/>
      <c r="N751" s="93"/>
      <c r="O751" s="93"/>
      <c r="P751" s="93"/>
      <c r="Q751" s="604"/>
      <c r="R751" s="604"/>
      <c r="S751" s="604"/>
      <c r="T751" s="604"/>
      <c r="U751" s="604"/>
      <c r="V751" s="604"/>
      <c r="W751" s="604"/>
      <c r="X751" s="604"/>
      <c r="Y751" s="604"/>
      <c r="Z751" s="604"/>
    </row>
    <row r="752" spans="1:26" ht="18.75" hidden="1">
      <c r="A752" s="649"/>
      <c r="B752" s="607"/>
      <c r="C752" s="759"/>
      <c r="D752" s="759"/>
      <c r="E752" s="759"/>
      <c r="F752" s="759"/>
      <c r="G752" s="603"/>
      <c r="H752" s="165" t="s">
        <v>315</v>
      </c>
      <c r="I752" s="617"/>
      <c r="J752" s="617"/>
      <c r="K752" s="93"/>
      <c r="L752" s="93"/>
      <c r="M752" s="93"/>
      <c r="N752" s="93"/>
      <c r="O752" s="93"/>
      <c r="P752" s="93"/>
      <c r="Q752" s="604"/>
      <c r="R752" s="604"/>
      <c r="S752" s="604"/>
      <c r="T752" s="604"/>
      <c r="U752" s="604"/>
      <c r="V752" s="604"/>
      <c r="W752" s="604"/>
      <c r="X752" s="604"/>
      <c r="Y752" s="604"/>
      <c r="Z752" s="604"/>
    </row>
    <row r="753" spans="1:26" ht="19.5" hidden="1">
      <c r="A753" s="785">
        <v>10</v>
      </c>
      <c r="B753" s="786" t="s">
        <v>316</v>
      </c>
      <c r="C753" s="787"/>
      <c r="D753" s="787"/>
      <c r="E753" s="787"/>
      <c r="F753" s="787"/>
      <c r="G753" s="788"/>
      <c r="H753" s="789" t="s">
        <v>46</v>
      </c>
      <c r="I753" s="790"/>
      <c r="J753" s="790">
        <f>J768</f>
        <v>0</v>
      </c>
      <c r="K753" s="791">
        <f>IF(I753&gt;0,J753*100/I753,0)</f>
        <v>0</v>
      </c>
      <c r="L753" s="792"/>
      <c r="M753" s="792"/>
      <c r="N753" s="792"/>
      <c r="O753" s="792"/>
      <c r="P753" s="792"/>
      <c r="Q753" s="604"/>
      <c r="R753" s="604"/>
      <c r="S753" s="604"/>
      <c r="T753" s="604"/>
      <c r="U753" s="604"/>
      <c r="V753" s="604"/>
      <c r="W753" s="604"/>
      <c r="X753" s="604"/>
      <c r="Y753" s="604"/>
      <c r="Z753" s="604"/>
    </row>
    <row r="754" spans="1:26" ht="19.5" hidden="1">
      <c r="A754" s="599"/>
      <c r="B754" s="759"/>
      <c r="C754" s="759" t="s">
        <v>16</v>
      </c>
      <c r="D754" s="864" t="s">
        <v>17</v>
      </c>
      <c r="E754" s="857"/>
      <c r="F754" s="857"/>
      <c r="G754" s="603"/>
      <c r="H754" s="646" t="s">
        <v>12</v>
      </c>
      <c r="I754" s="617"/>
      <c r="J754" s="617"/>
      <c r="K754" s="93"/>
      <c r="L754" s="647">
        <f t="shared" ref="L754:N754" si="302">L755+L756</f>
        <v>0</v>
      </c>
      <c r="M754" s="647">
        <f t="shared" si="302"/>
        <v>0</v>
      </c>
      <c r="N754" s="647">
        <f t="shared" si="302"/>
        <v>0</v>
      </c>
      <c r="O754" s="647">
        <f t="shared" ref="O754:O759" si="303">IF(L754&gt;0,N754*100/L754,0)</f>
        <v>0</v>
      </c>
      <c r="P754" s="647">
        <f t="shared" ref="P754:P759" si="304">IF(M754&gt;0,N754*100/M754,0)</f>
        <v>0</v>
      </c>
      <c r="Q754" s="604"/>
      <c r="R754" s="604"/>
      <c r="S754" s="604"/>
      <c r="T754" s="604"/>
      <c r="U754" s="604"/>
      <c r="V754" s="604"/>
      <c r="W754" s="604"/>
      <c r="X754" s="604"/>
      <c r="Y754" s="604"/>
      <c r="Z754" s="604"/>
    </row>
    <row r="755" spans="1:26" ht="18.75" hidden="1">
      <c r="A755" s="599"/>
      <c r="B755" s="759"/>
      <c r="C755" s="759"/>
      <c r="D755" s="720"/>
      <c r="E755" s="759" t="s">
        <v>185</v>
      </c>
      <c r="F755" s="759"/>
      <c r="G755" s="603"/>
      <c r="H755" s="165" t="s">
        <v>12</v>
      </c>
      <c r="I755" s="617"/>
      <c r="J755" s="617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4"/>
      <c r="R755" s="604"/>
      <c r="S755" s="604"/>
      <c r="T755" s="604"/>
      <c r="U755" s="604"/>
      <c r="V755" s="604"/>
      <c r="W755" s="604"/>
      <c r="X755" s="604"/>
      <c r="Y755" s="604"/>
      <c r="Z755" s="604"/>
    </row>
    <row r="756" spans="1:26" ht="18.75" hidden="1">
      <c r="A756" s="599"/>
      <c r="B756" s="607"/>
      <c r="C756" s="759"/>
      <c r="D756" s="720"/>
      <c r="E756" s="759" t="s">
        <v>186</v>
      </c>
      <c r="F756" s="759"/>
      <c r="G756" s="603"/>
      <c r="H756" s="165" t="s">
        <v>12</v>
      </c>
      <c r="I756" s="617"/>
      <c r="J756" s="617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4"/>
      <c r="R756" s="604"/>
      <c r="S756" s="604"/>
      <c r="T756" s="604"/>
      <c r="U756" s="604"/>
      <c r="V756" s="604"/>
      <c r="W756" s="604"/>
      <c r="X756" s="604"/>
      <c r="Y756" s="604"/>
      <c r="Z756" s="604"/>
    </row>
    <row r="757" spans="1:26" ht="19.5" hidden="1">
      <c r="A757" s="599"/>
      <c r="B757" s="607"/>
      <c r="C757" s="759"/>
      <c r="D757" s="645" t="s">
        <v>20</v>
      </c>
      <c r="E757" s="759"/>
      <c r="F757" s="759"/>
      <c r="G757" s="603"/>
      <c r="H757" s="646" t="s">
        <v>12</v>
      </c>
      <c r="I757" s="166"/>
      <c r="J757" s="166"/>
      <c r="K757" s="167"/>
      <c r="L757" s="647">
        <f t="shared" ref="L757:N757" si="306">L758+L759</f>
        <v>0</v>
      </c>
      <c r="M757" s="647">
        <f t="shared" si="306"/>
        <v>0</v>
      </c>
      <c r="N757" s="647">
        <f t="shared" si="306"/>
        <v>0</v>
      </c>
      <c r="O757" s="647">
        <f t="shared" si="303"/>
        <v>0</v>
      </c>
      <c r="P757" s="647">
        <f t="shared" si="304"/>
        <v>0</v>
      </c>
      <c r="Q757" s="604"/>
      <c r="R757" s="604"/>
      <c r="S757" s="604"/>
      <c r="T757" s="604"/>
      <c r="U757" s="604"/>
      <c r="V757" s="604"/>
      <c r="W757" s="604"/>
      <c r="X757" s="604"/>
      <c r="Y757" s="604"/>
      <c r="Z757" s="604"/>
    </row>
    <row r="758" spans="1:26" ht="18.75" hidden="1">
      <c r="A758" s="599"/>
      <c r="B758" s="607"/>
      <c r="C758" s="759"/>
      <c r="D758" s="720"/>
      <c r="E758" s="759" t="s">
        <v>185</v>
      </c>
      <c r="F758" s="759"/>
      <c r="G758" s="603"/>
      <c r="H758" s="165" t="s">
        <v>12</v>
      </c>
      <c r="I758" s="617"/>
      <c r="J758" s="617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4"/>
      <c r="R758" s="604"/>
      <c r="S758" s="604"/>
      <c r="T758" s="604"/>
      <c r="U758" s="604"/>
      <c r="V758" s="604"/>
      <c r="W758" s="604"/>
      <c r="X758" s="604"/>
      <c r="Y758" s="604"/>
      <c r="Z758" s="604"/>
    </row>
    <row r="759" spans="1:26" ht="18.75" hidden="1">
      <c r="A759" s="599"/>
      <c r="B759" s="607"/>
      <c r="C759" s="759"/>
      <c r="D759" s="720"/>
      <c r="E759" s="759" t="s">
        <v>186</v>
      </c>
      <c r="F759" s="759"/>
      <c r="G759" s="603"/>
      <c r="H759" s="165" t="s">
        <v>12</v>
      </c>
      <c r="I759" s="617"/>
      <c r="J759" s="617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4"/>
      <c r="R759" s="604"/>
      <c r="S759" s="604"/>
      <c r="T759" s="604"/>
      <c r="U759" s="604"/>
      <c r="V759" s="604"/>
      <c r="W759" s="604"/>
      <c r="X759" s="604"/>
      <c r="Y759" s="604"/>
      <c r="Z759" s="604"/>
    </row>
    <row r="760" spans="1:26" ht="18.75" hidden="1">
      <c r="A760" s="649"/>
      <c r="B760" s="607"/>
      <c r="C760" s="759"/>
      <c r="D760" s="759"/>
      <c r="E760" s="759"/>
      <c r="F760" s="759" t="s">
        <v>187</v>
      </c>
      <c r="G760" s="603"/>
      <c r="H760" s="165" t="s">
        <v>12</v>
      </c>
      <c r="I760" s="617"/>
      <c r="J760" s="617"/>
      <c r="K760" s="93"/>
      <c r="L760" s="93"/>
      <c r="M760" s="93"/>
      <c r="N760" s="93"/>
      <c r="O760" s="93"/>
      <c r="P760" s="93"/>
      <c r="Q760" s="604"/>
      <c r="R760" s="604"/>
      <c r="S760" s="604"/>
      <c r="T760" s="604"/>
      <c r="U760" s="604"/>
      <c r="V760" s="604"/>
      <c r="W760" s="604"/>
      <c r="X760" s="604"/>
      <c r="Y760" s="604"/>
      <c r="Z760" s="604"/>
    </row>
    <row r="761" spans="1:26" ht="18.75" hidden="1">
      <c r="A761" s="649"/>
      <c r="B761" s="607"/>
      <c r="C761" s="759"/>
      <c r="D761" s="759"/>
      <c r="E761" s="759"/>
      <c r="F761" s="759" t="s">
        <v>188</v>
      </c>
      <c r="G761" s="603"/>
      <c r="H761" s="165" t="s">
        <v>12</v>
      </c>
      <c r="I761" s="617"/>
      <c r="J761" s="617"/>
      <c r="K761" s="93"/>
      <c r="L761" s="93"/>
      <c r="M761" s="93"/>
      <c r="N761" s="93"/>
      <c r="O761" s="93"/>
      <c r="P761" s="93"/>
      <c r="Q761" s="604"/>
      <c r="R761" s="604"/>
      <c r="S761" s="604"/>
      <c r="T761" s="604"/>
      <c r="U761" s="604"/>
      <c r="V761" s="604"/>
      <c r="W761" s="604"/>
      <c r="X761" s="604"/>
      <c r="Y761" s="604"/>
      <c r="Z761" s="604"/>
    </row>
    <row r="762" spans="1:26" ht="18.75" hidden="1">
      <c r="A762" s="649"/>
      <c r="B762" s="607"/>
      <c r="C762" s="759"/>
      <c r="D762" s="759"/>
      <c r="E762" s="759"/>
      <c r="F762" s="759" t="s">
        <v>189</v>
      </c>
      <c r="G762" s="603"/>
      <c r="H762" s="165" t="s">
        <v>12</v>
      </c>
      <c r="I762" s="617"/>
      <c r="J762" s="617"/>
      <c r="K762" s="93"/>
      <c r="L762" s="93"/>
      <c r="M762" s="93"/>
      <c r="N762" s="93"/>
      <c r="O762" s="93"/>
      <c r="P762" s="93"/>
      <c r="Q762" s="604"/>
      <c r="R762" s="604"/>
      <c r="S762" s="604"/>
      <c r="T762" s="604"/>
      <c r="U762" s="604"/>
      <c r="V762" s="604"/>
      <c r="W762" s="604"/>
      <c r="X762" s="604"/>
      <c r="Y762" s="604"/>
      <c r="Z762" s="604"/>
    </row>
    <row r="763" spans="1:26" ht="18.75" hidden="1">
      <c r="A763" s="649"/>
      <c r="B763" s="607"/>
      <c r="C763" s="759"/>
      <c r="D763" s="759"/>
      <c r="E763" s="759"/>
      <c r="F763" s="759" t="s">
        <v>190</v>
      </c>
      <c r="G763" s="603"/>
      <c r="H763" s="165" t="s">
        <v>12</v>
      </c>
      <c r="I763" s="617"/>
      <c r="J763" s="617"/>
      <c r="K763" s="93"/>
      <c r="L763" s="93"/>
      <c r="M763" s="93"/>
      <c r="N763" s="93"/>
      <c r="O763" s="93"/>
      <c r="P763" s="93"/>
      <c r="Q763" s="604"/>
      <c r="R763" s="604"/>
      <c r="S763" s="604"/>
      <c r="T763" s="604"/>
      <c r="U763" s="604"/>
      <c r="V763" s="604"/>
      <c r="W763" s="604"/>
      <c r="X763" s="604"/>
      <c r="Y763" s="604"/>
      <c r="Z763" s="604"/>
    </row>
    <row r="764" spans="1:26" ht="19.5" hidden="1">
      <c r="A764" s="599"/>
      <c r="B764" s="607"/>
      <c r="C764" s="759"/>
      <c r="D764" s="645" t="s">
        <v>21</v>
      </c>
      <c r="E764" s="759"/>
      <c r="F764" s="759"/>
      <c r="G764" s="603"/>
      <c r="H764" s="783" t="s">
        <v>12</v>
      </c>
      <c r="I764" s="166"/>
      <c r="J764" s="166"/>
      <c r="K764" s="167"/>
      <c r="L764" s="647">
        <f t="shared" ref="L764:N764" si="307">L765+L766</f>
        <v>0</v>
      </c>
      <c r="M764" s="647">
        <f t="shared" si="307"/>
        <v>0</v>
      </c>
      <c r="N764" s="647">
        <f t="shared" si="307"/>
        <v>0</v>
      </c>
      <c r="O764" s="647">
        <f t="shared" ref="O764:O766" si="308">IF(L764&gt;0,N764*100/L764,0)</f>
        <v>0</v>
      </c>
      <c r="P764" s="647">
        <f t="shared" ref="P764:P766" si="309">IF(M764&gt;0,N764*100/M764,0)</f>
        <v>0</v>
      </c>
      <c r="Q764" s="604"/>
      <c r="R764" s="604"/>
      <c r="S764" s="604"/>
      <c r="T764" s="604"/>
      <c r="U764" s="604"/>
      <c r="V764" s="604"/>
      <c r="W764" s="604"/>
      <c r="X764" s="604"/>
      <c r="Y764" s="604"/>
      <c r="Z764" s="604"/>
    </row>
    <row r="765" spans="1:26" ht="18.75" hidden="1">
      <c r="A765" s="599"/>
      <c r="B765" s="607"/>
      <c r="C765" s="759"/>
      <c r="D765" s="759"/>
      <c r="E765" s="759" t="s">
        <v>18</v>
      </c>
      <c r="F765" s="759"/>
      <c r="G765" s="603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4"/>
      <c r="R765" s="604"/>
      <c r="S765" s="604"/>
      <c r="T765" s="604"/>
      <c r="U765" s="604"/>
      <c r="V765" s="604"/>
      <c r="W765" s="604"/>
      <c r="X765" s="604"/>
      <c r="Y765" s="604"/>
      <c r="Z765" s="604"/>
    </row>
    <row r="766" spans="1:26" ht="18.75" hidden="1">
      <c r="A766" s="599"/>
      <c r="B766" s="607"/>
      <c r="C766" s="759"/>
      <c r="D766" s="759"/>
      <c r="E766" s="759" t="s">
        <v>19</v>
      </c>
      <c r="F766" s="759"/>
      <c r="G766" s="603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4"/>
      <c r="R766" s="604"/>
      <c r="S766" s="604"/>
      <c r="T766" s="604"/>
      <c r="U766" s="604"/>
      <c r="V766" s="604"/>
      <c r="W766" s="604"/>
      <c r="X766" s="604"/>
      <c r="Y766" s="604"/>
      <c r="Z766" s="604"/>
    </row>
    <row r="767" spans="1:26" ht="19.5" hidden="1">
      <c r="A767" s="614"/>
      <c r="B767" s="616"/>
      <c r="C767" s="759" t="s">
        <v>16</v>
      </c>
      <c r="D767" s="899" t="s">
        <v>38</v>
      </c>
      <c r="E767" s="651"/>
      <c r="F767" s="651"/>
      <c r="G767" s="652"/>
      <c r="H767" s="366"/>
      <c r="I767" s="166"/>
      <c r="J767" s="166"/>
      <c r="K767" s="167"/>
      <c r="L767" s="167"/>
      <c r="M767" s="167"/>
      <c r="N767" s="167"/>
      <c r="O767" s="167"/>
      <c r="P767" s="167"/>
      <c r="Q767" s="604"/>
      <c r="R767" s="604"/>
      <c r="S767" s="604"/>
      <c r="T767" s="604"/>
      <c r="U767" s="604"/>
      <c r="V767" s="604"/>
      <c r="W767" s="604"/>
      <c r="X767" s="604"/>
      <c r="Y767" s="604"/>
      <c r="Z767" s="604"/>
    </row>
    <row r="768" spans="1:26" ht="18.75" hidden="1">
      <c r="A768" s="649"/>
      <c r="B768" s="607"/>
      <c r="C768" s="759"/>
      <c r="D768" s="759"/>
      <c r="E768" s="759" t="s">
        <v>317</v>
      </c>
      <c r="F768" s="759"/>
      <c r="G768" s="603"/>
      <c r="H768" s="165" t="s">
        <v>46</v>
      </c>
      <c r="I768" s="617"/>
      <c r="J768" s="617"/>
      <c r="K768" s="93"/>
      <c r="L768" s="93"/>
      <c r="M768" s="93"/>
      <c r="N768" s="93"/>
      <c r="O768" s="93"/>
      <c r="P768" s="93"/>
      <c r="Q768" s="604"/>
      <c r="R768" s="604"/>
      <c r="S768" s="604"/>
      <c r="T768" s="604"/>
      <c r="U768" s="604"/>
      <c r="V768" s="604"/>
      <c r="W768" s="604"/>
      <c r="X768" s="604"/>
      <c r="Y768" s="604"/>
      <c r="Z768" s="604"/>
    </row>
    <row r="769" spans="1:26" ht="19.5" hidden="1">
      <c r="A769" s="793">
        <v>11</v>
      </c>
      <c r="B769" s="794" t="s">
        <v>318</v>
      </c>
      <c r="C769" s="795"/>
      <c r="D769" s="795"/>
      <c r="E769" s="795"/>
      <c r="F769" s="795"/>
      <c r="G769" s="796"/>
      <c r="H769" s="797" t="s">
        <v>46</v>
      </c>
      <c r="I769" s="798"/>
      <c r="J769" s="798">
        <f>J784</f>
        <v>0</v>
      </c>
      <c r="K769" s="799">
        <f>IF(I769&gt;0,J769*100/I769,0)</f>
        <v>0</v>
      </c>
      <c r="L769" s="800"/>
      <c r="M769" s="800"/>
      <c r="N769" s="800"/>
      <c r="O769" s="800"/>
      <c r="P769" s="800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</row>
    <row r="770" spans="1:26" ht="19.5" hidden="1">
      <c r="A770" s="599"/>
      <c r="B770" s="759"/>
      <c r="C770" s="759" t="s">
        <v>16</v>
      </c>
      <c r="D770" s="864" t="s">
        <v>17</v>
      </c>
      <c r="E770" s="857"/>
      <c r="F770" s="857"/>
      <c r="G770" s="603"/>
      <c r="H770" s="646" t="s">
        <v>12</v>
      </c>
      <c r="I770" s="617"/>
      <c r="J770" s="617"/>
      <c r="K770" s="93"/>
      <c r="L770" s="647">
        <f t="shared" ref="L770:N770" si="310">L771+L772</f>
        <v>0</v>
      </c>
      <c r="M770" s="647">
        <f t="shared" si="310"/>
        <v>0</v>
      </c>
      <c r="N770" s="647">
        <f t="shared" si="310"/>
        <v>0</v>
      </c>
      <c r="O770" s="647">
        <f t="shared" ref="O770:O775" si="311">IF(L770&gt;0,N770*100/L770,0)</f>
        <v>0</v>
      </c>
      <c r="P770" s="647">
        <f t="shared" ref="P770:P775" si="312">IF(M770&gt;0,N770*100/M770,0)</f>
        <v>0</v>
      </c>
      <c r="Q770" s="604"/>
      <c r="R770" s="604"/>
      <c r="S770" s="604"/>
      <c r="T770" s="604"/>
      <c r="U770" s="604"/>
      <c r="V770" s="604"/>
      <c r="W770" s="604"/>
      <c r="X770" s="604"/>
      <c r="Y770" s="604"/>
      <c r="Z770" s="604"/>
    </row>
    <row r="771" spans="1:26" ht="18.75" hidden="1">
      <c r="A771" s="599"/>
      <c r="B771" s="759"/>
      <c r="C771" s="759"/>
      <c r="D771" s="720"/>
      <c r="E771" s="759" t="s">
        <v>185</v>
      </c>
      <c r="F771" s="759"/>
      <c r="G771" s="603"/>
      <c r="H771" s="165" t="s">
        <v>12</v>
      </c>
      <c r="I771" s="617"/>
      <c r="J771" s="617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4"/>
      <c r="R771" s="604"/>
      <c r="S771" s="604"/>
      <c r="T771" s="604"/>
      <c r="U771" s="604"/>
      <c r="V771" s="604"/>
      <c r="W771" s="604"/>
      <c r="X771" s="604"/>
      <c r="Y771" s="604"/>
      <c r="Z771" s="604"/>
    </row>
    <row r="772" spans="1:26" ht="18.75" hidden="1">
      <c r="A772" s="599"/>
      <c r="B772" s="607"/>
      <c r="C772" s="759"/>
      <c r="D772" s="720"/>
      <c r="E772" s="759" t="s">
        <v>186</v>
      </c>
      <c r="F772" s="759"/>
      <c r="G772" s="603"/>
      <c r="H772" s="165" t="s">
        <v>12</v>
      </c>
      <c r="I772" s="617"/>
      <c r="J772" s="617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4"/>
      <c r="R772" s="604"/>
      <c r="S772" s="604"/>
      <c r="T772" s="604"/>
      <c r="U772" s="604"/>
      <c r="V772" s="604"/>
      <c r="W772" s="604"/>
      <c r="X772" s="604"/>
      <c r="Y772" s="604"/>
      <c r="Z772" s="604"/>
    </row>
    <row r="773" spans="1:26" ht="19.5" hidden="1">
      <c r="A773" s="599"/>
      <c r="B773" s="607"/>
      <c r="C773" s="759"/>
      <c r="D773" s="645" t="s">
        <v>20</v>
      </c>
      <c r="E773" s="759"/>
      <c r="F773" s="759"/>
      <c r="G773" s="603"/>
      <c r="H773" s="646" t="s">
        <v>12</v>
      </c>
      <c r="I773" s="166"/>
      <c r="J773" s="166"/>
      <c r="K773" s="167"/>
      <c r="L773" s="647">
        <f t="shared" ref="L773:N773" si="314">L774+L775</f>
        <v>0</v>
      </c>
      <c r="M773" s="647">
        <f t="shared" si="314"/>
        <v>0</v>
      </c>
      <c r="N773" s="647">
        <f t="shared" si="314"/>
        <v>0</v>
      </c>
      <c r="O773" s="647">
        <f t="shared" si="311"/>
        <v>0</v>
      </c>
      <c r="P773" s="647">
        <f t="shared" si="312"/>
        <v>0</v>
      </c>
      <c r="Q773" s="604"/>
      <c r="R773" s="604"/>
      <c r="S773" s="604"/>
      <c r="T773" s="604"/>
      <c r="U773" s="604"/>
      <c r="V773" s="604"/>
      <c r="W773" s="604"/>
      <c r="X773" s="604"/>
      <c r="Y773" s="604"/>
      <c r="Z773" s="604"/>
    </row>
    <row r="774" spans="1:26" ht="18.75" hidden="1">
      <c r="A774" s="599"/>
      <c r="B774" s="607"/>
      <c r="C774" s="759"/>
      <c r="D774" s="720"/>
      <c r="E774" s="759" t="s">
        <v>185</v>
      </c>
      <c r="F774" s="759"/>
      <c r="G774" s="603"/>
      <c r="H774" s="165" t="s">
        <v>12</v>
      </c>
      <c r="I774" s="617"/>
      <c r="J774" s="617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4"/>
      <c r="R774" s="604"/>
      <c r="S774" s="604"/>
      <c r="T774" s="604"/>
      <c r="U774" s="604"/>
      <c r="V774" s="604"/>
      <c r="W774" s="604"/>
      <c r="X774" s="604"/>
      <c r="Y774" s="604"/>
      <c r="Z774" s="604"/>
    </row>
    <row r="775" spans="1:26" ht="18.75" hidden="1">
      <c r="A775" s="599"/>
      <c r="B775" s="607"/>
      <c r="C775" s="759"/>
      <c r="D775" s="720"/>
      <c r="E775" s="759" t="s">
        <v>186</v>
      </c>
      <c r="F775" s="759"/>
      <c r="G775" s="603"/>
      <c r="H775" s="165" t="s">
        <v>12</v>
      </c>
      <c r="I775" s="617"/>
      <c r="J775" s="617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4"/>
      <c r="R775" s="604"/>
      <c r="S775" s="604"/>
      <c r="T775" s="604"/>
      <c r="U775" s="604"/>
      <c r="V775" s="604"/>
      <c r="W775" s="604"/>
      <c r="X775" s="604"/>
      <c r="Y775" s="604"/>
      <c r="Z775" s="604"/>
    </row>
    <row r="776" spans="1:26" ht="18.75" hidden="1">
      <c r="A776" s="649"/>
      <c r="B776" s="607"/>
      <c r="C776" s="759"/>
      <c r="D776" s="759"/>
      <c r="E776" s="759"/>
      <c r="F776" s="759" t="s">
        <v>187</v>
      </c>
      <c r="G776" s="603"/>
      <c r="H776" s="165" t="s">
        <v>12</v>
      </c>
      <c r="I776" s="617"/>
      <c r="J776" s="617"/>
      <c r="K776" s="93"/>
      <c r="L776" s="93"/>
      <c r="M776" s="93"/>
      <c r="N776" s="93"/>
      <c r="O776" s="93"/>
      <c r="P776" s="93"/>
      <c r="Q776" s="604"/>
      <c r="R776" s="604"/>
      <c r="S776" s="604"/>
      <c r="T776" s="604"/>
      <c r="U776" s="604"/>
      <c r="V776" s="604"/>
      <c r="W776" s="604"/>
      <c r="X776" s="604"/>
      <c r="Y776" s="604"/>
      <c r="Z776" s="604"/>
    </row>
    <row r="777" spans="1:26" ht="18.75" hidden="1">
      <c r="A777" s="649"/>
      <c r="B777" s="607"/>
      <c r="C777" s="759"/>
      <c r="D777" s="759"/>
      <c r="E777" s="759"/>
      <c r="F777" s="759" t="s">
        <v>188</v>
      </c>
      <c r="G777" s="603"/>
      <c r="H777" s="165" t="s">
        <v>12</v>
      </c>
      <c r="I777" s="617"/>
      <c r="J777" s="617"/>
      <c r="K777" s="93"/>
      <c r="L777" s="93"/>
      <c r="M777" s="93"/>
      <c r="N777" s="93"/>
      <c r="O777" s="93"/>
      <c r="P777" s="93"/>
      <c r="Q777" s="604"/>
      <c r="R777" s="604"/>
      <c r="S777" s="604"/>
      <c r="T777" s="604"/>
      <c r="U777" s="604"/>
      <c r="V777" s="604"/>
      <c r="W777" s="604"/>
      <c r="X777" s="604"/>
      <c r="Y777" s="604"/>
      <c r="Z777" s="604"/>
    </row>
    <row r="778" spans="1:26" ht="18.75" hidden="1">
      <c r="A778" s="649"/>
      <c r="B778" s="607"/>
      <c r="C778" s="759"/>
      <c r="D778" s="759"/>
      <c r="E778" s="759"/>
      <c r="F778" s="759" t="s">
        <v>189</v>
      </c>
      <c r="G778" s="603"/>
      <c r="H778" s="165" t="s">
        <v>12</v>
      </c>
      <c r="I778" s="617"/>
      <c r="J778" s="617"/>
      <c r="K778" s="93"/>
      <c r="L778" s="93"/>
      <c r="M778" s="93"/>
      <c r="N778" s="93"/>
      <c r="O778" s="93"/>
      <c r="P778" s="93"/>
      <c r="Q778" s="604"/>
      <c r="R778" s="604"/>
      <c r="S778" s="604"/>
      <c r="T778" s="604"/>
      <c r="U778" s="604"/>
      <c r="V778" s="604"/>
      <c r="W778" s="604"/>
      <c r="X778" s="604"/>
      <c r="Y778" s="604"/>
      <c r="Z778" s="604"/>
    </row>
    <row r="779" spans="1:26" ht="18.75" hidden="1">
      <c r="A779" s="649"/>
      <c r="B779" s="607"/>
      <c r="C779" s="759"/>
      <c r="D779" s="759"/>
      <c r="E779" s="759"/>
      <c r="F779" s="759" t="s">
        <v>190</v>
      </c>
      <c r="G779" s="603"/>
      <c r="H779" s="165" t="s">
        <v>12</v>
      </c>
      <c r="I779" s="617"/>
      <c r="J779" s="617"/>
      <c r="K779" s="93"/>
      <c r="L779" s="93"/>
      <c r="M779" s="93"/>
      <c r="N779" s="93"/>
      <c r="O779" s="93"/>
      <c r="P779" s="93"/>
      <c r="Q779" s="604"/>
      <c r="R779" s="604"/>
      <c r="S779" s="604"/>
      <c r="T779" s="604"/>
      <c r="U779" s="604"/>
      <c r="V779" s="604"/>
      <c r="W779" s="604"/>
      <c r="X779" s="604"/>
      <c r="Y779" s="604"/>
      <c r="Z779" s="604"/>
    </row>
    <row r="780" spans="1:26" ht="19.5" hidden="1">
      <c r="A780" s="599"/>
      <c r="B780" s="607"/>
      <c r="C780" s="759"/>
      <c r="D780" s="645" t="s">
        <v>21</v>
      </c>
      <c r="E780" s="759"/>
      <c r="F780" s="759"/>
      <c r="G780" s="603"/>
      <c r="H780" s="783" t="s">
        <v>12</v>
      </c>
      <c r="I780" s="166"/>
      <c r="J780" s="166"/>
      <c r="K780" s="167"/>
      <c r="L780" s="647">
        <f t="shared" ref="L780:N780" si="315">L781+L782</f>
        <v>0</v>
      </c>
      <c r="M780" s="647">
        <f t="shared" si="315"/>
        <v>0</v>
      </c>
      <c r="N780" s="647">
        <f t="shared" si="315"/>
        <v>0</v>
      </c>
      <c r="O780" s="647">
        <f t="shared" ref="O780:O782" si="316">IF(L780&gt;0,N780*100/L780,0)</f>
        <v>0</v>
      </c>
      <c r="P780" s="647">
        <f t="shared" ref="P780:P782" si="317">IF(M780&gt;0,N780*100/M780,0)</f>
        <v>0</v>
      </c>
      <c r="Q780" s="604"/>
      <c r="R780" s="604"/>
      <c r="S780" s="604"/>
      <c r="T780" s="604"/>
      <c r="U780" s="604"/>
      <c r="V780" s="604"/>
      <c r="W780" s="604"/>
      <c r="X780" s="604"/>
      <c r="Y780" s="604"/>
      <c r="Z780" s="604"/>
    </row>
    <row r="781" spans="1:26" ht="18.75" hidden="1">
      <c r="A781" s="599"/>
      <c r="B781" s="607"/>
      <c r="C781" s="759"/>
      <c r="D781" s="759"/>
      <c r="E781" s="759" t="s">
        <v>18</v>
      </c>
      <c r="F781" s="759"/>
      <c r="G781" s="603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4"/>
      <c r="R781" s="604"/>
      <c r="S781" s="604"/>
      <c r="T781" s="604"/>
      <c r="U781" s="604"/>
      <c r="V781" s="604"/>
      <c r="W781" s="604"/>
      <c r="X781" s="604"/>
      <c r="Y781" s="604"/>
      <c r="Z781" s="604"/>
    </row>
    <row r="782" spans="1:26" ht="18.75" hidden="1">
      <c r="A782" s="599"/>
      <c r="B782" s="607"/>
      <c r="C782" s="759"/>
      <c r="D782" s="759"/>
      <c r="E782" s="759" t="s">
        <v>19</v>
      </c>
      <c r="F782" s="759"/>
      <c r="G782" s="603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4"/>
      <c r="R782" s="604"/>
      <c r="S782" s="604"/>
      <c r="T782" s="604"/>
      <c r="U782" s="604"/>
      <c r="V782" s="604"/>
      <c r="W782" s="604"/>
      <c r="X782" s="604"/>
      <c r="Y782" s="604"/>
      <c r="Z782" s="604"/>
    </row>
    <row r="783" spans="1:26" ht="19.5" hidden="1">
      <c r="A783" s="614"/>
      <c r="B783" s="616"/>
      <c r="C783" s="759" t="s">
        <v>16</v>
      </c>
      <c r="D783" s="899" t="s">
        <v>38</v>
      </c>
      <c r="E783" s="651"/>
      <c r="F783" s="651"/>
      <c r="G783" s="652"/>
      <c r="H783" s="801"/>
      <c r="I783" s="166"/>
      <c r="J783" s="166"/>
      <c r="K783" s="167"/>
      <c r="L783" s="167"/>
      <c r="M783" s="167"/>
      <c r="N783" s="167"/>
      <c r="O783" s="167"/>
      <c r="P783" s="167"/>
      <c r="Q783" s="604"/>
      <c r="R783" s="604"/>
      <c r="S783" s="604"/>
      <c r="T783" s="604"/>
      <c r="U783" s="604"/>
      <c r="V783" s="604"/>
      <c r="W783" s="604"/>
      <c r="X783" s="604"/>
      <c r="Y783" s="604"/>
      <c r="Z783" s="604"/>
    </row>
    <row r="784" spans="1:26" ht="18.75" hidden="1">
      <c r="A784" s="649"/>
      <c r="B784" s="607"/>
      <c r="C784" s="759"/>
      <c r="D784" s="759"/>
      <c r="E784" s="759" t="s">
        <v>319</v>
      </c>
      <c r="F784" s="759"/>
      <c r="G784" s="603"/>
      <c r="H784" s="165" t="s">
        <v>46</v>
      </c>
      <c r="I784" s="617"/>
      <c r="J784" s="617"/>
      <c r="K784" s="93"/>
      <c r="L784" s="93"/>
      <c r="M784" s="93"/>
      <c r="N784" s="93"/>
      <c r="O784" s="93"/>
      <c r="P784" s="93"/>
      <c r="Q784" s="604"/>
      <c r="R784" s="604"/>
      <c r="S784" s="604"/>
      <c r="T784" s="604"/>
      <c r="U784" s="604"/>
      <c r="V784" s="604"/>
      <c r="W784" s="604"/>
      <c r="X784" s="604"/>
      <c r="Y784" s="604"/>
      <c r="Z784" s="604"/>
    </row>
    <row r="785" spans="1:26" ht="19.5" hidden="1">
      <c r="A785" s="802">
        <v>12</v>
      </c>
      <c r="B785" s="803" t="s">
        <v>320</v>
      </c>
      <c r="C785" s="804"/>
      <c r="D785" s="804"/>
      <c r="E785" s="804"/>
      <c r="F785" s="804"/>
      <c r="G785" s="805"/>
      <c r="H785" s="900" t="s">
        <v>46</v>
      </c>
      <c r="I785" s="901">
        <f t="shared" ref="I785:J785" ca="1" si="318">I800</f>
        <v>0</v>
      </c>
      <c r="J785" s="902">
        <f t="shared" ca="1" si="318"/>
        <v>0</v>
      </c>
      <c r="K785" s="903">
        <f ca="1">IF(I785&gt;0,J785*100/I785,0)</f>
        <v>0</v>
      </c>
      <c r="L785" s="809"/>
      <c r="M785" s="809"/>
      <c r="N785" s="809"/>
      <c r="O785" s="809"/>
      <c r="P785" s="809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</row>
    <row r="786" spans="1:26" ht="19.5" hidden="1">
      <c r="A786" s="597"/>
      <c r="B786" s="575"/>
      <c r="C786" s="763" t="s">
        <v>16</v>
      </c>
      <c r="D786" s="863" t="s">
        <v>17</v>
      </c>
      <c r="E786" s="857"/>
      <c r="F786" s="857"/>
      <c r="G786" s="189"/>
      <c r="H786" s="598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</row>
    <row r="787" spans="1:26" ht="18.75" hidden="1">
      <c r="A787" s="599"/>
      <c r="B787" s="607"/>
      <c r="C787" s="759"/>
      <c r="D787" s="720"/>
      <c r="E787" s="759" t="s">
        <v>185</v>
      </c>
      <c r="F787" s="759"/>
      <c r="G787" s="603"/>
      <c r="H787" s="165" t="s">
        <v>12</v>
      </c>
      <c r="I787" s="617"/>
      <c r="J787" s="617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4"/>
      <c r="R787" s="604"/>
      <c r="S787" s="604"/>
      <c r="T787" s="604"/>
      <c r="U787" s="604"/>
      <c r="V787" s="604"/>
      <c r="W787" s="604"/>
      <c r="X787" s="604"/>
      <c r="Y787" s="604"/>
      <c r="Z787" s="604"/>
    </row>
    <row r="788" spans="1:26" ht="18.75" hidden="1">
      <c r="A788" s="599"/>
      <c r="B788" s="607"/>
      <c r="C788" s="607"/>
      <c r="D788" s="616"/>
      <c r="E788" s="759" t="s">
        <v>186</v>
      </c>
      <c r="F788" s="759"/>
      <c r="G788" s="603"/>
      <c r="H788" s="165" t="s">
        <v>12</v>
      </c>
      <c r="I788" s="617"/>
      <c r="J788" s="617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4"/>
      <c r="R788" s="604"/>
      <c r="S788" s="604"/>
      <c r="T788" s="604"/>
      <c r="U788" s="604"/>
      <c r="V788" s="604"/>
      <c r="W788" s="604"/>
      <c r="X788" s="604"/>
      <c r="Y788" s="604"/>
      <c r="Z788" s="604"/>
    </row>
    <row r="789" spans="1:26" ht="18.75" hidden="1">
      <c r="A789" s="597"/>
      <c r="B789" s="575"/>
      <c r="C789" s="575"/>
      <c r="D789" s="606" t="s">
        <v>20</v>
      </c>
      <c r="E789" s="763"/>
      <c r="F789" s="763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</row>
    <row r="790" spans="1:26" ht="18.75" hidden="1">
      <c r="A790" s="599"/>
      <c r="B790" s="607"/>
      <c r="C790" s="607"/>
      <c r="D790" s="616"/>
      <c r="E790" s="759" t="s">
        <v>185</v>
      </c>
      <c r="F790" s="759"/>
      <c r="G790" s="603"/>
      <c r="H790" s="165" t="s">
        <v>12</v>
      </c>
      <c r="I790" s="617"/>
      <c r="J790" s="617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4"/>
      <c r="R790" s="604"/>
      <c r="S790" s="604"/>
      <c r="T790" s="604"/>
      <c r="U790" s="604"/>
      <c r="V790" s="604"/>
      <c r="W790" s="604"/>
      <c r="X790" s="604"/>
      <c r="Y790" s="604"/>
      <c r="Z790" s="604"/>
    </row>
    <row r="791" spans="1:26" ht="18.75" hidden="1">
      <c r="A791" s="599"/>
      <c r="B791" s="607"/>
      <c r="C791" s="607"/>
      <c r="D791" s="616"/>
      <c r="E791" s="759" t="s">
        <v>186</v>
      </c>
      <c r="F791" s="759"/>
      <c r="G791" s="603"/>
      <c r="H791" s="165" t="s">
        <v>12</v>
      </c>
      <c r="I791" s="617"/>
      <c r="J791" s="617"/>
      <c r="K791" s="93"/>
      <c r="L791" s="93">
        <f ca="1">IFERROR(__xludf.DUMMYFUNCTION("IMPORTRANGE(""https://docs.google.com/spreadsheets/d/1QqKyyYR6Q21VydFLVH3TRQUabQu_ym0Zz7PgGX0-kHA/edit?usp=sharing"",""แผน!JJ39"")"),0)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4"/>
      <c r="R791" s="604"/>
      <c r="S791" s="604"/>
      <c r="T791" s="604"/>
      <c r="U791" s="604"/>
      <c r="V791" s="604"/>
      <c r="W791" s="604"/>
      <c r="X791" s="604"/>
      <c r="Y791" s="604"/>
      <c r="Z791" s="604"/>
    </row>
    <row r="792" spans="1:26" ht="18.75" hidden="1">
      <c r="A792" s="574"/>
      <c r="B792" s="575"/>
      <c r="C792" s="763"/>
      <c r="D792" s="763"/>
      <c r="E792" s="763"/>
      <c r="F792" s="763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40">
        <v>0</v>
      </c>
      <c r="O792" s="498"/>
      <c r="P792" s="49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</row>
    <row r="793" spans="1:26" ht="18.75" hidden="1">
      <c r="A793" s="574"/>
      <c r="B793" s="575"/>
      <c r="C793" s="763"/>
      <c r="D793" s="763"/>
      <c r="E793" s="763"/>
      <c r="F793" s="763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40">
        <v>0</v>
      </c>
      <c r="O793" s="498"/>
      <c r="P793" s="49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</row>
    <row r="794" spans="1:26" ht="18.75" hidden="1">
      <c r="A794" s="574"/>
      <c r="B794" s="575"/>
      <c r="C794" s="763"/>
      <c r="D794" s="763"/>
      <c r="E794" s="763"/>
      <c r="F794" s="763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40">
        <v>0</v>
      </c>
      <c r="O794" s="498"/>
      <c r="P794" s="49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</row>
    <row r="795" spans="1:26" ht="18.75" hidden="1">
      <c r="A795" s="574"/>
      <c r="B795" s="575"/>
      <c r="C795" s="763"/>
      <c r="D795" s="763"/>
      <c r="E795" s="763"/>
      <c r="F795" s="763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40">
        <v>0</v>
      </c>
      <c r="O795" s="498"/>
      <c r="P795" s="49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</row>
    <row r="796" spans="1:26" ht="18.75" hidden="1">
      <c r="A796" s="597"/>
      <c r="B796" s="575"/>
      <c r="C796" s="763"/>
      <c r="D796" s="606" t="s">
        <v>21</v>
      </c>
      <c r="E796" s="763"/>
      <c r="F796" s="763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</row>
    <row r="797" spans="1:26" ht="18.75" hidden="1">
      <c r="A797" s="599"/>
      <c r="B797" s="607"/>
      <c r="C797" s="759"/>
      <c r="D797" s="759"/>
      <c r="E797" s="759" t="s">
        <v>18</v>
      </c>
      <c r="F797" s="759"/>
      <c r="G797" s="603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4"/>
      <c r="R797" s="604"/>
      <c r="S797" s="604"/>
      <c r="T797" s="604"/>
      <c r="U797" s="604"/>
      <c r="V797" s="604"/>
      <c r="W797" s="604"/>
      <c r="X797" s="604"/>
      <c r="Y797" s="604"/>
      <c r="Z797" s="604"/>
    </row>
    <row r="798" spans="1:26" ht="18.75" hidden="1">
      <c r="A798" s="599"/>
      <c r="B798" s="607"/>
      <c r="C798" s="759"/>
      <c r="D798" s="759"/>
      <c r="E798" s="759" t="s">
        <v>19</v>
      </c>
      <c r="F798" s="759"/>
      <c r="G798" s="603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4"/>
      <c r="R798" s="604"/>
      <c r="S798" s="604"/>
      <c r="T798" s="604"/>
      <c r="U798" s="604"/>
      <c r="V798" s="604"/>
      <c r="W798" s="604"/>
      <c r="X798" s="604"/>
      <c r="Y798" s="604"/>
      <c r="Z798" s="604"/>
    </row>
    <row r="799" spans="1:26" ht="19.5" hidden="1">
      <c r="A799" s="608"/>
      <c r="B799" s="618"/>
      <c r="C799" s="763" t="s">
        <v>16</v>
      </c>
      <c r="D799" s="898" t="s">
        <v>38</v>
      </c>
      <c r="E799" s="761"/>
      <c r="F799" s="761"/>
      <c r="G799" s="613"/>
      <c r="H799" s="904"/>
      <c r="I799" s="184"/>
      <c r="J799" s="184"/>
      <c r="K799" s="163"/>
      <c r="L799" s="163"/>
      <c r="M799" s="163"/>
      <c r="N799" s="163"/>
      <c r="O799" s="163"/>
      <c r="P799" s="163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</row>
    <row r="800" spans="1:26" ht="18.75" hidden="1">
      <c r="A800" s="608"/>
      <c r="B800" s="618"/>
      <c r="C800" s="618"/>
      <c r="D800" s="618"/>
      <c r="E800" s="626"/>
      <c r="F800" s="626" t="s">
        <v>321</v>
      </c>
      <c r="G800" s="762"/>
      <c r="H800" s="185" t="s">
        <v>46</v>
      </c>
      <c r="I800" s="184">
        <f ca="1">IFERROR(__xludf.DUMMYFUNCTION("IMPORTRANGE(""https://docs.google.com/spreadsheets/d/1QqKyyYR6Q21VydFLVH3TRQUabQu_ym0Zz7PgGX0-kHA/edit?usp=sharing"",""แผน!JN39"")"),0)</f>
        <v>0</v>
      </c>
      <c r="J800" s="184">
        <f ca="1">IFERROR(__xludf.DUMMYFUNCTION("IMPORTRANGE(""https://docs.google.com/spreadsheets/d/1MaWodYyGHDf7siQLGxnXhG4mBNTNIuy296niS2xXulU/edit?usp=sharing"",""RTK!H39"")"),0)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</row>
    <row r="801" spans="1:26" ht="18.75" hidden="1">
      <c r="A801" s="608"/>
      <c r="B801" s="618"/>
      <c r="C801" s="618"/>
      <c r="D801" s="618"/>
      <c r="E801" s="626"/>
      <c r="F801" s="626"/>
      <c r="G801" s="762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IFERROR(__xludf.DUMMYFUNCTION("IMPORTRANGE(""https://docs.google.com/spreadsheets/d/1MaWodYyGHDf7siQLGxnXhG4mBNTNIuy296niS2xXulU/edit?usp=sharing"",""RTK!I39"")"),0)</f>
        <v>0</v>
      </c>
      <c r="K801" s="498"/>
      <c r="L801" s="498"/>
      <c r="M801" s="498"/>
      <c r="N801" s="498"/>
      <c r="O801" s="163"/>
      <c r="P801" s="163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</row>
    <row r="802" spans="1:26" ht="18.75" hidden="1">
      <c r="A802" s="614"/>
      <c r="B802" s="616"/>
      <c r="C802" s="616"/>
      <c r="D802" s="616"/>
      <c r="E802" s="720"/>
      <c r="F802" s="720" t="s">
        <v>322</v>
      </c>
      <c r="G802" s="366"/>
      <c r="H802" s="653" t="s">
        <v>46</v>
      </c>
      <c r="I802" s="166"/>
      <c r="J802" s="617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4"/>
      <c r="R802" s="604"/>
      <c r="S802" s="604"/>
      <c r="T802" s="604"/>
      <c r="U802" s="604"/>
      <c r="V802" s="604"/>
      <c r="W802" s="604"/>
      <c r="X802" s="604"/>
      <c r="Y802" s="604"/>
      <c r="Z802" s="604"/>
    </row>
    <row r="803" spans="1:26" ht="18.75" hidden="1">
      <c r="A803" s="614"/>
      <c r="B803" s="616"/>
      <c r="C803" s="616"/>
      <c r="D803" s="616"/>
      <c r="E803" s="720"/>
      <c r="F803" s="720"/>
      <c r="G803" s="366"/>
      <c r="H803" s="653" t="s">
        <v>34</v>
      </c>
      <c r="I803" s="166"/>
      <c r="J803" s="617">
        <v>0</v>
      </c>
      <c r="K803" s="167"/>
      <c r="L803" s="167"/>
      <c r="M803" s="167"/>
      <c r="N803" s="167"/>
      <c r="O803" s="167"/>
      <c r="P803" s="167"/>
      <c r="Q803" s="604"/>
      <c r="R803" s="604"/>
      <c r="S803" s="604"/>
      <c r="T803" s="604"/>
      <c r="U803" s="604"/>
      <c r="V803" s="604"/>
      <c r="W803" s="604"/>
      <c r="X803" s="604"/>
      <c r="Y803" s="604"/>
      <c r="Z803" s="604"/>
    </row>
    <row r="804" spans="1:26" ht="19.5" hidden="1">
      <c r="A804" s="793">
        <v>13</v>
      </c>
      <c r="B804" s="794" t="s">
        <v>323</v>
      </c>
      <c r="C804" s="795"/>
      <c r="D804" s="825"/>
      <c r="E804" s="795"/>
      <c r="F804" s="795"/>
      <c r="G804" s="796"/>
      <c r="H804" s="797" t="s">
        <v>46</v>
      </c>
      <c r="I804" s="798"/>
      <c r="J804" s="798">
        <f>J819</f>
        <v>0</v>
      </c>
      <c r="K804" s="799">
        <f>IF(I804&gt;0,J804*100/I804,0)</f>
        <v>0</v>
      </c>
      <c r="L804" s="800"/>
      <c r="M804" s="800"/>
      <c r="N804" s="800"/>
      <c r="O804" s="800"/>
      <c r="P804" s="800"/>
      <c r="Q804" s="604"/>
      <c r="R804" s="604"/>
      <c r="S804" s="604"/>
      <c r="T804" s="604"/>
      <c r="U804" s="604"/>
      <c r="V804" s="604"/>
      <c r="W804" s="604"/>
      <c r="X804" s="604"/>
      <c r="Y804" s="604"/>
      <c r="Z804" s="604"/>
    </row>
    <row r="805" spans="1:26" ht="19.5" hidden="1">
      <c r="A805" s="599"/>
      <c r="B805" s="759"/>
      <c r="C805" s="759" t="s">
        <v>16</v>
      </c>
      <c r="D805" s="864" t="s">
        <v>17</v>
      </c>
      <c r="E805" s="857"/>
      <c r="F805" s="857"/>
      <c r="G805" s="603"/>
      <c r="H805" s="646" t="s">
        <v>12</v>
      </c>
      <c r="I805" s="617"/>
      <c r="J805" s="617"/>
      <c r="K805" s="93"/>
      <c r="L805" s="647">
        <f t="shared" ref="L805:N805" si="327">L806+L807</f>
        <v>0</v>
      </c>
      <c r="M805" s="647">
        <f t="shared" si="327"/>
        <v>0</v>
      </c>
      <c r="N805" s="647">
        <f t="shared" si="327"/>
        <v>0</v>
      </c>
      <c r="O805" s="647">
        <f t="shared" ref="O805:O810" si="328">IF(L805&gt;0,N805*100/L805,0)</f>
        <v>0</v>
      </c>
      <c r="P805" s="647">
        <f t="shared" ref="P805:P810" si="329">IF(M805&gt;0,N805*100/M805,0)</f>
        <v>0</v>
      </c>
      <c r="Q805" s="604"/>
      <c r="R805" s="604"/>
      <c r="S805" s="604"/>
      <c r="T805" s="604"/>
      <c r="U805" s="604"/>
      <c r="V805" s="604"/>
      <c r="W805" s="604"/>
      <c r="X805" s="604"/>
      <c r="Y805" s="604"/>
      <c r="Z805" s="604"/>
    </row>
    <row r="806" spans="1:26" ht="18.75" hidden="1">
      <c r="A806" s="599"/>
      <c r="B806" s="759"/>
      <c r="C806" s="759"/>
      <c r="D806" s="616"/>
      <c r="E806" s="759" t="s">
        <v>185</v>
      </c>
      <c r="F806" s="759"/>
      <c r="G806" s="603"/>
      <c r="H806" s="165" t="s">
        <v>12</v>
      </c>
      <c r="I806" s="617"/>
      <c r="J806" s="617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4"/>
      <c r="R806" s="604"/>
      <c r="S806" s="604"/>
      <c r="T806" s="604"/>
      <c r="U806" s="604"/>
      <c r="V806" s="604"/>
      <c r="W806" s="604"/>
      <c r="X806" s="604"/>
      <c r="Y806" s="604"/>
      <c r="Z806" s="604"/>
    </row>
    <row r="807" spans="1:26" ht="18.75" hidden="1">
      <c r="A807" s="599"/>
      <c r="B807" s="759"/>
      <c r="C807" s="759"/>
      <c r="D807" s="616"/>
      <c r="E807" s="759" t="s">
        <v>186</v>
      </c>
      <c r="F807" s="759"/>
      <c r="G807" s="603"/>
      <c r="H807" s="165" t="s">
        <v>12</v>
      </c>
      <c r="I807" s="617"/>
      <c r="J807" s="617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4"/>
      <c r="R807" s="604"/>
      <c r="S807" s="604"/>
      <c r="T807" s="604"/>
      <c r="U807" s="604"/>
      <c r="V807" s="604"/>
      <c r="W807" s="604"/>
      <c r="X807" s="604"/>
      <c r="Y807" s="604"/>
      <c r="Z807" s="604"/>
    </row>
    <row r="808" spans="1:26" ht="19.5" hidden="1">
      <c r="A808" s="599"/>
      <c r="B808" s="607"/>
      <c r="C808" s="759"/>
      <c r="D808" s="905" t="s">
        <v>20</v>
      </c>
      <c r="E808" s="857"/>
      <c r="F808" s="857"/>
      <c r="G808" s="603"/>
      <c r="H808" s="646" t="s">
        <v>12</v>
      </c>
      <c r="I808" s="166"/>
      <c r="J808" s="166"/>
      <c r="K808" s="167"/>
      <c r="L808" s="647">
        <f t="shared" ref="L808:N808" si="331">L809+L810</f>
        <v>0</v>
      </c>
      <c r="M808" s="647">
        <f t="shared" si="331"/>
        <v>0</v>
      </c>
      <c r="N808" s="647">
        <f t="shared" si="331"/>
        <v>0</v>
      </c>
      <c r="O808" s="647">
        <f t="shared" si="328"/>
        <v>0</v>
      </c>
      <c r="P808" s="647">
        <f t="shared" si="329"/>
        <v>0</v>
      </c>
      <c r="Q808" s="604"/>
      <c r="R808" s="604"/>
      <c r="S808" s="604"/>
      <c r="T808" s="604"/>
      <c r="U808" s="604"/>
      <c r="V808" s="604"/>
      <c r="W808" s="604"/>
      <c r="X808" s="604"/>
      <c r="Y808" s="604"/>
      <c r="Z808" s="604"/>
    </row>
    <row r="809" spans="1:26" ht="18.75" hidden="1">
      <c r="A809" s="599"/>
      <c r="B809" s="759"/>
      <c r="C809" s="759"/>
      <c r="D809" s="616"/>
      <c r="E809" s="759" t="s">
        <v>185</v>
      </c>
      <c r="F809" s="759"/>
      <c r="G809" s="603"/>
      <c r="H809" s="165" t="s">
        <v>12</v>
      </c>
      <c r="I809" s="617"/>
      <c r="J809" s="617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4"/>
      <c r="R809" s="604"/>
      <c r="S809" s="604"/>
      <c r="T809" s="604"/>
      <c r="U809" s="604"/>
      <c r="V809" s="604"/>
      <c r="W809" s="604"/>
      <c r="X809" s="604"/>
      <c r="Y809" s="604"/>
      <c r="Z809" s="604"/>
    </row>
    <row r="810" spans="1:26" ht="18.75" hidden="1">
      <c r="A810" s="599"/>
      <c r="B810" s="759"/>
      <c r="C810" s="759"/>
      <c r="D810" s="616"/>
      <c r="E810" s="759" t="s">
        <v>186</v>
      </c>
      <c r="F810" s="759"/>
      <c r="G810" s="603"/>
      <c r="H810" s="165" t="s">
        <v>12</v>
      </c>
      <c r="I810" s="617"/>
      <c r="J810" s="617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4"/>
      <c r="R810" s="604"/>
      <c r="S810" s="604"/>
      <c r="T810" s="604"/>
      <c r="U810" s="604"/>
      <c r="V810" s="604"/>
      <c r="W810" s="604"/>
      <c r="X810" s="604"/>
      <c r="Y810" s="604"/>
      <c r="Z810" s="604"/>
    </row>
    <row r="811" spans="1:26" ht="18.75" hidden="1">
      <c r="A811" s="649"/>
      <c r="B811" s="607"/>
      <c r="C811" s="759"/>
      <c r="D811" s="607"/>
      <c r="E811" s="759"/>
      <c r="F811" s="759" t="s">
        <v>187</v>
      </c>
      <c r="G811" s="603"/>
      <c r="H811" s="165" t="s">
        <v>12</v>
      </c>
      <c r="I811" s="617"/>
      <c r="J811" s="617"/>
      <c r="K811" s="93"/>
      <c r="L811" s="93"/>
      <c r="M811" s="93"/>
      <c r="N811" s="93"/>
      <c r="O811" s="93"/>
      <c r="P811" s="93"/>
      <c r="Q811" s="604"/>
      <c r="R811" s="604"/>
      <c r="S811" s="604"/>
      <c r="T811" s="604"/>
      <c r="U811" s="604"/>
      <c r="V811" s="604"/>
      <c r="W811" s="604"/>
      <c r="X811" s="604"/>
      <c r="Y811" s="604"/>
      <c r="Z811" s="604"/>
    </row>
    <row r="812" spans="1:26" ht="18.75" hidden="1">
      <c r="A812" s="649"/>
      <c r="B812" s="607"/>
      <c r="C812" s="759"/>
      <c r="D812" s="607"/>
      <c r="E812" s="759"/>
      <c r="F812" s="759" t="s">
        <v>188</v>
      </c>
      <c r="G812" s="603"/>
      <c r="H812" s="165" t="s">
        <v>12</v>
      </c>
      <c r="I812" s="617"/>
      <c r="J812" s="617"/>
      <c r="K812" s="93"/>
      <c r="L812" s="93"/>
      <c r="M812" s="93"/>
      <c r="N812" s="93"/>
      <c r="O812" s="93"/>
      <c r="P812" s="93"/>
      <c r="Q812" s="604"/>
      <c r="R812" s="604"/>
      <c r="S812" s="604"/>
      <c r="T812" s="604"/>
      <c r="U812" s="604"/>
      <c r="V812" s="604"/>
      <c r="W812" s="604"/>
      <c r="X812" s="604"/>
      <c r="Y812" s="604"/>
      <c r="Z812" s="604"/>
    </row>
    <row r="813" spans="1:26" ht="18.75" hidden="1">
      <c r="A813" s="649"/>
      <c r="B813" s="607"/>
      <c r="C813" s="759"/>
      <c r="D813" s="607"/>
      <c r="E813" s="759"/>
      <c r="F813" s="759" t="s">
        <v>189</v>
      </c>
      <c r="G813" s="603"/>
      <c r="H813" s="165" t="s">
        <v>12</v>
      </c>
      <c r="I813" s="617"/>
      <c r="J813" s="617"/>
      <c r="K813" s="93"/>
      <c r="L813" s="93"/>
      <c r="M813" s="93"/>
      <c r="N813" s="93"/>
      <c r="O813" s="93"/>
      <c r="P813" s="93"/>
      <c r="Q813" s="604"/>
      <c r="R813" s="604"/>
      <c r="S813" s="604"/>
      <c r="T813" s="604"/>
      <c r="U813" s="604"/>
      <c r="V813" s="604"/>
      <c r="W813" s="604"/>
      <c r="X813" s="604"/>
      <c r="Y813" s="604"/>
      <c r="Z813" s="604"/>
    </row>
    <row r="814" spans="1:26" ht="18.75" hidden="1">
      <c r="A814" s="649"/>
      <c r="B814" s="607"/>
      <c r="C814" s="759"/>
      <c r="D814" s="607"/>
      <c r="E814" s="759"/>
      <c r="F814" s="759" t="s">
        <v>190</v>
      </c>
      <c r="G814" s="603"/>
      <c r="H814" s="165" t="s">
        <v>12</v>
      </c>
      <c r="I814" s="617"/>
      <c r="J814" s="617"/>
      <c r="K814" s="93"/>
      <c r="L814" s="93"/>
      <c r="M814" s="93"/>
      <c r="N814" s="93"/>
      <c r="O814" s="93"/>
      <c r="P814" s="93"/>
      <c r="Q814" s="604"/>
      <c r="R814" s="604"/>
      <c r="S814" s="604"/>
      <c r="T814" s="604"/>
      <c r="U814" s="604"/>
      <c r="V814" s="604"/>
      <c r="W814" s="604"/>
      <c r="X814" s="604"/>
      <c r="Y814" s="604"/>
      <c r="Z814" s="604"/>
    </row>
    <row r="815" spans="1:26" ht="19.5" hidden="1">
      <c r="A815" s="599"/>
      <c r="B815" s="607"/>
      <c r="C815" s="759"/>
      <c r="D815" s="905" t="s">
        <v>21</v>
      </c>
      <c r="E815" s="857"/>
      <c r="F815" s="857"/>
      <c r="G815" s="603"/>
      <c r="H815" s="783" t="s">
        <v>12</v>
      </c>
      <c r="I815" s="166"/>
      <c r="J815" s="166"/>
      <c r="K815" s="167"/>
      <c r="L815" s="647">
        <f t="shared" ref="L815:N815" si="332">L816+L817</f>
        <v>0</v>
      </c>
      <c r="M815" s="647">
        <f t="shared" si="332"/>
        <v>0</v>
      </c>
      <c r="N815" s="647">
        <f t="shared" si="332"/>
        <v>0</v>
      </c>
      <c r="O815" s="647">
        <f t="shared" ref="O815:O817" si="333">IF(L815&gt;0,N815*100/L815,0)</f>
        <v>0</v>
      </c>
      <c r="P815" s="647">
        <f t="shared" ref="P815:P817" si="334">IF(M815&gt;0,N815*100/M815,0)</f>
        <v>0</v>
      </c>
      <c r="Q815" s="604"/>
      <c r="R815" s="604"/>
      <c r="S815" s="604"/>
      <c r="T815" s="604"/>
      <c r="U815" s="604"/>
      <c r="V815" s="604"/>
      <c r="W815" s="604"/>
      <c r="X815" s="604"/>
      <c r="Y815" s="604"/>
      <c r="Z815" s="604"/>
    </row>
    <row r="816" spans="1:26" ht="18.75" hidden="1">
      <c r="A816" s="599"/>
      <c r="B816" s="607"/>
      <c r="C816" s="759"/>
      <c r="D816" s="607"/>
      <c r="E816" s="759" t="s">
        <v>18</v>
      </c>
      <c r="F816" s="759"/>
      <c r="G816" s="603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4"/>
      <c r="R816" s="604"/>
      <c r="S816" s="604"/>
      <c r="T816" s="604"/>
      <c r="U816" s="604"/>
      <c r="V816" s="604"/>
      <c r="W816" s="604"/>
      <c r="X816" s="604"/>
      <c r="Y816" s="604"/>
      <c r="Z816" s="604"/>
    </row>
    <row r="817" spans="1:26" ht="18.75" hidden="1">
      <c r="A817" s="599"/>
      <c r="B817" s="607"/>
      <c r="C817" s="759"/>
      <c r="D817" s="607"/>
      <c r="E817" s="759" t="s">
        <v>19</v>
      </c>
      <c r="F817" s="759"/>
      <c r="G817" s="603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4"/>
      <c r="R817" s="604"/>
      <c r="S817" s="604"/>
      <c r="T817" s="604"/>
      <c r="U817" s="604"/>
      <c r="V817" s="604"/>
      <c r="W817" s="604"/>
      <c r="X817" s="604"/>
      <c r="Y817" s="604"/>
      <c r="Z817" s="604"/>
    </row>
    <row r="818" spans="1:26" ht="19.5" hidden="1">
      <c r="A818" s="614"/>
      <c r="B818" s="616"/>
      <c r="C818" s="759" t="s">
        <v>16</v>
      </c>
      <c r="D818" s="906" t="s">
        <v>38</v>
      </c>
      <c r="E818" s="651"/>
      <c r="F818" s="651"/>
      <c r="G818" s="652"/>
      <c r="H818" s="366"/>
      <c r="I818" s="166"/>
      <c r="J818" s="166"/>
      <c r="K818" s="167"/>
      <c r="L818" s="167"/>
      <c r="M818" s="167"/>
      <c r="N818" s="167"/>
      <c r="O818" s="167"/>
      <c r="P818" s="167"/>
      <c r="Q818" s="604"/>
      <c r="R818" s="604"/>
      <c r="S818" s="604"/>
      <c r="T818" s="604"/>
      <c r="U818" s="604"/>
      <c r="V818" s="604"/>
      <c r="W818" s="604"/>
      <c r="X818" s="604"/>
      <c r="Y818" s="604"/>
      <c r="Z818" s="604"/>
    </row>
    <row r="819" spans="1:26" ht="19.5" hidden="1" thickBot="1">
      <c r="A819" s="827"/>
      <c r="B819" s="828"/>
      <c r="C819" s="830"/>
      <c r="D819" s="828"/>
      <c r="E819" s="830" t="s">
        <v>324</v>
      </c>
      <c r="F819" s="830"/>
      <c r="G819" s="831"/>
      <c r="H819" s="832" t="s">
        <v>46</v>
      </c>
      <c r="I819" s="833"/>
      <c r="J819" s="833"/>
      <c r="K819" s="834"/>
      <c r="L819" s="834"/>
      <c r="M819" s="834"/>
      <c r="N819" s="834"/>
      <c r="O819" s="834"/>
      <c r="P819" s="834"/>
      <c r="Q819" s="604"/>
      <c r="R819" s="604"/>
      <c r="S819" s="604"/>
      <c r="T819" s="604"/>
      <c r="U819" s="604"/>
      <c r="V819" s="604"/>
      <c r="W819" s="604"/>
      <c r="X819" s="604"/>
      <c r="Y819" s="604"/>
      <c r="Z819" s="604"/>
    </row>
    <row r="820" spans="1:26" ht="19.5">
      <c r="A820" s="907" t="s">
        <v>337</v>
      </c>
      <c r="B820" s="908"/>
      <c r="C820" s="908"/>
      <c r="D820" s="909"/>
      <c r="E820" s="908"/>
      <c r="F820" s="908"/>
      <c r="G820" s="910"/>
      <c r="H820" s="911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912"/>
      <c r="J820" s="912"/>
      <c r="K820" s="913"/>
      <c r="L820" s="913"/>
      <c r="M820" s="913"/>
      <c r="N820" s="913"/>
      <c r="O820" s="913"/>
      <c r="P820" s="913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</row>
    <row r="821" spans="1:26" ht="18.75">
      <c r="A821" s="744"/>
      <c r="B821" s="763" t="s">
        <v>326</v>
      </c>
      <c r="C821" s="763"/>
      <c r="D821" s="575"/>
      <c r="E821" s="763"/>
      <c r="F821" s="763"/>
      <c r="G821" s="189"/>
      <c r="H821" s="623" t="s">
        <v>12</v>
      </c>
      <c r="I821" s="270">
        <f ca="1">IFERROR(__xludf.DUMMYFUNCTION("IMPORTRANGE(""https://docs.google.com/spreadsheets/d/19vJNZY_5yjcGF2XGBMNZRCAIB0Kwfpjp8YEOfu-bneM/edit?usp=sharing"",""งานกองทุน!D39"")"),15016678.84)</f>
        <v>15016678.84</v>
      </c>
      <c r="J821" s="270">
        <f ca="1">IFERROR(__xludf.DUMMYFUNCTION("IMPORTRANGE(""https://docs.google.com/spreadsheets/d/19vJNZY_5yjcGF2XGBMNZRCAIB0Kwfpjp8YEOfu-bneM/edit?usp=sharing"",""งานกองทุน!F39"")"),15180675.41)</f>
        <v>15180675.41</v>
      </c>
      <c r="K821" s="498">
        <f t="shared" ref="K821:K828" ca="1" si="335">IF(I821&gt;0,J821*100/I821,0)</f>
        <v>101.09209614021418</v>
      </c>
      <c r="L821" s="498"/>
      <c r="M821" s="498"/>
      <c r="N821" s="498"/>
      <c r="O821" s="498"/>
      <c r="P821" s="49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</row>
    <row r="822" spans="1:26" ht="18.75">
      <c r="A822" s="744"/>
      <c r="B822" s="763"/>
      <c r="C822" s="763"/>
      <c r="D822" s="575"/>
      <c r="E822" s="763"/>
      <c r="F822" s="763"/>
      <c r="G822" s="189"/>
      <c r="H822" s="623" t="s">
        <v>35</v>
      </c>
      <c r="I822" s="270">
        <f ca="1">IFERROR(__xludf.DUMMYFUNCTION("IMPORTRANGE(""https://docs.google.com/spreadsheets/d/19vJNZY_5yjcGF2XGBMNZRCAIB0Kwfpjp8YEOfu-bneM/edit?usp=sharing"",""งานกองทุน!C39"")"),1508)</f>
        <v>1508</v>
      </c>
      <c r="J822" s="270">
        <f ca="1">IFERROR(__xludf.DUMMYFUNCTION("IMPORTRANGE(""https://docs.google.com/spreadsheets/d/19vJNZY_5yjcGF2XGBMNZRCAIB0Kwfpjp8YEOfu-bneM/edit?usp=sharing"",""งานกองทุน!E39"")"),1368)</f>
        <v>1368</v>
      </c>
      <c r="K822" s="498">
        <f t="shared" ca="1" si="335"/>
        <v>90.716180371352792</v>
      </c>
      <c r="L822" s="498"/>
      <c r="M822" s="498"/>
      <c r="N822" s="498"/>
      <c r="O822" s="498"/>
      <c r="P822" s="49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</row>
    <row r="823" spans="1:26" ht="18.75">
      <c r="A823" s="744"/>
      <c r="B823" s="763" t="s">
        <v>327</v>
      </c>
      <c r="C823" s="763"/>
      <c r="D823" s="575"/>
      <c r="E823" s="763"/>
      <c r="F823" s="763"/>
      <c r="G823" s="189"/>
      <c r="H823" s="623" t="s">
        <v>12</v>
      </c>
      <c r="I823" s="270">
        <f ca="1">IFERROR(__xludf.DUMMYFUNCTION("IMPORTRANGE(""https://docs.google.com/spreadsheets/d/19vJNZY_5yjcGF2XGBMNZRCAIB0Kwfpjp8YEOfu-bneM/edit?usp=sharing"",""งานกองทุน!I39"")"),7944744.47)</f>
        <v>7944744.4699999997</v>
      </c>
      <c r="J823" s="270">
        <f ca="1">IFERROR(__xludf.DUMMYFUNCTION("IMPORTRANGE(""https://docs.google.com/spreadsheets/d/19vJNZY_5yjcGF2XGBMNZRCAIB0Kwfpjp8YEOfu-bneM/edit?usp=sharing"",""งานกองทุน!K39"")"),2856645.51)</f>
        <v>2856645.51</v>
      </c>
      <c r="K823" s="498">
        <f t="shared" ca="1" si="335"/>
        <v>35.956417739889879</v>
      </c>
      <c r="L823" s="498"/>
      <c r="M823" s="498"/>
      <c r="N823" s="498"/>
      <c r="O823" s="498"/>
      <c r="P823" s="49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</row>
    <row r="824" spans="1:26" ht="18.75">
      <c r="A824" s="744"/>
      <c r="B824" s="763"/>
      <c r="C824" s="763"/>
      <c r="D824" s="575"/>
      <c r="E824" s="763"/>
      <c r="F824" s="763"/>
      <c r="G824" s="189"/>
      <c r="H824" s="623" t="s">
        <v>35</v>
      </c>
      <c r="I824" s="270">
        <f ca="1">IFERROR(__xludf.DUMMYFUNCTION("IMPORTRANGE(""https://docs.google.com/spreadsheets/d/19vJNZY_5yjcGF2XGBMNZRCAIB0Kwfpjp8YEOfu-bneM/edit?usp=sharing"",""งานกองทุน!H39"")"),355)</f>
        <v>355</v>
      </c>
      <c r="J824" s="270">
        <f ca="1">IFERROR(__xludf.DUMMYFUNCTION("IMPORTRANGE(""https://docs.google.com/spreadsheets/d/19vJNZY_5yjcGF2XGBMNZRCAIB0Kwfpjp8YEOfu-bneM/edit?usp=sharing"",""งานกองทุน!J39"")"),212)</f>
        <v>212</v>
      </c>
      <c r="K824" s="498">
        <f t="shared" ca="1" si="335"/>
        <v>59.718309859154928</v>
      </c>
      <c r="L824" s="498"/>
      <c r="M824" s="498"/>
      <c r="N824" s="498"/>
      <c r="O824" s="498"/>
      <c r="P824" s="49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</row>
    <row r="825" spans="1:26" ht="18.75">
      <c r="A825" s="744"/>
      <c r="B825" s="763" t="s">
        <v>328</v>
      </c>
      <c r="C825" s="763"/>
      <c r="D825" s="575"/>
      <c r="E825" s="763"/>
      <c r="F825" s="763"/>
      <c r="G825" s="189"/>
      <c r="H825" s="623" t="s">
        <v>12</v>
      </c>
      <c r="I825" s="270">
        <f ca="1">IFERROR(__xludf.DUMMYFUNCTION("IMPORTRANGE(""https://docs.google.com/spreadsheets/d/19vJNZY_5yjcGF2XGBMNZRCAIB0Kwfpjp8YEOfu-bneM/edit?usp=sharing"",""งานกองทุน!N39"")"),0)</f>
        <v>0</v>
      </c>
      <c r="J825" s="270">
        <f ca="1">IFERROR(__xludf.DUMMYFUNCTION("IMPORTRANGE(""https://docs.google.com/spreadsheets/d/19vJNZY_5yjcGF2XGBMNZRCAIB0Kwfpjp8YEOfu-bneM/edit?usp=sharing"",""งานกองทุน!P39"")"),0)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</row>
    <row r="826" spans="1:26" ht="18.75">
      <c r="A826" s="744"/>
      <c r="B826" s="763"/>
      <c r="C826" s="763"/>
      <c r="D826" s="575"/>
      <c r="E826" s="763"/>
      <c r="F826" s="763"/>
      <c r="G826" s="189"/>
      <c r="H826" s="623" t="s">
        <v>35</v>
      </c>
      <c r="I826" s="270">
        <f ca="1">IFERROR(__xludf.DUMMYFUNCTION("IMPORTRANGE(""https://docs.google.com/spreadsheets/d/19vJNZY_5yjcGF2XGBMNZRCAIB0Kwfpjp8YEOfu-bneM/edit?usp=sharing"",""งานกองทุน!M39"")"),0)</f>
        <v>0</v>
      </c>
      <c r="J826" s="270">
        <f ca="1">IFERROR(__xludf.DUMMYFUNCTION("IMPORTRANGE(""https://docs.google.com/spreadsheets/d/19vJNZY_5yjcGF2XGBMNZRCAIB0Kwfpjp8YEOfu-bneM/edit?usp=sharing"",""งานกองทุน!O39"")"),0)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</row>
    <row r="827" spans="1:26" ht="18.75">
      <c r="A827" s="744"/>
      <c r="B827" s="763" t="s">
        <v>329</v>
      </c>
      <c r="C827" s="763"/>
      <c r="D827" s="575"/>
      <c r="E827" s="763"/>
      <c r="F827" s="763"/>
      <c r="G827" s="189"/>
      <c r="H827" s="623" t="s">
        <v>12</v>
      </c>
      <c r="I827" s="270">
        <f ca="1">IFERROR(__xludf.DUMMYFUNCTION("IMPORTRANGE(""https://docs.google.com/spreadsheets/d/19vJNZY_5yjcGF2XGBMNZRCAIB0Kwfpjp8YEOfu-bneM/edit?usp=sharing"",""งานกองทุน!S39"")"),15000000)</f>
        <v>15000000</v>
      </c>
      <c r="J827" s="270">
        <f ca="1">IFERROR(__xludf.DUMMYFUNCTION("IMPORTRANGE(""https://docs.google.com/spreadsheets/d/19vJNZY_5yjcGF2XGBMNZRCAIB0Kwfpjp8YEOfu-bneM/edit?usp=sharing"",""งานกองทุน!U39"")"),15000000)</f>
        <v>15000000</v>
      </c>
      <c r="K827" s="498">
        <f t="shared" ca="1" si="335"/>
        <v>100</v>
      </c>
      <c r="L827" s="498"/>
      <c r="M827" s="498"/>
      <c r="N827" s="498"/>
      <c r="O827" s="498"/>
      <c r="P827" s="49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</row>
    <row r="828" spans="1:26" ht="18.75">
      <c r="A828" s="841"/>
      <c r="B828" s="749"/>
      <c r="C828" s="749"/>
      <c r="D828" s="748"/>
      <c r="E828" s="749"/>
      <c r="F828" s="749"/>
      <c r="G828" s="842"/>
      <c r="H828" s="843" t="s">
        <v>35</v>
      </c>
      <c r="I828" s="506">
        <f ca="1">IFERROR(__xludf.DUMMYFUNCTION("IMPORTRANGE(""https://docs.google.com/spreadsheets/d/19vJNZY_5yjcGF2XGBMNZRCAIB0Kwfpjp8YEOfu-bneM/edit?usp=sharing"",""งานกองทุน!R39"")"),410)</f>
        <v>410</v>
      </c>
      <c r="J828" s="506">
        <f ca="1">IFERROR(__xludf.DUMMYFUNCTION("IMPORTRANGE(""https://docs.google.com/spreadsheets/d/19vJNZY_5yjcGF2XGBMNZRCAIB0Kwfpjp8YEOfu-bneM/edit?usp=sharing"",""งานกองทุน!T39"")"),394)</f>
        <v>394</v>
      </c>
      <c r="K828" s="507">
        <f t="shared" ca="1" si="335"/>
        <v>96.097560975609753</v>
      </c>
      <c r="L828" s="507"/>
      <c r="M828" s="507"/>
      <c r="N828" s="507"/>
      <c r="O828" s="507"/>
      <c r="P828" s="507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42</vt:i4>
      </vt:variant>
    </vt:vector>
  </HeadingPairs>
  <TitlesOfParts>
    <vt:vector size="63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กาฬสินธุ์!Print_Area</vt:lpstr>
      <vt:lpstr>ขอนแก่น!Print_Area</vt:lpstr>
      <vt:lpstr>ชัยภูมิ!Print_Area</vt:lpstr>
      <vt:lpstr>นครพนม!Print_Area</vt:lpstr>
      <vt:lpstr>นครราชสีมา!Print_Area</vt:lpstr>
      <vt:lpstr>บึงกาฬ!Print_Area</vt:lpstr>
      <vt:lpstr>บุรีรัมย์!Print_Area</vt:lpstr>
      <vt:lpstr>มหาสารคาม!Print_Area</vt:lpstr>
      <vt:lpstr>มุกดาหาร!Print_Area</vt:lpstr>
      <vt:lpstr>ยโสธร!Print_Area</vt:lpstr>
      <vt:lpstr>รวมตะวันออกเฉียงเหนือ!Print_Area</vt:lpstr>
      <vt:lpstr>ร้อยเอ็ด!Print_Area</vt:lpstr>
      <vt:lpstr>เลย!Print_Area</vt:lpstr>
      <vt:lpstr>ศรีสะเกษ!Print_Area</vt:lpstr>
      <vt:lpstr>สกลนคร!Print_Area</vt:lpstr>
      <vt:lpstr>สุรินทร์!Print_Area</vt:lpstr>
      <vt:lpstr>หนองคาย!Print_Area</vt:lpstr>
      <vt:lpstr>หนองบัวลำภู!Print_Area</vt:lpstr>
      <vt:lpstr>อำนาจเจริญ!Print_Area</vt:lpstr>
      <vt:lpstr>อุดรธานี!Print_Area</vt:lpstr>
      <vt:lpstr>อุบลราชธานี!Print_Area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2023-11-28T08:01:00Z</dcterms:modified>
</cp:coreProperties>
</file>